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codeName="EstaPastaDeTrabalho"/>
  <mc:AlternateContent xmlns:mc="http://schemas.openxmlformats.org/markup-compatibility/2006">
    <mc:Choice Requires="x15">
      <x15ac:absPath xmlns:x15ac="http://schemas.microsoft.com/office/spreadsheetml/2010/11/ac" url="F:\GPO\Planejamento\ENGENHEIROS\Engº Rodrigo\PREGÕES\3 Reformas Energia\"/>
    </mc:Choice>
  </mc:AlternateContent>
  <xr:revisionPtr revIDLastSave="0" documentId="13_ncr:1_{15A2E387-1E3D-43A2-89D0-7BFED98883FB}" xr6:coauthVersionLast="47" xr6:coauthVersionMax="47" xr10:uidLastSave="{00000000-0000-0000-0000-000000000000}"/>
  <bookViews>
    <workbookView xWindow="28680" yWindow="-120" windowWidth="29040" windowHeight="15720" tabRatio="902" xr2:uid="{00000000-000D-0000-FFFF-FFFF00000000}"/>
  </bookViews>
  <sheets>
    <sheet name="PREENCHIMENTO" sheetId="129" r:id="rId1"/>
    <sheet name="3.A" sheetId="82" r:id="rId2"/>
    <sheet name="4.A" sheetId="66" r:id="rId3"/>
    <sheet name="5.A" sheetId="81" r:id="rId4"/>
    <sheet name="6.A" sheetId="83" r:id="rId5"/>
    <sheet name="7.A" sheetId="127" r:id="rId6"/>
    <sheet name="8.A" sheetId="91" r:id="rId7"/>
    <sheet name="COTAÇÕES" sheetId="128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xlnm.Print_Area_3">#REF!</definedName>
    <definedName name="__xlnm.Print_Area_4">[1]AV!#REF!</definedName>
    <definedName name="_2Excel_BuiltIn_Print_Area_3_1_1_1_1">#REF!</definedName>
    <definedName name="_4Excel_BuiltIn_Print_Area_3_1_1">#REF!</definedName>
    <definedName name="_xlnm._FilterDatabase" localSheetId="1" hidden="1">'3.A'!$A$8:$M$22</definedName>
    <definedName name="_xlnm._FilterDatabase" localSheetId="4" hidden="1">'6.A'!$A$28:$HK$180</definedName>
    <definedName name="_xlnm.Print_Area" localSheetId="1">'3.A'!$A$1:$M$260</definedName>
    <definedName name="_xlnm.Print_Area" localSheetId="2">'4.A'!$A$1:$M$94</definedName>
    <definedName name="_xlnm.Print_Area" localSheetId="3">'5.A'!$A$1:$F$4222</definedName>
    <definedName name="_xlnm.Print_Area" localSheetId="4">'6.A'!$A$1:$F$189</definedName>
    <definedName name="_xlnm.Print_Area" localSheetId="5">'7.A'!$A$1:$E$47</definedName>
    <definedName name="_xlnm.Print_Area" localSheetId="6">'8.A'!$A$1:$C$51</definedName>
    <definedName name="_xlnm.Print_Area" localSheetId="7">COTAÇÕES!$A$1:$P$38</definedName>
    <definedName name="_xlnm.Print_Area">#REF!</definedName>
    <definedName name="_xlnm.Database">#REF!</definedName>
    <definedName name="CEOP">#REF!</definedName>
    <definedName name="COM">#REF!</definedName>
    <definedName name="CON">#REF!</definedName>
    <definedName name="CONC">[2]Dados!$K$2:$K$40</definedName>
    <definedName name="CRI">#REF!</definedName>
    <definedName name="dasda">#REF!</definedName>
    <definedName name="Database">#REF!</definedName>
    <definedName name="ÉServiço">[3]II.3!$E1&lt;&gt;""</definedName>
    <definedName name="Excel_BuiltIn__FilterDatabase_2">#REF!</definedName>
    <definedName name="Excel_BuiltIn__FilterDatabase_8">#REF!</definedName>
    <definedName name="Excel_BuiltIn_Print_Area_1_1">#REF!</definedName>
    <definedName name="Excel_BuiltIn_Print_Area_1_1_1_1_1">'[4]Anexo II'!$A$12:$M$287,'[4]Anexo II'!$K$286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2_1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5_1">#REF!</definedName>
    <definedName name="Excel_BuiltIn_Print_Area_7">#REF!</definedName>
    <definedName name="Excel_BuiltIn_Print_Area_7_1_1">#REF!</definedName>
    <definedName name="Excel_BuiltIn_Print_Titles_1_1">#REF!</definedName>
    <definedName name="Excel_BuiltIn_Print_Titles_3">#REF!</definedName>
    <definedName name="Excel_BuiltIn_Print_Titles_5">#REF!</definedName>
    <definedName name="Excel_BuiltIn_Print_Titles_8">#REF!</definedName>
    <definedName name="JOI">#REF!</definedName>
    <definedName name="JOSE">#REF!</definedName>
    <definedName name="MRIA">#REF!</definedName>
    <definedName name="RCH">#REF!</definedName>
    <definedName name="RCR">#REF!</definedName>
    <definedName name="RegimeExecucao">IF([5]DADOS!$A$32="Empreitada por Preço Global ou Integral","Global","Unitário")</definedName>
    <definedName name="RFL">#REF!</definedName>
    <definedName name="RIJ">#REF!</definedName>
    <definedName name="RJO">#REF!</definedName>
    <definedName name="RLA">#REF!</definedName>
    <definedName name="RRS">#REF!</definedName>
    <definedName name="RSM">#REF!</definedName>
    <definedName name="RTB">#REF!</definedName>
    <definedName name="RVI">#REF!</definedName>
    <definedName name="SAO">#REF!</definedName>
    <definedName name="SBL">#REF!</definedName>
    <definedName name="subbaciab1">#REF!</definedName>
    <definedName name="TESTE">'[6]A II.A'!#REF!</definedName>
    <definedName name="Título">#REF!</definedName>
    <definedName name="_xlnm.Print_Titles" localSheetId="1">'3.A'!$1:$10</definedName>
    <definedName name="_xlnm.Print_Titles" localSheetId="2">'4.A'!$1:$11</definedName>
    <definedName name="_xlnm.Print_Titles" localSheetId="3">'5.A'!$1:$10</definedName>
    <definedName name="_xlnm.Print_Titles" localSheetId="4">'6.A'!$1:$10</definedName>
    <definedName name="_xlnm.Print_Titles" localSheetId="7">COTAÇÕES!$1:$5</definedName>
    <definedName name="VALAS">[2]Dados!$L$2:$P$40</definedName>
    <definedName name="Z_6D07A3BF_0D13_4DB8_B57D_B992E436750A_.wvu.PrintArea" localSheetId="5" hidden="1">'7.A'!$A$1:$E$45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91" l="1"/>
  <c r="A1" i="127"/>
  <c r="A1" i="83"/>
  <c r="A1" i="81"/>
  <c r="A1" i="66"/>
  <c r="B3373" i="81"/>
  <c r="B3372" i="81"/>
  <c r="B3371" i="81"/>
  <c r="B3370" i="81"/>
  <c r="B3365" i="81"/>
  <c r="B3364" i="81"/>
  <c r="B3363" i="81"/>
  <c r="B3362" i="81"/>
  <c r="B3361" i="81"/>
  <c r="B3360" i="81"/>
  <c r="B3359" i="81"/>
  <c r="B3358" i="81"/>
  <c r="B3357" i="81"/>
  <c r="B3356" i="81"/>
  <c r="B3351" i="81"/>
  <c r="B3350" i="81"/>
  <c r="B3349" i="81"/>
  <c r="B3348" i="81"/>
  <c r="B3347" i="81"/>
  <c r="B3346" i="81"/>
  <c r="B3345" i="81"/>
  <c r="B3344" i="81"/>
  <c r="A3343" i="81"/>
  <c r="B3343" i="81" s="1"/>
  <c r="A3342" i="81"/>
  <c r="B3342" i="81" s="1"/>
  <c r="B3321" i="81"/>
  <c r="B3320" i="81"/>
  <c r="B3319" i="81"/>
  <c r="B3318" i="81"/>
  <c r="A3317" i="81"/>
  <c r="B3313" i="81"/>
  <c r="B3312" i="81"/>
  <c r="B3311" i="81"/>
  <c r="B3310" i="81"/>
  <c r="B3309" i="81"/>
  <c r="B3308" i="81"/>
  <c r="B3307" i="81"/>
  <c r="B3306" i="81"/>
  <c r="B3305" i="81"/>
  <c r="B3304" i="81"/>
  <c r="B3299" i="81"/>
  <c r="B3298" i="81"/>
  <c r="B3297" i="81"/>
  <c r="B3296" i="81"/>
  <c r="B3295" i="81"/>
  <c r="B3294" i="81"/>
  <c r="B3293" i="81"/>
  <c r="B3292" i="81"/>
  <c r="A3292" i="81"/>
  <c r="A3291" i="81"/>
  <c r="B3291" i="81" s="1"/>
  <c r="A3290" i="81"/>
  <c r="B3290" i="81" s="1"/>
  <c r="B3270" i="81"/>
  <c r="B3269" i="81"/>
  <c r="B3268" i="81"/>
  <c r="B3267" i="81"/>
  <c r="B3266" i="81"/>
  <c r="A3265" i="81"/>
  <c r="B3261" i="81"/>
  <c r="B3260" i="81"/>
  <c r="B3259" i="81"/>
  <c r="B3258" i="81"/>
  <c r="B3257" i="81"/>
  <c r="B3256" i="81"/>
  <c r="B3255" i="81"/>
  <c r="B3254" i="81"/>
  <c r="B3253" i="81"/>
  <c r="B3252" i="81"/>
  <c r="B3247" i="81"/>
  <c r="B3246" i="81"/>
  <c r="B3245" i="81"/>
  <c r="B3244" i="81"/>
  <c r="B3243" i="81"/>
  <c r="B3242" i="81"/>
  <c r="B3241" i="81"/>
  <c r="A3240" i="81"/>
  <c r="B3240" i="81" s="1"/>
  <c r="A3239" i="81"/>
  <c r="B3239" i="81" s="1"/>
  <c r="A3238" i="81"/>
  <c r="B3217" i="81"/>
  <c r="B3216" i="81"/>
  <c r="B3215" i="81"/>
  <c r="A3214" i="81"/>
  <c r="A3213" i="81"/>
  <c r="B3209" i="81"/>
  <c r="B3208" i="81"/>
  <c r="B3207" i="81"/>
  <c r="B3206" i="81"/>
  <c r="B3205" i="81"/>
  <c r="B3204" i="81"/>
  <c r="B3203" i="81"/>
  <c r="B3202" i="81"/>
  <c r="B3201" i="81"/>
  <c r="B3200" i="81"/>
  <c r="B3195" i="81"/>
  <c r="B3194" i="81"/>
  <c r="B3193" i="81"/>
  <c r="B3192" i="81"/>
  <c r="B3191" i="81"/>
  <c r="B3190" i="81"/>
  <c r="B3189" i="81"/>
  <c r="B3188" i="81"/>
  <c r="A3187" i="81"/>
  <c r="B3187" i="81" s="1"/>
  <c r="A3186" i="81"/>
  <c r="B3186" i="81" s="1"/>
  <c r="B3168" i="81"/>
  <c r="B3167" i="81"/>
  <c r="B3166" i="81"/>
  <c r="B3165" i="81"/>
  <c r="B3164" i="81"/>
  <c r="B3163" i="81"/>
  <c r="B3162" i="81"/>
  <c r="C3161" i="81"/>
  <c r="A3161" i="81"/>
  <c r="B3157" i="81"/>
  <c r="B3156" i="81"/>
  <c r="B3155" i="81"/>
  <c r="B3154" i="81"/>
  <c r="B3153" i="81"/>
  <c r="B3152" i="81"/>
  <c r="B3151" i="81"/>
  <c r="B3150" i="81"/>
  <c r="B3149" i="81"/>
  <c r="B3148" i="81"/>
  <c r="B3143" i="81"/>
  <c r="B3142" i="81"/>
  <c r="B3141" i="81"/>
  <c r="B3140" i="81"/>
  <c r="B3139" i="81"/>
  <c r="B3138" i="81"/>
  <c r="B3137" i="81"/>
  <c r="B3136" i="81"/>
  <c r="A3135" i="81"/>
  <c r="B3135" i="81" s="1"/>
  <c r="A3134" i="81"/>
  <c r="B3134" i="81" s="1"/>
  <c r="A3340" i="81"/>
  <c r="A3288" i="81"/>
  <c r="A3236" i="81"/>
  <c r="A3184" i="81"/>
  <c r="A3132" i="81"/>
  <c r="A161" i="82"/>
  <c r="A159" i="82"/>
  <c r="N3388" i="81"/>
  <c r="M3388" i="81"/>
  <c r="H3388" i="81"/>
  <c r="L3388" i="81" s="1"/>
  <c r="F3388" i="81"/>
  <c r="E3388" i="81"/>
  <c r="D3388" i="81"/>
  <c r="B3388" i="81"/>
  <c r="N3387" i="81"/>
  <c r="M3387" i="81"/>
  <c r="H3387" i="81"/>
  <c r="F3387" i="81"/>
  <c r="E3387" i="81"/>
  <c r="D3387" i="81"/>
  <c r="B3387" i="81"/>
  <c r="N3386" i="81"/>
  <c r="M3386" i="81"/>
  <c r="H3386" i="81"/>
  <c r="L3386" i="81" s="1"/>
  <c r="F3386" i="81"/>
  <c r="E3386" i="81"/>
  <c r="D3386" i="81"/>
  <c r="B3386" i="81"/>
  <c r="N3385" i="81"/>
  <c r="M3385" i="81"/>
  <c r="H3385" i="81"/>
  <c r="L3385" i="81" s="1"/>
  <c r="F3385" i="81"/>
  <c r="E3385" i="81"/>
  <c r="D3385" i="81"/>
  <c r="B3385" i="81"/>
  <c r="N3384" i="81"/>
  <c r="M3384" i="81"/>
  <c r="H3384" i="81"/>
  <c r="L3384" i="81" s="1"/>
  <c r="F3384" i="81"/>
  <c r="E3384" i="81"/>
  <c r="D3384" i="81"/>
  <c r="B3384" i="81"/>
  <c r="N3383" i="81"/>
  <c r="M3383" i="81"/>
  <c r="H3383" i="81"/>
  <c r="J3383" i="81" s="1"/>
  <c r="F3383" i="81"/>
  <c r="E3383" i="81"/>
  <c r="D3383" i="81"/>
  <c r="B3383" i="81"/>
  <c r="N3382" i="81"/>
  <c r="M3382" i="81"/>
  <c r="H3382" i="81"/>
  <c r="I3382" i="81" s="1"/>
  <c r="F3382" i="81"/>
  <c r="E3382" i="81"/>
  <c r="D3382" i="81"/>
  <c r="B3382" i="81"/>
  <c r="N3381" i="81"/>
  <c r="M3381" i="81"/>
  <c r="H3381" i="81"/>
  <c r="J3381" i="81" s="1"/>
  <c r="F3381" i="81"/>
  <c r="E3381" i="81"/>
  <c r="D3381" i="81"/>
  <c r="B3381" i="81"/>
  <c r="N3380" i="81"/>
  <c r="M3380" i="81"/>
  <c r="H3380" i="81"/>
  <c r="J3380" i="81" s="1"/>
  <c r="F3380" i="81"/>
  <c r="E3380" i="81"/>
  <c r="D3380" i="81"/>
  <c r="B3380" i="81"/>
  <c r="N3379" i="81"/>
  <c r="M3379" i="81"/>
  <c r="H3379" i="81"/>
  <c r="I3379" i="81" s="1"/>
  <c r="F3379" i="81"/>
  <c r="E3379" i="81"/>
  <c r="D3379" i="81"/>
  <c r="B3379" i="81"/>
  <c r="N3378" i="81"/>
  <c r="M3378" i="81"/>
  <c r="H3378" i="81"/>
  <c r="J3378" i="81" s="1"/>
  <c r="F3378" i="81"/>
  <c r="E3378" i="81"/>
  <c r="D3378" i="81"/>
  <c r="B3378" i="81"/>
  <c r="N3377" i="81"/>
  <c r="M3377" i="81"/>
  <c r="H3377" i="81"/>
  <c r="F3377" i="81"/>
  <c r="E3377" i="81"/>
  <c r="D3377" i="81"/>
  <c r="B3377" i="81"/>
  <c r="N3376" i="81"/>
  <c r="M3376" i="81"/>
  <c r="H3376" i="81"/>
  <c r="L3376" i="81" s="1"/>
  <c r="F3376" i="81"/>
  <c r="E3376" i="81"/>
  <c r="D3376" i="81"/>
  <c r="B3376" i="81"/>
  <c r="N3375" i="81"/>
  <c r="M3375" i="81"/>
  <c r="H3375" i="81"/>
  <c r="F3375" i="81"/>
  <c r="E3375" i="81"/>
  <c r="D3375" i="81"/>
  <c r="B3375" i="81"/>
  <c r="N3374" i="81"/>
  <c r="M3374" i="81"/>
  <c r="H3374" i="81"/>
  <c r="L3374" i="81" s="1"/>
  <c r="F3374" i="81"/>
  <c r="E3374" i="81"/>
  <c r="D3374" i="81"/>
  <c r="B3374" i="81"/>
  <c r="N3373" i="81"/>
  <c r="M3373" i="81"/>
  <c r="H3373" i="81"/>
  <c r="L3373" i="81" s="1"/>
  <c r="F3373" i="81"/>
  <c r="E3373" i="81"/>
  <c r="D3373" i="81"/>
  <c r="N3372" i="81"/>
  <c r="M3372" i="81"/>
  <c r="H3372" i="81"/>
  <c r="L3372" i="81" s="1"/>
  <c r="F3372" i="81"/>
  <c r="E3372" i="81"/>
  <c r="D3372" i="81"/>
  <c r="N3371" i="81"/>
  <c r="M3371" i="81"/>
  <c r="H3371" i="81"/>
  <c r="J3371" i="81" s="1"/>
  <c r="F3371" i="81"/>
  <c r="E3371" i="81"/>
  <c r="D3371" i="81"/>
  <c r="N3370" i="81"/>
  <c r="M3370" i="81"/>
  <c r="H3370" i="81"/>
  <c r="I3370" i="81" s="1"/>
  <c r="F3370" i="81"/>
  <c r="E3370" i="81"/>
  <c r="D3370" i="81"/>
  <c r="N3365" i="81"/>
  <c r="M3365" i="81"/>
  <c r="H3365" i="81"/>
  <c r="L3365" i="81" s="1"/>
  <c r="F3365" i="81"/>
  <c r="E3365" i="81"/>
  <c r="D3365" i="81"/>
  <c r="N3364" i="81"/>
  <c r="M3364" i="81"/>
  <c r="H3364" i="81"/>
  <c r="L3364" i="81" s="1"/>
  <c r="F3364" i="81"/>
  <c r="E3364" i="81"/>
  <c r="D3364" i="81"/>
  <c r="N3363" i="81"/>
  <c r="M3363" i="81"/>
  <c r="H3363" i="81"/>
  <c r="J3363" i="81" s="1"/>
  <c r="F3363" i="81"/>
  <c r="E3363" i="81"/>
  <c r="D3363" i="81"/>
  <c r="N3362" i="81"/>
  <c r="M3362" i="81"/>
  <c r="H3362" i="81"/>
  <c r="I3362" i="81" s="1"/>
  <c r="F3362" i="81"/>
  <c r="E3362" i="81"/>
  <c r="D3362" i="81"/>
  <c r="N3361" i="81"/>
  <c r="M3361" i="81"/>
  <c r="H3361" i="81"/>
  <c r="L3361" i="81" s="1"/>
  <c r="F3361" i="81"/>
  <c r="E3361" i="81"/>
  <c r="D3361" i="81"/>
  <c r="N3360" i="81"/>
  <c r="M3360" i="81"/>
  <c r="H3360" i="81"/>
  <c r="J3360" i="81" s="1"/>
  <c r="F3360" i="81"/>
  <c r="E3360" i="81"/>
  <c r="D3360" i="81"/>
  <c r="N3359" i="81"/>
  <c r="M3359" i="81"/>
  <c r="H3359" i="81"/>
  <c r="K3359" i="81" s="1"/>
  <c r="F3359" i="81"/>
  <c r="E3359" i="81"/>
  <c r="D3359" i="81"/>
  <c r="N3358" i="81"/>
  <c r="M3358" i="81"/>
  <c r="H3358" i="81"/>
  <c r="L3358" i="81" s="1"/>
  <c r="F3358" i="81"/>
  <c r="E3358" i="81"/>
  <c r="D3358" i="81"/>
  <c r="N3357" i="81"/>
  <c r="M3357" i="81"/>
  <c r="H3357" i="81"/>
  <c r="F3357" i="81"/>
  <c r="E3357" i="81"/>
  <c r="D3357" i="81"/>
  <c r="N3356" i="81"/>
  <c r="M3356" i="81"/>
  <c r="H3356" i="81"/>
  <c r="L3356" i="81" s="1"/>
  <c r="F3356" i="81"/>
  <c r="E3356" i="81"/>
  <c r="D3356" i="81"/>
  <c r="N3351" i="81"/>
  <c r="M3351" i="81"/>
  <c r="H3351" i="81"/>
  <c r="L3351" i="81" s="1"/>
  <c r="F3351" i="81"/>
  <c r="E3351" i="81"/>
  <c r="D3351" i="81"/>
  <c r="N3350" i="81"/>
  <c r="M3350" i="81"/>
  <c r="H3350" i="81"/>
  <c r="L3350" i="81" s="1"/>
  <c r="F3350" i="81"/>
  <c r="E3350" i="81"/>
  <c r="D3350" i="81"/>
  <c r="N3349" i="81"/>
  <c r="M3349" i="81"/>
  <c r="H3349" i="81"/>
  <c r="I3349" i="81" s="1"/>
  <c r="F3349" i="81"/>
  <c r="E3349" i="81"/>
  <c r="D3349" i="81"/>
  <c r="N3348" i="81"/>
  <c r="M3348" i="81"/>
  <c r="H3348" i="81"/>
  <c r="K3348" i="81" s="1"/>
  <c r="F3348" i="81"/>
  <c r="E3348" i="81"/>
  <c r="D3348" i="81"/>
  <c r="N3347" i="81"/>
  <c r="M3347" i="81"/>
  <c r="H3347" i="81"/>
  <c r="L3347" i="81" s="1"/>
  <c r="F3347" i="81"/>
  <c r="E3347" i="81"/>
  <c r="D3347" i="81"/>
  <c r="N3346" i="81"/>
  <c r="M3346" i="81"/>
  <c r="H3346" i="81"/>
  <c r="F3346" i="81"/>
  <c r="E3346" i="81"/>
  <c r="D3346" i="81"/>
  <c r="N3345" i="81"/>
  <c r="M3345" i="81"/>
  <c r="H3345" i="81"/>
  <c r="L3345" i="81" s="1"/>
  <c r="F3345" i="81"/>
  <c r="E3345" i="81"/>
  <c r="D3345" i="81"/>
  <c r="N3344" i="81"/>
  <c r="M3344" i="81"/>
  <c r="H3344" i="81"/>
  <c r="F3344" i="81"/>
  <c r="E3344" i="81"/>
  <c r="D3344" i="81"/>
  <c r="D3342" i="81"/>
  <c r="N3336" i="81"/>
  <c r="M3336" i="81"/>
  <c r="H3336" i="81"/>
  <c r="L3336" i="81" s="1"/>
  <c r="F3336" i="81"/>
  <c r="E3336" i="81"/>
  <c r="D3336" i="81"/>
  <c r="B3336" i="81"/>
  <c r="N3335" i="81"/>
  <c r="M3335" i="81"/>
  <c r="H3335" i="81"/>
  <c r="L3335" i="81" s="1"/>
  <c r="F3335" i="81"/>
  <c r="E3335" i="81"/>
  <c r="D3335" i="81"/>
  <c r="B3335" i="81"/>
  <c r="N3334" i="81"/>
  <c r="M3334" i="81"/>
  <c r="H3334" i="81"/>
  <c r="L3334" i="81" s="1"/>
  <c r="F3334" i="81"/>
  <c r="E3334" i="81"/>
  <c r="D3334" i="81"/>
  <c r="B3334" i="81"/>
  <c r="N3333" i="81"/>
  <c r="M3333" i="81"/>
  <c r="H3333" i="81"/>
  <c r="I3333" i="81" s="1"/>
  <c r="F3333" i="81"/>
  <c r="E3333" i="81"/>
  <c r="D3333" i="81"/>
  <c r="B3333" i="81"/>
  <c r="N3332" i="81"/>
  <c r="M3332" i="81"/>
  <c r="H3332" i="81"/>
  <c r="L3332" i="81" s="1"/>
  <c r="F3332" i="81"/>
  <c r="E3332" i="81"/>
  <c r="D3332" i="81"/>
  <c r="B3332" i="81"/>
  <c r="N3331" i="81"/>
  <c r="M3331" i="81"/>
  <c r="H3331" i="81"/>
  <c r="J3331" i="81" s="1"/>
  <c r="F3331" i="81"/>
  <c r="E3331" i="81"/>
  <c r="D3331" i="81"/>
  <c r="B3331" i="81"/>
  <c r="N3330" i="81"/>
  <c r="M3330" i="81"/>
  <c r="H3330" i="81"/>
  <c r="I3330" i="81" s="1"/>
  <c r="F3330" i="81"/>
  <c r="E3330" i="81"/>
  <c r="D3330" i="81"/>
  <c r="B3330" i="81"/>
  <c r="N3329" i="81"/>
  <c r="M3329" i="81"/>
  <c r="H3329" i="81"/>
  <c r="K3329" i="81" s="1"/>
  <c r="F3329" i="81"/>
  <c r="E3329" i="81"/>
  <c r="D3329" i="81"/>
  <c r="B3329" i="81"/>
  <c r="N3328" i="81"/>
  <c r="M3328" i="81"/>
  <c r="H3328" i="81"/>
  <c r="L3328" i="81" s="1"/>
  <c r="F3328" i="81"/>
  <c r="E3328" i="81"/>
  <c r="D3328" i="81"/>
  <c r="B3328" i="81"/>
  <c r="N3327" i="81"/>
  <c r="M3327" i="81"/>
  <c r="H3327" i="81"/>
  <c r="J3327" i="81" s="1"/>
  <c r="F3327" i="81"/>
  <c r="E3327" i="81"/>
  <c r="D3327" i="81"/>
  <c r="B3327" i="81"/>
  <c r="N3326" i="81"/>
  <c r="M3326" i="81"/>
  <c r="H3326" i="81"/>
  <c r="I3326" i="81" s="1"/>
  <c r="F3326" i="81"/>
  <c r="E3326" i="81"/>
  <c r="D3326" i="81"/>
  <c r="B3326" i="81"/>
  <c r="N3325" i="81"/>
  <c r="M3325" i="81"/>
  <c r="H3325" i="81"/>
  <c r="F3325" i="81"/>
  <c r="E3325" i="81"/>
  <c r="D3325" i="81"/>
  <c r="B3325" i="81"/>
  <c r="N3324" i="81"/>
  <c r="M3324" i="81"/>
  <c r="H3324" i="81"/>
  <c r="L3324" i="81" s="1"/>
  <c r="F3324" i="81"/>
  <c r="E3324" i="81"/>
  <c r="D3324" i="81"/>
  <c r="B3324" i="81"/>
  <c r="N3323" i="81"/>
  <c r="M3323" i="81"/>
  <c r="H3323" i="81"/>
  <c r="L3323" i="81" s="1"/>
  <c r="F3323" i="81"/>
  <c r="E3323" i="81"/>
  <c r="D3323" i="81"/>
  <c r="B3323" i="81"/>
  <c r="N3322" i="81"/>
  <c r="M3322" i="81"/>
  <c r="H3322" i="81"/>
  <c r="L3322" i="81" s="1"/>
  <c r="F3322" i="81"/>
  <c r="E3322" i="81"/>
  <c r="D3322" i="81"/>
  <c r="B3322" i="81"/>
  <c r="N3321" i="81"/>
  <c r="M3321" i="81"/>
  <c r="H3321" i="81"/>
  <c r="I3321" i="81" s="1"/>
  <c r="F3321" i="81"/>
  <c r="E3321" i="81"/>
  <c r="D3321" i="81"/>
  <c r="N3320" i="81"/>
  <c r="M3320" i="81"/>
  <c r="H3320" i="81"/>
  <c r="J3320" i="81" s="1"/>
  <c r="F3320" i="81"/>
  <c r="E3320" i="81"/>
  <c r="D3320" i="81"/>
  <c r="N3319" i="81"/>
  <c r="M3319" i="81"/>
  <c r="H3319" i="81"/>
  <c r="J3319" i="81" s="1"/>
  <c r="F3319" i="81"/>
  <c r="E3319" i="81"/>
  <c r="D3319" i="81"/>
  <c r="N3318" i="81"/>
  <c r="M3318" i="81"/>
  <c r="H3318" i="81"/>
  <c r="L3318" i="81" s="1"/>
  <c r="F3318" i="81"/>
  <c r="E3318" i="81"/>
  <c r="D3318" i="81"/>
  <c r="N3313" i="81"/>
  <c r="M3313" i="81"/>
  <c r="H3313" i="81"/>
  <c r="I3313" i="81" s="1"/>
  <c r="F3313" i="81"/>
  <c r="E3313" i="81"/>
  <c r="D3313" i="81"/>
  <c r="N3312" i="81"/>
  <c r="M3312" i="81"/>
  <c r="H3312" i="81"/>
  <c r="K3312" i="81" s="1"/>
  <c r="F3312" i="81"/>
  <c r="E3312" i="81"/>
  <c r="D3312" i="81"/>
  <c r="N3311" i="81"/>
  <c r="M3311" i="81"/>
  <c r="H3311" i="81"/>
  <c r="K3311" i="81" s="1"/>
  <c r="F3311" i="81"/>
  <c r="E3311" i="81"/>
  <c r="D3311" i="81"/>
  <c r="N3310" i="81"/>
  <c r="M3310" i="81"/>
  <c r="H3310" i="81"/>
  <c r="L3310" i="81" s="1"/>
  <c r="F3310" i="81"/>
  <c r="E3310" i="81"/>
  <c r="D3310" i="81"/>
  <c r="N3309" i="81"/>
  <c r="M3309" i="81"/>
  <c r="H3309" i="81"/>
  <c r="K3309" i="81" s="1"/>
  <c r="F3309" i="81"/>
  <c r="E3309" i="81"/>
  <c r="D3309" i="81"/>
  <c r="N3308" i="81"/>
  <c r="M3308" i="81"/>
  <c r="H3308" i="81"/>
  <c r="L3308" i="81" s="1"/>
  <c r="F3308" i="81"/>
  <c r="E3308" i="81"/>
  <c r="D3308" i="81"/>
  <c r="N3307" i="81"/>
  <c r="M3307" i="81"/>
  <c r="H3307" i="81"/>
  <c r="J3307" i="81" s="1"/>
  <c r="F3307" i="81"/>
  <c r="E3307" i="81"/>
  <c r="D3307" i="81"/>
  <c r="N3306" i="81"/>
  <c r="M3306" i="81"/>
  <c r="H3306" i="81"/>
  <c r="L3306" i="81" s="1"/>
  <c r="F3306" i="81"/>
  <c r="E3306" i="81"/>
  <c r="D3306" i="81"/>
  <c r="N3305" i="81"/>
  <c r="M3305" i="81"/>
  <c r="H3305" i="81"/>
  <c r="F3305" i="81"/>
  <c r="E3305" i="81"/>
  <c r="D3305" i="81"/>
  <c r="N3304" i="81"/>
  <c r="M3304" i="81"/>
  <c r="H3304" i="81"/>
  <c r="L3304" i="81" s="1"/>
  <c r="F3304" i="81"/>
  <c r="E3304" i="81"/>
  <c r="D3304" i="81"/>
  <c r="N3299" i="81"/>
  <c r="M3299" i="81"/>
  <c r="H3299" i="81"/>
  <c r="L3299" i="81" s="1"/>
  <c r="F3299" i="81"/>
  <c r="E3299" i="81"/>
  <c r="D3299" i="81"/>
  <c r="N3298" i="81"/>
  <c r="M3298" i="81"/>
  <c r="H3298" i="81"/>
  <c r="K3298" i="81" s="1"/>
  <c r="F3298" i="81"/>
  <c r="E3298" i="81"/>
  <c r="D3298" i="81"/>
  <c r="N3297" i="81"/>
  <c r="M3297" i="81"/>
  <c r="H3297" i="81"/>
  <c r="L3297" i="81" s="1"/>
  <c r="F3297" i="81"/>
  <c r="E3297" i="81"/>
  <c r="D3297" i="81"/>
  <c r="N3296" i="81"/>
  <c r="M3296" i="81"/>
  <c r="H3296" i="81"/>
  <c r="F3296" i="81"/>
  <c r="E3296" i="81"/>
  <c r="D3296" i="81"/>
  <c r="N3295" i="81"/>
  <c r="M3295" i="81"/>
  <c r="H3295" i="81"/>
  <c r="K3295" i="81" s="1"/>
  <c r="F3295" i="81"/>
  <c r="E3295" i="81"/>
  <c r="D3295" i="81"/>
  <c r="N3294" i="81"/>
  <c r="M3294" i="81"/>
  <c r="H3294" i="81"/>
  <c r="F3294" i="81"/>
  <c r="E3294" i="81"/>
  <c r="D3294" i="81"/>
  <c r="N3293" i="81"/>
  <c r="M3293" i="81"/>
  <c r="H3293" i="81"/>
  <c r="L3293" i="81" s="1"/>
  <c r="F3293" i="81"/>
  <c r="E3293" i="81"/>
  <c r="D3293" i="81"/>
  <c r="M3292" i="81"/>
  <c r="D3292" i="81"/>
  <c r="D3290" i="81"/>
  <c r="N3284" i="81"/>
  <c r="M3284" i="81"/>
  <c r="H3284" i="81"/>
  <c r="L3284" i="81" s="1"/>
  <c r="F3284" i="81"/>
  <c r="E3284" i="81"/>
  <c r="D3284" i="81"/>
  <c r="B3284" i="81"/>
  <c r="N3283" i="81"/>
  <c r="M3283" i="81"/>
  <c r="H3283" i="81"/>
  <c r="I3283" i="81" s="1"/>
  <c r="F3283" i="81"/>
  <c r="E3283" i="81"/>
  <c r="D3283" i="81"/>
  <c r="B3283" i="81"/>
  <c r="N3282" i="81"/>
  <c r="M3282" i="81"/>
  <c r="H3282" i="81"/>
  <c r="J3282" i="81" s="1"/>
  <c r="F3282" i="81"/>
  <c r="E3282" i="81"/>
  <c r="D3282" i="81"/>
  <c r="B3282" i="81"/>
  <c r="N3281" i="81"/>
  <c r="M3281" i="81"/>
  <c r="H3281" i="81"/>
  <c r="L3281" i="81" s="1"/>
  <c r="F3281" i="81"/>
  <c r="E3281" i="81"/>
  <c r="D3281" i="81"/>
  <c r="B3281" i="81"/>
  <c r="N3280" i="81"/>
  <c r="M3280" i="81"/>
  <c r="H3280" i="81"/>
  <c r="I3280" i="81" s="1"/>
  <c r="F3280" i="81"/>
  <c r="E3280" i="81"/>
  <c r="D3280" i="81"/>
  <c r="B3280" i="81"/>
  <c r="N3279" i="81"/>
  <c r="M3279" i="81"/>
  <c r="H3279" i="81"/>
  <c r="K3279" i="81" s="1"/>
  <c r="F3279" i="81"/>
  <c r="E3279" i="81"/>
  <c r="D3279" i="81"/>
  <c r="B3279" i="81"/>
  <c r="N3278" i="81"/>
  <c r="M3278" i="81"/>
  <c r="H3278" i="81"/>
  <c r="L3278" i="81" s="1"/>
  <c r="F3278" i="81"/>
  <c r="E3278" i="81"/>
  <c r="D3278" i="81"/>
  <c r="B3278" i="81"/>
  <c r="N3277" i="81"/>
  <c r="M3277" i="81"/>
  <c r="H3277" i="81"/>
  <c r="J3277" i="81" s="1"/>
  <c r="F3277" i="81"/>
  <c r="E3277" i="81"/>
  <c r="D3277" i="81"/>
  <c r="B3277" i="81"/>
  <c r="N3276" i="81"/>
  <c r="M3276" i="81"/>
  <c r="H3276" i="81"/>
  <c r="K3276" i="81" s="1"/>
  <c r="F3276" i="81"/>
  <c r="E3276" i="81"/>
  <c r="D3276" i="81"/>
  <c r="B3276" i="81"/>
  <c r="N3275" i="81"/>
  <c r="M3275" i="81"/>
  <c r="H3275" i="81"/>
  <c r="F3275" i="81"/>
  <c r="E3275" i="81"/>
  <c r="D3275" i="81"/>
  <c r="B3275" i="81"/>
  <c r="N3274" i="81"/>
  <c r="M3274" i="81"/>
  <c r="H3274" i="81"/>
  <c r="L3274" i="81" s="1"/>
  <c r="F3274" i="81"/>
  <c r="E3274" i="81"/>
  <c r="D3274" i="81"/>
  <c r="B3274" i="81"/>
  <c r="N3273" i="81"/>
  <c r="M3273" i="81"/>
  <c r="H3273" i="81"/>
  <c r="K3273" i="81" s="1"/>
  <c r="F3273" i="81"/>
  <c r="E3273" i="81"/>
  <c r="D3273" i="81"/>
  <c r="B3273" i="81"/>
  <c r="N3272" i="81"/>
  <c r="M3272" i="81"/>
  <c r="H3272" i="81"/>
  <c r="F3272" i="81"/>
  <c r="E3272" i="81"/>
  <c r="D3272" i="81"/>
  <c r="B3272" i="81"/>
  <c r="N3271" i="81"/>
  <c r="M3271" i="81"/>
  <c r="H3271" i="81"/>
  <c r="I3271" i="81" s="1"/>
  <c r="F3271" i="81"/>
  <c r="E3271" i="81"/>
  <c r="D3271" i="81"/>
  <c r="B3271" i="81"/>
  <c r="N3270" i="81"/>
  <c r="M3270" i="81"/>
  <c r="H3270" i="81"/>
  <c r="K3270" i="81" s="1"/>
  <c r="F3270" i="81"/>
  <c r="E3270" i="81"/>
  <c r="D3270" i="81"/>
  <c r="N3269" i="81"/>
  <c r="M3269" i="81"/>
  <c r="H3269" i="81"/>
  <c r="J3269" i="81" s="1"/>
  <c r="F3269" i="81"/>
  <c r="E3269" i="81"/>
  <c r="D3269" i="81"/>
  <c r="N3268" i="81"/>
  <c r="M3268" i="81"/>
  <c r="H3268" i="81"/>
  <c r="I3268" i="81" s="1"/>
  <c r="F3268" i="81"/>
  <c r="E3268" i="81"/>
  <c r="D3268" i="81"/>
  <c r="N3267" i="81"/>
  <c r="M3267" i="81"/>
  <c r="H3267" i="81"/>
  <c r="K3267" i="81" s="1"/>
  <c r="F3267" i="81"/>
  <c r="E3267" i="81"/>
  <c r="D3267" i="81"/>
  <c r="N3266" i="81"/>
  <c r="M3266" i="81"/>
  <c r="H3266" i="81"/>
  <c r="L3266" i="81" s="1"/>
  <c r="F3266" i="81"/>
  <c r="E3266" i="81"/>
  <c r="D3266" i="81"/>
  <c r="N3261" i="81"/>
  <c r="M3261" i="81"/>
  <c r="H3261" i="81"/>
  <c r="J3261" i="81" s="1"/>
  <c r="F3261" i="81"/>
  <c r="E3261" i="81"/>
  <c r="D3261" i="81"/>
  <c r="N3260" i="81"/>
  <c r="M3260" i="81"/>
  <c r="H3260" i="81"/>
  <c r="I3260" i="81" s="1"/>
  <c r="F3260" i="81"/>
  <c r="E3260" i="81"/>
  <c r="D3260" i="81"/>
  <c r="N3259" i="81"/>
  <c r="M3259" i="81"/>
  <c r="H3259" i="81"/>
  <c r="K3259" i="81" s="1"/>
  <c r="F3259" i="81"/>
  <c r="E3259" i="81"/>
  <c r="D3259" i="81"/>
  <c r="N3258" i="81"/>
  <c r="M3258" i="81"/>
  <c r="H3258" i="81"/>
  <c r="L3258" i="81" s="1"/>
  <c r="F3258" i="81"/>
  <c r="E3258" i="81"/>
  <c r="D3258" i="81"/>
  <c r="N3257" i="81"/>
  <c r="M3257" i="81"/>
  <c r="H3257" i="81"/>
  <c r="J3257" i="81" s="1"/>
  <c r="F3257" i="81"/>
  <c r="E3257" i="81"/>
  <c r="D3257" i="81"/>
  <c r="N3256" i="81"/>
  <c r="M3256" i="81"/>
  <c r="H3256" i="81"/>
  <c r="K3256" i="81" s="1"/>
  <c r="F3256" i="81"/>
  <c r="E3256" i="81"/>
  <c r="D3256" i="81"/>
  <c r="N3255" i="81"/>
  <c r="M3255" i="81"/>
  <c r="H3255" i="81"/>
  <c r="K3255" i="81" s="1"/>
  <c r="F3255" i="81"/>
  <c r="E3255" i="81"/>
  <c r="D3255" i="81"/>
  <c r="N3254" i="81"/>
  <c r="M3254" i="81"/>
  <c r="H3254" i="81"/>
  <c r="L3254" i="81" s="1"/>
  <c r="F3254" i="81"/>
  <c r="E3254" i="81"/>
  <c r="D3254" i="81"/>
  <c r="N3253" i="81"/>
  <c r="M3253" i="81"/>
  <c r="H3253" i="81"/>
  <c r="K3253" i="81" s="1"/>
  <c r="F3253" i="81"/>
  <c r="E3253" i="81"/>
  <c r="D3253" i="81"/>
  <c r="N3252" i="81"/>
  <c r="M3252" i="81"/>
  <c r="H3252" i="81"/>
  <c r="F3252" i="81"/>
  <c r="E3252" i="81"/>
  <c r="D3252" i="81"/>
  <c r="N3247" i="81"/>
  <c r="M3247" i="81"/>
  <c r="H3247" i="81"/>
  <c r="F3247" i="81"/>
  <c r="E3247" i="81"/>
  <c r="D3247" i="81"/>
  <c r="N3246" i="81"/>
  <c r="M3246" i="81"/>
  <c r="H3246" i="81"/>
  <c r="F3246" i="81"/>
  <c r="E3246" i="81"/>
  <c r="D3246" i="81"/>
  <c r="N3245" i="81"/>
  <c r="M3245" i="81"/>
  <c r="H3245" i="81"/>
  <c r="L3245" i="81" s="1"/>
  <c r="F3245" i="81"/>
  <c r="E3245" i="81"/>
  <c r="D3245" i="81"/>
  <c r="N3244" i="81"/>
  <c r="M3244" i="81"/>
  <c r="H3244" i="81"/>
  <c r="K3244" i="81" s="1"/>
  <c r="F3244" i="81"/>
  <c r="E3244" i="81"/>
  <c r="D3244" i="81"/>
  <c r="N3243" i="81"/>
  <c r="M3243" i="81"/>
  <c r="H3243" i="81"/>
  <c r="L3243" i="81" s="1"/>
  <c r="F3243" i="81"/>
  <c r="E3243" i="81"/>
  <c r="D3243" i="81"/>
  <c r="N3242" i="81"/>
  <c r="M3242" i="81"/>
  <c r="H3242" i="81"/>
  <c r="K3242" i="81" s="1"/>
  <c r="F3242" i="81"/>
  <c r="E3242" i="81"/>
  <c r="D3242" i="81"/>
  <c r="N3241" i="81"/>
  <c r="M3241" i="81"/>
  <c r="H3241" i="81"/>
  <c r="F3241" i="81"/>
  <c r="E3241" i="81"/>
  <c r="D3241" i="81"/>
  <c r="M3240" i="81"/>
  <c r="D3240" i="81"/>
  <c r="M3239" i="81"/>
  <c r="N3232" i="81"/>
  <c r="M3232" i="81"/>
  <c r="H3232" i="81"/>
  <c r="J3232" i="81" s="1"/>
  <c r="F3232" i="81"/>
  <c r="E3232" i="81"/>
  <c r="D3232" i="81"/>
  <c r="B3232" i="81"/>
  <c r="N3231" i="81"/>
  <c r="M3231" i="81"/>
  <c r="H3231" i="81"/>
  <c r="L3231" i="81" s="1"/>
  <c r="F3231" i="81"/>
  <c r="E3231" i="81"/>
  <c r="D3231" i="81"/>
  <c r="B3231" i="81"/>
  <c r="N3230" i="81"/>
  <c r="M3230" i="81"/>
  <c r="H3230" i="81"/>
  <c r="I3230" i="81" s="1"/>
  <c r="F3230" i="81"/>
  <c r="E3230" i="81"/>
  <c r="D3230" i="81"/>
  <c r="B3230" i="81"/>
  <c r="N3229" i="81"/>
  <c r="M3229" i="81"/>
  <c r="H3229" i="81"/>
  <c r="K3229" i="81" s="1"/>
  <c r="F3229" i="81"/>
  <c r="E3229" i="81"/>
  <c r="D3229" i="81"/>
  <c r="B3229" i="81"/>
  <c r="N3228" i="81"/>
  <c r="M3228" i="81"/>
  <c r="H3228" i="81"/>
  <c r="F3228" i="81"/>
  <c r="E3228" i="81"/>
  <c r="D3228" i="81"/>
  <c r="B3228" i="81"/>
  <c r="N3227" i="81"/>
  <c r="M3227" i="81"/>
  <c r="H3227" i="81"/>
  <c r="F3227" i="81"/>
  <c r="E3227" i="81"/>
  <c r="D3227" i="81"/>
  <c r="B3227" i="81"/>
  <c r="N3226" i="81"/>
  <c r="M3226" i="81"/>
  <c r="H3226" i="81"/>
  <c r="J3226" i="81" s="1"/>
  <c r="F3226" i="81"/>
  <c r="E3226" i="81"/>
  <c r="D3226" i="81"/>
  <c r="B3226" i="81"/>
  <c r="N3225" i="81"/>
  <c r="M3225" i="81"/>
  <c r="H3225" i="81"/>
  <c r="F3225" i="81"/>
  <c r="E3225" i="81"/>
  <c r="D3225" i="81"/>
  <c r="B3225" i="81"/>
  <c r="N3224" i="81"/>
  <c r="M3224" i="81"/>
  <c r="H3224" i="81"/>
  <c r="L3224" i="81" s="1"/>
  <c r="F3224" i="81"/>
  <c r="E3224" i="81"/>
  <c r="D3224" i="81"/>
  <c r="B3224" i="81"/>
  <c r="N3223" i="81"/>
  <c r="M3223" i="81"/>
  <c r="H3223" i="81"/>
  <c r="K3223" i="81" s="1"/>
  <c r="F3223" i="81"/>
  <c r="E3223" i="81"/>
  <c r="D3223" i="81"/>
  <c r="B3223" i="81"/>
  <c r="N3222" i="81"/>
  <c r="M3222" i="81"/>
  <c r="H3222" i="81"/>
  <c r="F3222" i="81"/>
  <c r="E3222" i="81"/>
  <c r="D3222" i="81"/>
  <c r="B3222" i="81"/>
  <c r="N3221" i="81"/>
  <c r="M3221" i="81"/>
  <c r="H3221" i="81"/>
  <c r="I3221" i="81" s="1"/>
  <c r="F3221" i="81"/>
  <c r="E3221" i="81"/>
  <c r="D3221" i="81"/>
  <c r="B3221" i="81"/>
  <c r="N3220" i="81"/>
  <c r="M3220" i="81"/>
  <c r="H3220" i="81"/>
  <c r="K3220" i="81" s="1"/>
  <c r="F3220" i="81"/>
  <c r="E3220" i="81"/>
  <c r="D3220" i="81"/>
  <c r="B3220" i="81"/>
  <c r="N3219" i="81"/>
  <c r="M3219" i="81"/>
  <c r="H3219" i="81"/>
  <c r="L3219" i="81" s="1"/>
  <c r="F3219" i="81"/>
  <c r="E3219" i="81"/>
  <c r="D3219" i="81"/>
  <c r="B3219" i="81"/>
  <c r="N3218" i="81"/>
  <c r="M3218" i="81"/>
  <c r="H3218" i="81"/>
  <c r="L3218" i="81" s="1"/>
  <c r="F3218" i="81"/>
  <c r="E3218" i="81"/>
  <c r="D3218" i="81"/>
  <c r="B3218" i="81"/>
  <c r="N3217" i="81"/>
  <c r="M3217" i="81"/>
  <c r="H3217" i="81"/>
  <c r="K3217" i="81" s="1"/>
  <c r="F3217" i="81"/>
  <c r="E3217" i="81"/>
  <c r="D3217" i="81"/>
  <c r="N3216" i="81"/>
  <c r="M3216" i="81"/>
  <c r="H3216" i="81"/>
  <c r="K3216" i="81" s="1"/>
  <c r="F3216" i="81"/>
  <c r="E3216" i="81"/>
  <c r="D3216" i="81"/>
  <c r="N3215" i="81"/>
  <c r="M3215" i="81"/>
  <c r="H3215" i="81"/>
  <c r="J3215" i="81" s="1"/>
  <c r="F3215" i="81"/>
  <c r="E3215" i="81"/>
  <c r="D3215" i="81"/>
  <c r="N3209" i="81"/>
  <c r="M3209" i="81"/>
  <c r="H3209" i="81"/>
  <c r="K3209" i="81" s="1"/>
  <c r="F3209" i="81"/>
  <c r="E3209" i="81"/>
  <c r="D3209" i="81"/>
  <c r="N3208" i="81"/>
  <c r="M3208" i="81"/>
  <c r="H3208" i="81"/>
  <c r="F3208" i="81"/>
  <c r="E3208" i="81"/>
  <c r="D3208" i="81"/>
  <c r="N3207" i="81"/>
  <c r="M3207" i="81"/>
  <c r="H3207" i="81"/>
  <c r="F3207" i="81"/>
  <c r="E3207" i="81"/>
  <c r="D3207" i="81"/>
  <c r="N3206" i="81"/>
  <c r="M3206" i="81"/>
  <c r="H3206" i="81"/>
  <c r="L3206" i="81" s="1"/>
  <c r="F3206" i="81"/>
  <c r="E3206" i="81"/>
  <c r="D3206" i="81"/>
  <c r="N3205" i="81"/>
  <c r="M3205" i="81"/>
  <c r="H3205" i="81"/>
  <c r="K3205" i="81" s="1"/>
  <c r="F3205" i="81"/>
  <c r="E3205" i="81"/>
  <c r="D3205" i="81"/>
  <c r="N3204" i="81"/>
  <c r="M3204" i="81"/>
  <c r="H3204" i="81"/>
  <c r="L3204" i="81" s="1"/>
  <c r="F3204" i="81"/>
  <c r="E3204" i="81"/>
  <c r="D3204" i="81"/>
  <c r="N3203" i="81"/>
  <c r="M3203" i="81"/>
  <c r="H3203" i="81"/>
  <c r="K3203" i="81" s="1"/>
  <c r="F3203" i="81"/>
  <c r="E3203" i="81"/>
  <c r="D3203" i="81"/>
  <c r="N3202" i="81"/>
  <c r="M3202" i="81"/>
  <c r="H3202" i="81"/>
  <c r="F3202" i="81"/>
  <c r="E3202" i="81"/>
  <c r="D3202" i="81"/>
  <c r="N3201" i="81"/>
  <c r="M3201" i="81"/>
  <c r="H3201" i="81"/>
  <c r="I3201" i="81" s="1"/>
  <c r="F3201" i="81"/>
  <c r="E3201" i="81"/>
  <c r="D3201" i="81"/>
  <c r="N3200" i="81"/>
  <c r="M3200" i="81"/>
  <c r="H3200" i="81"/>
  <c r="I3200" i="81" s="1"/>
  <c r="F3200" i="81"/>
  <c r="E3200" i="81"/>
  <c r="D3200" i="81"/>
  <c r="N3195" i="81"/>
  <c r="M3195" i="81"/>
  <c r="H3195" i="81"/>
  <c r="J3195" i="81" s="1"/>
  <c r="F3195" i="81"/>
  <c r="E3195" i="81"/>
  <c r="D3195" i="81"/>
  <c r="N3194" i="81"/>
  <c r="M3194" i="81"/>
  <c r="H3194" i="81"/>
  <c r="K3194" i="81" s="1"/>
  <c r="F3194" i="81"/>
  <c r="E3194" i="81"/>
  <c r="D3194" i="81"/>
  <c r="N3193" i="81"/>
  <c r="M3193" i="81"/>
  <c r="H3193" i="81"/>
  <c r="L3193" i="81" s="1"/>
  <c r="F3193" i="81"/>
  <c r="E3193" i="81"/>
  <c r="D3193" i="81"/>
  <c r="N3192" i="81"/>
  <c r="M3192" i="81"/>
  <c r="H3192" i="81"/>
  <c r="K3192" i="81" s="1"/>
  <c r="F3192" i="81"/>
  <c r="E3192" i="81"/>
  <c r="D3192" i="81"/>
  <c r="N3191" i="81"/>
  <c r="M3191" i="81"/>
  <c r="H3191" i="81"/>
  <c r="F3191" i="81"/>
  <c r="E3191" i="81"/>
  <c r="D3191" i="81"/>
  <c r="N3190" i="81"/>
  <c r="M3190" i="81"/>
  <c r="H3190" i="81"/>
  <c r="I3190" i="81" s="1"/>
  <c r="F3190" i="81"/>
  <c r="E3190" i="81"/>
  <c r="D3190" i="81"/>
  <c r="N3189" i="81"/>
  <c r="M3189" i="81"/>
  <c r="H3189" i="81"/>
  <c r="L3189" i="81" s="1"/>
  <c r="F3189" i="81"/>
  <c r="E3189" i="81"/>
  <c r="D3189" i="81"/>
  <c r="N3188" i="81"/>
  <c r="M3188" i="81"/>
  <c r="H3188" i="81"/>
  <c r="L3188" i="81" s="1"/>
  <c r="F3188" i="81"/>
  <c r="E3188" i="81"/>
  <c r="D3188" i="81"/>
  <c r="N3180" i="81"/>
  <c r="M3180" i="81"/>
  <c r="H3180" i="81"/>
  <c r="L3180" i="81" s="1"/>
  <c r="F3180" i="81"/>
  <c r="E3180" i="81"/>
  <c r="D3180" i="81"/>
  <c r="B3180" i="81"/>
  <c r="N3179" i="81"/>
  <c r="M3179" i="81"/>
  <c r="H3179" i="81"/>
  <c r="K3179" i="81" s="1"/>
  <c r="F3179" i="81"/>
  <c r="E3179" i="81"/>
  <c r="D3179" i="81"/>
  <c r="B3179" i="81"/>
  <c r="N3178" i="81"/>
  <c r="M3178" i="81"/>
  <c r="H3178" i="81"/>
  <c r="J3178" i="81" s="1"/>
  <c r="F3178" i="81"/>
  <c r="E3178" i="81"/>
  <c r="D3178" i="81"/>
  <c r="B3178" i="81"/>
  <c r="N3177" i="81"/>
  <c r="M3177" i="81"/>
  <c r="H3177" i="81"/>
  <c r="I3177" i="81" s="1"/>
  <c r="F3177" i="81"/>
  <c r="E3177" i="81"/>
  <c r="D3177" i="81"/>
  <c r="B3177" i="81"/>
  <c r="N3176" i="81"/>
  <c r="M3176" i="81"/>
  <c r="H3176" i="81"/>
  <c r="K3176" i="81" s="1"/>
  <c r="F3176" i="81"/>
  <c r="E3176" i="81"/>
  <c r="D3176" i="81"/>
  <c r="B3176" i="81"/>
  <c r="N3175" i="81"/>
  <c r="M3175" i="81"/>
  <c r="H3175" i="81"/>
  <c r="L3175" i="81" s="1"/>
  <c r="F3175" i="81"/>
  <c r="E3175" i="81"/>
  <c r="D3175" i="81"/>
  <c r="B3175" i="81"/>
  <c r="N3174" i="81"/>
  <c r="M3174" i="81"/>
  <c r="H3174" i="81"/>
  <c r="F3174" i="81"/>
  <c r="E3174" i="81"/>
  <c r="D3174" i="81"/>
  <c r="B3174" i="81"/>
  <c r="N3173" i="81"/>
  <c r="M3173" i="81"/>
  <c r="H3173" i="81"/>
  <c r="L3173" i="81" s="1"/>
  <c r="F3173" i="81"/>
  <c r="E3173" i="81"/>
  <c r="D3173" i="81"/>
  <c r="B3173" i="81"/>
  <c r="N3172" i="81"/>
  <c r="M3172" i="81"/>
  <c r="H3172" i="81"/>
  <c r="F3172" i="81"/>
  <c r="E3172" i="81"/>
  <c r="D3172" i="81"/>
  <c r="B3172" i="81"/>
  <c r="N3171" i="81"/>
  <c r="M3171" i="81"/>
  <c r="H3171" i="81"/>
  <c r="I3171" i="81" s="1"/>
  <c r="F3171" i="81"/>
  <c r="E3171" i="81"/>
  <c r="D3171" i="81"/>
  <c r="B3171" i="81"/>
  <c r="N3170" i="81"/>
  <c r="M3170" i="81"/>
  <c r="H3170" i="81"/>
  <c r="J3170" i="81" s="1"/>
  <c r="F3170" i="81"/>
  <c r="E3170" i="81"/>
  <c r="D3170" i="81"/>
  <c r="B3170" i="81"/>
  <c r="N3169" i="81"/>
  <c r="M3169" i="81"/>
  <c r="H3169" i="81"/>
  <c r="I3169" i="81" s="1"/>
  <c r="F3169" i="81"/>
  <c r="E3169" i="81"/>
  <c r="D3169" i="81"/>
  <c r="B3169" i="81"/>
  <c r="N3168" i="81"/>
  <c r="M3168" i="81"/>
  <c r="H3168" i="81"/>
  <c r="L3168" i="81" s="1"/>
  <c r="F3168" i="81"/>
  <c r="E3168" i="81"/>
  <c r="D3168" i="81"/>
  <c r="N3167" i="81"/>
  <c r="M3167" i="81"/>
  <c r="H3167" i="81"/>
  <c r="K3167" i="81" s="1"/>
  <c r="F3167" i="81"/>
  <c r="E3167" i="81"/>
  <c r="D3167" i="81"/>
  <c r="N3166" i="81"/>
  <c r="M3166" i="81"/>
  <c r="H3166" i="81"/>
  <c r="J3166" i="81" s="1"/>
  <c r="F3166" i="81"/>
  <c r="E3166" i="81"/>
  <c r="D3166" i="81"/>
  <c r="N3165" i="81"/>
  <c r="M3165" i="81"/>
  <c r="H3165" i="81"/>
  <c r="I3165" i="81" s="1"/>
  <c r="F3165" i="81"/>
  <c r="E3165" i="81"/>
  <c r="D3165" i="81"/>
  <c r="N3164" i="81"/>
  <c r="M3164" i="81"/>
  <c r="H3164" i="81"/>
  <c r="K3164" i="81" s="1"/>
  <c r="F3164" i="81"/>
  <c r="E3164" i="81"/>
  <c r="D3164" i="81"/>
  <c r="N3163" i="81"/>
  <c r="M3163" i="81"/>
  <c r="H3163" i="81"/>
  <c r="L3163" i="81" s="1"/>
  <c r="F3163" i="81"/>
  <c r="E3163" i="81"/>
  <c r="D3163" i="81"/>
  <c r="M3162" i="81"/>
  <c r="N3162" i="81" s="1"/>
  <c r="H3162" i="81"/>
  <c r="F3162" i="81"/>
  <c r="E3162" i="81"/>
  <c r="N3157" i="81"/>
  <c r="M3157" i="81"/>
  <c r="H3157" i="81"/>
  <c r="J3157" i="81" s="1"/>
  <c r="F3157" i="81"/>
  <c r="E3157" i="81"/>
  <c r="D3157" i="81"/>
  <c r="N3156" i="81"/>
  <c r="M3156" i="81"/>
  <c r="H3156" i="81"/>
  <c r="I3156" i="81" s="1"/>
  <c r="F3156" i="81"/>
  <c r="E3156" i="81"/>
  <c r="D3156" i="81"/>
  <c r="N3155" i="81"/>
  <c r="M3155" i="81"/>
  <c r="H3155" i="81"/>
  <c r="I3155" i="81" s="1"/>
  <c r="F3155" i="81"/>
  <c r="E3155" i="81"/>
  <c r="D3155" i="81"/>
  <c r="N3154" i="81"/>
  <c r="M3154" i="81"/>
  <c r="H3154" i="81"/>
  <c r="L3154" i="81" s="1"/>
  <c r="F3154" i="81"/>
  <c r="E3154" i="81"/>
  <c r="D3154" i="81"/>
  <c r="N3153" i="81"/>
  <c r="M3153" i="81"/>
  <c r="H3153" i="81"/>
  <c r="F3153" i="81"/>
  <c r="E3153" i="81"/>
  <c r="D3153" i="81"/>
  <c r="N3152" i="81"/>
  <c r="M3152" i="81"/>
  <c r="H3152" i="81"/>
  <c r="I3152" i="81" s="1"/>
  <c r="F3152" i="81"/>
  <c r="E3152" i="81"/>
  <c r="D3152" i="81"/>
  <c r="N3151" i="81"/>
  <c r="M3151" i="81"/>
  <c r="H3151" i="81"/>
  <c r="K3151" i="81" s="1"/>
  <c r="F3151" i="81"/>
  <c r="E3151" i="81"/>
  <c r="D3151" i="81"/>
  <c r="N3150" i="81"/>
  <c r="M3150" i="81"/>
  <c r="H3150" i="81"/>
  <c r="I3150" i="81" s="1"/>
  <c r="F3150" i="81"/>
  <c r="E3150" i="81"/>
  <c r="D3150" i="81"/>
  <c r="N3149" i="81"/>
  <c r="M3149" i="81"/>
  <c r="H3149" i="81"/>
  <c r="I3149" i="81" s="1"/>
  <c r="F3149" i="81"/>
  <c r="E3149" i="81"/>
  <c r="D3149" i="81"/>
  <c r="N3148" i="81"/>
  <c r="M3148" i="81"/>
  <c r="H3148" i="81"/>
  <c r="L3148" i="81" s="1"/>
  <c r="F3148" i="81"/>
  <c r="E3148" i="81"/>
  <c r="D3148" i="81"/>
  <c r="N3143" i="81"/>
  <c r="M3143" i="81"/>
  <c r="H3143" i="81"/>
  <c r="L3143" i="81" s="1"/>
  <c r="F3143" i="81"/>
  <c r="E3143" i="81"/>
  <c r="D3143" i="81"/>
  <c r="N3142" i="81"/>
  <c r="M3142" i="81"/>
  <c r="H3142" i="81"/>
  <c r="L3142" i="81" s="1"/>
  <c r="F3142" i="81"/>
  <c r="E3142" i="81"/>
  <c r="D3142" i="81"/>
  <c r="N3141" i="81"/>
  <c r="M3141" i="81"/>
  <c r="H3141" i="81"/>
  <c r="K3141" i="81" s="1"/>
  <c r="F3141" i="81"/>
  <c r="E3141" i="81"/>
  <c r="D3141" i="81"/>
  <c r="N3140" i="81"/>
  <c r="M3140" i="81"/>
  <c r="H3140" i="81"/>
  <c r="L3140" i="81" s="1"/>
  <c r="F3140" i="81"/>
  <c r="E3140" i="81"/>
  <c r="D3140" i="81"/>
  <c r="N3139" i="81"/>
  <c r="M3139" i="81"/>
  <c r="H3139" i="81"/>
  <c r="J3139" i="81" s="1"/>
  <c r="F3139" i="81"/>
  <c r="E3139" i="81"/>
  <c r="D3139" i="81"/>
  <c r="N3138" i="81"/>
  <c r="M3138" i="81"/>
  <c r="H3138" i="81"/>
  <c r="K3138" i="81" s="1"/>
  <c r="F3138" i="81"/>
  <c r="E3138" i="81"/>
  <c r="D3138" i="81"/>
  <c r="N3137" i="81"/>
  <c r="M3137" i="81"/>
  <c r="H3137" i="81"/>
  <c r="L3137" i="81" s="1"/>
  <c r="F3137" i="81"/>
  <c r="E3137" i="81"/>
  <c r="D3137" i="81"/>
  <c r="N3136" i="81"/>
  <c r="M3136" i="81"/>
  <c r="H3136" i="81"/>
  <c r="L3136" i="81" s="1"/>
  <c r="F3136" i="81"/>
  <c r="E3136" i="81"/>
  <c r="D3136" i="81"/>
  <c r="A144" i="82"/>
  <c r="D144" i="82"/>
  <c r="D54" i="82"/>
  <c r="L3295" i="81" l="1"/>
  <c r="L3283" i="81"/>
  <c r="K3200" i="81"/>
  <c r="I3242" i="81"/>
  <c r="K3358" i="81"/>
  <c r="L3169" i="81"/>
  <c r="I3253" i="81"/>
  <c r="L3378" i="81"/>
  <c r="L3176" i="81"/>
  <c r="I3298" i="81"/>
  <c r="I3358" i="81"/>
  <c r="K3178" i="81"/>
  <c r="I3178" i="81"/>
  <c r="J3169" i="81"/>
  <c r="J3245" i="81"/>
  <c r="J3311" i="81"/>
  <c r="I3378" i="81"/>
  <c r="I3388" i="81"/>
  <c r="N3292" i="81"/>
  <c r="I3143" i="81"/>
  <c r="L3178" i="81"/>
  <c r="L3253" i="81"/>
  <c r="I3282" i="81"/>
  <c r="K3282" i="81"/>
  <c r="L3282" i="81"/>
  <c r="K3143" i="81"/>
  <c r="I3176" i="81"/>
  <c r="K3271" i="81"/>
  <c r="I3281" i="81"/>
  <c r="J3382" i="81"/>
  <c r="J3176" i="81"/>
  <c r="K3331" i="81"/>
  <c r="I3220" i="81"/>
  <c r="J3230" i="81"/>
  <c r="K3258" i="81"/>
  <c r="I3323" i="81"/>
  <c r="K3333" i="81"/>
  <c r="K3351" i="81"/>
  <c r="J3200" i="81"/>
  <c r="L3220" i="81"/>
  <c r="D3343" i="81"/>
  <c r="L3170" i="81"/>
  <c r="K3260" i="81"/>
  <c r="J3350" i="81"/>
  <c r="K3169" i="81"/>
  <c r="J3217" i="81"/>
  <c r="L3271" i="81"/>
  <c r="J3336" i="81"/>
  <c r="J3361" i="81"/>
  <c r="J3379" i="81"/>
  <c r="K3382" i="81"/>
  <c r="K3361" i="81"/>
  <c r="L3379" i="81"/>
  <c r="L3382" i="81"/>
  <c r="I3356" i="81"/>
  <c r="K3230" i="81"/>
  <c r="L3270" i="81"/>
  <c r="K3278" i="81"/>
  <c r="J3281" i="81"/>
  <c r="K3319" i="81"/>
  <c r="I3329" i="81"/>
  <c r="I3332" i="81"/>
  <c r="K3347" i="81"/>
  <c r="J3204" i="81"/>
  <c r="I3229" i="81"/>
  <c r="K3310" i="81"/>
  <c r="L3319" i="81"/>
  <c r="L3329" i="81"/>
  <c r="J3332" i="81"/>
  <c r="I3216" i="81"/>
  <c r="J3229" i="81"/>
  <c r="I3295" i="81"/>
  <c r="J3326" i="81"/>
  <c r="K3332" i="81"/>
  <c r="I3351" i="81"/>
  <c r="K3360" i="81"/>
  <c r="J3171" i="81"/>
  <c r="K3226" i="81"/>
  <c r="L3229" i="81"/>
  <c r="L3256" i="81"/>
  <c r="K3280" i="81"/>
  <c r="J3295" i="81"/>
  <c r="L3312" i="81"/>
  <c r="J3351" i="81"/>
  <c r="I3318" i="81"/>
  <c r="K3170" i="81"/>
  <c r="I3203" i="81"/>
  <c r="K3245" i="81"/>
  <c r="J3260" i="81"/>
  <c r="I3309" i="81"/>
  <c r="K3383" i="81"/>
  <c r="K3381" i="81"/>
  <c r="N3240" i="81"/>
  <c r="L3267" i="81"/>
  <c r="I3179" i="81"/>
  <c r="L3209" i="81"/>
  <c r="K3155" i="81"/>
  <c r="J3188" i="81"/>
  <c r="I3206" i="81"/>
  <c r="J3221" i="81"/>
  <c r="L3232" i="81"/>
  <c r="L3269" i="81"/>
  <c r="I3279" i="81"/>
  <c r="I3320" i="81"/>
  <c r="K3326" i="81"/>
  <c r="J3330" i="81"/>
  <c r="L3331" i="81"/>
  <c r="I3335" i="81"/>
  <c r="K3349" i="81"/>
  <c r="I3359" i="81"/>
  <c r="J3362" i="81"/>
  <c r="I3376" i="81"/>
  <c r="L3381" i="81"/>
  <c r="K3320" i="81"/>
  <c r="L3326" i="81"/>
  <c r="K3330" i="81"/>
  <c r="L3359" i="81"/>
  <c r="K3362" i="81"/>
  <c r="J3376" i="81"/>
  <c r="K3380" i="81"/>
  <c r="L3138" i="81"/>
  <c r="J3156" i="81"/>
  <c r="L3200" i="81"/>
  <c r="L3226" i="81"/>
  <c r="I3273" i="81"/>
  <c r="I3276" i="81"/>
  <c r="K3232" i="81"/>
  <c r="K3269" i="81"/>
  <c r="K3221" i="81"/>
  <c r="J3279" i="81"/>
  <c r="K3171" i="81"/>
  <c r="J3190" i="81"/>
  <c r="K3206" i="81"/>
  <c r="J3220" i="81"/>
  <c r="J3224" i="81"/>
  <c r="J3254" i="81"/>
  <c r="L3279" i="81"/>
  <c r="J3298" i="81"/>
  <c r="J3309" i="81"/>
  <c r="I3312" i="81"/>
  <c r="I3319" i="81"/>
  <c r="L3320" i="81"/>
  <c r="L3362" i="81"/>
  <c r="K3376" i="81"/>
  <c r="I3140" i="81"/>
  <c r="J3193" i="81"/>
  <c r="I3218" i="81"/>
  <c r="I3232" i="81"/>
  <c r="J3155" i="81"/>
  <c r="L3276" i="81"/>
  <c r="L3155" i="81"/>
  <c r="J3206" i="81"/>
  <c r="K3150" i="81"/>
  <c r="I3170" i="81"/>
  <c r="L3221" i="81"/>
  <c r="L3171" i="81"/>
  <c r="L3177" i="81"/>
  <c r="L3201" i="81"/>
  <c r="I3245" i="81"/>
  <c r="I3256" i="81"/>
  <c r="K3261" i="81"/>
  <c r="J3271" i="81"/>
  <c r="I3278" i="81"/>
  <c r="J3293" i="81"/>
  <c r="J3304" i="81"/>
  <c r="J3312" i="81"/>
  <c r="J3329" i="81"/>
  <c r="K3356" i="81"/>
  <c r="I3361" i="81"/>
  <c r="J3164" i="81"/>
  <c r="I3189" i="81"/>
  <c r="J3141" i="81"/>
  <c r="K3219" i="81"/>
  <c r="I3223" i="81"/>
  <c r="I3226" i="81"/>
  <c r="J3274" i="81"/>
  <c r="J3283" i="81"/>
  <c r="I3308" i="81"/>
  <c r="I3328" i="81"/>
  <c r="J3370" i="81"/>
  <c r="L3223" i="81"/>
  <c r="K3283" i="81"/>
  <c r="K3308" i="81"/>
  <c r="K3328" i="81"/>
  <c r="K3370" i="81"/>
  <c r="L3311" i="81"/>
  <c r="J3318" i="81"/>
  <c r="J3324" i="81"/>
  <c r="J3333" i="81"/>
  <c r="I3350" i="81"/>
  <c r="L3370" i="81"/>
  <c r="K3378" i="81"/>
  <c r="L3383" i="81"/>
  <c r="I3310" i="81"/>
  <c r="I3331" i="81"/>
  <c r="L3333" i="81"/>
  <c r="K3350" i="81"/>
  <c r="J3374" i="81"/>
  <c r="I3381" i="81"/>
  <c r="I3269" i="81"/>
  <c r="L3273" i="81"/>
  <c r="J3276" i="81"/>
  <c r="K3281" i="81"/>
  <c r="K3140" i="81"/>
  <c r="L3179" i="81"/>
  <c r="I3209" i="81"/>
  <c r="J3280" i="81"/>
  <c r="J3310" i="81"/>
  <c r="I3385" i="81"/>
  <c r="K3371" i="81"/>
  <c r="J3349" i="81"/>
  <c r="L3371" i="81"/>
  <c r="I3373" i="81"/>
  <c r="I3345" i="81"/>
  <c r="I3348" i="81"/>
  <c r="K3363" i="81"/>
  <c r="J3345" i="81"/>
  <c r="J3348" i="81"/>
  <c r="L3363" i="81"/>
  <c r="K3345" i="81"/>
  <c r="L3348" i="81"/>
  <c r="J3356" i="81"/>
  <c r="J3359" i="81"/>
  <c r="I3365" i="81"/>
  <c r="I3347" i="81"/>
  <c r="I3306" i="81"/>
  <c r="J3306" i="81"/>
  <c r="I3299" i="81"/>
  <c r="K3306" i="81"/>
  <c r="J3299" i="81"/>
  <c r="L3309" i="81"/>
  <c r="J3313" i="81"/>
  <c r="K3318" i="81"/>
  <c r="K3299" i="81"/>
  <c r="K3313" i="81"/>
  <c r="L3313" i="81"/>
  <c r="J3321" i="81"/>
  <c r="L3298" i="81"/>
  <c r="I3311" i="81"/>
  <c r="K3321" i="81"/>
  <c r="L3321" i="81"/>
  <c r="I3297" i="81"/>
  <c r="K3297" i="81"/>
  <c r="B3238" i="81"/>
  <c r="L3242" i="81"/>
  <c r="J3256" i="81"/>
  <c r="I3259" i="81"/>
  <c r="J3268" i="81"/>
  <c r="J3259" i="81"/>
  <c r="K3268" i="81"/>
  <c r="L3259" i="81"/>
  <c r="I3267" i="81"/>
  <c r="I3258" i="81"/>
  <c r="J3267" i="81"/>
  <c r="L3261" i="81"/>
  <c r="I3270" i="81"/>
  <c r="J3243" i="81"/>
  <c r="I3266" i="81"/>
  <c r="J3270" i="81"/>
  <c r="K3266" i="81"/>
  <c r="K3190" i="81"/>
  <c r="I3195" i="81"/>
  <c r="L3203" i="81"/>
  <c r="J3189" i="81"/>
  <c r="I3192" i="81"/>
  <c r="K3195" i="81"/>
  <c r="K3189" i="81"/>
  <c r="L3192" i="81"/>
  <c r="L3195" i="81"/>
  <c r="L3190" i="81"/>
  <c r="I3188" i="81"/>
  <c r="K3188" i="81"/>
  <c r="J3201" i="81"/>
  <c r="J3209" i="81"/>
  <c r="K3201" i="81"/>
  <c r="J3143" i="81"/>
  <c r="J3150" i="81"/>
  <c r="I3164" i="81"/>
  <c r="J3142" i="81"/>
  <c r="J3149" i="81"/>
  <c r="L3164" i="81"/>
  <c r="L3167" i="81"/>
  <c r="K3142" i="81"/>
  <c r="K3149" i="81"/>
  <c r="K3136" i="81"/>
  <c r="L3149" i="81"/>
  <c r="I3154" i="81"/>
  <c r="I3166" i="81"/>
  <c r="I3138" i="81"/>
  <c r="I3141" i="81"/>
  <c r="K3154" i="81"/>
  <c r="L3157" i="81"/>
  <c r="K3166" i="81"/>
  <c r="J3138" i="81"/>
  <c r="L3166" i="81"/>
  <c r="L3141" i="81"/>
  <c r="L3150" i="81"/>
  <c r="I3167" i="81"/>
  <c r="L3165" i="81"/>
  <c r="D3134" i="81"/>
  <c r="D3135" i="81"/>
  <c r="I3139" i="81"/>
  <c r="J3140" i="81"/>
  <c r="I3148" i="81"/>
  <c r="J3154" i="81"/>
  <c r="D3162" i="81"/>
  <c r="I3163" i="81"/>
  <c r="I3175" i="81"/>
  <c r="L3216" i="81"/>
  <c r="J3216" i="81"/>
  <c r="L3217" i="81"/>
  <c r="D3238" i="81"/>
  <c r="L3252" i="81"/>
  <c r="K3252" i="81"/>
  <c r="J3252" i="81"/>
  <c r="I3252" i="81"/>
  <c r="L3255" i="81"/>
  <c r="J3255" i="81"/>
  <c r="I3255" i="81"/>
  <c r="L3387" i="81"/>
  <c r="K3387" i="81"/>
  <c r="J3387" i="81"/>
  <c r="I3387" i="81"/>
  <c r="L3208" i="81"/>
  <c r="J3208" i="81"/>
  <c r="L3222" i="81"/>
  <c r="J3222" i="81"/>
  <c r="I3222" i="81"/>
  <c r="L3247" i="81"/>
  <c r="J3247" i="81"/>
  <c r="L3272" i="81"/>
  <c r="K3272" i="81"/>
  <c r="J3272" i="81"/>
  <c r="I3272" i="81"/>
  <c r="L3275" i="81"/>
  <c r="K3275" i="81"/>
  <c r="J3275" i="81"/>
  <c r="I3275" i="81"/>
  <c r="M3291" i="81"/>
  <c r="N3291" i="81" s="1"/>
  <c r="D3187" i="81"/>
  <c r="J3148" i="81"/>
  <c r="L3153" i="81"/>
  <c r="K3153" i="81"/>
  <c r="I3153" i="81"/>
  <c r="K3162" i="81"/>
  <c r="K3163" i="81"/>
  <c r="L3174" i="81"/>
  <c r="K3174" i="81"/>
  <c r="K3175" i="81"/>
  <c r="D3186" i="81"/>
  <c r="I3208" i="81"/>
  <c r="K3222" i="81"/>
  <c r="L3225" i="81"/>
  <c r="J3225" i="81"/>
  <c r="I3225" i="81"/>
  <c r="I3247" i="81"/>
  <c r="D3291" i="81"/>
  <c r="L3305" i="81"/>
  <c r="K3305" i="81"/>
  <c r="J3305" i="81"/>
  <c r="I3305" i="81"/>
  <c r="L3325" i="81"/>
  <c r="K3325" i="81"/>
  <c r="J3325" i="81"/>
  <c r="I3325" i="81"/>
  <c r="I3137" i="81"/>
  <c r="K3148" i="81"/>
  <c r="I3136" i="81"/>
  <c r="J3137" i="81"/>
  <c r="L3139" i="81"/>
  <c r="J3153" i="81"/>
  <c r="I3162" i="81"/>
  <c r="I3168" i="81"/>
  <c r="I3174" i="81"/>
  <c r="I3180" i="81"/>
  <c r="K3208" i="81"/>
  <c r="K3225" i="81"/>
  <c r="M3238" i="81"/>
  <c r="K3247" i="81"/>
  <c r="L3344" i="81"/>
  <c r="K3344" i="81"/>
  <c r="J3344" i="81"/>
  <c r="I3344" i="81"/>
  <c r="L3375" i="81"/>
  <c r="K3375" i="81"/>
  <c r="J3375" i="81"/>
  <c r="I3375" i="81"/>
  <c r="J3163" i="81"/>
  <c r="J3175" i="81"/>
  <c r="K3139" i="81"/>
  <c r="J3136" i="81"/>
  <c r="K3137" i="81"/>
  <c r="K3152" i="81"/>
  <c r="J3152" i="81"/>
  <c r="J3162" i="81"/>
  <c r="J3168" i="81"/>
  <c r="J3174" i="81"/>
  <c r="J3180" i="81"/>
  <c r="L3215" i="81"/>
  <c r="K3215" i="81"/>
  <c r="I3215" i="81"/>
  <c r="D3239" i="81"/>
  <c r="N3239" i="81"/>
  <c r="K3168" i="81"/>
  <c r="K3173" i="81"/>
  <c r="J3173" i="81"/>
  <c r="K3180" i="81"/>
  <c r="L3207" i="81"/>
  <c r="K3207" i="81"/>
  <c r="I3207" i="81"/>
  <c r="L3228" i="81"/>
  <c r="J3228" i="81"/>
  <c r="L3246" i="81"/>
  <c r="K3246" i="81"/>
  <c r="I3246" i="81"/>
  <c r="L3296" i="81"/>
  <c r="K3296" i="81"/>
  <c r="I3296" i="81"/>
  <c r="M3290" i="81"/>
  <c r="N3290" i="81" s="1"/>
  <c r="L3152" i="81"/>
  <c r="I3157" i="81"/>
  <c r="J3167" i="81"/>
  <c r="I3173" i="81"/>
  <c r="J3179" i="81"/>
  <c r="M3187" i="81"/>
  <c r="N3187" i="81" s="1"/>
  <c r="J3207" i="81"/>
  <c r="I3219" i="81"/>
  <c r="I3228" i="81"/>
  <c r="J3246" i="81"/>
  <c r="J3296" i="81"/>
  <c r="J3151" i="81"/>
  <c r="I3151" i="81"/>
  <c r="K3157" i="81"/>
  <c r="J3219" i="81"/>
  <c r="K3228" i="81"/>
  <c r="L3257" i="81"/>
  <c r="K3257" i="81"/>
  <c r="I3257" i="81"/>
  <c r="L3277" i="81"/>
  <c r="K3277" i="81"/>
  <c r="I3277" i="81"/>
  <c r="L3357" i="81"/>
  <c r="K3357" i="81"/>
  <c r="I3357" i="81"/>
  <c r="M3134" i="81"/>
  <c r="N3134" i="81" s="1"/>
  <c r="J3172" i="81"/>
  <c r="I3172" i="81"/>
  <c r="J3191" i="81"/>
  <c r="I3191" i="81"/>
  <c r="J3202" i="81"/>
  <c r="I3202" i="81"/>
  <c r="L3307" i="81"/>
  <c r="K3307" i="81"/>
  <c r="I3307" i="81"/>
  <c r="L3327" i="81"/>
  <c r="K3327" i="81"/>
  <c r="I3327" i="81"/>
  <c r="J3357" i="81"/>
  <c r="M3135" i="81"/>
  <c r="N3135" i="81" s="1"/>
  <c r="I3142" i="81"/>
  <c r="L3151" i="81"/>
  <c r="K3156" i="81"/>
  <c r="J3165" i="81"/>
  <c r="K3172" i="81"/>
  <c r="J3177" i="81"/>
  <c r="M3186" i="81"/>
  <c r="N3186" i="81" s="1"/>
  <c r="K3191" i="81"/>
  <c r="K3202" i="81"/>
  <c r="J3218" i="81"/>
  <c r="L3227" i="81"/>
  <c r="K3227" i="81"/>
  <c r="I3227" i="81"/>
  <c r="J3231" i="81"/>
  <c r="I3231" i="81"/>
  <c r="L3346" i="81"/>
  <c r="K3346" i="81"/>
  <c r="I3346" i="81"/>
  <c r="L3377" i="81"/>
  <c r="K3377" i="81"/>
  <c r="I3377" i="81"/>
  <c r="L3294" i="81"/>
  <c r="K3294" i="81"/>
  <c r="J3294" i="81"/>
  <c r="I3294" i="81"/>
  <c r="L3156" i="81"/>
  <c r="K3165" i="81"/>
  <c r="L3172" i="81"/>
  <c r="K3177" i="81"/>
  <c r="L3191" i="81"/>
  <c r="L3194" i="81"/>
  <c r="J3194" i="81"/>
  <c r="I3194" i="81"/>
  <c r="L3202" i="81"/>
  <c r="L3205" i="81"/>
  <c r="J3205" i="81"/>
  <c r="I3205" i="81"/>
  <c r="I3217" i="81"/>
  <c r="K3218" i="81"/>
  <c r="J3227" i="81"/>
  <c r="K3231" i="81"/>
  <c r="L3241" i="81"/>
  <c r="K3241" i="81"/>
  <c r="J3241" i="81"/>
  <c r="I3241" i="81"/>
  <c r="L3244" i="81"/>
  <c r="J3244" i="81"/>
  <c r="I3244" i="81"/>
  <c r="J3346" i="81"/>
  <c r="J3377" i="81"/>
  <c r="L3230" i="81"/>
  <c r="J3258" i="81"/>
  <c r="L3260" i="81"/>
  <c r="J3266" i="81"/>
  <c r="L3268" i="81"/>
  <c r="J3278" i="81"/>
  <c r="L3280" i="81"/>
  <c r="J3297" i="81"/>
  <c r="J3308" i="81"/>
  <c r="J3328" i="81"/>
  <c r="L3330" i="81"/>
  <c r="J3347" i="81"/>
  <c r="L3349" i="81"/>
  <c r="J3358" i="81"/>
  <c r="L3360" i="81"/>
  <c r="K3379" i="81"/>
  <c r="L3380" i="81"/>
  <c r="J3388" i="81"/>
  <c r="I3193" i="81"/>
  <c r="I3204" i="81"/>
  <c r="I3224" i="81"/>
  <c r="I3243" i="81"/>
  <c r="I3254" i="81"/>
  <c r="I3274" i="81"/>
  <c r="I3293" i="81"/>
  <c r="I3304" i="81"/>
  <c r="I3324" i="81"/>
  <c r="I3336" i="81"/>
  <c r="I3374" i="81"/>
  <c r="I3386" i="81"/>
  <c r="K3388" i="81"/>
  <c r="J3386" i="81"/>
  <c r="J3192" i="81"/>
  <c r="K3193" i="81"/>
  <c r="J3203" i="81"/>
  <c r="K3204" i="81"/>
  <c r="J3223" i="81"/>
  <c r="K3224" i="81"/>
  <c r="J3242" i="81"/>
  <c r="K3243" i="81"/>
  <c r="J3253" i="81"/>
  <c r="K3254" i="81"/>
  <c r="J3273" i="81"/>
  <c r="K3274" i="81"/>
  <c r="I3284" i="81"/>
  <c r="K3293" i="81"/>
  <c r="K3304" i="81"/>
  <c r="I3322" i="81"/>
  <c r="J3323" i="81"/>
  <c r="K3324" i="81"/>
  <c r="I3334" i="81"/>
  <c r="J3335" i="81"/>
  <c r="K3336" i="81"/>
  <c r="I3364" i="81"/>
  <c r="J3365" i="81"/>
  <c r="I3372" i="81"/>
  <c r="J3373" i="81"/>
  <c r="K3374" i="81"/>
  <c r="I3384" i="81"/>
  <c r="J3385" i="81"/>
  <c r="K3386" i="81"/>
  <c r="J3284" i="81"/>
  <c r="J3322" i="81"/>
  <c r="K3323" i="81"/>
  <c r="J3334" i="81"/>
  <c r="K3335" i="81"/>
  <c r="I3363" i="81"/>
  <c r="J3364" i="81"/>
  <c r="K3365" i="81"/>
  <c r="I3371" i="81"/>
  <c r="J3372" i="81"/>
  <c r="K3373" i="81"/>
  <c r="I3383" i="81"/>
  <c r="J3384" i="81"/>
  <c r="K3385" i="81"/>
  <c r="K3284" i="81"/>
  <c r="K3322" i="81"/>
  <c r="K3334" i="81"/>
  <c r="M3342" i="81"/>
  <c r="N3342" i="81" s="1"/>
  <c r="M3343" i="81"/>
  <c r="N3343" i="81" s="1"/>
  <c r="K3364" i="81"/>
  <c r="K3372" i="81"/>
  <c r="K3384" i="81"/>
  <c r="I3261" i="81"/>
  <c r="I3360" i="81"/>
  <c r="I3380" i="81"/>
  <c r="A3652" i="81"/>
  <c r="N3700" i="81"/>
  <c r="M3700" i="81"/>
  <c r="H3700" i="81"/>
  <c r="L3700" i="81" s="1"/>
  <c r="F3700" i="81"/>
  <c r="E3700" i="81"/>
  <c r="D3700" i="81"/>
  <c r="B3700" i="81"/>
  <c r="N3699" i="81"/>
  <c r="M3699" i="81"/>
  <c r="H3699" i="81"/>
  <c r="L3699" i="81" s="1"/>
  <c r="F3699" i="81"/>
  <c r="E3699" i="81"/>
  <c r="D3699" i="81"/>
  <c r="B3699" i="81"/>
  <c r="N3698" i="81"/>
  <c r="M3698" i="81"/>
  <c r="H3698" i="81"/>
  <c r="L3698" i="81" s="1"/>
  <c r="F3698" i="81"/>
  <c r="E3698" i="81"/>
  <c r="D3698" i="81"/>
  <c r="B3698" i="81"/>
  <c r="N3697" i="81"/>
  <c r="M3697" i="81"/>
  <c r="H3697" i="81"/>
  <c r="L3697" i="81" s="1"/>
  <c r="F3697" i="81"/>
  <c r="E3697" i="81"/>
  <c r="D3697" i="81"/>
  <c r="B3697" i="81"/>
  <c r="N3696" i="81"/>
  <c r="M3696" i="81"/>
  <c r="H3696" i="81"/>
  <c r="L3696" i="81" s="1"/>
  <c r="F3696" i="81"/>
  <c r="E3696" i="81"/>
  <c r="D3696" i="81"/>
  <c r="B3696" i="81"/>
  <c r="N3695" i="81"/>
  <c r="M3695" i="81"/>
  <c r="H3695" i="81"/>
  <c r="L3695" i="81" s="1"/>
  <c r="F3695" i="81"/>
  <c r="E3695" i="81"/>
  <c r="D3695" i="81"/>
  <c r="B3695" i="81"/>
  <c r="N3694" i="81"/>
  <c r="M3694" i="81"/>
  <c r="H3694" i="81"/>
  <c r="L3694" i="81" s="1"/>
  <c r="F3694" i="81"/>
  <c r="E3694" i="81"/>
  <c r="D3694" i="81"/>
  <c r="B3694" i="81"/>
  <c r="N3693" i="81"/>
  <c r="M3693" i="81"/>
  <c r="H3693" i="81"/>
  <c r="J3693" i="81" s="1"/>
  <c r="F3693" i="81"/>
  <c r="E3693" i="81"/>
  <c r="D3693" i="81"/>
  <c r="B3693" i="81"/>
  <c r="N3692" i="81"/>
  <c r="M3692" i="81"/>
  <c r="H3692" i="81"/>
  <c r="I3692" i="81" s="1"/>
  <c r="F3692" i="81"/>
  <c r="E3692" i="81"/>
  <c r="D3692" i="81"/>
  <c r="B3692" i="81"/>
  <c r="N3691" i="81"/>
  <c r="M3691" i="81"/>
  <c r="H3691" i="81"/>
  <c r="J3691" i="81" s="1"/>
  <c r="F3691" i="81"/>
  <c r="E3691" i="81"/>
  <c r="D3691" i="81"/>
  <c r="B3691" i="81"/>
  <c r="N3690" i="81"/>
  <c r="M3690" i="81"/>
  <c r="H3690" i="81"/>
  <c r="K3690" i="81" s="1"/>
  <c r="F3690" i="81"/>
  <c r="E3690" i="81"/>
  <c r="D3690" i="81"/>
  <c r="B3690" i="81"/>
  <c r="N3689" i="81"/>
  <c r="M3689" i="81"/>
  <c r="H3689" i="81"/>
  <c r="L3689" i="81" s="1"/>
  <c r="F3689" i="81"/>
  <c r="E3689" i="81"/>
  <c r="D3689" i="81"/>
  <c r="B3689" i="81"/>
  <c r="N3688" i="81"/>
  <c r="M3688" i="81"/>
  <c r="H3688" i="81"/>
  <c r="L3688" i="81" s="1"/>
  <c r="F3688" i="81"/>
  <c r="E3688" i="81"/>
  <c r="D3688" i="81"/>
  <c r="B3688" i="81"/>
  <c r="N3687" i="81"/>
  <c r="M3687" i="81"/>
  <c r="H3687" i="81"/>
  <c r="L3687" i="81" s="1"/>
  <c r="F3687" i="81"/>
  <c r="E3687" i="81"/>
  <c r="D3687" i="81"/>
  <c r="B3687" i="81"/>
  <c r="N3686" i="81"/>
  <c r="M3686" i="81"/>
  <c r="H3686" i="81"/>
  <c r="L3686" i="81" s="1"/>
  <c r="F3686" i="81"/>
  <c r="E3686" i="81"/>
  <c r="D3686" i="81"/>
  <c r="B3686" i="81"/>
  <c r="N3685" i="81"/>
  <c r="M3685" i="81"/>
  <c r="H3685" i="81"/>
  <c r="J3685" i="81" s="1"/>
  <c r="F3685" i="81"/>
  <c r="E3685" i="81"/>
  <c r="D3685" i="81"/>
  <c r="B3685" i="81"/>
  <c r="N3684" i="81"/>
  <c r="M3684" i="81"/>
  <c r="H3684" i="81"/>
  <c r="L3684" i="81" s="1"/>
  <c r="F3684" i="81"/>
  <c r="E3684" i="81"/>
  <c r="D3684" i="81"/>
  <c r="B3684" i="81"/>
  <c r="N3683" i="81"/>
  <c r="M3683" i="81"/>
  <c r="H3683" i="81"/>
  <c r="L3683" i="81" s="1"/>
  <c r="F3683" i="81"/>
  <c r="E3683" i="81"/>
  <c r="D3683" i="81"/>
  <c r="B3683" i="81"/>
  <c r="N3682" i="81"/>
  <c r="M3682" i="81"/>
  <c r="H3682" i="81"/>
  <c r="L3682" i="81" s="1"/>
  <c r="F3682" i="81"/>
  <c r="E3682" i="81"/>
  <c r="D3682" i="81"/>
  <c r="B3682" i="81"/>
  <c r="N3677" i="81"/>
  <c r="M3677" i="81"/>
  <c r="H3677" i="81"/>
  <c r="I3677" i="81" s="1"/>
  <c r="F3677" i="81"/>
  <c r="E3677" i="81"/>
  <c r="D3677" i="81"/>
  <c r="B3677" i="81"/>
  <c r="N3676" i="81"/>
  <c r="M3676" i="81"/>
  <c r="H3676" i="81"/>
  <c r="L3676" i="81" s="1"/>
  <c r="F3676" i="81"/>
  <c r="E3676" i="81"/>
  <c r="D3676" i="81"/>
  <c r="B3676" i="81"/>
  <c r="N3675" i="81"/>
  <c r="M3675" i="81"/>
  <c r="H3675" i="81"/>
  <c r="L3675" i="81" s="1"/>
  <c r="F3675" i="81"/>
  <c r="E3675" i="81"/>
  <c r="D3675" i="81"/>
  <c r="B3675" i="81"/>
  <c r="N3674" i="81"/>
  <c r="M3674" i="81"/>
  <c r="H3674" i="81"/>
  <c r="L3674" i="81" s="1"/>
  <c r="F3674" i="81"/>
  <c r="E3674" i="81"/>
  <c r="D3674" i="81"/>
  <c r="B3674" i="81"/>
  <c r="N3673" i="81"/>
  <c r="M3673" i="81"/>
  <c r="H3673" i="81"/>
  <c r="J3673" i="81" s="1"/>
  <c r="F3673" i="81"/>
  <c r="E3673" i="81"/>
  <c r="D3673" i="81"/>
  <c r="B3673" i="81"/>
  <c r="N3672" i="81"/>
  <c r="M3672" i="81"/>
  <c r="H3672" i="81"/>
  <c r="I3672" i="81" s="1"/>
  <c r="F3672" i="81"/>
  <c r="E3672" i="81"/>
  <c r="D3672" i="81"/>
  <c r="B3672" i="81"/>
  <c r="N3671" i="81"/>
  <c r="M3671" i="81"/>
  <c r="H3671" i="81"/>
  <c r="K3671" i="81" s="1"/>
  <c r="F3671" i="81"/>
  <c r="E3671" i="81"/>
  <c r="D3671" i="81"/>
  <c r="B3671" i="81"/>
  <c r="N3670" i="81"/>
  <c r="M3670" i="81"/>
  <c r="H3670" i="81"/>
  <c r="J3670" i="81" s="1"/>
  <c r="F3670" i="81"/>
  <c r="E3670" i="81"/>
  <c r="D3670" i="81"/>
  <c r="B3670" i="81"/>
  <c r="N3669" i="81"/>
  <c r="M3669" i="81"/>
  <c r="H3669" i="81"/>
  <c r="L3669" i="81" s="1"/>
  <c r="F3669" i="81"/>
  <c r="E3669" i="81"/>
  <c r="D3669" i="81"/>
  <c r="B3669" i="81"/>
  <c r="N3668" i="81"/>
  <c r="M3668" i="81"/>
  <c r="H3668" i="81"/>
  <c r="L3668" i="81" s="1"/>
  <c r="F3668" i="81"/>
  <c r="E3668" i="81"/>
  <c r="D3668" i="81"/>
  <c r="B3668" i="81"/>
  <c r="N3663" i="81"/>
  <c r="M3663" i="81"/>
  <c r="H3663" i="81"/>
  <c r="L3663" i="81" s="1"/>
  <c r="F3663" i="81"/>
  <c r="E3663" i="81"/>
  <c r="D3663" i="81"/>
  <c r="B3663" i="81"/>
  <c r="N3662" i="81"/>
  <c r="M3662" i="81"/>
  <c r="H3662" i="81"/>
  <c r="J3662" i="81" s="1"/>
  <c r="F3662" i="81"/>
  <c r="E3662" i="81"/>
  <c r="D3662" i="81"/>
  <c r="B3662" i="81"/>
  <c r="N3661" i="81"/>
  <c r="M3661" i="81"/>
  <c r="H3661" i="81"/>
  <c r="I3661" i="81" s="1"/>
  <c r="F3661" i="81"/>
  <c r="E3661" i="81"/>
  <c r="D3661" i="81"/>
  <c r="B3661" i="81"/>
  <c r="N3660" i="81"/>
  <c r="M3660" i="81"/>
  <c r="H3660" i="81"/>
  <c r="I3660" i="81" s="1"/>
  <c r="F3660" i="81"/>
  <c r="E3660" i="81"/>
  <c r="D3660" i="81"/>
  <c r="B3660" i="81"/>
  <c r="N3659" i="81"/>
  <c r="M3659" i="81"/>
  <c r="H3659" i="81"/>
  <c r="L3659" i="81" s="1"/>
  <c r="F3659" i="81"/>
  <c r="E3659" i="81"/>
  <c r="D3659" i="81"/>
  <c r="B3659" i="81"/>
  <c r="N3658" i="81"/>
  <c r="M3658" i="81"/>
  <c r="H3658" i="81"/>
  <c r="L3658" i="81" s="1"/>
  <c r="F3658" i="81"/>
  <c r="E3658" i="81"/>
  <c r="D3658" i="81"/>
  <c r="B3658" i="81"/>
  <c r="N3657" i="81"/>
  <c r="M3657" i="81"/>
  <c r="H3657" i="81"/>
  <c r="L3657" i="81" s="1"/>
  <c r="F3657" i="81"/>
  <c r="E3657" i="81"/>
  <c r="D3657" i="81"/>
  <c r="B3657" i="81"/>
  <c r="N3656" i="81"/>
  <c r="M3656" i="81"/>
  <c r="H3656" i="81"/>
  <c r="L3656" i="81" s="1"/>
  <c r="F3656" i="81"/>
  <c r="E3656" i="81"/>
  <c r="D3656" i="81"/>
  <c r="B3656" i="81"/>
  <c r="A3655" i="81"/>
  <c r="B3655" i="81" s="1"/>
  <c r="A3654" i="81"/>
  <c r="M3654" i="81" s="1"/>
  <c r="C3742" i="81"/>
  <c r="A3742" i="81"/>
  <c r="C3707" i="81"/>
  <c r="C3706" i="81"/>
  <c r="C3723" i="81"/>
  <c r="A3723" i="81"/>
  <c r="A3722" i="81"/>
  <c r="C3722" i="81"/>
  <c r="A3741" i="81"/>
  <c r="A3740" i="81"/>
  <c r="C3741" i="81"/>
  <c r="C3740" i="81"/>
  <c r="G146" i="83"/>
  <c r="G155" i="83"/>
  <c r="C3739" i="81"/>
  <c r="A3739" i="81"/>
  <c r="C3711" i="81"/>
  <c r="A3711" i="81"/>
  <c r="C3710" i="81"/>
  <c r="A3710" i="81"/>
  <c r="C3738" i="81"/>
  <c r="A3738" i="81"/>
  <c r="C3737" i="81"/>
  <c r="A3737" i="81"/>
  <c r="C3736" i="81"/>
  <c r="A3736" i="81"/>
  <c r="C3735" i="81"/>
  <c r="A3735" i="81"/>
  <c r="C3734" i="81"/>
  <c r="A3734" i="81"/>
  <c r="C3709" i="81"/>
  <c r="C3708" i="81"/>
  <c r="A3709" i="81"/>
  <c r="A3708" i="81"/>
  <c r="C3721" i="81"/>
  <c r="C3720" i="81"/>
  <c r="C3733" i="81"/>
  <c r="A3733" i="81"/>
  <c r="A3720" i="81"/>
  <c r="A3721" i="81"/>
  <c r="A3707" i="81"/>
  <c r="A3706" i="81"/>
  <c r="B76" i="66"/>
  <c r="B48" i="66"/>
  <c r="D221" i="82"/>
  <c r="D165" i="82"/>
  <c r="D78" i="82"/>
  <c r="A3704" i="81"/>
  <c r="S221" i="82"/>
  <c r="A165" i="82"/>
  <c r="A221" i="82" s="1"/>
  <c r="S165" i="82"/>
  <c r="S78" i="82"/>
  <c r="A76" i="66"/>
  <c r="N3238" i="81" l="1"/>
  <c r="D3655" i="81"/>
  <c r="M3655" i="81"/>
  <c r="N3655" i="81" s="1"/>
  <c r="B3654" i="81"/>
  <c r="N3654" i="81" s="1"/>
  <c r="D3654" i="81"/>
  <c r="K3677" i="81"/>
  <c r="J3668" i="81"/>
  <c r="I3670" i="81"/>
  <c r="I3675" i="81"/>
  <c r="J3660" i="81"/>
  <c r="K3660" i="81"/>
  <c r="L3660" i="81"/>
  <c r="K3662" i="81"/>
  <c r="I3691" i="81"/>
  <c r="L3662" i="81"/>
  <c r="K3691" i="81"/>
  <c r="I3683" i="81"/>
  <c r="L3691" i="81"/>
  <c r="I3668" i="81"/>
  <c r="I3690" i="81"/>
  <c r="I3657" i="81"/>
  <c r="J3657" i="81"/>
  <c r="J3671" i="81"/>
  <c r="L3692" i="81"/>
  <c r="I3697" i="81"/>
  <c r="I3659" i="81"/>
  <c r="K3670" i="81"/>
  <c r="K3673" i="81"/>
  <c r="J3697" i="81"/>
  <c r="I3700" i="81"/>
  <c r="J3659" i="81"/>
  <c r="L3670" i="81"/>
  <c r="L3673" i="81"/>
  <c r="I3685" i="81"/>
  <c r="K3697" i="81"/>
  <c r="K3659" i="81"/>
  <c r="K3685" i="81"/>
  <c r="L3685" i="81"/>
  <c r="L3690" i="81"/>
  <c r="L3671" i="81"/>
  <c r="J3688" i="81"/>
  <c r="L3693" i="81"/>
  <c r="J3677" i="81"/>
  <c r="K3692" i="81"/>
  <c r="L3672" i="81"/>
  <c r="J3661" i="81"/>
  <c r="L3677" i="81"/>
  <c r="J3690" i="81"/>
  <c r="K3661" i="81"/>
  <c r="L3661" i="81"/>
  <c r="J3672" i="81"/>
  <c r="I3671" i="81"/>
  <c r="K3672" i="81"/>
  <c r="I3688" i="81"/>
  <c r="K3693" i="81"/>
  <c r="J3692" i="81"/>
  <c r="I3658" i="81"/>
  <c r="I3669" i="81"/>
  <c r="I3689" i="81"/>
  <c r="J3658" i="81"/>
  <c r="J3669" i="81"/>
  <c r="J3689" i="81"/>
  <c r="I3656" i="81"/>
  <c r="K3658" i="81"/>
  <c r="K3669" i="81"/>
  <c r="I3687" i="81"/>
  <c r="K3689" i="81"/>
  <c r="I3699" i="81"/>
  <c r="J3700" i="81"/>
  <c r="J3656" i="81"/>
  <c r="K3657" i="81"/>
  <c r="K3668" i="81"/>
  <c r="I3686" i="81"/>
  <c r="J3687" i="81"/>
  <c r="K3688" i="81"/>
  <c r="I3698" i="81"/>
  <c r="J3699" i="81"/>
  <c r="K3700" i="81"/>
  <c r="K3656" i="81"/>
  <c r="J3686" i="81"/>
  <c r="K3687" i="81"/>
  <c r="J3698" i="81"/>
  <c r="K3699" i="81"/>
  <c r="I3676" i="81"/>
  <c r="I3684" i="81"/>
  <c r="K3686" i="81"/>
  <c r="I3696" i="81"/>
  <c r="K3698" i="81"/>
  <c r="J3676" i="81"/>
  <c r="J3684" i="81"/>
  <c r="I3695" i="81"/>
  <c r="J3696" i="81"/>
  <c r="I3663" i="81"/>
  <c r="I3674" i="81"/>
  <c r="J3675" i="81"/>
  <c r="K3676" i="81"/>
  <c r="I3682" i="81"/>
  <c r="J3683" i="81"/>
  <c r="K3684" i="81"/>
  <c r="I3694" i="81"/>
  <c r="J3695" i="81"/>
  <c r="K3696" i="81"/>
  <c r="I3662" i="81"/>
  <c r="J3663" i="81"/>
  <c r="I3673" i="81"/>
  <c r="J3674" i="81"/>
  <c r="K3675" i="81"/>
  <c r="J3682" i="81"/>
  <c r="K3683" i="81"/>
  <c r="I3693" i="81"/>
  <c r="J3694" i="81"/>
  <c r="K3695" i="81"/>
  <c r="K3663" i="81"/>
  <c r="K3674" i="81"/>
  <c r="K3682" i="81"/>
  <c r="K3694" i="81"/>
  <c r="A171" i="82" l="1"/>
  <c r="A227" i="82" s="1"/>
  <c r="A167" i="82"/>
  <c r="A223" i="82" s="1"/>
  <c r="A168" i="82"/>
  <c r="A224" i="82" s="1"/>
  <c r="A169" i="82"/>
  <c r="A225" i="82" s="1"/>
  <c r="A170" i="82"/>
  <c r="A226" i="82" s="1"/>
  <c r="A166" i="82"/>
  <c r="A222" i="82" s="1"/>
  <c r="A216" i="82"/>
  <c r="A146" i="82"/>
  <c r="A155" i="82"/>
  <c r="A153" i="82"/>
  <c r="A134" i="82"/>
  <c r="A151" i="82"/>
  <c r="A150" i="82"/>
  <c r="A149" i="82"/>
  <c r="A148" i="82"/>
  <c r="A141" i="82"/>
  <c r="A139" i="82"/>
  <c r="A138" i="82"/>
  <c r="A1237" i="81"/>
  <c r="G150" i="83"/>
  <c r="A130" i="82"/>
  <c r="A214" i="82" s="1"/>
  <c r="A129" i="82"/>
  <c r="A213" i="82" s="1"/>
  <c r="A128" i="82"/>
  <c r="A212" i="82" s="1"/>
  <c r="A126" i="82"/>
  <c r="A211" i="82" s="1"/>
  <c r="A124" i="82"/>
  <c r="A210" i="82" s="1"/>
  <c r="A122" i="82"/>
  <c r="A209" i="82" s="1"/>
  <c r="A121" i="82"/>
  <c r="A208" i="82" s="1"/>
  <c r="A120" i="82"/>
  <c r="A178" i="82"/>
  <c r="A234" i="82" s="1"/>
  <c r="A176" i="82"/>
  <c r="A202" i="82"/>
  <c r="A201" i="82"/>
  <c r="A200" i="82"/>
  <c r="A199" i="82"/>
  <c r="A108" i="82"/>
  <c r="A195" i="82" s="1"/>
  <c r="A107" i="82"/>
  <c r="A194" i="82" s="1"/>
  <c r="A106" i="82"/>
  <c r="A193" i="82" s="1"/>
  <c r="A105" i="82"/>
  <c r="A192" i="82" s="1"/>
  <c r="A157" i="82" l="1"/>
  <c r="O3184" i="81"/>
  <c r="B3184" i="81"/>
  <c r="E3184" i="81"/>
  <c r="G3340" i="81"/>
  <c r="E3340" i="81"/>
  <c r="B3340" i="81"/>
  <c r="B3288" i="81"/>
  <c r="B3132" i="81"/>
  <c r="G3288" i="81"/>
  <c r="O3132" i="81"/>
  <c r="E3288" i="81"/>
  <c r="E3132" i="81"/>
  <c r="O3288" i="81"/>
  <c r="A207" i="82"/>
  <c r="A219" i="82"/>
  <c r="A82" i="66"/>
  <c r="B82" i="66" s="1"/>
  <c r="A79" i="66"/>
  <c r="B79" i="66" s="1"/>
  <c r="A73" i="66"/>
  <c r="B73" i="66" s="1"/>
  <c r="A54" i="66"/>
  <c r="A51" i="66"/>
  <c r="A48" i="66"/>
  <c r="A45" i="66"/>
  <c r="P3184" i="81" l="1"/>
  <c r="P3288" i="81"/>
  <c r="G3184" i="81"/>
  <c r="B3236" i="81"/>
  <c r="E3236" i="81"/>
  <c r="G3236" i="81"/>
  <c r="P3132" i="81"/>
  <c r="O3236" i="81"/>
  <c r="U3340" i="81"/>
  <c r="O3340" i="81"/>
  <c r="P3340" i="81" s="1"/>
  <c r="L3162" i="81"/>
  <c r="U3288" i="81"/>
  <c r="B45" i="66"/>
  <c r="B51" i="66"/>
  <c r="B54" i="66"/>
  <c r="P3236" i="81" l="1"/>
  <c r="U3184" i="81"/>
  <c r="U3236" i="81"/>
  <c r="G3652" i="81"/>
  <c r="B3652" i="81"/>
  <c r="O3652" i="81"/>
  <c r="E3652" i="81"/>
  <c r="A68" i="66"/>
  <c r="A40" i="66"/>
  <c r="A12" i="66"/>
  <c r="P3652" i="81" l="1"/>
  <c r="U3652" i="81"/>
  <c r="S219" i="82"/>
  <c r="S227" i="82"/>
  <c r="D227" i="82"/>
  <c r="S226" i="82"/>
  <c r="D226" i="82"/>
  <c r="S225" i="82"/>
  <c r="S224" i="82"/>
  <c r="D224" i="82"/>
  <c r="S223" i="82"/>
  <c r="D223" i="82"/>
  <c r="S222" i="82"/>
  <c r="D222" i="82"/>
  <c r="A1341" i="81" l="1"/>
  <c r="G78" i="83"/>
  <c r="A3421" i="81"/>
  <c r="G87" i="83"/>
  <c r="A2797" i="81"/>
  <c r="G129" i="83"/>
  <c r="D149" i="82"/>
  <c r="A2433" i="81"/>
  <c r="A2017" i="81" l="1"/>
  <c r="G89" i="83"/>
  <c r="A1988" i="81"/>
  <c r="B1988" i="81" s="1"/>
  <c r="N2036" i="81"/>
  <c r="M2036" i="81"/>
  <c r="H2036" i="81"/>
  <c r="L2036" i="81" s="1"/>
  <c r="F2036" i="81"/>
  <c r="E2036" i="81"/>
  <c r="D2036" i="81"/>
  <c r="B2036" i="81"/>
  <c r="N2035" i="81"/>
  <c r="M2035" i="81"/>
  <c r="H2035" i="81"/>
  <c r="L2035" i="81" s="1"/>
  <c r="F2035" i="81"/>
  <c r="E2035" i="81"/>
  <c r="D2035" i="81"/>
  <c r="B2035" i="81"/>
  <c r="N2034" i="81"/>
  <c r="M2034" i="81"/>
  <c r="H2034" i="81"/>
  <c r="J2034" i="81" s="1"/>
  <c r="F2034" i="81"/>
  <c r="E2034" i="81"/>
  <c r="D2034" i="81"/>
  <c r="B2034" i="81"/>
  <c r="N2033" i="81"/>
  <c r="M2033" i="81"/>
  <c r="H2033" i="81"/>
  <c r="L2033" i="81" s="1"/>
  <c r="F2033" i="81"/>
  <c r="E2033" i="81"/>
  <c r="D2033" i="81"/>
  <c r="B2033" i="81"/>
  <c r="N2032" i="81"/>
  <c r="M2032" i="81"/>
  <c r="H2032" i="81"/>
  <c r="L2032" i="81" s="1"/>
  <c r="F2032" i="81"/>
  <c r="E2032" i="81"/>
  <c r="D2032" i="81"/>
  <c r="B2032" i="81"/>
  <c r="N2031" i="81"/>
  <c r="M2031" i="81"/>
  <c r="H2031" i="81"/>
  <c r="L2031" i="81" s="1"/>
  <c r="F2031" i="81"/>
  <c r="E2031" i="81"/>
  <c r="D2031" i="81"/>
  <c r="B2031" i="81"/>
  <c r="N2030" i="81"/>
  <c r="M2030" i="81"/>
  <c r="H2030" i="81"/>
  <c r="K2030" i="81" s="1"/>
  <c r="F2030" i="81"/>
  <c r="E2030" i="81"/>
  <c r="D2030" i="81"/>
  <c r="B2030" i="81"/>
  <c r="N2029" i="81"/>
  <c r="M2029" i="81"/>
  <c r="H2029" i="81"/>
  <c r="I2029" i="81" s="1"/>
  <c r="F2029" i="81"/>
  <c r="E2029" i="81"/>
  <c r="D2029" i="81"/>
  <c r="B2029" i="81"/>
  <c r="N2028" i="81"/>
  <c r="M2028" i="81"/>
  <c r="H2028" i="81"/>
  <c r="L2028" i="81" s="1"/>
  <c r="F2028" i="81"/>
  <c r="E2028" i="81"/>
  <c r="D2028" i="81"/>
  <c r="B2028" i="81"/>
  <c r="N2027" i="81"/>
  <c r="M2027" i="81"/>
  <c r="H2027" i="81"/>
  <c r="L2027" i="81" s="1"/>
  <c r="F2027" i="81"/>
  <c r="E2027" i="81"/>
  <c r="D2027" i="81"/>
  <c r="B2027" i="81"/>
  <c r="N2026" i="81"/>
  <c r="M2026" i="81"/>
  <c r="H2026" i="81"/>
  <c r="L2026" i="81" s="1"/>
  <c r="F2026" i="81"/>
  <c r="E2026" i="81"/>
  <c r="D2026" i="81"/>
  <c r="B2026" i="81"/>
  <c r="N2025" i="81"/>
  <c r="M2025" i="81"/>
  <c r="H2025" i="81"/>
  <c r="L2025" i="81" s="1"/>
  <c r="F2025" i="81"/>
  <c r="E2025" i="81"/>
  <c r="D2025" i="81"/>
  <c r="B2025" i="81"/>
  <c r="N2024" i="81"/>
  <c r="M2024" i="81"/>
  <c r="H2024" i="81"/>
  <c r="L2024" i="81" s="1"/>
  <c r="F2024" i="81"/>
  <c r="E2024" i="81"/>
  <c r="D2024" i="81"/>
  <c r="B2024" i="81"/>
  <c r="N2023" i="81"/>
  <c r="M2023" i="81"/>
  <c r="H2023" i="81"/>
  <c r="K2023" i="81" s="1"/>
  <c r="F2023" i="81"/>
  <c r="E2023" i="81"/>
  <c r="D2023" i="81"/>
  <c r="B2023" i="81"/>
  <c r="N2022" i="81"/>
  <c r="M2022" i="81"/>
  <c r="H2022" i="81"/>
  <c r="J2022" i="81" s="1"/>
  <c r="F2022" i="81"/>
  <c r="E2022" i="81"/>
  <c r="D2022" i="81"/>
  <c r="B2022" i="81"/>
  <c r="N2021" i="81"/>
  <c r="M2021" i="81"/>
  <c r="H2021" i="81"/>
  <c r="L2021" i="81" s="1"/>
  <c r="F2021" i="81"/>
  <c r="E2021" i="81"/>
  <c r="D2021" i="81"/>
  <c r="B2021" i="81"/>
  <c r="N2020" i="81"/>
  <c r="M2020" i="81"/>
  <c r="H2020" i="81"/>
  <c r="L2020" i="81" s="1"/>
  <c r="F2020" i="81"/>
  <c r="E2020" i="81"/>
  <c r="D2020" i="81"/>
  <c r="B2020" i="81"/>
  <c r="N2019" i="81"/>
  <c r="M2019" i="81"/>
  <c r="H2019" i="81"/>
  <c r="L2019" i="81" s="1"/>
  <c r="F2019" i="81"/>
  <c r="E2019" i="81"/>
  <c r="D2019" i="81"/>
  <c r="B2019" i="81"/>
  <c r="N2018" i="81"/>
  <c r="M2018" i="81"/>
  <c r="H2018" i="81"/>
  <c r="K2018" i="81" s="1"/>
  <c r="F2018" i="81"/>
  <c r="E2018" i="81"/>
  <c r="D2018" i="81"/>
  <c r="B2018" i="81"/>
  <c r="N2013" i="81"/>
  <c r="M2013" i="81"/>
  <c r="H2013" i="81"/>
  <c r="L2013" i="81" s="1"/>
  <c r="F2013" i="81"/>
  <c r="E2013" i="81"/>
  <c r="D2013" i="81"/>
  <c r="B2013" i="81"/>
  <c r="N2012" i="81"/>
  <c r="M2012" i="81"/>
  <c r="H2012" i="81"/>
  <c r="L2012" i="81" s="1"/>
  <c r="F2012" i="81"/>
  <c r="E2012" i="81"/>
  <c r="D2012" i="81"/>
  <c r="B2012" i="81"/>
  <c r="N2011" i="81"/>
  <c r="M2011" i="81"/>
  <c r="H2011" i="81"/>
  <c r="L2011" i="81" s="1"/>
  <c r="F2011" i="81"/>
  <c r="E2011" i="81"/>
  <c r="D2011" i="81"/>
  <c r="B2011" i="81"/>
  <c r="N2010" i="81"/>
  <c r="M2010" i="81"/>
  <c r="H2010" i="81"/>
  <c r="K2010" i="81" s="1"/>
  <c r="F2010" i="81"/>
  <c r="E2010" i="81"/>
  <c r="D2010" i="81"/>
  <c r="B2010" i="81"/>
  <c r="N2009" i="81"/>
  <c r="M2009" i="81"/>
  <c r="H2009" i="81"/>
  <c r="K2009" i="81" s="1"/>
  <c r="F2009" i="81"/>
  <c r="E2009" i="81"/>
  <c r="D2009" i="81"/>
  <c r="B2009" i="81"/>
  <c r="N2008" i="81"/>
  <c r="M2008" i="81"/>
  <c r="H2008" i="81"/>
  <c r="J2008" i="81" s="1"/>
  <c r="F2008" i="81"/>
  <c r="E2008" i="81"/>
  <c r="D2008" i="81"/>
  <c r="B2008" i="81"/>
  <c r="N2007" i="81"/>
  <c r="M2007" i="81"/>
  <c r="H2007" i="81"/>
  <c r="I2007" i="81" s="1"/>
  <c r="F2007" i="81"/>
  <c r="E2007" i="81"/>
  <c r="D2007" i="81"/>
  <c r="B2007" i="81"/>
  <c r="N2006" i="81"/>
  <c r="M2006" i="81"/>
  <c r="H2006" i="81"/>
  <c r="L2006" i="81" s="1"/>
  <c r="F2006" i="81"/>
  <c r="E2006" i="81"/>
  <c r="D2006" i="81"/>
  <c r="B2006" i="81"/>
  <c r="N2005" i="81"/>
  <c r="M2005" i="81"/>
  <c r="H2005" i="81"/>
  <c r="L2005" i="81" s="1"/>
  <c r="F2005" i="81"/>
  <c r="E2005" i="81"/>
  <c r="D2005" i="81"/>
  <c r="B2005" i="81"/>
  <c r="N2004" i="81"/>
  <c r="M2004" i="81"/>
  <c r="H2004" i="81"/>
  <c r="L2004" i="81" s="1"/>
  <c r="F2004" i="81"/>
  <c r="E2004" i="81"/>
  <c r="D2004" i="81"/>
  <c r="B2004" i="81"/>
  <c r="N1999" i="81"/>
  <c r="M1999" i="81"/>
  <c r="H1999" i="81"/>
  <c r="K1999" i="81" s="1"/>
  <c r="F1999" i="81"/>
  <c r="E1999" i="81"/>
  <c r="D1999" i="81"/>
  <c r="B1999" i="81"/>
  <c r="N1998" i="81"/>
  <c r="M1998" i="81"/>
  <c r="H1998" i="81"/>
  <c r="L1998" i="81" s="1"/>
  <c r="F1998" i="81"/>
  <c r="E1998" i="81"/>
  <c r="D1998" i="81"/>
  <c r="B1998" i="81"/>
  <c r="N1997" i="81"/>
  <c r="M1997" i="81"/>
  <c r="H1997" i="81"/>
  <c r="J1997" i="81" s="1"/>
  <c r="F1997" i="81"/>
  <c r="E1997" i="81"/>
  <c r="D1997" i="81"/>
  <c r="B1997" i="81"/>
  <c r="N1996" i="81"/>
  <c r="M1996" i="81"/>
  <c r="H1996" i="81"/>
  <c r="K1996" i="81" s="1"/>
  <c r="F1996" i="81"/>
  <c r="E1996" i="81"/>
  <c r="D1996" i="81"/>
  <c r="B1996" i="81"/>
  <c r="N1995" i="81"/>
  <c r="M1995" i="81"/>
  <c r="H1995" i="81"/>
  <c r="L1995" i="81" s="1"/>
  <c r="F1995" i="81"/>
  <c r="E1995" i="81"/>
  <c r="D1995" i="81"/>
  <c r="B1995" i="81"/>
  <c r="N1994" i="81"/>
  <c r="M1994" i="81"/>
  <c r="H1994" i="81"/>
  <c r="L1994" i="81" s="1"/>
  <c r="F1994" i="81"/>
  <c r="E1994" i="81"/>
  <c r="D1994" i="81"/>
  <c r="B1994" i="81"/>
  <c r="N1993" i="81"/>
  <c r="M1993" i="81"/>
  <c r="H1993" i="81"/>
  <c r="L1993" i="81" s="1"/>
  <c r="F1993" i="81"/>
  <c r="E1993" i="81"/>
  <c r="D1993" i="81"/>
  <c r="B1993" i="81"/>
  <c r="N1992" i="81"/>
  <c r="M1992" i="81"/>
  <c r="H1992" i="81"/>
  <c r="K1992" i="81" s="1"/>
  <c r="F1992" i="81"/>
  <c r="E1992" i="81"/>
  <c r="D1992" i="81"/>
  <c r="B1992" i="81"/>
  <c r="A1991" i="81"/>
  <c r="M1991" i="81" s="1"/>
  <c r="A1990" i="81"/>
  <c r="M1990" i="81" s="1"/>
  <c r="A2173" i="81"/>
  <c r="S140" i="82"/>
  <c r="A1471" i="81"/>
  <c r="A1498" i="81"/>
  <c r="A1497" i="81"/>
  <c r="A1705" i="81"/>
  <c r="A1549" i="81"/>
  <c r="A1550" i="81"/>
  <c r="A1523" i="81"/>
  <c r="A1029" i="81"/>
  <c r="G96" i="83"/>
  <c r="A925" i="81"/>
  <c r="G94" i="83"/>
  <c r="A821" i="81"/>
  <c r="G101" i="83"/>
  <c r="A1000" i="81"/>
  <c r="G1000" i="81" s="1"/>
  <c r="A896" i="81"/>
  <c r="B896" i="81" s="1"/>
  <c r="A792" i="81"/>
  <c r="G792" i="81" s="1"/>
  <c r="N1048" i="81"/>
  <c r="M1048" i="81"/>
  <c r="H1048" i="81"/>
  <c r="L1048" i="81" s="1"/>
  <c r="F1048" i="81"/>
  <c r="E1048" i="81"/>
  <c r="D1048" i="81"/>
  <c r="B1048" i="81"/>
  <c r="N1047" i="81"/>
  <c r="M1047" i="81"/>
  <c r="H1047" i="81"/>
  <c r="L1047" i="81" s="1"/>
  <c r="F1047" i="81"/>
  <c r="E1047" i="81"/>
  <c r="D1047" i="81"/>
  <c r="B1047" i="81"/>
  <c r="N1046" i="81"/>
  <c r="M1046" i="81"/>
  <c r="H1046" i="81"/>
  <c r="L1046" i="81" s="1"/>
  <c r="F1046" i="81"/>
  <c r="E1046" i="81"/>
  <c r="D1046" i="81"/>
  <c r="B1046" i="81"/>
  <c r="N1045" i="81"/>
  <c r="M1045" i="81"/>
  <c r="H1045" i="81"/>
  <c r="I1045" i="81" s="1"/>
  <c r="F1045" i="81"/>
  <c r="E1045" i="81"/>
  <c r="D1045" i="81"/>
  <c r="B1045" i="81"/>
  <c r="N1044" i="81"/>
  <c r="M1044" i="81"/>
  <c r="H1044" i="81"/>
  <c r="L1044" i="81" s="1"/>
  <c r="F1044" i="81"/>
  <c r="E1044" i="81"/>
  <c r="D1044" i="81"/>
  <c r="B1044" i="81"/>
  <c r="N1043" i="81"/>
  <c r="M1043" i="81"/>
  <c r="H1043" i="81"/>
  <c r="L1043" i="81" s="1"/>
  <c r="F1043" i="81"/>
  <c r="E1043" i="81"/>
  <c r="D1043" i="81"/>
  <c r="B1043" i="81"/>
  <c r="N1042" i="81"/>
  <c r="M1042" i="81"/>
  <c r="H1042" i="81"/>
  <c r="L1042" i="81" s="1"/>
  <c r="F1042" i="81"/>
  <c r="E1042" i="81"/>
  <c r="D1042" i="81"/>
  <c r="B1042" i="81"/>
  <c r="N1041" i="81"/>
  <c r="M1041" i="81"/>
  <c r="H1041" i="81"/>
  <c r="K1041" i="81" s="1"/>
  <c r="F1041" i="81"/>
  <c r="E1041" i="81"/>
  <c r="D1041" i="81"/>
  <c r="B1041" i="81"/>
  <c r="N1040" i="81"/>
  <c r="M1040" i="81"/>
  <c r="H1040" i="81"/>
  <c r="J1040" i="81" s="1"/>
  <c r="F1040" i="81"/>
  <c r="E1040" i="81"/>
  <c r="D1040" i="81"/>
  <c r="B1040" i="81"/>
  <c r="N1039" i="81"/>
  <c r="M1039" i="81"/>
  <c r="H1039" i="81"/>
  <c r="L1039" i="81" s="1"/>
  <c r="F1039" i="81"/>
  <c r="E1039" i="81"/>
  <c r="D1039" i="81"/>
  <c r="B1039" i="81"/>
  <c r="N1038" i="81"/>
  <c r="M1038" i="81"/>
  <c r="H1038" i="81"/>
  <c r="L1038" i="81" s="1"/>
  <c r="F1038" i="81"/>
  <c r="E1038" i="81"/>
  <c r="D1038" i="81"/>
  <c r="B1038" i="81"/>
  <c r="N1037" i="81"/>
  <c r="M1037" i="81"/>
  <c r="H1037" i="81"/>
  <c r="L1037" i="81" s="1"/>
  <c r="F1037" i="81"/>
  <c r="E1037" i="81"/>
  <c r="D1037" i="81"/>
  <c r="B1037" i="81"/>
  <c r="N1036" i="81"/>
  <c r="M1036" i="81"/>
  <c r="H1036" i="81"/>
  <c r="L1036" i="81" s="1"/>
  <c r="F1036" i="81"/>
  <c r="E1036" i="81"/>
  <c r="D1036" i="81"/>
  <c r="B1036" i="81"/>
  <c r="N1035" i="81"/>
  <c r="M1035" i="81"/>
  <c r="H1035" i="81"/>
  <c r="L1035" i="81" s="1"/>
  <c r="F1035" i="81"/>
  <c r="E1035" i="81"/>
  <c r="D1035" i="81"/>
  <c r="B1035" i="81"/>
  <c r="N1034" i="81"/>
  <c r="M1034" i="81"/>
  <c r="H1034" i="81"/>
  <c r="L1034" i="81" s="1"/>
  <c r="F1034" i="81"/>
  <c r="E1034" i="81"/>
  <c r="D1034" i="81"/>
  <c r="B1034" i="81"/>
  <c r="N1033" i="81"/>
  <c r="M1033" i="81"/>
  <c r="H1033" i="81"/>
  <c r="I1033" i="81" s="1"/>
  <c r="F1033" i="81"/>
  <c r="E1033" i="81"/>
  <c r="D1033" i="81"/>
  <c r="B1033" i="81"/>
  <c r="N1032" i="81"/>
  <c r="M1032" i="81"/>
  <c r="H1032" i="81"/>
  <c r="L1032" i="81" s="1"/>
  <c r="F1032" i="81"/>
  <c r="E1032" i="81"/>
  <c r="D1032" i="81"/>
  <c r="B1032" i="81"/>
  <c r="N1031" i="81"/>
  <c r="M1031" i="81"/>
  <c r="H1031" i="81"/>
  <c r="L1031" i="81" s="1"/>
  <c r="F1031" i="81"/>
  <c r="E1031" i="81"/>
  <c r="D1031" i="81"/>
  <c r="B1031" i="81"/>
  <c r="N1030" i="81"/>
  <c r="M1030" i="81"/>
  <c r="H1030" i="81"/>
  <c r="L1030" i="81" s="1"/>
  <c r="F1030" i="81"/>
  <c r="E1030" i="81"/>
  <c r="D1030" i="81"/>
  <c r="B1030" i="81"/>
  <c r="N1025" i="81"/>
  <c r="M1025" i="81"/>
  <c r="H1025" i="81"/>
  <c r="I1025" i="81" s="1"/>
  <c r="F1025" i="81"/>
  <c r="E1025" i="81"/>
  <c r="D1025" i="81"/>
  <c r="B1025" i="81"/>
  <c r="N1024" i="81"/>
  <c r="M1024" i="81"/>
  <c r="H1024" i="81"/>
  <c r="I1024" i="81" s="1"/>
  <c r="F1024" i="81"/>
  <c r="E1024" i="81"/>
  <c r="D1024" i="81"/>
  <c r="B1024" i="81"/>
  <c r="N1023" i="81"/>
  <c r="M1023" i="81"/>
  <c r="H1023" i="81"/>
  <c r="L1023" i="81" s="1"/>
  <c r="F1023" i="81"/>
  <c r="E1023" i="81"/>
  <c r="D1023" i="81"/>
  <c r="B1023" i="81"/>
  <c r="N1022" i="81"/>
  <c r="M1022" i="81"/>
  <c r="H1022" i="81"/>
  <c r="L1022" i="81" s="1"/>
  <c r="F1022" i="81"/>
  <c r="E1022" i="81"/>
  <c r="D1022" i="81"/>
  <c r="B1022" i="81"/>
  <c r="N1021" i="81"/>
  <c r="M1021" i="81"/>
  <c r="H1021" i="81"/>
  <c r="K1021" i="81" s="1"/>
  <c r="F1021" i="81"/>
  <c r="E1021" i="81"/>
  <c r="D1021" i="81"/>
  <c r="B1021" i="81"/>
  <c r="N1020" i="81"/>
  <c r="M1020" i="81"/>
  <c r="H1020" i="81"/>
  <c r="I1020" i="81" s="1"/>
  <c r="F1020" i="81"/>
  <c r="E1020" i="81"/>
  <c r="D1020" i="81"/>
  <c r="B1020" i="81"/>
  <c r="N1019" i="81"/>
  <c r="M1019" i="81"/>
  <c r="H1019" i="81"/>
  <c r="L1019" i="81" s="1"/>
  <c r="F1019" i="81"/>
  <c r="E1019" i="81"/>
  <c r="D1019" i="81"/>
  <c r="B1019" i="81"/>
  <c r="N1018" i="81"/>
  <c r="M1018" i="81"/>
  <c r="H1018" i="81"/>
  <c r="I1018" i="81" s="1"/>
  <c r="F1018" i="81"/>
  <c r="E1018" i="81"/>
  <c r="D1018" i="81"/>
  <c r="B1018" i="81"/>
  <c r="N1017" i="81"/>
  <c r="M1017" i="81"/>
  <c r="H1017" i="81"/>
  <c r="L1017" i="81" s="1"/>
  <c r="F1017" i="81"/>
  <c r="E1017" i="81"/>
  <c r="D1017" i="81"/>
  <c r="B1017" i="81"/>
  <c r="N1016" i="81"/>
  <c r="M1016" i="81"/>
  <c r="H1016" i="81"/>
  <c r="L1016" i="81" s="1"/>
  <c r="F1016" i="81"/>
  <c r="E1016" i="81"/>
  <c r="D1016" i="81"/>
  <c r="B1016" i="81"/>
  <c r="N1011" i="81"/>
  <c r="M1011" i="81"/>
  <c r="H1011" i="81"/>
  <c r="L1011" i="81" s="1"/>
  <c r="F1011" i="81"/>
  <c r="E1011" i="81"/>
  <c r="D1011" i="81"/>
  <c r="B1011" i="81"/>
  <c r="N1010" i="81"/>
  <c r="M1010" i="81"/>
  <c r="H1010" i="81"/>
  <c r="K1010" i="81" s="1"/>
  <c r="F1010" i="81"/>
  <c r="E1010" i="81"/>
  <c r="D1010" i="81"/>
  <c r="B1010" i="81"/>
  <c r="N1009" i="81"/>
  <c r="M1009" i="81"/>
  <c r="H1009" i="81"/>
  <c r="J1009" i="81" s="1"/>
  <c r="F1009" i="81"/>
  <c r="E1009" i="81"/>
  <c r="D1009" i="81"/>
  <c r="B1009" i="81"/>
  <c r="N1008" i="81"/>
  <c r="M1008" i="81"/>
  <c r="H1008" i="81"/>
  <c r="L1008" i="81" s="1"/>
  <c r="F1008" i="81"/>
  <c r="E1008" i="81"/>
  <c r="D1008" i="81"/>
  <c r="B1008" i="81"/>
  <c r="N1007" i="81"/>
  <c r="M1007" i="81"/>
  <c r="H1007" i="81"/>
  <c r="I1007" i="81" s="1"/>
  <c r="F1007" i="81"/>
  <c r="E1007" i="81"/>
  <c r="D1007" i="81"/>
  <c r="B1007" i="81"/>
  <c r="N1006" i="81"/>
  <c r="M1006" i="81"/>
  <c r="H1006" i="81"/>
  <c r="L1006" i="81" s="1"/>
  <c r="F1006" i="81"/>
  <c r="E1006" i="81"/>
  <c r="D1006" i="81"/>
  <c r="B1006" i="81"/>
  <c r="N1005" i="81"/>
  <c r="M1005" i="81"/>
  <c r="H1005" i="81"/>
  <c r="L1005" i="81" s="1"/>
  <c r="F1005" i="81"/>
  <c r="E1005" i="81"/>
  <c r="D1005" i="81"/>
  <c r="B1005" i="81"/>
  <c r="N1004" i="81"/>
  <c r="M1004" i="81"/>
  <c r="H1004" i="81"/>
  <c r="L1004" i="81" s="1"/>
  <c r="F1004" i="81"/>
  <c r="E1004" i="81"/>
  <c r="D1004" i="81"/>
  <c r="B1004" i="81"/>
  <c r="A1003" i="81"/>
  <c r="M1003" i="81" s="1"/>
  <c r="A1002" i="81"/>
  <c r="D1002" i="81" s="1"/>
  <c r="N944" i="81"/>
  <c r="M944" i="81"/>
  <c r="H944" i="81"/>
  <c r="L944" i="81" s="1"/>
  <c r="F944" i="81"/>
  <c r="E944" i="81"/>
  <c r="D944" i="81"/>
  <c r="B944" i="81"/>
  <c r="N943" i="81"/>
  <c r="M943" i="81"/>
  <c r="H943" i="81"/>
  <c r="I943" i="81" s="1"/>
  <c r="F943" i="81"/>
  <c r="E943" i="81"/>
  <c r="D943" i="81"/>
  <c r="B943" i="81"/>
  <c r="N942" i="81"/>
  <c r="M942" i="81"/>
  <c r="H942" i="81"/>
  <c r="I942" i="81" s="1"/>
  <c r="F942" i="81"/>
  <c r="E942" i="81"/>
  <c r="D942" i="81"/>
  <c r="B942" i="81"/>
  <c r="N941" i="81"/>
  <c r="M941" i="81"/>
  <c r="H941" i="81"/>
  <c r="J941" i="81" s="1"/>
  <c r="F941" i="81"/>
  <c r="E941" i="81"/>
  <c r="D941" i="81"/>
  <c r="B941" i="81"/>
  <c r="N940" i="81"/>
  <c r="M940" i="81"/>
  <c r="H940" i="81"/>
  <c r="J940" i="81" s="1"/>
  <c r="F940" i="81"/>
  <c r="E940" i="81"/>
  <c r="D940" i="81"/>
  <c r="B940" i="81"/>
  <c r="N939" i="81"/>
  <c r="M939" i="81"/>
  <c r="H939" i="81"/>
  <c r="K939" i="81" s="1"/>
  <c r="F939" i="81"/>
  <c r="E939" i="81"/>
  <c r="D939" i="81"/>
  <c r="B939" i="81"/>
  <c r="N938" i="81"/>
  <c r="M938" i="81"/>
  <c r="H938" i="81"/>
  <c r="K938" i="81" s="1"/>
  <c r="F938" i="81"/>
  <c r="E938" i="81"/>
  <c r="D938" i="81"/>
  <c r="B938" i="81"/>
  <c r="N937" i="81"/>
  <c r="M937" i="81"/>
  <c r="H937" i="81"/>
  <c r="I937" i="81" s="1"/>
  <c r="F937" i="81"/>
  <c r="E937" i="81"/>
  <c r="D937" i="81"/>
  <c r="B937" i="81"/>
  <c r="N936" i="81"/>
  <c r="M936" i="81"/>
  <c r="H936" i="81"/>
  <c r="K936" i="81" s="1"/>
  <c r="F936" i="81"/>
  <c r="E936" i="81"/>
  <c r="D936" i="81"/>
  <c r="B936" i="81"/>
  <c r="N935" i="81"/>
  <c r="M935" i="81"/>
  <c r="H935" i="81"/>
  <c r="L935" i="81" s="1"/>
  <c r="F935" i="81"/>
  <c r="E935" i="81"/>
  <c r="D935" i="81"/>
  <c r="B935" i="81"/>
  <c r="N934" i="81"/>
  <c r="M934" i="81"/>
  <c r="H934" i="81"/>
  <c r="L934" i="81" s="1"/>
  <c r="F934" i="81"/>
  <c r="E934" i="81"/>
  <c r="D934" i="81"/>
  <c r="B934" i="81"/>
  <c r="N933" i="81"/>
  <c r="M933" i="81"/>
  <c r="H933" i="81"/>
  <c r="L933" i="81" s="1"/>
  <c r="F933" i="81"/>
  <c r="E933" i="81"/>
  <c r="D933" i="81"/>
  <c r="B933" i="81"/>
  <c r="N932" i="81"/>
  <c r="M932" i="81"/>
  <c r="H932" i="81"/>
  <c r="L932" i="81" s="1"/>
  <c r="F932" i="81"/>
  <c r="E932" i="81"/>
  <c r="D932" i="81"/>
  <c r="B932" i="81"/>
  <c r="N931" i="81"/>
  <c r="M931" i="81"/>
  <c r="H931" i="81"/>
  <c r="I931" i="81" s="1"/>
  <c r="F931" i="81"/>
  <c r="E931" i="81"/>
  <c r="D931" i="81"/>
  <c r="B931" i="81"/>
  <c r="N930" i="81"/>
  <c r="M930" i="81"/>
  <c r="H930" i="81"/>
  <c r="K930" i="81" s="1"/>
  <c r="F930" i="81"/>
  <c r="E930" i="81"/>
  <c r="D930" i="81"/>
  <c r="B930" i="81"/>
  <c r="N929" i="81"/>
  <c r="M929" i="81"/>
  <c r="H929" i="81"/>
  <c r="J929" i="81" s="1"/>
  <c r="F929" i="81"/>
  <c r="E929" i="81"/>
  <c r="D929" i="81"/>
  <c r="B929" i="81"/>
  <c r="N928" i="81"/>
  <c r="M928" i="81"/>
  <c r="H928" i="81"/>
  <c r="J928" i="81" s="1"/>
  <c r="F928" i="81"/>
  <c r="E928" i="81"/>
  <c r="D928" i="81"/>
  <c r="B928" i="81"/>
  <c r="N927" i="81"/>
  <c r="M927" i="81"/>
  <c r="H927" i="81"/>
  <c r="K927" i="81" s="1"/>
  <c r="F927" i="81"/>
  <c r="E927" i="81"/>
  <c r="D927" i="81"/>
  <c r="B927" i="81"/>
  <c r="N926" i="81"/>
  <c r="M926" i="81"/>
  <c r="H926" i="81"/>
  <c r="L926" i="81" s="1"/>
  <c r="F926" i="81"/>
  <c r="E926" i="81"/>
  <c r="D926" i="81"/>
  <c r="B926" i="81"/>
  <c r="N921" i="81"/>
  <c r="M921" i="81"/>
  <c r="H921" i="81"/>
  <c r="K921" i="81" s="1"/>
  <c r="F921" i="81"/>
  <c r="E921" i="81"/>
  <c r="D921" i="81"/>
  <c r="B921" i="81"/>
  <c r="N920" i="81"/>
  <c r="M920" i="81"/>
  <c r="H920" i="81"/>
  <c r="J920" i="81" s="1"/>
  <c r="F920" i="81"/>
  <c r="E920" i="81"/>
  <c r="D920" i="81"/>
  <c r="B920" i="81"/>
  <c r="N919" i="81"/>
  <c r="M919" i="81"/>
  <c r="H919" i="81"/>
  <c r="K919" i="81" s="1"/>
  <c r="F919" i="81"/>
  <c r="E919" i="81"/>
  <c r="D919" i="81"/>
  <c r="B919" i="81"/>
  <c r="N918" i="81"/>
  <c r="M918" i="81"/>
  <c r="H918" i="81"/>
  <c r="L918" i="81" s="1"/>
  <c r="F918" i="81"/>
  <c r="E918" i="81"/>
  <c r="D918" i="81"/>
  <c r="B918" i="81"/>
  <c r="N917" i="81"/>
  <c r="M917" i="81"/>
  <c r="H917" i="81"/>
  <c r="I917" i="81" s="1"/>
  <c r="F917" i="81"/>
  <c r="E917" i="81"/>
  <c r="D917" i="81"/>
  <c r="B917" i="81"/>
  <c r="N916" i="81"/>
  <c r="M916" i="81"/>
  <c r="H916" i="81"/>
  <c r="K916" i="81" s="1"/>
  <c r="F916" i="81"/>
  <c r="E916" i="81"/>
  <c r="D916" i="81"/>
  <c r="B916" i="81"/>
  <c r="N915" i="81"/>
  <c r="M915" i="81"/>
  <c r="H915" i="81"/>
  <c r="L915" i="81" s="1"/>
  <c r="F915" i="81"/>
  <c r="E915" i="81"/>
  <c r="D915" i="81"/>
  <c r="B915" i="81"/>
  <c r="N914" i="81"/>
  <c r="M914" i="81"/>
  <c r="H914" i="81"/>
  <c r="L914" i="81" s="1"/>
  <c r="F914" i="81"/>
  <c r="E914" i="81"/>
  <c r="D914" i="81"/>
  <c r="B914" i="81"/>
  <c r="N913" i="81"/>
  <c r="M913" i="81"/>
  <c r="H913" i="81"/>
  <c r="L913" i="81" s="1"/>
  <c r="F913" i="81"/>
  <c r="E913" i="81"/>
  <c r="D913" i="81"/>
  <c r="B913" i="81"/>
  <c r="N912" i="81"/>
  <c r="M912" i="81"/>
  <c r="H912" i="81"/>
  <c r="L912" i="81" s="1"/>
  <c r="F912" i="81"/>
  <c r="E912" i="81"/>
  <c r="D912" i="81"/>
  <c r="B912" i="81"/>
  <c r="N907" i="81"/>
  <c r="M907" i="81"/>
  <c r="H907" i="81"/>
  <c r="L907" i="81" s="1"/>
  <c r="F907" i="81"/>
  <c r="E907" i="81"/>
  <c r="D907" i="81"/>
  <c r="B907" i="81"/>
  <c r="N906" i="81"/>
  <c r="M906" i="81"/>
  <c r="H906" i="81"/>
  <c r="I906" i="81" s="1"/>
  <c r="F906" i="81"/>
  <c r="E906" i="81"/>
  <c r="D906" i="81"/>
  <c r="B906" i="81"/>
  <c r="N905" i="81"/>
  <c r="M905" i="81"/>
  <c r="H905" i="81"/>
  <c r="K905" i="81" s="1"/>
  <c r="F905" i="81"/>
  <c r="E905" i="81"/>
  <c r="D905" i="81"/>
  <c r="B905" i="81"/>
  <c r="N904" i="81"/>
  <c r="M904" i="81"/>
  <c r="H904" i="81"/>
  <c r="L904" i="81" s="1"/>
  <c r="F904" i="81"/>
  <c r="E904" i="81"/>
  <c r="D904" i="81"/>
  <c r="B904" i="81"/>
  <c r="N903" i="81"/>
  <c r="M903" i="81"/>
  <c r="H903" i="81"/>
  <c r="L903" i="81" s="1"/>
  <c r="F903" i="81"/>
  <c r="E903" i="81"/>
  <c r="D903" i="81"/>
  <c r="B903" i="81"/>
  <c r="N902" i="81"/>
  <c r="M902" i="81"/>
  <c r="H902" i="81"/>
  <c r="L902" i="81" s="1"/>
  <c r="F902" i="81"/>
  <c r="E902" i="81"/>
  <c r="D902" i="81"/>
  <c r="B902" i="81"/>
  <c r="N901" i="81"/>
  <c r="M901" i="81"/>
  <c r="H901" i="81"/>
  <c r="L901" i="81" s="1"/>
  <c r="F901" i="81"/>
  <c r="E901" i="81"/>
  <c r="D901" i="81"/>
  <c r="B901" i="81"/>
  <c r="N900" i="81"/>
  <c r="M900" i="81"/>
  <c r="H900" i="81"/>
  <c r="I900" i="81" s="1"/>
  <c r="F900" i="81"/>
  <c r="E900" i="81"/>
  <c r="D900" i="81"/>
  <c r="B900" i="81"/>
  <c r="A899" i="81"/>
  <c r="M899" i="81" s="1"/>
  <c r="A898" i="81"/>
  <c r="M898" i="81" s="1"/>
  <c r="N840" i="81"/>
  <c r="M840" i="81"/>
  <c r="H840" i="81"/>
  <c r="J840" i="81" s="1"/>
  <c r="F840" i="81"/>
  <c r="E840" i="81"/>
  <c r="D840" i="81"/>
  <c r="B840" i="81"/>
  <c r="N839" i="81"/>
  <c r="M839" i="81"/>
  <c r="H839" i="81"/>
  <c r="K839" i="81" s="1"/>
  <c r="F839" i="81"/>
  <c r="E839" i="81"/>
  <c r="D839" i="81"/>
  <c r="B839" i="81"/>
  <c r="N838" i="81"/>
  <c r="M838" i="81"/>
  <c r="H838" i="81"/>
  <c r="L838" i="81" s="1"/>
  <c r="F838" i="81"/>
  <c r="E838" i="81"/>
  <c r="D838" i="81"/>
  <c r="B838" i="81"/>
  <c r="N837" i="81"/>
  <c r="M837" i="81"/>
  <c r="H837" i="81"/>
  <c r="K837" i="81" s="1"/>
  <c r="F837" i="81"/>
  <c r="E837" i="81"/>
  <c r="D837" i="81"/>
  <c r="B837" i="81"/>
  <c r="N836" i="81"/>
  <c r="M836" i="81"/>
  <c r="H836" i="81"/>
  <c r="L836" i="81" s="1"/>
  <c r="F836" i="81"/>
  <c r="E836" i="81"/>
  <c r="D836" i="81"/>
  <c r="B836" i="81"/>
  <c r="N835" i="81"/>
  <c r="M835" i="81"/>
  <c r="H835" i="81"/>
  <c r="I835" i="81" s="1"/>
  <c r="F835" i="81"/>
  <c r="E835" i="81"/>
  <c r="D835" i="81"/>
  <c r="B835" i="81"/>
  <c r="N834" i="81"/>
  <c r="M834" i="81"/>
  <c r="H834" i="81"/>
  <c r="I834" i="81" s="1"/>
  <c r="F834" i="81"/>
  <c r="E834" i="81"/>
  <c r="D834" i="81"/>
  <c r="B834" i="81"/>
  <c r="N833" i="81"/>
  <c r="M833" i="81"/>
  <c r="H833" i="81"/>
  <c r="L833" i="81" s="1"/>
  <c r="F833" i="81"/>
  <c r="E833" i="81"/>
  <c r="D833" i="81"/>
  <c r="B833" i="81"/>
  <c r="N832" i="81"/>
  <c r="M832" i="81"/>
  <c r="H832" i="81"/>
  <c r="L832" i="81" s="1"/>
  <c r="F832" i="81"/>
  <c r="E832" i="81"/>
  <c r="D832" i="81"/>
  <c r="B832" i="81"/>
  <c r="N831" i="81"/>
  <c r="M831" i="81"/>
  <c r="H831" i="81"/>
  <c r="L831" i="81" s="1"/>
  <c r="F831" i="81"/>
  <c r="E831" i="81"/>
  <c r="D831" i="81"/>
  <c r="B831" i="81"/>
  <c r="N830" i="81"/>
  <c r="M830" i="81"/>
  <c r="H830" i="81"/>
  <c r="L830" i="81" s="1"/>
  <c r="F830" i="81"/>
  <c r="E830" i="81"/>
  <c r="D830" i="81"/>
  <c r="B830" i="81"/>
  <c r="N829" i="81"/>
  <c r="M829" i="81"/>
  <c r="H829" i="81"/>
  <c r="I829" i="81" s="1"/>
  <c r="F829" i="81"/>
  <c r="E829" i="81"/>
  <c r="D829" i="81"/>
  <c r="B829" i="81"/>
  <c r="N828" i="81"/>
  <c r="M828" i="81"/>
  <c r="H828" i="81"/>
  <c r="K828" i="81" s="1"/>
  <c r="F828" i="81"/>
  <c r="E828" i="81"/>
  <c r="D828" i="81"/>
  <c r="B828" i="81"/>
  <c r="N827" i="81"/>
  <c r="M827" i="81"/>
  <c r="H827" i="81"/>
  <c r="K827" i="81" s="1"/>
  <c r="F827" i="81"/>
  <c r="E827" i="81"/>
  <c r="D827" i="81"/>
  <c r="B827" i="81"/>
  <c r="N826" i="81"/>
  <c r="M826" i="81"/>
  <c r="H826" i="81"/>
  <c r="L826" i="81" s="1"/>
  <c r="F826" i="81"/>
  <c r="E826" i="81"/>
  <c r="D826" i="81"/>
  <c r="B826" i="81"/>
  <c r="N825" i="81"/>
  <c r="M825" i="81"/>
  <c r="H825" i="81"/>
  <c r="K825" i="81" s="1"/>
  <c r="F825" i="81"/>
  <c r="E825" i="81"/>
  <c r="D825" i="81"/>
  <c r="B825" i="81"/>
  <c r="N824" i="81"/>
  <c r="M824" i="81"/>
  <c r="H824" i="81"/>
  <c r="J824" i="81" s="1"/>
  <c r="F824" i="81"/>
  <c r="E824" i="81"/>
  <c r="D824" i="81"/>
  <c r="B824" i="81"/>
  <c r="N823" i="81"/>
  <c r="M823" i="81"/>
  <c r="H823" i="81"/>
  <c r="I823" i="81" s="1"/>
  <c r="F823" i="81"/>
  <c r="E823" i="81"/>
  <c r="D823" i="81"/>
  <c r="B823" i="81"/>
  <c r="N822" i="81"/>
  <c r="M822" i="81"/>
  <c r="H822" i="81"/>
  <c r="I822" i="81" s="1"/>
  <c r="F822" i="81"/>
  <c r="E822" i="81"/>
  <c r="D822" i="81"/>
  <c r="B822" i="81"/>
  <c r="N817" i="81"/>
  <c r="M817" i="81"/>
  <c r="H817" i="81"/>
  <c r="K817" i="81" s="1"/>
  <c r="F817" i="81"/>
  <c r="E817" i="81"/>
  <c r="D817" i="81"/>
  <c r="B817" i="81"/>
  <c r="N816" i="81"/>
  <c r="M816" i="81"/>
  <c r="H816" i="81"/>
  <c r="L816" i="81" s="1"/>
  <c r="F816" i="81"/>
  <c r="E816" i="81"/>
  <c r="D816" i="81"/>
  <c r="B816" i="81"/>
  <c r="N815" i="81"/>
  <c r="M815" i="81"/>
  <c r="H815" i="81"/>
  <c r="L815" i="81" s="1"/>
  <c r="F815" i="81"/>
  <c r="E815" i="81"/>
  <c r="D815" i="81"/>
  <c r="B815" i="81"/>
  <c r="N814" i="81"/>
  <c r="M814" i="81"/>
  <c r="H814" i="81"/>
  <c r="I814" i="81" s="1"/>
  <c r="F814" i="81"/>
  <c r="E814" i="81"/>
  <c r="D814" i="81"/>
  <c r="B814" i="81"/>
  <c r="N813" i="81"/>
  <c r="M813" i="81"/>
  <c r="H813" i="81"/>
  <c r="L813" i="81" s="1"/>
  <c r="F813" i="81"/>
  <c r="E813" i="81"/>
  <c r="D813" i="81"/>
  <c r="B813" i="81"/>
  <c r="N812" i="81"/>
  <c r="M812" i="81"/>
  <c r="H812" i="81"/>
  <c r="L812" i="81" s="1"/>
  <c r="F812" i="81"/>
  <c r="E812" i="81"/>
  <c r="D812" i="81"/>
  <c r="B812" i="81"/>
  <c r="N811" i="81"/>
  <c r="M811" i="81"/>
  <c r="H811" i="81"/>
  <c r="L811" i="81" s="1"/>
  <c r="F811" i="81"/>
  <c r="E811" i="81"/>
  <c r="D811" i="81"/>
  <c r="B811" i="81"/>
  <c r="N810" i="81"/>
  <c r="M810" i="81"/>
  <c r="H810" i="81"/>
  <c r="L810" i="81" s="1"/>
  <c r="F810" i="81"/>
  <c r="E810" i="81"/>
  <c r="D810" i="81"/>
  <c r="B810" i="81"/>
  <c r="N809" i="81"/>
  <c r="M809" i="81"/>
  <c r="H809" i="81"/>
  <c r="I809" i="81" s="1"/>
  <c r="F809" i="81"/>
  <c r="E809" i="81"/>
  <c r="D809" i="81"/>
  <c r="B809" i="81"/>
  <c r="N808" i="81"/>
  <c r="M808" i="81"/>
  <c r="H808" i="81"/>
  <c r="L808" i="81" s="1"/>
  <c r="F808" i="81"/>
  <c r="E808" i="81"/>
  <c r="D808" i="81"/>
  <c r="B808" i="81"/>
  <c r="N803" i="81"/>
  <c r="M803" i="81"/>
  <c r="H803" i="81"/>
  <c r="I803" i="81" s="1"/>
  <c r="F803" i="81"/>
  <c r="E803" i="81"/>
  <c r="D803" i="81"/>
  <c r="B803" i="81"/>
  <c r="N802" i="81"/>
  <c r="M802" i="81"/>
  <c r="H802" i="81"/>
  <c r="L802" i="81" s="1"/>
  <c r="F802" i="81"/>
  <c r="E802" i="81"/>
  <c r="D802" i="81"/>
  <c r="B802" i="81"/>
  <c r="N801" i="81"/>
  <c r="M801" i="81"/>
  <c r="H801" i="81"/>
  <c r="L801" i="81" s="1"/>
  <c r="F801" i="81"/>
  <c r="E801" i="81"/>
  <c r="D801" i="81"/>
  <c r="B801" i="81"/>
  <c r="N800" i="81"/>
  <c r="M800" i="81"/>
  <c r="H800" i="81"/>
  <c r="L800" i="81" s="1"/>
  <c r="F800" i="81"/>
  <c r="E800" i="81"/>
  <c r="D800" i="81"/>
  <c r="B800" i="81"/>
  <c r="N799" i="81"/>
  <c r="M799" i="81"/>
  <c r="H799" i="81"/>
  <c r="K799" i="81" s="1"/>
  <c r="F799" i="81"/>
  <c r="E799" i="81"/>
  <c r="D799" i="81"/>
  <c r="B799" i="81"/>
  <c r="N798" i="81"/>
  <c r="M798" i="81"/>
  <c r="H798" i="81"/>
  <c r="I798" i="81" s="1"/>
  <c r="F798" i="81"/>
  <c r="E798" i="81"/>
  <c r="D798" i="81"/>
  <c r="B798" i="81"/>
  <c r="N797" i="81"/>
  <c r="M797" i="81"/>
  <c r="H797" i="81"/>
  <c r="K797" i="81" s="1"/>
  <c r="F797" i="81"/>
  <c r="E797" i="81"/>
  <c r="D797" i="81"/>
  <c r="B797" i="81"/>
  <c r="N796" i="81"/>
  <c r="M796" i="81"/>
  <c r="H796" i="81"/>
  <c r="K796" i="81" s="1"/>
  <c r="F796" i="81"/>
  <c r="E796" i="81"/>
  <c r="D796" i="81"/>
  <c r="B796" i="81"/>
  <c r="A795" i="81"/>
  <c r="B795" i="81" s="1"/>
  <c r="A794" i="81"/>
  <c r="B794" i="81" s="1"/>
  <c r="S127" i="82"/>
  <c r="S125" i="82"/>
  <c r="S123" i="82"/>
  <c r="D128" i="82"/>
  <c r="D130" i="82" s="1"/>
  <c r="D129" i="82"/>
  <c r="A632" i="81"/>
  <c r="C622" i="81"/>
  <c r="A526" i="81"/>
  <c r="A523" i="81"/>
  <c r="A522" i="81"/>
  <c r="G148" i="83"/>
  <c r="A517" i="81"/>
  <c r="A516" i="81"/>
  <c r="A515" i="81"/>
  <c r="A514" i="81"/>
  <c r="B1000" i="81" l="1"/>
  <c r="G1988" i="81"/>
  <c r="U1988" i="81" s="1"/>
  <c r="D1991" i="81"/>
  <c r="B792" i="81"/>
  <c r="E792" i="81"/>
  <c r="E896" i="81"/>
  <c r="G896" i="81"/>
  <c r="U896" i="81" s="1"/>
  <c r="B1991" i="81"/>
  <c r="N1991" i="81" s="1"/>
  <c r="K2022" i="81"/>
  <c r="I2027" i="81"/>
  <c r="J2027" i="81"/>
  <c r="K2027" i="81"/>
  <c r="L2009" i="81"/>
  <c r="I1996" i="81"/>
  <c r="L1996" i="81"/>
  <c r="K2013" i="81"/>
  <c r="I1998" i="81"/>
  <c r="L1992" i="81"/>
  <c r="J2032" i="81"/>
  <c r="K1998" i="81"/>
  <c r="J1998" i="81"/>
  <c r="J1996" i="81"/>
  <c r="J2006" i="81"/>
  <c r="J2010" i="81"/>
  <c r="I2025" i="81"/>
  <c r="L2029" i="81"/>
  <c r="K2007" i="81"/>
  <c r="I2019" i="81"/>
  <c r="J2028" i="81"/>
  <c r="K2028" i="81"/>
  <c r="K2021" i="81"/>
  <c r="L2018" i="81"/>
  <c r="J2033" i="81"/>
  <c r="J1995" i="81"/>
  <c r="J2026" i="81"/>
  <c r="L2030" i="81"/>
  <c r="K2033" i="81"/>
  <c r="I1992" i="81"/>
  <c r="J2007" i="81"/>
  <c r="J2012" i="81"/>
  <c r="J2020" i="81"/>
  <c r="J1999" i="81"/>
  <c r="L2007" i="81"/>
  <c r="I2011" i="81"/>
  <c r="L2023" i="81"/>
  <c r="K2034" i="81"/>
  <c r="L1999" i="81"/>
  <c r="K2011" i="81"/>
  <c r="L2034" i="81"/>
  <c r="I1994" i="81"/>
  <c r="K1994" i="81"/>
  <c r="I2005" i="81"/>
  <c r="I2009" i="81"/>
  <c r="L2010" i="81"/>
  <c r="L2022" i="81"/>
  <c r="K2005" i="81"/>
  <c r="J2009" i="81"/>
  <c r="J2029" i="81"/>
  <c r="J2013" i="81"/>
  <c r="J2021" i="81"/>
  <c r="I2028" i="81"/>
  <c r="K2029" i="81"/>
  <c r="I2032" i="81"/>
  <c r="B1990" i="81"/>
  <c r="N1990" i="81" s="1"/>
  <c r="L2008" i="81"/>
  <c r="D1990" i="81"/>
  <c r="I2012" i="81"/>
  <c r="I2020" i="81"/>
  <c r="I1995" i="81"/>
  <c r="K1997" i="81"/>
  <c r="I2006" i="81"/>
  <c r="K2008" i="81"/>
  <c r="I2026" i="81"/>
  <c r="O1988" i="81"/>
  <c r="I1993" i="81"/>
  <c r="J1994" i="81"/>
  <c r="K1995" i="81"/>
  <c r="I2004" i="81"/>
  <c r="J2005" i="81"/>
  <c r="K2006" i="81"/>
  <c r="I2024" i="81"/>
  <c r="J2025" i="81"/>
  <c r="K2026" i="81"/>
  <c r="I2036" i="81"/>
  <c r="J1993" i="81"/>
  <c r="J2004" i="81"/>
  <c r="I2023" i="81"/>
  <c r="J2024" i="81"/>
  <c r="K2025" i="81"/>
  <c r="I2035" i="81"/>
  <c r="J2036" i="81"/>
  <c r="E1988" i="81"/>
  <c r="J1992" i="81"/>
  <c r="K1993" i="81"/>
  <c r="K2004" i="81"/>
  <c r="I2022" i="81"/>
  <c r="J2023" i="81"/>
  <c r="K2024" i="81"/>
  <c r="I2034" i="81"/>
  <c r="J2035" i="81"/>
  <c r="K2036" i="81"/>
  <c r="L1997" i="81"/>
  <c r="I2013" i="81"/>
  <c r="I2021" i="81"/>
  <c r="I2033" i="81"/>
  <c r="K2035" i="81"/>
  <c r="I2031" i="81"/>
  <c r="I1999" i="81"/>
  <c r="I2010" i="81"/>
  <c r="J2011" i="81"/>
  <c r="K2012" i="81"/>
  <c r="I2018" i="81"/>
  <c r="J2019" i="81"/>
  <c r="K2020" i="81"/>
  <c r="I2030" i="81"/>
  <c r="J2031" i="81"/>
  <c r="K2032" i="81"/>
  <c r="J2018" i="81"/>
  <c r="K2019" i="81"/>
  <c r="J2030" i="81"/>
  <c r="K2031" i="81"/>
  <c r="I1997" i="81"/>
  <c r="I2008" i="81"/>
  <c r="D898" i="81"/>
  <c r="B898" i="81"/>
  <c r="N898" i="81" s="1"/>
  <c r="M1002" i="81"/>
  <c r="B899" i="81"/>
  <c r="N899" i="81" s="1"/>
  <c r="D899" i="81"/>
  <c r="B1002" i="81"/>
  <c r="K942" i="81"/>
  <c r="K1044" i="81"/>
  <c r="K815" i="81"/>
  <c r="L828" i="81"/>
  <c r="J833" i="81"/>
  <c r="L797" i="81"/>
  <c r="I1017" i="81"/>
  <c r="L824" i="81"/>
  <c r="I839" i="81"/>
  <c r="J839" i="81"/>
  <c r="L921" i="81"/>
  <c r="K814" i="81"/>
  <c r="K1007" i="81"/>
  <c r="I1030" i="81"/>
  <c r="K824" i="81"/>
  <c r="J921" i="81"/>
  <c r="L928" i="81"/>
  <c r="L931" i="81"/>
  <c r="J802" i="81"/>
  <c r="K906" i="81"/>
  <c r="J1019" i="81"/>
  <c r="I933" i="81"/>
  <c r="I938" i="81"/>
  <c r="K941" i="81"/>
  <c r="K1019" i="81"/>
  <c r="J938" i="81"/>
  <c r="L941" i="81"/>
  <c r="L1009" i="81"/>
  <c r="L938" i="81"/>
  <c r="K1038" i="81"/>
  <c r="I808" i="81"/>
  <c r="J808" i="81"/>
  <c r="J828" i="81"/>
  <c r="K836" i="81"/>
  <c r="L839" i="81"/>
  <c r="L905" i="81"/>
  <c r="K917" i="81"/>
  <c r="J1018" i="81"/>
  <c r="L929" i="81"/>
  <c r="L798" i="81"/>
  <c r="I824" i="81"/>
  <c r="K835" i="81"/>
  <c r="K907" i="81"/>
  <c r="L916" i="81"/>
  <c r="J1017" i="81"/>
  <c r="J1025" i="81"/>
  <c r="J1032" i="81"/>
  <c r="I1042" i="81"/>
  <c r="I921" i="81"/>
  <c r="K931" i="81"/>
  <c r="J919" i="81"/>
  <c r="J927" i="81"/>
  <c r="J1037" i="81"/>
  <c r="K838" i="81"/>
  <c r="K1040" i="81"/>
  <c r="L799" i="81"/>
  <c r="L809" i="81"/>
  <c r="K822" i="81"/>
  <c r="L829" i="81"/>
  <c r="J900" i="81"/>
  <c r="I915" i="81"/>
  <c r="J918" i="81"/>
  <c r="I930" i="81"/>
  <c r="J943" i="81"/>
  <c r="K1024" i="81"/>
  <c r="J814" i="81"/>
  <c r="L822" i="81"/>
  <c r="I828" i="81"/>
  <c r="K900" i="81"/>
  <c r="K918" i="81"/>
  <c r="I926" i="81"/>
  <c r="J930" i="81"/>
  <c r="I1011" i="81"/>
  <c r="K809" i="81"/>
  <c r="L930" i="81"/>
  <c r="I831" i="81"/>
  <c r="J837" i="81"/>
  <c r="I929" i="81"/>
  <c r="J822" i="81"/>
  <c r="K813" i="81"/>
  <c r="L827" i="81"/>
  <c r="I840" i="81"/>
  <c r="K920" i="81"/>
  <c r="I928" i="81"/>
  <c r="I935" i="81"/>
  <c r="I941" i="81"/>
  <c r="I1038" i="81"/>
  <c r="I1044" i="81"/>
  <c r="I797" i="81"/>
  <c r="J797" i="81"/>
  <c r="J816" i="81"/>
  <c r="I833" i="81"/>
  <c r="J836" i="81"/>
  <c r="L840" i="81"/>
  <c r="I904" i="81"/>
  <c r="J907" i="81"/>
  <c r="L920" i="81"/>
  <c r="K928" i="81"/>
  <c r="J935" i="81"/>
  <c r="J1007" i="81"/>
  <c r="K1017" i="81"/>
  <c r="J1038" i="81"/>
  <c r="J1044" i="81"/>
  <c r="K802" i="81"/>
  <c r="K829" i="81"/>
  <c r="K816" i="81"/>
  <c r="K1032" i="81"/>
  <c r="I1037" i="81"/>
  <c r="K798" i="81"/>
  <c r="J813" i="81"/>
  <c r="J827" i="81"/>
  <c r="K840" i="81"/>
  <c r="K929" i="81"/>
  <c r="J942" i="81"/>
  <c r="L943" i="81"/>
  <c r="J1024" i="81"/>
  <c r="L1025" i="81"/>
  <c r="K1045" i="81"/>
  <c r="L1045" i="81"/>
  <c r="I796" i="81"/>
  <c r="J817" i="81"/>
  <c r="I826" i="81"/>
  <c r="J834" i="81"/>
  <c r="I902" i="81"/>
  <c r="I913" i="81"/>
  <c r="J936" i="81"/>
  <c r="I940" i="81"/>
  <c r="L942" i="81"/>
  <c r="I1008" i="81"/>
  <c r="J1020" i="81"/>
  <c r="I1023" i="81"/>
  <c r="L1024" i="81"/>
  <c r="J1033" i="81"/>
  <c r="J796" i="81"/>
  <c r="J809" i="81"/>
  <c r="I816" i="81"/>
  <c r="K826" i="81"/>
  <c r="K834" i="81"/>
  <c r="I838" i="81"/>
  <c r="J905" i="81"/>
  <c r="J916" i="81"/>
  <c r="I920" i="81"/>
  <c r="L936" i="81"/>
  <c r="K940" i="81"/>
  <c r="J1008" i="81"/>
  <c r="I1019" i="81"/>
  <c r="L1020" i="81"/>
  <c r="J1023" i="81"/>
  <c r="I1032" i="81"/>
  <c r="K1033" i="81"/>
  <c r="L834" i="81"/>
  <c r="L940" i="81"/>
  <c r="K1008" i="81"/>
  <c r="L1033" i="81"/>
  <c r="J803" i="81"/>
  <c r="K808" i="81"/>
  <c r="J825" i="81"/>
  <c r="K833" i="81"/>
  <c r="J904" i="81"/>
  <c r="J915" i="81"/>
  <c r="J926" i="81"/>
  <c r="K935" i="81"/>
  <c r="J939" i="81"/>
  <c r="B1003" i="81"/>
  <c r="N1003" i="81" s="1"/>
  <c r="I1006" i="81"/>
  <c r="L1007" i="81"/>
  <c r="K1018" i="81"/>
  <c r="I1022" i="81"/>
  <c r="I1031" i="81"/>
  <c r="I1039" i="81"/>
  <c r="L1040" i="81"/>
  <c r="K803" i="81"/>
  <c r="K904" i="81"/>
  <c r="K915" i="81"/>
  <c r="K926" i="81"/>
  <c r="D1003" i="81"/>
  <c r="J1006" i="81"/>
  <c r="L1018" i="81"/>
  <c r="J1031" i="81"/>
  <c r="J1039" i="81"/>
  <c r="L796" i="81"/>
  <c r="I802" i="81"/>
  <c r="L803" i="81"/>
  <c r="I811" i="81"/>
  <c r="J829" i="81"/>
  <c r="I836" i="81"/>
  <c r="I907" i="81"/>
  <c r="I918" i="81"/>
  <c r="J931" i="81"/>
  <c r="K1006" i="81"/>
  <c r="K1039" i="81"/>
  <c r="I800" i="81"/>
  <c r="J798" i="81"/>
  <c r="I813" i="81"/>
  <c r="L814" i="81"/>
  <c r="K823" i="81"/>
  <c r="I827" i="81"/>
  <c r="L900" i="81"/>
  <c r="K937" i="81"/>
  <c r="K943" i="81"/>
  <c r="K1025" i="81"/>
  <c r="K1037" i="81"/>
  <c r="J1045" i="81"/>
  <c r="U1000" i="81"/>
  <c r="I815" i="81"/>
  <c r="U792" i="81"/>
  <c r="M794" i="81"/>
  <c r="N794" i="81" s="1"/>
  <c r="M795" i="81"/>
  <c r="N795" i="81" s="1"/>
  <c r="J815" i="81"/>
  <c r="L817" i="81"/>
  <c r="J823" i="81"/>
  <c r="L825" i="81"/>
  <c r="J835" i="81"/>
  <c r="L837" i="81"/>
  <c r="I905" i="81"/>
  <c r="J906" i="81"/>
  <c r="I916" i="81"/>
  <c r="J917" i="81"/>
  <c r="L919" i="81"/>
  <c r="L927" i="81"/>
  <c r="I936" i="81"/>
  <c r="J937" i="81"/>
  <c r="L939" i="81"/>
  <c r="K1009" i="81"/>
  <c r="L1010" i="81"/>
  <c r="K1020" i="81"/>
  <c r="L1021" i="81"/>
  <c r="L1041" i="81"/>
  <c r="I801" i="81"/>
  <c r="I812" i="81"/>
  <c r="L823" i="81"/>
  <c r="I832" i="81"/>
  <c r="L835" i="81"/>
  <c r="I903" i="81"/>
  <c r="L906" i="81"/>
  <c r="I914" i="81"/>
  <c r="L917" i="81"/>
  <c r="I934" i="81"/>
  <c r="L937" i="81"/>
  <c r="O1000" i="81"/>
  <c r="I1005" i="81"/>
  <c r="I1016" i="81"/>
  <c r="I1036" i="81"/>
  <c r="I1048" i="81"/>
  <c r="J801" i="81"/>
  <c r="J832" i="81"/>
  <c r="J903" i="81"/>
  <c r="J934" i="81"/>
  <c r="I1004" i="81"/>
  <c r="J1005" i="81"/>
  <c r="J1016" i="81"/>
  <c r="I1035" i="81"/>
  <c r="J1036" i="81"/>
  <c r="I1047" i="81"/>
  <c r="J1048" i="81"/>
  <c r="J914" i="81"/>
  <c r="D794" i="81"/>
  <c r="D795" i="81"/>
  <c r="I799" i="81"/>
  <c r="J800" i="81"/>
  <c r="K801" i="81"/>
  <c r="I810" i="81"/>
  <c r="J811" i="81"/>
  <c r="K812" i="81"/>
  <c r="I830" i="81"/>
  <c r="J831" i="81"/>
  <c r="K832" i="81"/>
  <c r="O896" i="81"/>
  <c r="I901" i="81"/>
  <c r="J902" i="81"/>
  <c r="K903" i="81"/>
  <c r="I912" i="81"/>
  <c r="J913" i="81"/>
  <c r="K914" i="81"/>
  <c r="I932" i="81"/>
  <c r="J933" i="81"/>
  <c r="K934" i="81"/>
  <c r="I944" i="81"/>
  <c r="E1000" i="81"/>
  <c r="J1004" i="81"/>
  <c r="K1005" i="81"/>
  <c r="K1016" i="81"/>
  <c r="I1034" i="81"/>
  <c r="J1035" i="81"/>
  <c r="K1036" i="81"/>
  <c r="I1046" i="81"/>
  <c r="J1047" i="81"/>
  <c r="K1048" i="81"/>
  <c r="J812" i="81"/>
  <c r="J799" i="81"/>
  <c r="K800" i="81"/>
  <c r="J810" i="81"/>
  <c r="K811" i="81"/>
  <c r="J830" i="81"/>
  <c r="K831" i="81"/>
  <c r="J901" i="81"/>
  <c r="K902" i="81"/>
  <c r="J912" i="81"/>
  <c r="K913" i="81"/>
  <c r="J932" i="81"/>
  <c r="K933" i="81"/>
  <c r="J944" i="81"/>
  <c r="K1004" i="81"/>
  <c r="J1034" i="81"/>
  <c r="K1035" i="81"/>
  <c r="J1046" i="81"/>
  <c r="K1047" i="81"/>
  <c r="O792" i="81"/>
  <c r="K810" i="81"/>
  <c r="K830" i="81"/>
  <c r="K901" i="81"/>
  <c r="K912" i="81"/>
  <c r="K932" i="81"/>
  <c r="K944" i="81"/>
  <c r="K1034" i="81"/>
  <c r="K1046" i="81"/>
  <c r="I1043" i="81"/>
  <c r="J1043" i="81"/>
  <c r="I817" i="81"/>
  <c r="I825" i="81"/>
  <c r="J826" i="81"/>
  <c r="I837" i="81"/>
  <c r="J838" i="81"/>
  <c r="I919" i="81"/>
  <c r="I927" i="81"/>
  <c r="I939" i="81"/>
  <c r="I1010" i="81"/>
  <c r="J1011" i="81"/>
  <c r="I1021" i="81"/>
  <c r="J1022" i="81"/>
  <c r="K1023" i="81"/>
  <c r="J1030" i="81"/>
  <c r="K1031" i="81"/>
  <c r="I1041" i="81"/>
  <c r="J1042" i="81"/>
  <c r="K1043" i="81"/>
  <c r="I1009" i="81"/>
  <c r="J1010" i="81"/>
  <c r="K1011" i="81"/>
  <c r="J1021" i="81"/>
  <c r="K1022" i="81"/>
  <c r="K1030" i="81"/>
  <c r="I1040" i="81"/>
  <c r="J1041" i="81"/>
  <c r="K1042" i="81"/>
  <c r="P792" i="81" l="1"/>
  <c r="P896" i="81"/>
  <c r="P1988" i="81"/>
  <c r="N1002" i="81"/>
  <c r="P1000" i="81"/>
  <c r="B3704" i="81" l="1"/>
  <c r="A3548" i="81"/>
  <c r="B3548" i="81" s="1"/>
  <c r="A1312" i="81"/>
  <c r="G1312" i="81" s="1"/>
  <c r="A3392" i="81"/>
  <c r="O3392" i="81" s="1"/>
  <c r="N3752" i="81"/>
  <c r="M3752" i="81"/>
  <c r="H3752" i="81"/>
  <c r="F3752" i="81"/>
  <c r="E3752" i="81"/>
  <c r="D3752" i="81"/>
  <c r="B3752" i="81"/>
  <c r="N3751" i="81"/>
  <c r="M3751" i="81"/>
  <c r="H3751" i="81"/>
  <c r="L3751" i="81" s="1"/>
  <c r="F3751" i="81"/>
  <c r="E3751" i="81"/>
  <c r="D3751" i="81"/>
  <c r="B3751" i="81"/>
  <c r="N3750" i="81"/>
  <c r="M3750" i="81"/>
  <c r="H3750" i="81"/>
  <c r="I3750" i="81" s="1"/>
  <c r="F3750" i="81"/>
  <c r="E3750" i="81"/>
  <c r="D3750" i="81"/>
  <c r="B3750" i="81"/>
  <c r="N3749" i="81"/>
  <c r="M3749" i="81"/>
  <c r="H3749" i="81"/>
  <c r="F3749" i="81"/>
  <c r="E3749" i="81"/>
  <c r="D3749" i="81"/>
  <c r="B3749" i="81"/>
  <c r="N3748" i="81"/>
  <c r="M3748" i="81"/>
  <c r="H3748" i="81"/>
  <c r="L3748" i="81" s="1"/>
  <c r="F3748" i="81"/>
  <c r="E3748" i="81"/>
  <c r="D3748" i="81"/>
  <c r="B3748" i="81"/>
  <c r="N3747" i="81"/>
  <c r="M3747" i="81"/>
  <c r="H3747" i="81"/>
  <c r="K3747" i="81" s="1"/>
  <c r="F3747" i="81"/>
  <c r="E3747" i="81"/>
  <c r="D3747" i="81"/>
  <c r="B3747" i="81"/>
  <c r="N3746" i="81"/>
  <c r="M3746" i="81"/>
  <c r="H3746" i="81"/>
  <c r="J3746" i="81" s="1"/>
  <c r="F3746" i="81"/>
  <c r="E3746" i="81"/>
  <c r="D3746" i="81"/>
  <c r="B3746" i="81"/>
  <c r="N3745" i="81"/>
  <c r="M3745" i="81"/>
  <c r="H3745" i="81"/>
  <c r="F3745" i="81"/>
  <c r="E3745" i="81"/>
  <c r="D3745" i="81"/>
  <c r="B3745" i="81"/>
  <c r="N3744" i="81"/>
  <c r="M3744" i="81"/>
  <c r="H3744" i="81"/>
  <c r="L3744" i="81" s="1"/>
  <c r="F3744" i="81"/>
  <c r="E3744" i="81"/>
  <c r="D3744" i="81"/>
  <c r="B3744" i="81"/>
  <c r="N3743" i="81"/>
  <c r="M3743" i="81"/>
  <c r="H3743" i="81"/>
  <c r="K3743" i="81" s="1"/>
  <c r="F3743" i="81"/>
  <c r="E3743" i="81"/>
  <c r="D3743" i="81"/>
  <c r="B3743" i="81"/>
  <c r="N3729" i="81"/>
  <c r="M3729" i="81"/>
  <c r="H3729" i="81"/>
  <c r="I3729" i="81" s="1"/>
  <c r="F3729" i="81"/>
  <c r="E3729" i="81"/>
  <c r="D3729" i="81"/>
  <c r="B3729" i="81"/>
  <c r="N3728" i="81"/>
  <c r="M3728" i="81"/>
  <c r="H3728" i="81"/>
  <c r="L3728" i="81" s="1"/>
  <c r="F3728" i="81"/>
  <c r="E3728" i="81"/>
  <c r="D3728" i="81"/>
  <c r="B3728" i="81"/>
  <c r="N3727" i="81"/>
  <c r="M3727" i="81"/>
  <c r="H3727" i="81"/>
  <c r="K3727" i="81" s="1"/>
  <c r="F3727" i="81"/>
  <c r="E3727" i="81"/>
  <c r="D3727" i="81"/>
  <c r="B3727" i="81"/>
  <c r="N3726" i="81"/>
  <c r="M3726" i="81"/>
  <c r="H3726" i="81"/>
  <c r="J3726" i="81" s="1"/>
  <c r="F3726" i="81"/>
  <c r="E3726" i="81"/>
  <c r="D3726" i="81"/>
  <c r="B3726" i="81"/>
  <c r="N3725" i="81"/>
  <c r="M3725" i="81"/>
  <c r="H3725" i="81"/>
  <c r="F3725" i="81"/>
  <c r="E3725" i="81"/>
  <c r="D3725" i="81"/>
  <c r="B3725" i="81"/>
  <c r="N3724" i="81"/>
  <c r="M3724" i="81"/>
  <c r="H3724" i="81"/>
  <c r="K3724" i="81" s="1"/>
  <c r="F3724" i="81"/>
  <c r="E3724" i="81"/>
  <c r="D3724" i="81"/>
  <c r="B3724" i="81"/>
  <c r="M3723" i="81"/>
  <c r="H3723" i="81"/>
  <c r="E3723" i="81"/>
  <c r="F3723" i="81" s="1"/>
  <c r="D3723" i="81"/>
  <c r="B3723" i="81"/>
  <c r="M3722" i="81"/>
  <c r="H3722" i="81"/>
  <c r="E3722" i="81"/>
  <c r="F3722" i="81" s="1"/>
  <c r="D3722" i="81"/>
  <c r="B3722" i="81"/>
  <c r="M3721" i="81"/>
  <c r="H3721" i="81"/>
  <c r="J3721" i="81" s="1"/>
  <c r="E3721" i="81"/>
  <c r="F3721" i="81" s="1"/>
  <c r="D3721" i="81"/>
  <c r="B3721" i="81"/>
  <c r="M3720" i="81"/>
  <c r="H3720" i="81"/>
  <c r="E3720" i="81"/>
  <c r="F3720" i="81" s="1"/>
  <c r="D3720" i="81"/>
  <c r="B3720" i="81"/>
  <c r="N3715" i="81"/>
  <c r="M3715" i="81"/>
  <c r="H3715" i="81"/>
  <c r="K3715" i="81" s="1"/>
  <c r="F3715" i="81"/>
  <c r="E3715" i="81"/>
  <c r="D3715" i="81"/>
  <c r="B3715" i="81"/>
  <c r="N3714" i="81"/>
  <c r="M3714" i="81"/>
  <c r="H3714" i="81"/>
  <c r="J3714" i="81" s="1"/>
  <c r="F3714" i="81"/>
  <c r="E3714" i="81"/>
  <c r="D3714" i="81"/>
  <c r="B3714" i="81"/>
  <c r="N3713" i="81"/>
  <c r="M3713" i="81"/>
  <c r="H3713" i="81"/>
  <c r="L3713" i="81" s="1"/>
  <c r="F3713" i="81"/>
  <c r="E3713" i="81"/>
  <c r="D3713" i="81"/>
  <c r="B3713" i="81"/>
  <c r="N3712" i="81"/>
  <c r="M3712" i="81"/>
  <c r="H3712" i="81"/>
  <c r="K3712" i="81" s="1"/>
  <c r="F3712" i="81"/>
  <c r="E3712" i="81"/>
  <c r="D3712" i="81"/>
  <c r="B3712" i="81"/>
  <c r="M3711" i="81"/>
  <c r="D3711" i="81"/>
  <c r="B3711" i="81"/>
  <c r="M3710" i="81"/>
  <c r="D3710" i="81"/>
  <c r="B3710" i="81"/>
  <c r="M3709" i="81"/>
  <c r="D3709" i="81"/>
  <c r="B3709" i="81"/>
  <c r="M3708" i="81"/>
  <c r="D3708" i="81"/>
  <c r="B3708" i="81"/>
  <c r="B3706" i="81"/>
  <c r="N3596" i="81"/>
  <c r="M3596" i="81"/>
  <c r="H3596" i="81"/>
  <c r="F3596" i="81"/>
  <c r="E3596" i="81"/>
  <c r="D3596" i="81"/>
  <c r="B3596" i="81"/>
  <c r="N3595" i="81"/>
  <c r="M3595" i="81"/>
  <c r="H3595" i="81"/>
  <c r="L3595" i="81" s="1"/>
  <c r="F3595" i="81"/>
  <c r="E3595" i="81"/>
  <c r="D3595" i="81"/>
  <c r="B3595" i="81"/>
  <c r="N3594" i="81"/>
  <c r="M3594" i="81"/>
  <c r="H3594" i="81"/>
  <c r="J3594" i="81" s="1"/>
  <c r="F3594" i="81"/>
  <c r="E3594" i="81"/>
  <c r="D3594" i="81"/>
  <c r="B3594" i="81"/>
  <c r="N3593" i="81"/>
  <c r="M3593" i="81"/>
  <c r="H3593" i="81"/>
  <c r="F3593" i="81"/>
  <c r="E3593" i="81"/>
  <c r="D3593" i="81"/>
  <c r="B3593" i="81"/>
  <c r="N3592" i="81"/>
  <c r="M3592" i="81"/>
  <c r="H3592" i="81"/>
  <c r="F3592" i="81"/>
  <c r="E3592" i="81"/>
  <c r="D3592" i="81"/>
  <c r="B3592" i="81"/>
  <c r="N3591" i="81"/>
  <c r="M3591" i="81"/>
  <c r="H3591" i="81"/>
  <c r="F3591" i="81"/>
  <c r="E3591" i="81"/>
  <c r="D3591" i="81"/>
  <c r="B3591" i="81"/>
  <c r="N3590" i="81"/>
  <c r="M3590" i="81"/>
  <c r="H3590" i="81"/>
  <c r="J3590" i="81" s="1"/>
  <c r="F3590" i="81"/>
  <c r="E3590" i="81"/>
  <c r="D3590" i="81"/>
  <c r="B3590" i="81"/>
  <c r="N3589" i="81"/>
  <c r="M3589" i="81"/>
  <c r="H3589" i="81"/>
  <c r="L3589" i="81" s="1"/>
  <c r="F3589" i="81"/>
  <c r="E3589" i="81"/>
  <c r="D3589" i="81"/>
  <c r="B3589" i="81"/>
  <c r="N3588" i="81"/>
  <c r="M3588" i="81"/>
  <c r="H3588" i="81"/>
  <c r="L3588" i="81" s="1"/>
  <c r="F3588" i="81"/>
  <c r="E3588" i="81"/>
  <c r="D3588" i="81"/>
  <c r="B3588" i="81"/>
  <c r="N3587" i="81"/>
  <c r="M3587" i="81"/>
  <c r="H3587" i="81"/>
  <c r="F3587" i="81"/>
  <c r="E3587" i="81"/>
  <c r="D3587" i="81"/>
  <c r="B3587" i="81"/>
  <c r="N3586" i="81"/>
  <c r="M3586" i="81"/>
  <c r="H3586" i="81"/>
  <c r="I3586" i="81" s="1"/>
  <c r="F3586" i="81"/>
  <c r="E3586" i="81"/>
  <c r="D3586" i="81"/>
  <c r="B3586" i="81"/>
  <c r="N3585" i="81"/>
  <c r="M3585" i="81"/>
  <c r="H3585" i="81"/>
  <c r="J3585" i="81" s="1"/>
  <c r="F3585" i="81"/>
  <c r="E3585" i="81"/>
  <c r="D3585" i="81"/>
  <c r="B3585" i="81"/>
  <c r="N3584" i="81"/>
  <c r="M3584" i="81"/>
  <c r="H3584" i="81"/>
  <c r="L3584" i="81" s="1"/>
  <c r="F3584" i="81"/>
  <c r="E3584" i="81"/>
  <c r="D3584" i="81"/>
  <c r="B3584" i="81"/>
  <c r="N3583" i="81"/>
  <c r="M3583" i="81"/>
  <c r="H3583" i="81"/>
  <c r="L3583" i="81" s="1"/>
  <c r="F3583" i="81"/>
  <c r="E3583" i="81"/>
  <c r="D3583" i="81"/>
  <c r="B3583" i="81"/>
  <c r="N3582" i="81"/>
  <c r="M3582" i="81"/>
  <c r="H3582" i="81"/>
  <c r="J3582" i="81" s="1"/>
  <c r="F3582" i="81"/>
  <c r="E3582" i="81"/>
  <c r="D3582" i="81"/>
  <c r="B3582" i="81"/>
  <c r="N3581" i="81"/>
  <c r="M3581" i="81"/>
  <c r="H3581" i="81"/>
  <c r="I3581" i="81" s="1"/>
  <c r="F3581" i="81"/>
  <c r="E3581" i="81"/>
  <c r="D3581" i="81"/>
  <c r="B3581" i="81"/>
  <c r="N3580" i="81"/>
  <c r="M3580" i="81"/>
  <c r="H3580" i="81"/>
  <c r="K3580" i="81" s="1"/>
  <c r="F3580" i="81"/>
  <c r="E3580" i="81"/>
  <c r="D3580" i="81"/>
  <c r="B3580" i="81"/>
  <c r="N3579" i="81"/>
  <c r="M3579" i="81"/>
  <c r="H3579" i="81"/>
  <c r="F3579" i="81"/>
  <c r="E3579" i="81"/>
  <c r="D3579" i="81"/>
  <c r="B3579" i="81"/>
  <c r="N3578" i="81"/>
  <c r="M3578" i="81"/>
  <c r="H3578" i="81"/>
  <c r="L3578" i="81" s="1"/>
  <c r="F3578" i="81"/>
  <c r="E3578" i="81"/>
  <c r="D3578" i="81"/>
  <c r="B3578" i="81"/>
  <c r="N3573" i="81"/>
  <c r="M3573" i="81"/>
  <c r="H3573" i="81"/>
  <c r="I3573" i="81" s="1"/>
  <c r="F3573" i="81"/>
  <c r="E3573" i="81"/>
  <c r="D3573" i="81"/>
  <c r="B3573" i="81"/>
  <c r="N3572" i="81"/>
  <c r="M3572" i="81"/>
  <c r="H3572" i="81"/>
  <c r="K3572" i="81" s="1"/>
  <c r="F3572" i="81"/>
  <c r="E3572" i="81"/>
  <c r="D3572" i="81"/>
  <c r="B3572" i="81"/>
  <c r="N3571" i="81"/>
  <c r="M3571" i="81"/>
  <c r="H3571" i="81"/>
  <c r="F3571" i="81"/>
  <c r="E3571" i="81"/>
  <c r="D3571" i="81"/>
  <c r="B3571" i="81"/>
  <c r="N3570" i="81"/>
  <c r="M3570" i="81"/>
  <c r="H3570" i="81"/>
  <c r="K3570" i="81" s="1"/>
  <c r="F3570" i="81"/>
  <c r="E3570" i="81"/>
  <c r="D3570" i="81"/>
  <c r="B3570" i="81"/>
  <c r="N3569" i="81"/>
  <c r="M3569" i="81"/>
  <c r="H3569" i="81"/>
  <c r="F3569" i="81"/>
  <c r="E3569" i="81"/>
  <c r="D3569" i="81"/>
  <c r="B3569" i="81"/>
  <c r="N3568" i="81"/>
  <c r="M3568" i="81"/>
  <c r="H3568" i="81"/>
  <c r="L3568" i="81" s="1"/>
  <c r="F3568" i="81"/>
  <c r="E3568" i="81"/>
  <c r="D3568" i="81"/>
  <c r="B3568" i="81"/>
  <c r="N3567" i="81"/>
  <c r="M3567" i="81"/>
  <c r="H3567" i="81"/>
  <c r="L3567" i="81" s="1"/>
  <c r="F3567" i="81"/>
  <c r="E3567" i="81"/>
  <c r="D3567" i="81"/>
  <c r="B3567" i="81"/>
  <c r="N3566" i="81"/>
  <c r="M3566" i="81"/>
  <c r="H3566" i="81"/>
  <c r="K3566" i="81" s="1"/>
  <c r="F3566" i="81"/>
  <c r="E3566" i="81"/>
  <c r="D3566" i="81"/>
  <c r="B3566" i="81"/>
  <c r="N3565" i="81"/>
  <c r="M3565" i="81"/>
  <c r="H3565" i="81"/>
  <c r="L3565" i="81" s="1"/>
  <c r="F3565" i="81"/>
  <c r="E3565" i="81"/>
  <c r="D3565" i="81"/>
  <c r="B3565" i="81"/>
  <c r="N3564" i="81"/>
  <c r="M3564" i="81"/>
  <c r="H3564" i="81"/>
  <c r="L3564" i="81" s="1"/>
  <c r="F3564" i="81"/>
  <c r="E3564" i="81"/>
  <c r="D3564" i="81"/>
  <c r="B3564" i="81"/>
  <c r="N3559" i="81"/>
  <c r="M3559" i="81"/>
  <c r="H3559" i="81"/>
  <c r="K3559" i="81" s="1"/>
  <c r="F3559" i="81"/>
  <c r="E3559" i="81"/>
  <c r="D3559" i="81"/>
  <c r="B3559" i="81"/>
  <c r="N3558" i="81"/>
  <c r="M3558" i="81"/>
  <c r="H3558" i="81"/>
  <c r="L3558" i="81" s="1"/>
  <c r="F3558" i="81"/>
  <c r="E3558" i="81"/>
  <c r="D3558" i="81"/>
  <c r="B3558" i="81"/>
  <c r="N3557" i="81"/>
  <c r="M3557" i="81"/>
  <c r="H3557" i="81"/>
  <c r="L3557" i="81" s="1"/>
  <c r="F3557" i="81"/>
  <c r="E3557" i="81"/>
  <c r="D3557" i="81"/>
  <c r="B3557" i="81"/>
  <c r="N3556" i="81"/>
  <c r="M3556" i="81"/>
  <c r="H3556" i="81"/>
  <c r="L3556" i="81" s="1"/>
  <c r="F3556" i="81"/>
  <c r="E3556" i="81"/>
  <c r="D3556" i="81"/>
  <c r="B3556" i="81"/>
  <c r="N3555" i="81"/>
  <c r="M3555" i="81"/>
  <c r="H3555" i="81"/>
  <c r="J3555" i="81" s="1"/>
  <c r="F3555" i="81"/>
  <c r="E3555" i="81"/>
  <c r="D3555" i="81"/>
  <c r="B3555" i="81"/>
  <c r="N3554" i="81"/>
  <c r="M3554" i="81"/>
  <c r="H3554" i="81"/>
  <c r="I3554" i="81" s="1"/>
  <c r="F3554" i="81"/>
  <c r="E3554" i="81"/>
  <c r="D3554" i="81"/>
  <c r="B3554" i="81"/>
  <c r="N3553" i="81"/>
  <c r="M3553" i="81"/>
  <c r="H3553" i="81"/>
  <c r="F3553" i="81"/>
  <c r="E3553" i="81"/>
  <c r="D3553" i="81"/>
  <c r="B3553" i="81"/>
  <c r="N3552" i="81"/>
  <c r="M3552" i="81"/>
  <c r="H3552" i="81"/>
  <c r="K3552" i="81" s="1"/>
  <c r="F3552" i="81"/>
  <c r="E3552" i="81"/>
  <c r="D3552" i="81"/>
  <c r="B3552" i="81"/>
  <c r="A3551" i="81"/>
  <c r="M3551" i="81" s="1"/>
  <c r="A3550" i="81"/>
  <c r="M3550" i="81" s="1"/>
  <c r="N1360" i="81"/>
  <c r="M1360" i="81"/>
  <c r="H1360" i="81"/>
  <c r="L1360" i="81" s="1"/>
  <c r="F1360" i="81"/>
  <c r="E1360" i="81"/>
  <c r="D1360" i="81"/>
  <c r="B1360" i="81"/>
  <c r="N1359" i="81"/>
  <c r="M1359" i="81"/>
  <c r="H1359" i="81"/>
  <c r="L1359" i="81" s="1"/>
  <c r="F1359" i="81"/>
  <c r="E1359" i="81"/>
  <c r="D1359" i="81"/>
  <c r="B1359" i="81"/>
  <c r="N1358" i="81"/>
  <c r="M1358" i="81"/>
  <c r="H1358" i="81"/>
  <c r="J1358" i="81" s="1"/>
  <c r="F1358" i="81"/>
  <c r="E1358" i="81"/>
  <c r="D1358" i="81"/>
  <c r="B1358" i="81"/>
  <c r="N1357" i="81"/>
  <c r="M1357" i="81"/>
  <c r="H1357" i="81"/>
  <c r="L1357" i="81" s="1"/>
  <c r="F1357" i="81"/>
  <c r="E1357" i="81"/>
  <c r="D1357" i="81"/>
  <c r="B1357" i="81"/>
  <c r="N1356" i="81"/>
  <c r="M1356" i="81"/>
  <c r="H1356" i="81"/>
  <c r="K1356" i="81" s="1"/>
  <c r="F1356" i="81"/>
  <c r="E1356" i="81"/>
  <c r="D1356" i="81"/>
  <c r="B1356" i="81"/>
  <c r="N1355" i="81"/>
  <c r="M1355" i="81"/>
  <c r="H1355" i="81"/>
  <c r="L1355" i="81" s="1"/>
  <c r="F1355" i="81"/>
  <c r="E1355" i="81"/>
  <c r="D1355" i="81"/>
  <c r="B1355" i="81"/>
  <c r="N1354" i="81"/>
  <c r="M1354" i="81"/>
  <c r="H1354" i="81"/>
  <c r="L1354" i="81" s="1"/>
  <c r="F1354" i="81"/>
  <c r="E1354" i="81"/>
  <c r="D1354" i="81"/>
  <c r="B1354" i="81"/>
  <c r="N1353" i="81"/>
  <c r="M1353" i="81"/>
  <c r="H1353" i="81"/>
  <c r="K1353" i="81" s="1"/>
  <c r="F1353" i="81"/>
  <c r="E1353" i="81"/>
  <c r="D1353" i="81"/>
  <c r="B1353" i="81"/>
  <c r="N1352" i="81"/>
  <c r="M1352" i="81"/>
  <c r="H1352" i="81"/>
  <c r="L1352" i="81" s="1"/>
  <c r="F1352" i="81"/>
  <c r="E1352" i="81"/>
  <c r="D1352" i="81"/>
  <c r="B1352" i="81"/>
  <c r="N1351" i="81"/>
  <c r="M1351" i="81"/>
  <c r="H1351" i="81"/>
  <c r="L1351" i="81" s="1"/>
  <c r="F1351" i="81"/>
  <c r="E1351" i="81"/>
  <c r="D1351" i="81"/>
  <c r="B1351" i="81"/>
  <c r="N1350" i="81"/>
  <c r="M1350" i="81"/>
  <c r="H1350" i="81"/>
  <c r="K1350" i="81" s="1"/>
  <c r="F1350" i="81"/>
  <c r="E1350" i="81"/>
  <c r="D1350" i="81"/>
  <c r="B1350" i="81"/>
  <c r="N1349" i="81"/>
  <c r="M1349" i="81"/>
  <c r="H1349" i="81"/>
  <c r="L1349" i="81" s="1"/>
  <c r="F1349" i="81"/>
  <c r="E1349" i="81"/>
  <c r="D1349" i="81"/>
  <c r="B1349" i="81"/>
  <c r="N1348" i="81"/>
  <c r="M1348" i="81"/>
  <c r="H1348" i="81"/>
  <c r="L1348" i="81" s="1"/>
  <c r="F1348" i="81"/>
  <c r="E1348" i="81"/>
  <c r="D1348" i="81"/>
  <c r="B1348" i="81"/>
  <c r="N1347" i="81"/>
  <c r="M1347" i="81"/>
  <c r="H1347" i="81"/>
  <c r="L1347" i="81" s="1"/>
  <c r="F1347" i="81"/>
  <c r="E1347" i="81"/>
  <c r="D1347" i="81"/>
  <c r="B1347" i="81"/>
  <c r="N1346" i="81"/>
  <c r="M1346" i="81"/>
  <c r="H1346" i="81"/>
  <c r="J1346" i="81" s="1"/>
  <c r="F1346" i="81"/>
  <c r="E1346" i="81"/>
  <c r="D1346" i="81"/>
  <c r="B1346" i="81"/>
  <c r="N1345" i="81"/>
  <c r="M1345" i="81"/>
  <c r="H1345" i="81"/>
  <c r="L1345" i="81" s="1"/>
  <c r="F1345" i="81"/>
  <c r="E1345" i="81"/>
  <c r="D1345" i="81"/>
  <c r="B1345" i="81"/>
  <c r="N1344" i="81"/>
  <c r="M1344" i="81"/>
  <c r="H1344" i="81"/>
  <c r="K1344" i="81" s="1"/>
  <c r="F1344" i="81"/>
  <c r="E1344" i="81"/>
  <c r="D1344" i="81"/>
  <c r="B1344" i="81"/>
  <c r="N1343" i="81"/>
  <c r="M1343" i="81"/>
  <c r="H1343" i="81"/>
  <c r="L1343" i="81" s="1"/>
  <c r="F1343" i="81"/>
  <c r="E1343" i="81"/>
  <c r="D1343" i="81"/>
  <c r="B1343" i="81"/>
  <c r="A1342" i="81"/>
  <c r="N1337" i="81"/>
  <c r="M1337" i="81"/>
  <c r="H1337" i="81"/>
  <c r="J1337" i="81" s="1"/>
  <c r="F1337" i="81"/>
  <c r="E1337" i="81"/>
  <c r="D1337" i="81"/>
  <c r="B1337" i="81"/>
  <c r="N1336" i="81"/>
  <c r="M1336" i="81"/>
  <c r="H1336" i="81"/>
  <c r="L1336" i="81" s="1"/>
  <c r="F1336" i="81"/>
  <c r="E1336" i="81"/>
  <c r="D1336" i="81"/>
  <c r="B1336" i="81"/>
  <c r="N1335" i="81"/>
  <c r="M1335" i="81"/>
  <c r="H1335" i="81"/>
  <c r="K1335" i="81" s="1"/>
  <c r="F1335" i="81"/>
  <c r="E1335" i="81"/>
  <c r="D1335" i="81"/>
  <c r="B1335" i="81"/>
  <c r="N1334" i="81"/>
  <c r="M1334" i="81"/>
  <c r="H1334" i="81"/>
  <c r="L1334" i="81" s="1"/>
  <c r="F1334" i="81"/>
  <c r="E1334" i="81"/>
  <c r="D1334" i="81"/>
  <c r="B1334" i="81"/>
  <c r="N1333" i="81"/>
  <c r="M1333" i="81"/>
  <c r="H1333" i="81"/>
  <c r="I1333" i="81" s="1"/>
  <c r="F1333" i="81"/>
  <c r="E1333" i="81"/>
  <c r="D1333" i="81"/>
  <c r="B1333" i="81"/>
  <c r="N1332" i="81"/>
  <c r="M1332" i="81"/>
  <c r="H1332" i="81"/>
  <c r="L1332" i="81" s="1"/>
  <c r="F1332" i="81"/>
  <c r="E1332" i="81"/>
  <c r="D1332" i="81"/>
  <c r="B1332" i="81"/>
  <c r="N1331" i="81"/>
  <c r="M1331" i="81"/>
  <c r="H1331" i="81"/>
  <c r="L1331" i="81" s="1"/>
  <c r="F1331" i="81"/>
  <c r="E1331" i="81"/>
  <c r="D1331" i="81"/>
  <c r="B1331" i="81"/>
  <c r="N1330" i="81"/>
  <c r="M1330" i="81"/>
  <c r="H1330" i="81"/>
  <c r="L1330" i="81" s="1"/>
  <c r="F1330" i="81"/>
  <c r="B1330" i="81"/>
  <c r="N1329" i="81"/>
  <c r="M1329" i="81"/>
  <c r="H1329" i="81"/>
  <c r="L1329" i="81" s="1"/>
  <c r="F1329" i="81"/>
  <c r="B1329" i="81"/>
  <c r="N1328" i="81"/>
  <c r="M1328" i="81"/>
  <c r="H1328" i="81"/>
  <c r="L1328" i="81" s="1"/>
  <c r="F1328" i="81"/>
  <c r="E1328" i="81"/>
  <c r="D1328" i="81"/>
  <c r="B1328" i="81"/>
  <c r="N1323" i="81"/>
  <c r="M1323" i="81"/>
  <c r="H1323" i="81"/>
  <c r="L1323" i="81" s="1"/>
  <c r="F1323" i="81"/>
  <c r="E1323" i="81"/>
  <c r="D1323" i="81"/>
  <c r="B1323" i="81"/>
  <c r="N1322" i="81"/>
  <c r="M1322" i="81"/>
  <c r="H1322" i="81"/>
  <c r="K1322" i="81" s="1"/>
  <c r="F1322" i="81"/>
  <c r="E1322" i="81"/>
  <c r="D1322" i="81"/>
  <c r="B1322" i="81"/>
  <c r="N1321" i="81"/>
  <c r="M1321" i="81"/>
  <c r="H1321" i="81"/>
  <c r="L1321" i="81" s="1"/>
  <c r="F1321" i="81"/>
  <c r="E1321" i="81"/>
  <c r="D1321" i="81"/>
  <c r="B1321" i="81"/>
  <c r="N1320" i="81"/>
  <c r="M1320" i="81"/>
  <c r="H1320" i="81"/>
  <c r="K1320" i="81" s="1"/>
  <c r="F1320" i="81"/>
  <c r="E1320" i="81"/>
  <c r="D1320" i="81"/>
  <c r="B1320" i="81"/>
  <c r="N1319" i="81"/>
  <c r="M1319" i="81"/>
  <c r="H1319" i="81"/>
  <c r="J1319" i="81" s="1"/>
  <c r="F1319" i="81"/>
  <c r="E1319" i="81"/>
  <c r="D1319" i="81"/>
  <c r="B1319" i="81"/>
  <c r="N1318" i="81"/>
  <c r="M1318" i="81"/>
  <c r="H1318" i="81"/>
  <c r="J1318" i="81" s="1"/>
  <c r="F1318" i="81"/>
  <c r="E1318" i="81"/>
  <c r="D1318" i="81"/>
  <c r="B1318" i="81"/>
  <c r="N1317" i="81"/>
  <c r="M1317" i="81"/>
  <c r="H1317" i="81"/>
  <c r="L1317" i="81" s="1"/>
  <c r="F1317" i="81"/>
  <c r="E1317" i="81"/>
  <c r="D1317" i="81"/>
  <c r="B1317" i="81"/>
  <c r="N1316" i="81"/>
  <c r="M1316" i="81"/>
  <c r="H1316" i="81"/>
  <c r="K1316" i="81" s="1"/>
  <c r="F1316" i="81"/>
  <c r="E1316" i="81"/>
  <c r="D1316" i="81"/>
  <c r="B1316" i="81"/>
  <c r="A1315" i="81"/>
  <c r="B1315" i="81" s="1"/>
  <c r="A1314" i="81"/>
  <c r="M1314" i="81" s="1"/>
  <c r="N3440" i="81"/>
  <c r="M3440" i="81"/>
  <c r="H3440" i="81"/>
  <c r="L3440" i="81" s="1"/>
  <c r="F3440" i="81"/>
  <c r="E3440" i="81"/>
  <c r="D3440" i="81"/>
  <c r="B3440" i="81"/>
  <c r="N3439" i="81"/>
  <c r="M3439" i="81"/>
  <c r="H3439" i="81"/>
  <c r="I3439" i="81" s="1"/>
  <c r="F3439" i="81"/>
  <c r="E3439" i="81"/>
  <c r="D3439" i="81"/>
  <c r="B3439" i="81"/>
  <c r="N3438" i="81"/>
  <c r="M3438" i="81"/>
  <c r="H3438" i="81"/>
  <c r="K3438" i="81" s="1"/>
  <c r="F3438" i="81"/>
  <c r="E3438" i="81"/>
  <c r="D3438" i="81"/>
  <c r="B3438" i="81"/>
  <c r="N3437" i="81"/>
  <c r="M3437" i="81"/>
  <c r="H3437" i="81"/>
  <c r="L3437" i="81" s="1"/>
  <c r="F3437" i="81"/>
  <c r="E3437" i="81"/>
  <c r="D3437" i="81"/>
  <c r="B3437" i="81"/>
  <c r="N3436" i="81"/>
  <c r="M3436" i="81"/>
  <c r="H3436" i="81"/>
  <c r="L3436" i="81" s="1"/>
  <c r="F3436" i="81"/>
  <c r="E3436" i="81"/>
  <c r="D3436" i="81"/>
  <c r="B3436" i="81"/>
  <c r="N3435" i="81"/>
  <c r="M3435" i="81"/>
  <c r="H3435" i="81"/>
  <c r="K3435" i="81" s="1"/>
  <c r="F3435" i="81"/>
  <c r="E3435" i="81"/>
  <c r="D3435" i="81"/>
  <c r="B3435" i="81"/>
  <c r="N3434" i="81"/>
  <c r="M3434" i="81"/>
  <c r="H3434" i="81"/>
  <c r="L3434" i="81" s="1"/>
  <c r="F3434" i="81"/>
  <c r="E3434" i="81"/>
  <c r="D3434" i="81"/>
  <c r="B3434" i="81"/>
  <c r="N3433" i="81"/>
  <c r="M3433" i="81"/>
  <c r="H3433" i="81"/>
  <c r="L3433" i="81" s="1"/>
  <c r="F3433" i="81"/>
  <c r="E3433" i="81"/>
  <c r="D3433" i="81"/>
  <c r="B3433" i="81"/>
  <c r="N3432" i="81"/>
  <c r="M3432" i="81"/>
  <c r="H3432" i="81"/>
  <c r="L3432" i="81" s="1"/>
  <c r="F3432" i="81"/>
  <c r="E3432" i="81"/>
  <c r="D3432" i="81"/>
  <c r="B3432" i="81"/>
  <c r="N3431" i="81"/>
  <c r="M3431" i="81"/>
  <c r="H3431" i="81"/>
  <c r="J3431" i="81" s="1"/>
  <c r="F3431" i="81"/>
  <c r="E3431" i="81"/>
  <c r="D3431" i="81"/>
  <c r="B3431" i="81"/>
  <c r="N3430" i="81"/>
  <c r="M3430" i="81"/>
  <c r="H3430" i="81"/>
  <c r="I3430" i="81" s="1"/>
  <c r="F3430" i="81"/>
  <c r="E3430" i="81"/>
  <c r="D3430" i="81"/>
  <c r="B3430" i="81"/>
  <c r="N3429" i="81"/>
  <c r="M3429" i="81"/>
  <c r="H3429" i="81"/>
  <c r="K3429" i="81" s="1"/>
  <c r="F3429" i="81"/>
  <c r="E3429" i="81"/>
  <c r="D3429" i="81"/>
  <c r="B3429" i="81"/>
  <c r="N3428" i="81"/>
  <c r="M3428" i="81"/>
  <c r="H3428" i="81"/>
  <c r="L3428" i="81" s="1"/>
  <c r="F3428" i="81"/>
  <c r="E3428" i="81"/>
  <c r="D3428" i="81"/>
  <c r="B3428" i="81"/>
  <c r="N3427" i="81"/>
  <c r="M3427" i="81"/>
  <c r="H3427" i="81"/>
  <c r="I3427" i="81" s="1"/>
  <c r="F3427" i="81"/>
  <c r="E3427" i="81"/>
  <c r="D3427" i="81"/>
  <c r="B3427" i="81"/>
  <c r="N3426" i="81"/>
  <c r="M3426" i="81"/>
  <c r="H3426" i="81"/>
  <c r="K3426" i="81" s="1"/>
  <c r="F3426" i="81"/>
  <c r="E3426" i="81"/>
  <c r="D3426" i="81"/>
  <c r="B3426" i="81"/>
  <c r="N3425" i="81"/>
  <c r="M3425" i="81"/>
  <c r="H3425" i="81"/>
  <c r="L3425" i="81" s="1"/>
  <c r="F3425" i="81"/>
  <c r="E3425" i="81"/>
  <c r="D3425" i="81"/>
  <c r="B3425" i="81"/>
  <c r="N3424" i="81"/>
  <c r="M3424" i="81"/>
  <c r="H3424" i="81"/>
  <c r="L3424" i="81" s="1"/>
  <c r="F3424" i="81"/>
  <c r="E3424" i="81"/>
  <c r="D3424" i="81"/>
  <c r="B3424" i="81"/>
  <c r="N3423" i="81"/>
  <c r="M3423" i="81"/>
  <c r="H3423" i="81"/>
  <c r="K3423" i="81" s="1"/>
  <c r="F3423" i="81"/>
  <c r="E3423" i="81"/>
  <c r="D3423" i="81"/>
  <c r="B3423" i="81"/>
  <c r="A3422" i="81"/>
  <c r="N3417" i="81"/>
  <c r="M3417" i="81"/>
  <c r="H3417" i="81"/>
  <c r="K3417" i="81" s="1"/>
  <c r="F3417" i="81"/>
  <c r="E3417" i="81"/>
  <c r="D3417" i="81"/>
  <c r="B3417" i="81"/>
  <c r="N3416" i="81"/>
  <c r="M3416" i="81"/>
  <c r="H3416" i="81"/>
  <c r="L3416" i="81" s="1"/>
  <c r="F3416" i="81"/>
  <c r="E3416" i="81"/>
  <c r="D3416" i="81"/>
  <c r="B3416" i="81"/>
  <c r="N3415" i="81"/>
  <c r="M3415" i="81"/>
  <c r="H3415" i="81"/>
  <c r="L3415" i="81" s="1"/>
  <c r="F3415" i="81"/>
  <c r="E3415" i="81"/>
  <c r="D3415" i="81"/>
  <c r="B3415" i="81"/>
  <c r="N3414" i="81"/>
  <c r="M3414" i="81"/>
  <c r="H3414" i="81"/>
  <c r="K3414" i="81" s="1"/>
  <c r="F3414" i="81"/>
  <c r="E3414" i="81"/>
  <c r="D3414" i="81"/>
  <c r="B3414" i="81"/>
  <c r="N3413" i="81"/>
  <c r="M3413" i="81"/>
  <c r="H3413" i="81"/>
  <c r="L3413" i="81" s="1"/>
  <c r="F3413" i="81"/>
  <c r="E3413" i="81"/>
  <c r="D3413" i="81"/>
  <c r="B3413" i="81"/>
  <c r="N3412" i="81"/>
  <c r="M3412" i="81"/>
  <c r="H3412" i="81"/>
  <c r="L3412" i="81" s="1"/>
  <c r="F3412" i="81"/>
  <c r="E3412" i="81"/>
  <c r="D3412" i="81"/>
  <c r="B3412" i="81"/>
  <c r="N3411" i="81"/>
  <c r="M3411" i="81"/>
  <c r="H3411" i="81"/>
  <c r="L3411" i="81" s="1"/>
  <c r="F3411" i="81"/>
  <c r="E3411" i="81"/>
  <c r="D3411" i="81"/>
  <c r="B3411" i="81"/>
  <c r="N3410" i="81"/>
  <c r="M3410" i="81"/>
  <c r="H3410" i="81"/>
  <c r="J3410" i="81" s="1"/>
  <c r="F3410" i="81"/>
  <c r="E3410" i="81"/>
  <c r="D3410" i="81"/>
  <c r="B3410" i="81"/>
  <c r="N3409" i="81"/>
  <c r="M3409" i="81"/>
  <c r="H3409" i="81"/>
  <c r="I3409" i="81" s="1"/>
  <c r="F3409" i="81"/>
  <c r="E3409" i="81"/>
  <c r="D3409" i="81"/>
  <c r="B3409" i="81"/>
  <c r="N3408" i="81"/>
  <c r="M3408" i="81"/>
  <c r="H3408" i="81"/>
  <c r="K3408" i="81" s="1"/>
  <c r="F3408" i="81"/>
  <c r="E3408" i="81"/>
  <c r="D3408" i="81"/>
  <c r="B3408" i="81"/>
  <c r="N3403" i="81"/>
  <c r="M3403" i="81"/>
  <c r="H3403" i="81"/>
  <c r="K3403" i="81" s="1"/>
  <c r="F3403" i="81"/>
  <c r="E3403" i="81"/>
  <c r="D3403" i="81"/>
  <c r="B3403" i="81"/>
  <c r="N3402" i="81"/>
  <c r="M3402" i="81"/>
  <c r="H3402" i="81"/>
  <c r="L3402" i="81" s="1"/>
  <c r="F3402" i="81"/>
  <c r="E3402" i="81"/>
  <c r="D3402" i="81"/>
  <c r="B3402" i="81"/>
  <c r="N3401" i="81"/>
  <c r="M3401" i="81"/>
  <c r="H3401" i="81"/>
  <c r="I3401" i="81" s="1"/>
  <c r="F3401" i="81"/>
  <c r="E3401" i="81"/>
  <c r="D3401" i="81"/>
  <c r="B3401" i="81"/>
  <c r="N3400" i="81"/>
  <c r="M3400" i="81"/>
  <c r="H3400" i="81"/>
  <c r="L3400" i="81" s="1"/>
  <c r="F3400" i="81"/>
  <c r="E3400" i="81"/>
  <c r="D3400" i="81"/>
  <c r="B3400" i="81"/>
  <c r="N3399" i="81"/>
  <c r="M3399" i="81"/>
  <c r="H3399" i="81"/>
  <c r="J3399" i="81" s="1"/>
  <c r="F3399" i="81"/>
  <c r="E3399" i="81"/>
  <c r="D3399" i="81"/>
  <c r="B3399" i="81"/>
  <c r="N3398" i="81"/>
  <c r="M3398" i="81"/>
  <c r="H3398" i="81"/>
  <c r="I3398" i="81" s="1"/>
  <c r="F3398" i="81"/>
  <c r="E3398" i="81"/>
  <c r="D3398" i="81"/>
  <c r="B3398" i="81"/>
  <c r="N3397" i="81"/>
  <c r="M3397" i="81"/>
  <c r="H3397" i="81"/>
  <c r="K3397" i="81" s="1"/>
  <c r="F3397" i="81"/>
  <c r="E3397" i="81"/>
  <c r="D3397" i="81"/>
  <c r="B3397" i="81"/>
  <c r="N3396" i="81"/>
  <c r="M3396" i="81"/>
  <c r="H3396" i="81"/>
  <c r="L3396" i="81" s="1"/>
  <c r="F3396" i="81"/>
  <c r="E3396" i="81"/>
  <c r="D3396" i="81"/>
  <c r="B3396" i="81"/>
  <c r="A3395" i="81"/>
  <c r="M3395" i="81" s="1"/>
  <c r="A3394" i="81"/>
  <c r="M3394" i="81" s="1"/>
  <c r="A3028" i="81"/>
  <c r="A2768" i="81"/>
  <c r="A2404" i="81"/>
  <c r="A2144" i="81"/>
  <c r="A1468" i="81"/>
  <c r="A1676" i="81"/>
  <c r="A1520" i="81"/>
  <c r="A1208" i="81"/>
  <c r="N3722" i="81" l="1"/>
  <c r="N3709" i="81"/>
  <c r="N3723" i="81"/>
  <c r="N3710" i="81"/>
  <c r="N3711" i="81"/>
  <c r="N3721" i="81"/>
  <c r="N3708" i="81"/>
  <c r="N3720" i="81"/>
  <c r="E3548" i="81"/>
  <c r="G3548" i="81"/>
  <c r="U3548" i="81" s="1"/>
  <c r="O3548" i="81"/>
  <c r="B1312" i="81"/>
  <c r="B1314" i="81"/>
  <c r="N1314" i="81" s="1"/>
  <c r="D1314" i="81"/>
  <c r="B3394" i="81"/>
  <c r="N3394" i="81" s="1"/>
  <c r="I3595" i="81"/>
  <c r="G3704" i="81"/>
  <c r="U3704" i="81" s="1"/>
  <c r="O1312" i="81"/>
  <c r="I3572" i="81"/>
  <c r="I3414" i="81"/>
  <c r="I1360" i="81"/>
  <c r="J1332" i="81"/>
  <c r="L3401" i="81"/>
  <c r="I3747" i="81"/>
  <c r="J3401" i="81"/>
  <c r="J3744" i="81"/>
  <c r="L1356" i="81"/>
  <c r="I3417" i="81"/>
  <c r="K3594" i="81"/>
  <c r="J3724" i="81"/>
  <c r="I1356" i="81"/>
  <c r="J3398" i="81"/>
  <c r="J3559" i="81"/>
  <c r="I3728" i="81"/>
  <c r="L3750" i="81"/>
  <c r="L3559" i="81"/>
  <c r="K3728" i="81"/>
  <c r="J1329" i="81"/>
  <c r="I3578" i="81"/>
  <c r="L3715" i="81"/>
  <c r="I3720" i="81"/>
  <c r="I3558" i="81"/>
  <c r="I3714" i="81"/>
  <c r="J3750" i="81"/>
  <c r="K3401" i="81"/>
  <c r="J1360" i="81"/>
  <c r="J3570" i="81"/>
  <c r="K3585" i="81"/>
  <c r="J3713" i="81"/>
  <c r="I3726" i="81"/>
  <c r="K3413" i="81"/>
  <c r="J1333" i="81"/>
  <c r="K1333" i="81"/>
  <c r="I1344" i="81"/>
  <c r="K1349" i="81"/>
  <c r="L3570" i="81"/>
  <c r="K3726" i="81"/>
  <c r="J1328" i="81"/>
  <c r="L1333" i="81"/>
  <c r="J3567" i="81"/>
  <c r="L3397" i="81"/>
  <c r="I3438" i="81"/>
  <c r="K1318" i="81"/>
  <c r="I3748" i="81"/>
  <c r="K3410" i="81"/>
  <c r="K3556" i="81"/>
  <c r="J3564" i="81"/>
  <c r="I3570" i="81"/>
  <c r="I3715" i="81"/>
  <c r="I3433" i="81"/>
  <c r="K1337" i="81"/>
  <c r="K1346" i="81"/>
  <c r="J1354" i="81"/>
  <c r="K3567" i="81"/>
  <c r="K3583" i="81"/>
  <c r="K3729" i="81"/>
  <c r="J3748" i="81"/>
  <c r="J3433" i="81"/>
  <c r="I3400" i="81"/>
  <c r="I3412" i="81"/>
  <c r="I3429" i="81"/>
  <c r="I3432" i="81"/>
  <c r="K3433" i="81"/>
  <c r="I3552" i="81"/>
  <c r="I3566" i="81"/>
  <c r="K3714" i="81"/>
  <c r="J3400" i="81"/>
  <c r="J3412" i="81"/>
  <c r="L3429" i="81"/>
  <c r="J3432" i="81"/>
  <c r="J3552" i="81"/>
  <c r="J3566" i="81"/>
  <c r="K3400" i="81"/>
  <c r="K3412" i="81"/>
  <c r="I3426" i="81"/>
  <c r="K3432" i="81"/>
  <c r="J1323" i="81"/>
  <c r="I1328" i="81"/>
  <c r="I1336" i="81"/>
  <c r="J1345" i="81"/>
  <c r="I1353" i="81"/>
  <c r="K3582" i="81"/>
  <c r="I3744" i="81"/>
  <c r="L3403" i="81"/>
  <c r="I3408" i="81"/>
  <c r="I3411" i="81"/>
  <c r="K3431" i="81"/>
  <c r="I1320" i="81"/>
  <c r="J3595" i="81"/>
  <c r="L3724" i="81"/>
  <c r="I3727" i="81"/>
  <c r="L3408" i="81"/>
  <c r="J3727" i="81"/>
  <c r="L1335" i="81"/>
  <c r="L1344" i="81"/>
  <c r="K1347" i="81"/>
  <c r="J3581" i="81"/>
  <c r="L3743" i="81"/>
  <c r="D3395" i="81"/>
  <c r="L3417" i="81"/>
  <c r="L3426" i="81"/>
  <c r="K3434" i="81"/>
  <c r="L3438" i="81"/>
  <c r="K1319" i="81"/>
  <c r="L1320" i="81"/>
  <c r="I1335" i="81"/>
  <c r="I1345" i="81"/>
  <c r="L1353" i="81"/>
  <c r="J1357" i="81"/>
  <c r="J3554" i="81"/>
  <c r="L3554" i="81"/>
  <c r="K3554" i="81"/>
  <c r="I3403" i="81"/>
  <c r="M1315" i="81"/>
  <c r="N1315" i="81" s="1"/>
  <c r="L1319" i="81"/>
  <c r="D3551" i="81"/>
  <c r="J3565" i="81"/>
  <c r="I3565" i="81"/>
  <c r="K3565" i="81"/>
  <c r="I3593" i="81"/>
  <c r="J3593" i="81"/>
  <c r="L3596" i="81"/>
  <c r="J3596" i="81"/>
  <c r="L3590" i="81"/>
  <c r="I3590" i="81"/>
  <c r="L3749" i="81"/>
  <c r="K3749" i="81"/>
  <c r="J3749" i="81"/>
  <c r="I3749" i="81"/>
  <c r="D3394" i="81"/>
  <c r="J3411" i="81"/>
  <c r="I1322" i="81"/>
  <c r="I1348" i="81"/>
  <c r="I1359" i="81"/>
  <c r="L3587" i="81"/>
  <c r="J3587" i="81"/>
  <c r="K3590" i="81"/>
  <c r="K3402" i="81"/>
  <c r="K3411" i="81"/>
  <c r="I3424" i="81"/>
  <c r="I3436" i="81"/>
  <c r="I1317" i="81"/>
  <c r="L1322" i="81"/>
  <c r="J1330" i="81"/>
  <c r="I1347" i="81"/>
  <c r="J1348" i="81"/>
  <c r="J1359" i="81"/>
  <c r="K1360" i="81"/>
  <c r="L3553" i="81"/>
  <c r="J3553" i="81"/>
  <c r="K3587" i="81"/>
  <c r="I3397" i="81"/>
  <c r="J3415" i="81"/>
  <c r="J3424" i="81"/>
  <c r="J3436" i="81"/>
  <c r="J1317" i="81"/>
  <c r="J1347" i="81"/>
  <c r="K1348" i="81"/>
  <c r="K1359" i="81"/>
  <c r="J3578" i="81"/>
  <c r="K3578" i="81"/>
  <c r="K3592" i="81"/>
  <c r="L3592" i="81"/>
  <c r="I3592" i="81"/>
  <c r="I3745" i="81"/>
  <c r="L3745" i="81"/>
  <c r="J3745" i="81"/>
  <c r="I3423" i="81"/>
  <c r="J3427" i="81"/>
  <c r="I3435" i="81"/>
  <c r="J3439" i="81"/>
  <c r="I1316" i="81"/>
  <c r="K1321" i="81"/>
  <c r="I1329" i="81"/>
  <c r="I1332" i="81"/>
  <c r="I1354" i="81"/>
  <c r="K1358" i="81"/>
  <c r="K3555" i="81"/>
  <c r="I3555" i="81"/>
  <c r="J3573" i="81"/>
  <c r="K3586" i="81"/>
  <c r="J3586" i="81"/>
  <c r="L3586" i="81"/>
  <c r="D3706" i="81"/>
  <c r="M3706" i="81"/>
  <c r="N3706" i="81" s="1"/>
  <c r="L3423" i="81"/>
  <c r="K3427" i="81"/>
  <c r="L3435" i="81"/>
  <c r="K3439" i="81"/>
  <c r="L1316" i="81"/>
  <c r="L3414" i="81"/>
  <c r="J3417" i="81"/>
  <c r="J3426" i="81"/>
  <c r="L3427" i="81"/>
  <c r="J3430" i="81"/>
  <c r="J3438" i="81"/>
  <c r="L3439" i="81"/>
  <c r="D1315" i="81"/>
  <c r="I1319" i="81"/>
  <c r="J1320" i="81"/>
  <c r="K1329" i="81"/>
  <c r="K1332" i="81"/>
  <c r="J1336" i="81"/>
  <c r="J1353" i="81"/>
  <c r="K1354" i="81"/>
  <c r="L3555" i="81"/>
  <c r="L3569" i="81"/>
  <c r="I3569" i="81"/>
  <c r="L3712" i="81"/>
  <c r="I3712" i="81"/>
  <c r="B3395" i="81"/>
  <c r="N3395" i="81" s="1"/>
  <c r="K3399" i="81"/>
  <c r="J3409" i="81"/>
  <c r="L1350" i="81"/>
  <c r="I1357" i="81"/>
  <c r="J3712" i="81"/>
  <c r="L3552" i="81"/>
  <c r="J3556" i="81"/>
  <c r="I3559" i="81"/>
  <c r="I3585" i="81"/>
  <c r="I3589" i="81"/>
  <c r="I3724" i="81"/>
  <c r="J3729" i="81"/>
  <c r="L3572" i="81"/>
  <c r="L3585" i="81"/>
  <c r="J3715" i="81"/>
  <c r="J3728" i="81"/>
  <c r="L3729" i="81"/>
  <c r="K3750" i="81"/>
  <c r="I3580" i="81"/>
  <c r="J3584" i="81"/>
  <c r="I3723" i="81"/>
  <c r="I3743" i="81"/>
  <c r="L3580" i="81"/>
  <c r="I3583" i="81"/>
  <c r="K3595" i="81"/>
  <c r="L3714" i="81"/>
  <c r="L3727" i="81"/>
  <c r="J3743" i="81"/>
  <c r="K3744" i="81"/>
  <c r="K3748" i="81"/>
  <c r="D3550" i="81"/>
  <c r="J3583" i="81"/>
  <c r="L3566" i="81"/>
  <c r="L3746" i="81"/>
  <c r="B3392" i="81"/>
  <c r="I3396" i="81"/>
  <c r="J3397" i="81"/>
  <c r="K3398" i="81"/>
  <c r="L3399" i="81"/>
  <c r="J3408" i="81"/>
  <c r="K3409" i="81"/>
  <c r="L3410" i="81"/>
  <c r="I3428" i="81"/>
  <c r="J3429" i="81"/>
  <c r="K3430" i="81"/>
  <c r="L3431" i="81"/>
  <c r="I3440" i="81"/>
  <c r="E1312" i="81"/>
  <c r="J1316" i="81"/>
  <c r="K1317" i="81"/>
  <c r="L1318" i="81"/>
  <c r="K1328" i="81"/>
  <c r="I1334" i="81"/>
  <c r="J1335" i="81"/>
  <c r="K1336" i="81"/>
  <c r="L1337" i="81"/>
  <c r="I1343" i="81"/>
  <c r="J1344" i="81"/>
  <c r="K1345" i="81"/>
  <c r="L1346" i="81"/>
  <c r="I1355" i="81"/>
  <c r="J1356" i="81"/>
  <c r="K1357" i="81"/>
  <c r="L1358" i="81"/>
  <c r="I3725" i="81"/>
  <c r="L3725" i="81"/>
  <c r="K3725" i="81"/>
  <c r="J3725" i="81"/>
  <c r="E3392" i="81"/>
  <c r="P3392" i="81" s="1"/>
  <c r="J3396" i="81"/>
  <c r="L3398" i="81"/>
  <c r="L3409" i="81"/>
  <c r="J3428" i="81"/>
  <c r="L3430" i="81"/>
  <c r="J3440" i="81"/>
  <c r="J1334" i="81"/>
  <c r="J1343" i="81"/>
  <c r="J1355" i="81"/>
  <c r="K3396" i="81"/>
  <c r="K3428" i="81"/>
  <c r="K3440" i="81"/>
  <c r="K1334" i="81"/>
  <c r="K1343" i="81"/>
  <c r="K1355" i="81"/>
  <c r="L3571" i="81"/>
  <c r="K3571" i="81"/>
  <c r="J3571" i="81"/>
  <c r="I3571" i="81"/>
  <c r="G3392" i="81"/>
  <c r="I3416" i="81"/>
  <c r="I3425" i="81"/>
  <c r="I3437" i="81"/>
  <c r="I1331" i="81"/>
  <c r="I1352" i="81"/>
  <c r="L3591" i="81"/>
  <c r="K3591" i="81"/>
  <c r="J3591" i="81"/>
  <c r="I3591" i="81"/>
  <c r="I3415" i="81"/>
  <c r="J3416" i="81"/>
  <c r="J3425" i="81"/>
  <c r="J3437" i="81"/>
  <c r="U1312" i="81"/>
  <c r="I1323" i="81"/>
  <c r="I1330" i="81"/>
  <c r="J1331" i="81"/>
  <c r="I1351" i="81"/>
  <c r="J1352" i="81"/>
  <c r="K3416" i="81"/>
  <c r="K3425" i="81"/>
  <c r="K3437" i="81"/>
  <c r="K1331" i="81"/>
  <c r="I1350" i="81"/>
  <c r="J1351" i="81"/>
  <c r="K1352" i="81"/>
  <c r="L3579" i="81"/>
  <c r="K3579" i="81"/>
  <c r="J3579" i="81"/>
  <c r="I3579" i="81"/>
  <c r="I3402" i="81"/>
  <c r="J3403" i="81"/>
  <c r="I3413" i="81"/>
  <c r="J3414" i="81"/>
  <c r="K3415" i="81"/>
  <c r="J3423" i="81"/>
  <c r="K3424" i="81"/>
  <c r="I3434" i="81"/>
  <c r="J3435" i="81"/>
  <c r="K3436" i="81"/>
  <c r="I1321" i="81"/>
  <c r="J1322" i="81"/>
  <c r="K1323" i="81"/>
  <c r="K1330" i="81"/>
  <c r="I1349" i="81"/>
  <c r="J1350" i="81"/>
  <c r="K1351" i="81"/>
  <c r="M3707" i="81"/>
  <c r="D3707" i="81"/>
  <c r="B3707" i="81"/>
  <c r="J3402" i="81"/>
  <c r="J3413" i="81"/>
  <c r="J3434" i="81"/>
  <c r="J1321" i="81"/>
  <c r="J1349" i="81"/>
  <c r="I3399" i="81"/>
  <c r="I3410" i="81"/>
  <c r="I3431" i="81"/>
  <c r="I1318" i="81"/>
  <c r="I1337" i="81"/>
  <c r="I1346" i="81"/>
  <c r="I1358" i="81"/>
  <c r="J3572" i="81"/>
  <c r="K3573" i="81"/>
  <c r="J3580" i="81"/>
  <c r="K3581" i="81"/>
  <c r="L3582" i="81"/>
  <c r="J3592" i="81"/>
  <c r="K3593" i="81"/>
  <c r="L3594" i="81"/>
  <c r="L3726" i="81"/>
  <c r="L3573" i="81"/>
  <c r="L3581" i="81"/>
  <c r="L3593" i="81"/>
  <c r="I3557" i="81"/>
  <c r="J3558" i="81"/>
  <c r="I3568" i="81"/>
  <c r="J3569" i="81"/>
  <c r="I3588" i="81"/>
  <c r="J3589" i="81"/>
  <c r="J3723" i="81"/>
  <c r="K3723" i="81" s="1"/>
  <c r="J3747" i="81"/>
  <c r="L3752" i="81"/>
  <c r="K3752" i="81"/>
  <c r="J3752" i="81"/>
  <c r="B3550" i="81"/>
  <c r="N3550" i="81" s="1"/>
  <c r="B3551" i="81"/>
  <c r="N3551" i="81" s="1"/>
  <c r="I3556" i="81"/>
  <c r="J3557" i="81"/>
  <c r="K3558" i="81"/>
  <c r="I3567" i="81"/>
  <c r="J3568" i="81"/>
  <c r="K3569" i="81"/>
  <c r="I3587" i="81"/>
  <c r="J3588" i="81"/>
  <c r="K3589" i="81"/>
  <c r="I3722" i="81"/>
  <c r="I3746" i="81"/>
  <c r="L3747" i="81"/>
  <c r="I3752" i="81"/>
  <c r="K3557" i="81"/>
  <c r="K3568" i="81"/>
  <c r="K3588" i="81"/>
  <c r="O3704" i="81"/>
  <c r="J3722" i="81"/>
  <c r="K3722" i="81" s="1"/>
  <c r="K3746" i="81"/>
  <c r="K3721" i="81"/>
  <c r="I3553" i="81"/>
  <c r="I3564" i="81"/>
  <c r="I3584" i="81"/>
  <c r="I3596" i="81"/>
  <c r="E3704" i="81"/>
  <c r="I3713" i="81"/>
  <c r="I3721" i="81"/>
  <c r="K3745" i="81"/>
  <c r="K3751" i="81"/>
  <c r="J3751" i="81"/>
  <c r="I3751" i="81"/>
  <c r="K3553" i="81"/>
  <c r="K3564" i="81"/>
  <c r="I3582" i="81"/>
  <c r="K3584" i="81"/>
  <c r="I3594" i="81"/>
  <c r="K3596" i="81"/>
  <c r="K3713" i="81"/>
  <c r="J3720" i="81"/>
  <c r="K3720" i="81" s="1"/>
  <c r="L3722" i="81" l="1"/>
  <c r="L3723" i="81"/>
  <c r="L3721" i="81"/>
  <c r="L3720" i="81"/>
  <c r="P3548" i="81"/>
  <c r="P1312" i="81"/>
  <c r="N3707" i="81"/>
  <c r="P3704" i="81"/>
  <c r="U3392" i="81"/>
  <c r="N3076" i="81" l="1"/>
  <c r="M3076" i="81"/>
  <c r="H3076" i="81"/>
  <c r="L3076" i="81" s="1"/>
  <c r="F3076" i="81"/>
  <c r="E3076" i="81"/>
  <c r="D3076" i="81"/>
  <c r="B3076" i="81"/>
  <c r="N3075" i="81"/>
  <c r="M3075" i="81"/>
  <c r="H3075" i="81"/>
  <c r="L3075" i="81" s="1"/>
  <c r="F3075" i="81"/>
  <c r="E3075" i="81"/>
  <c r="D3075" i="81"/>
  <c r="B3075" i="81"/>
  <c r="N3074" i="81"/>
  <c r="M3074" i="81"/>
  <c r="H3074" i="81"/>
  <c r="L3074" i="81" s="1"/>
  <c r="F3074" i="81"/>
  <c r="E3074" i="81"/>
  <c r="D3074" i="81"/>
  <c r="B3074" i="81"/>
  <c r="N3073" i="81"/>
  <c r="M3073" i="81"/>
  <c r="H3073" i="81"/>
  <c r="L3073" i="81" s="1"/>
  <c r="F3073" i="81"/>
  <c r="E3073" i="81"/>
  <c r="D3073" i="81"/>
  <c r="B3073" i="81"/>
  <c r="N3072" i="81"/>
  <c r="M3072" i="81"/>
  <c r="H3072" i="81"/>
  <c r="J3072" i="81" s="1"/>
  <c r="F3072" i="81"/>
  <c r="E3072" i="81"/>
  <c r="D3072" i="81"/>
  <c r="B3072" i="81"/>
  <c r="N3071" i="81"/>
  <c r="M3071" i="81"/>
  <c r="H3071" i="81"/>
  <c r="I3071" i="81" s="1"/>
  <c r="F3071" i="81"/>
  <c r="E3071" i="81"/>
  <c r="D3071" i="81"/>
  <c r="B3071" i="81"/>
  <c r="N3070" i="81"/>
  <c r="M3070" i="81"/>
  <c r="H3070" i="81"/>
  <c r="L3070" i="81" s="1"/>
  <c r="F3070" i="81"/>
  <c r="E3070" i="81"/>
  <c r="D3070" i="81"/>
  <c r="B3070" i="81"/>
  <c r="N3069" i="81"/>
  <c r="M3069" i="81"/>
  <c r="H3069" i="81"/>
  <c r="L3069" i="81" s="1"/>
  <c r="F3069" i="81"/>
  <c r="E3069" i="81"/>
  <c r="D3069" i="81"/>
  <c r="B3069" i="81"/>
  <c r="N3068" i="81"/>
  <c r="M3068" i="81"/>
  <c r="H3068" i="81"/>
  <c r="F3068" i="81"/>
  <c r="E3068" i="81"/>
  <c r="D3068" i="81"/>
  <c r="B3068" i="81"/>
  <c r="N3067" i="81"/>
  <c r="M3067" i="81"/>
  <c r="H3067" i="81"/>
  <c r="L3067" i="81" s="1"/>
  <c r="F3067" i="81"/>
  <c r="E3067" i="81"/>
  <c r="D3067" i="81"/>
  <c r="B3067" i="81"/>
  <c r="N3066" i="81"/>
  <c r="M3066" i="81"/>
  <c r="H3066" i="81"/>
  <c r="F3066" i="81"/>
  <c r="E3066" i="81"/>
  <c r="D3066" i="81"/>
  <c r="B3066" i="81"/>
  <c r="N3065" i="81"/>
  <c r="M3065" i="81"/>
  <c r="H3065" i="81"/>
  <c r="K3065" i="81" s="1"/>
  <c r="F3065" i="81"/>
  <c r="E3065" i="81"/>
  <c r="D3065" i="81"/>
  <c r="B3065" i="81"/>
  <c r="N3064" i="81"/>
  <c r="M3064" i="81"/>
  <c r="H3064" i="81"/>
  <c r="L3064" i="81" s="1"/>
  <c r="F3064" i="81"/>
  <c r="E3064" i="81"/>
  <c r="D3064" i="81"/>
  <c r="B3064" i="81"/>
  <c r="N3063" i="81"/>
  <c r="M3063" i="81"/>
  <c r="H3063" i="81"/>
  <c r="L3063" i="81" s="1"/>
  <c r="F3063" i="81"/>
  <c r="E3063" i="81"/>
  <c r="D3063" i="81"/>
  <c r="B3063" i="81"/>
  <c r="N3062" i="81"/>
  <c r="M3062" i="81"/>
  <c r="H3062" i="81"/>
  <c r="K3062" i="81" s="1"/>
  <c r="F3062" i="81"/>
  <c r="E3062" i="81"/>
  <c r="D3062" i="81"/>
  <c r="B3062" i="81"/>
  <c r="N3061" i="81"/>
  <c r="M3061" i="81"/>
  <c r="H3061" i="81"/>
  <c r="L3061" i="81" s="1"/>
  <c r="F3061" i="81"/>
  <c r="E3061" i="81"/>
  <c r="D3061" i="81"/>
  <c r="B3061" i="81"/>
  <c r="N3060" i="81"/>
  <c r="M3060" i="81"/>
  <c r="H3060" i="81"/>
  <c r="I3060" i="81" s="1"/>
  <c r="F3060" i="81"/>
  <c r="E3060" i="81"/>
  <c r="D3060" i="81"/>
  <c r="B3060" i="81"/>
  <c r="N3059" i="81"/>
  <c r="M3059" i="81"/>
  <c r="H3059" i="81"/>
  <c r="L3059" i="81" s="1"/>
  <c r="F3059" i="81"/>
  <c r="E3059" i="81"/>
  <c r="D3059" i="81"/>
  <c r="B3059" i="81"/>
  <c r="N3058" i="81"/>
  <c r="M3058" i="81"/>
  <c r="H3058" i="81"/>
  <c r="I3058" i="81" s="1"/>
  <c r="F3058" i="81"/>
  <c r="E3058" i="81"/>
  <c r="D3058" i="81"/>
  <c r="B3058" i="81"/>
  <c r="N3053" i="81"/>
  <c r="M3053" i="81"/>
  <c r="H3053" i="81"/>
  <c r="L3053" i="81" s="1"/>
  <c r="F3053" i="81"/>
  <c r="E3053" i="81"/>
  <c r="D3053" i="81"/>
  <c r="B3053" i="81"/>
  <c r="N3052" i="81"/>
  <c r="M3052" i="81"/>
  <c r="H3052" i="81"/>
  <c r="I3052" i="81" s="1"/>
  <c r="F3052" i="81"/>
  <c r="E3052" i="81"/>
  <c r="D3052" i="81"/>
  <c r="B3052" i="81"/>
  <c r="N3051" i="81"/>
  <c r="M3051" i="81"/>
  <c r="H3051" i="81"/>
  <c r="K3051" i="81" s="1"/>
  <c r="F3051" i="81"/>
  <c r="E3051" i="81"/>
  <c r="D3051" i="81"/>
  <c r="B3051" i="81"/>
  <c r="N3050" i="81"/>
  <c r="M3050" i="81"/>
  <c r="H3050" i="81"/>
  <c r="I3050" i="81" s="1"/>
  <c r="F3050" i="81"/>
  <c r="E3050" i="81"/>
  <c r="D3050" i="81"/>
  <c r="B3050" i="81"/>
  <c r="N3049" i="81"/>
  <c r="M3049" i="81"/>
  <c r="H3049" i="81"/>
  <c r="L3049" i="81" s="1"/>
  <c r="F3049" i="81"/>
  <c r="E3049" i="81"/>
  <c r="D3049" i="81"/>
  <c r="B3049" i="81"/>
  <c r="N3048" i="81"/>
  <c r="M3048" i="81"/>
  <c r="H3048" i="81"/>
  <c r="F3048" i="81"/>
  <c r="E3048" i="81"/>
  <c r="D3048" i="81"/>
  <c r="B3048" i="81"/>
  <c r="N3047" i="81"/>
  <c r="M3047" i="81"/>
  <c r="H3047" i="81"/>
  <c r="L3047" i="81" s="1"/>
  <c r="F3047" i="81"/>
  <c r="E3047" i="81"/>
  <c r="D3047" i="81"/>
  <c r="B3047" i="81"/>
  <c r="N3046" i="81"/>
  <c r="M3046" i="81"/>
  <c r="H3046" i="81"/>
  <c r="F3046" i="81"/>
  <c r="E3046" i="81"/>
  <c r="D3046" i="81"/>
  <c r="B3046" i="81"/>
  <c r="N3045" i="81"/>
  <c r="M3045" i="81"/>
  <c r="H3045" i="81"/>
  <c r="K3045" i="81" s="1"/>
  <c r="F3045" i="81"/>
  <c r="E3045" i="81"/>
  <c r="D3045" i="81"/>
  <c r="B3045" i="81"/>
  <c r="N3044" i="81"/>
  <c r="M3044" i="81"/>
  <c r="H3044" i="81"/>
  <c r="L3044" i="81" s="1"/>
  <c r="F3044" i="81"/>
  <c r="E3044" i="81"/>
  <c r="D3044" i="81"/>
  <c r="B3044" i="81"/>
  <c r="N3039" i="81"/>
  <c r="M3039" i="81"/>
  <c r="H3039" i="81"/>
  <c r="F3039" i="81"/>
  <c r="E3039" i="81"/>
  <c r="D3039" i="81"/>
  <c r="B3039" i="81"/>
  <c r="N3038" i="81"/>
  <c r="M3038" i="81"/>
  <c r="H3038" i="81"/>
  <c r="L3038" i="81" s="1"/>
  <c r="F3038" i="81"/>
  <c r="E3038" i="81"/>
  <c r="D3038" i="81"/>
  <c r="B3038" i="81"/>
  <c r="N3037" i="81"/>
  <c r="M3037" i="81"/>
  <c r="H3037" i="81"/>
  <c r="J3037" i="81" s="1"/>
  <c r="F3037" i="81"/>
  <c r="E3037" i="81"/>
  <c r="D3037" i="81"/>
  <c r="B3037" i="81"/>
  <c r="N3036" i="81"/>
  <c r="M3036" i="81"/>
  <c r="H3036" i="81"/>
  <c r="L3036" i="81" s="1"/>
  <c r="F3036" i="81"/>
  <c r="E3036" i="81"/>
  <c r="D3036" i="81"/>
  <c r="B3036" i="81"/>
  <c r="N3035" i="81"/>
  <c r="M3035" i="81"/>
  <c r="H3035" i="81"/>
  <c r="J3035" i="81" s="1"/>
  <c r="F3035" i="81"/>
  <c r="E3035" i="81"/>
  <c r="D3035" i="81"/>
  <c r="B3035" i="81"/>
  <c r="N3034" i="81"/>
  <c r="M3034" i="81"/>
  <c r="H3034" i="81"/>
  <c r="K3034" i="81" s="1"/>
  <c r="F3034" i="81"/>
  <c r="E3034" i="81"/>
  <c r="D3034" i="81"/>
  <c r="B3034" i="81"/>
  <c r="N3033" i="81"/>
  <c r="M3033" i="81"/>
  <c r="H3033" i="81"/>
  <c r="F3033" i="81"/>
  <c r="E3033" i="81"/>
  <c r="D3033" i="81"/>
  <c r="B3033" i="81"/>
  <c r="N3032" i="81"/>
  <c r="M3032" i="81"/>
  <c r="H3032" i="81"/>
  <c r="L3032" i="81" s="1"/>
  <c r="F3032" i="81"/>
  <c r="E3032" i="81"/>
  <c r="D3032" i="81"/>
  <c r="B3032" i="81"/>
  <c r="A3031" i="81"/>
  <c r="M3031" i="81" s="1"/>
  <c r="A3030" i="81"/>
  <c r="E3028" i="81"/>
  <c r="G3028" i="81"/>
  <c r="N2816" i="81"/>
  <c r="M2816" i="81"/>
  <c r="H2816" i="81"/>
  <c r="I2816" i="81" s="1"/>
  <c r="F2816" i="81"/>
  <c r="E2816" i="81"/>
  <c r="D2816" i="81"/>
  <c r="B2816" i="81"/>
  <c r="N2815" i="81"/>
  <c r="M2815" i="81"/>
  <c r="H2815" i="81"/>
  <c r="I2815" i="81" s="1"/>
  <c r="F2815" i="81"/>
  <c r="E2815" i="81"/>
  <c r="D2815" i="81"/>
  <c r="B2815" i="81"/>
  <c r="N2814" i="81"/>
  <c r="M2814" i="81"/>
  <c r="H2814" i="81"/>
  <c r="F2814" i="81"/>
  <c r="E2814" i="81"/>
  <c r="D2814" i="81"/>
  <c r="B2814" i="81"/>
  <c r="N2813" i="81"/>
  <c r="M2813" i="81"/>
  <c r="H2813" i="81"/>
  <c r="L2813" i="81" s="1"/>
  <c r="F2813" i="81"/>
  <c r="E2813" i="81"/>
  <c r="D2813" i="81"/>
  <c r="B2813" i="81"/>
  <c r="N2812" i="81"/>
  <c r="M2812" i="81"/>
  <c r="H2812" i="81"/>
  <c r="K2812" i="81" s="1"/>
  <c r="F2812" i="81"/>
  <c r="E2812" i="81"/>
  <c r="D2812" i="81"/>
  <c r="B2812" i="81"/>
  <c r="N2811" i="81"/>
  <c r="M2811" i="81"/>
  <c r="H2811" i="81"/>
  <c r="L2811" i="81" s="1"/>
  <c r="F2811" i="81"/>
  <c r="E2811" i="81"/>
  <c r="D2811" i="81"/>
  <c r="B2811" i="81"/>
  <c r="N2810" i="81"/>
  <c r="M2810" i="81"/>
  <c r="H2810" i="81"/>
  <c r="I2810" i="81" s="1"/>
  <c r="F2810" i="81"/>
  <c r="E2810" i="81"/>
  <c r="D2810" i="81"/>
  <c r="B2810" i="81"/>
  <c r="N2809" i="81"/>
  <c r="M2809" i="81"/>
  <c r="H2809" i="81"/>
  <c r="L2809" i="81" s="1"/>
  <c r="F2809" i="81"/>
  <c r="E2809" i="81"/>
  <c r="D2809" i="81"/>
  <c r="B2809" i="81"/>
  <c r="N2808" i="81"/>
  <c r="M2808" i="81"/>
  <c r="H2808" i="81"/>
  <c r="K2808" i="81" s="1"/>
  <c r="F2808" i="81"/>
  <c r="E2808" i="81"/>
  <c r="D2808" i="81"/>
  <c r="B2808" i="81"/>
  <c r="N2807" i="81"/>
  <c r="M2807" i="81"/>
  <c r="H2807" i="81"/>
  <c r="J2807" i="81" s="1"/>
  <c r="F2807" i="81"/>
  <c r="E2807" i="81"/>
  <c r="D2807" i="81"/>
  <c r="B2807" i="81"/>
  <c r="N2806" i="81"/>
  <c r="M2806" i="81"/>
  <c r="H2806" i="81"/>
  <c r="F2806" i="81"/>
  <c r="E2806" i="81"/>
  <c r="D2806" i="81"/>
  <c r="B2806" i="81"/>
  <c r="N2805" i="81"/>
  <c r="M2805" i="81"/>
  <c r="H2805" i="81"/>
  <c r="J2805" i="81" s="1"/>
  <c r="F2805" i="81"/>
  <c r="E2805" i="81"/>
  <c r="D2805" i="81"/>
  <c r="B2805" i="81"/>
  <c r="N2804" i="81"/>
  <c r="M2804" i="81"/>
  <c r="H2804" i="81"/>
  <c r="I2804" i="81" s="1"/>
  <c r="F2804" i="81"/>
  <c r="E2804" i="81"/>
  <c r="D2804" i="81"/>
  <c r="B2804" i="81"/>
  <c r="N2803" i="81"/>
  <c r="M2803" i="81"/>
  <c r="H2803" i="81"/>
  <c r="I2803" i="81" s="1"/>
  <c r="F2803" i="81"/>
  <c r="E2803" i="81"/>
  <c r="D2803" i="81"/>
  <c r="B2803" i="81"/>
  <c r="N2802" i="81"/>
  <c r="M2802" i="81"/>
  <c r="H2802" i="81"/>
  <c r="F2802" i="81"/>
  <c r="E2802" i="81"/>
  <c r="D2802" i="81"/>
  <c r="B2802" i="81"/>
  <c r="N2801" i="81"/>
  <c r="M2801" i="81"/>
  <c r="H2801" i="81"/>
  <c r="L2801" i="81" s="1"/>
  <c r="F2801" i="81"/>
  <c r="E2801" i="81"/>
  <c r="D2801" i="81"/>
  <c r="B2801" i="81"/>
  <c r="N2800" i="81"/>
  <c r="M2800" i="81"/>
  <c r="H2800" i="81"/>
  <c r="K2800" i="81" s="1"/>
  <c r="F2800" i="81"/>
  <c r="E2800" i="81"/>
  <c r="D2800" i="81"/>
  <c r="B2800" i="81"/>
  <c r="N2799" i="81"/>
  <c r="M2799" i="81"/>
  <c r="H2799" i="81"/>
  <c r="L2799" i="81" s="1"/>
  <c r="F2799" i="81"/>
  <c r="E2799" i="81"/>
  <c r="D2799" i="81"/>
  <c r="B2799" i="81"/>
  <c r="N2798" i="81"/>
  <c r="M2798" i="81"/>
  <c r="H2798" i="81"/>
  <c r="I2798" i="81" s="1"/>
  <c r="F2798" i="81"/>
  <c r="E2798" i="81"/>
  <c r="D2798" i="81"/>
  <c r="B2798" i="81"/>
  <c r="N2793" i="81"/>
  <c r="M2793" i="81"/>
  <c r="H2793" i="81"/>
  <c r="L2793" i="81" s="1"/>
  <c r="F2793" i="81"/>
  <c r="E2793" i="81"/>
  <c r="D2793" i="81"/>
  <c r="B2793" i="81"/>
  <c r="N2792" i="81"/>
  <c r="M2792" i="81"/>
  <c r="H2792" i="81"/>
  <c r="K2792" i="81" s="1"/>
  <c r="F2792" i="81"/>
  <c r="E2792" i="81"/>
  <c r="D2792" i="81"/>
  <c r="B2792" i="81"/>
  <c r="N2791" i="81"/>
  <c r="M2791" i="81"/>
  <c r="H2791" i="81"/>
  <c r="L2791" i="81" s="1"/>
  <c r="F2791" i="81"/>
  <c r="E2791" i="81"/>
  <c r="D2791" i="81"/>
  <c r="B2791" i="81"/>
  <c r="N2790" i="81"/>
  <c r="M2790" i="81"/>
  <c r="H2790" i="81"/>
  <c r="L2790" i="81" s="1"/>
  <c r="F2790" i="81"/>
  <c r="E2790" i="81"/>
  <c r="D2790" i="81"/>
  <c r="B2790" i="81"/>
  <c r="N2789" i="81"/>
  <c r="M2789" i="81"/>
  <c r="H2789" i="81"/>
  <c r="L2789" i="81" s="1"/>
  <c r="F2789" i="81"/>
  <c r="B2789" i="81"/>
  <c r="N2788" i="81"/>
  <c r="M2788" i="81"/>
  <c r="H2788" i="81"/>
  <c r="I2788" i="81" s="1"/>
  <c r="F2788" i="81"/>
  <c r="B2788" i="81"/>
  <c r="N2787" i="81"/>
  <c r="M2787" i="81"/>
  <c r="H2787" i="81"/>
  <c r="F2787" i="81"/>
  <c r="B2787" i="81"/>
  <c r="N2786" i="81"/>
  <c r="M2786" i="81"/>
  <c r="H2786" i="81"/>
  <c r="K2786" i="81" s="1"/>
  <c r="F2786" i="81"/>
  <c r="B2786" i="81"/>
  <c r="N2785" i="81"/>
  <c r="M2785" i="81"/>
  <c r="H2785" i="81"/>
  <c r="L2785" i="81" s="1"/>
  <c r="F2785" i="81"/>
  <c r="E2785" i="81"/>
  <c r="D2785" i="81"/>
  <c r="B2785" i="81"/>
  <c r="N2784" i="81"/>
  <c r="M2784" i="81"/>
  <c r="H2784" i="81"/>
  <c r="K2784" i="81" s="1"/>
  <c r="F2784" i="81"/>
  <c r="E2784" i="81"/>
  <c r="D2784" i="81"/>
  <c r="B2784" i="81"/>
  <c r="N2779" i="81"/>
  <c r="M2779" i="81"/>
  <c r="H2779" i="81"/>
  <c r="F2779" i="81"/>
  <c r="E2779" i="81"/>
  <c r="D2779" i="81"/>
  <c r="B2779" i="81"/>
  <c r="N2778" i="81"/>
  <c r="M2778" i="81"/>
  <c r="H2778" i="81"/>
  <c r="L2778" i="81" s="1"/>
  <c r="F2778" i="81"/>
  <c r="E2778" i="81"/>
  <c r="D2778" i="81"/>
  <c r="B2778" i="81"/>
  <c r="N2777" i="81"/>
  <c r="M2777" i="81"/>
  <c r="H2777" i="81"/>
  <c r="K2777" i="81" s="1"/>
  <c r="F2777" i="81"/>
  <c r="E2777" i="81"/>
  <c r="D2777" i="81"/>
  <c r="B2777" i="81"/>
  <c r="N2776" i="81"/>
  <c r="M2776" i="81"/>
  <c r="H2776" i="81"/>
  <c r="K2776" i="81" s="1"/>
  <c r="F2776" i="81"/>
  <c r="E2776" i="81"/>
  <c r="D2776" i="81"/>
  <c r="B2776" i="81"/>
  <c r="N2775" i="81"/>
  <c r="M2775" i="81"/>
  <c r="H2775" i="81"/>
  <c r="L2775" i="81" s="1"/>
  <c r="F2775" i="81"/>
  <c r="B2775" i="81"/>
  <c r="N2774" i="81"/>
  <c r="M2774" i="81"/>
  <c r="H2774" i="81"/>
  <c r="J2774" i="81" s="1"/>
  <c r="F2774" i="81"/>
  <c r="B2774" i="81"/>
  <c r="N2773" i="81"/>
  <c r="M2773" i="81"/>
  <c r="H2773" i="81"/>
  <c r="I2773" i="81" s="1"/>
  <c r="F2773" i="81"/>
  <c r="E2773" i="81"/>
  <c r="D2773" i="81"/>
  <c r="B2773" i="81"/>
  <c r="A2772" i="81"/>
  <c r="B2772" i="81" s="1"/>
  <c r="A2771" i="81"/>
  <c r="B2771" i="81" s="1"/>
  <c r="A2770" i="81"/>
  <c r="O2768" i="81"/>
  <c r="E2768" i="81"/>
  <c r="N2452" i="81"/>
  <c r="M2452" i="81"/>
  <c r="H2452" i="81"/>
  <c r="K2452" i="81" s="1"/>
  <c r="F2452" i="81"/>
  <c r="E2452" i="81"/>
  <c r="D2452" i="81"/>
  <c r="B2452" i="81"/>
  <c r="N2451" i="81"/>
  <c r="M2451" i="81"/>
  <c r="H2451" i="81"/>
  <c r="J2451" i="81" s="1"/>
  <c r="F2451" i="81"/>
  <c r="E2451" i="81"/>
  <c r="D2451" i="81"/>
  <c r="B2451" i="81"/>
  <c r="N2450" i="81"/>
  <c r="M2450" i="81"/>
  <c r="H2450" i="81"/>
  <c r="L2450" i="81" s="1"/>
  <c r="F2450" i="81"/>
  <c r="E2450" i="81"/>
  <c r="D2450" i="81"/>
  <c r="B2450" i="81"/>
  <c r="N2449" i="81"/>
  <c r="M2449" i="81"/>
  <c r="H2449" i="81"/>
  <c r="K2449" i="81" s="1"/>
  <c r="F2449" i="81"/>
  <c r="E2449" i="81"/>
  <c r="D2449" i="81"/>
  <c r="B2449" i="81"/>
  <c r="N2448" i="81"/>
  <c r="M2448" i="81"/>
  <c r="H2448" i="81"/>
  <c r="L2448" i="81" s="1"/>
  <c r="F2448" i="81"/>
  <c r="E2448" i="81"/>
  <c r="D2448" i="81"/>
  <c r="B2448" i="81"/>
  <c r="N2447" i="81"/>
  <c r="M2447" i="81"/>
  <c r="H2447" i="81"/>
  <c r="K2447" i="81" s="1"/>
  <c r="F2447" i="81"/>
  <c r="E2447" i="81"/>
  <c r="D2447" i="81"/>
  <c r="B2447" i="81"/>
  <c r="N2446" i="81"/>
  <c r="M2446" i="81"/>
  <c r="H2446" i="81"/>
  <c r="K2446" i="81" s="1"/>
  <c r="F2446" i="81"/>
  <c r="E2446" i="81"/>
  <c r="D2446" i="81"/>
  <c r="B2446" i="81"/>
  <c r="N2445" i="81"/>
  <c r="M2445" i="81"/>
  <c r="H2445" i="81"/>
  <c r="F2445" i="81"/>
  <c r="E2445" i="81"/>
  <c r="D2445" i="81"/>
  <c r="B2445" i="81"/>
  <c r="N2444" i="81"/>
  <c r="M2444" i="81"/>
  <c r="H2444" i="81"/>
  <c r="L2444" i="81" s="1"/>
  <c r="F2444" i="81"/>
  <c r="E2444" i="81"/>
  <c r="D2444" i="81"/>
  <c r="B2444" i="81"/>
  <c r="N2443" i="81"/>
  <c r="M2443" i="81"/>
  <c r="H2443" i="81"/>
  <c r="J2443" i="81" s="1"/>
  <c r="F2443" i="81"/>
  <c r="E2443" i="81"/>
  <c r="D2443" i="81"/>
  <c r="B2443" i="81"/>
  <c r="N2442" i="81"/>
  <c r="M2442" i="81"/>
  <c r="H2442" i="81"/>
  <c r="L2442" i="81" s="1"/>
  <c r="F2442" i="81"/>
  <c r="E2442" i="81"/>
  <c r="D2442" i="81"/>
  <c r="B2442" i="81"/>
  <c r="N2441" i="81"/>
  <c r="M2441" i="81"/>
  <c r="H2441" i="81"/>
  <c r="F2441" i="81"/>
  <c r="E2441" i="81"/>
  <c r="D2441" i="81"/>
  <c r="B2441" i="81"/>
  <c r="N2440" i="81"/>
  <c r="M2440" i="81"/>
  <c r="H2440" i="81"/>
  <c r="K2440" i="81" s="1"/>
  <c r="F2440" i="81"/>
  <c r="E2440" i="81"/>
  <c r="D2440" i="81"/>
  <c r="B2440" i="81"/>
  <c r="N2439" i="81"/>
  <c r="M2439" i="81"/>
  <c r="H2439" i="81"/>
  <c r="J2439" i="81" s="1"/>
  <c r="F2439" i="81"/>
  <c r="E2439" i="81"/>
  <c r="D2439" i="81"/>
  <c r="B2439" i="81"/>
  <c r="N2438" i="81"/>
  <c r="M2438" i="81"/>
  <c r="H2438" i="81"/>
  <c r="L2438" i="81" s="1"/>
  <c r="F2438" i="81"/>
  <c r="E2438" i="81"/>
  <c r="D2438" i="81"/>
  <c r="B2438" i="81"/>
  <c r="N2437" i="81"/>
  <c r="M2437" i="81"/>
  <c r="H2437" i="81"/>
  <c r="K2437" i="81" s="1"/>
  <c r="F2437" i="81"/>
  <c r="E2437" i="81"/>
  <c r="D2437" i="81"/>
  <c r="B2437" i="81"/>
  <c r="N2436" i="81"/>
  <c r="M2436" i="81"/>
  <c r="H2436" i="81"/>
  <c r="L2436" i="81" s="1"/>
  <c r="F2436" i="81"/>
  <c r="E2436" i="81"/>
  <c r="D2436" i="81"/>
  <c r="B2436" i="81"/>
  <c r="N2435" i="81"/>
  <c r="M2435" i="81"/>
  <c r="H2435" i="81"/>
  <c r="K2435" i="81" s="1"/>
  <c r="F2435" i="81"/>
  <c r="E2435" i="81"/>
  <c r="D2435" i="81"/>
  <c r="B2435" i="81"/>
  <c r="N2429" i="81"/>
  <c r="M2429" i="81"/>
  <c r="H2429" i="81"/>
  <c r="L2429" i="81" s="1"/>
  <c r="F2429" i="81"/>
  <c r="E2429" i="81"/>
  <c r="D2429" i="81"/>
  <c r="B2429" i="81"/>
  <c r="N2428" i="81"/>
  <c r="M2428" i="81"/>
  <c r="H2428" i="81"/>
  <c r="K2428" i="81" s="1"/>
  <c r="F2428" i="81"/>
  <c r="E2428" i="81"/>
  <c r="D2428" i="81"/>
  <c r="B2428" i="81"/>
  <c r="N2427" i="81"/>
  <c r="M2427" i="81"/>
  <c r="H2427" i="81"/>
  <c r="L2427" i="81" s="1"/>
  <c r="F2427" i="81"/>
  <c r="E2427" i="81"/>
  <c r="D2427" i="81"/>
  <c r="B2427" i="81"/>
  <c r="N2426" i="81"/>
  <c r="M2426" i="81"/>
  <c r="H2426" i="81"/>
  <c r="K2426" i="81" s="1"/>
  <c r="F2426" i="81"/>
  <c r="E2426" i="81"/>
  <c r="D2426" i="81"/>
  <c r="B2426" i="81"/>
  <c r="N2425" i="81"/>
  <c r="M2425" i="81"/>
  <c r="H2425" i="81"/>
  <c r="L2425" i="81" s="1"/>
  <c r="F2425" i="81"/>
  <c r="E2425" i="81"/>
  <c r="D2425" i="81"/>
  <c r="B2425" i="81"/>
  <c r="N2424" i="81"/>
  <c r="M2424" i="81"/>
  <c r="H2424" i="81"/>
  <c r="F2424" i="81"/>
  <c r="E2424" i="81"/>
  <c r="D2424" i="81"/>
  <c r="B2424" i="81"/>
  <c r="N2423" i="81"/>
  <c r="M2423" i="81"/>
  <c r="H2423" i="81"/>
  <c r="L2423" i="81" s="1"/>
  <c r="F2423" i="81"/>
  <c r="E2423" i="81"/>
  <c r="D2423" i="81"/>
  <c r="B2423" i="81"/>
  <c r="N2422" i="81"/>
  <c r="M2422" i="81"/>
  <c r="H2422" i="81"/>
  <c r="J2422" i="81" s="1"/>
  <c r="F2422" i="81"/>
  <c r="E2422" i="81"/>
  <c r="D2422" i="81"/>
  <c r="B2422" i="81"/>
  <c r="N2421" i="81"/>
  <c r="M2421" i="81"/>
  <c r="H2421" i="81"/>
  <c r="L2421" i="81" s="1"/>
  <c r="F2421" i="81"/>
  <c r="E2421" i="81"/>
  <c r="D2421" i="81"/>
  <c r="B2421" i="81"/>
  <c r="N2420" i="81"/>
  <c r="M2420" i="81"/>
  <c r="H2420" i="81"/>
  <c r="F2420" i="81"/>
  <c r="E2420" i="81"/>
  <c r="D2420" i="81"/>
  <c r="B2420" i="81"/>
  <c r="N2415" i="81"/>
  <c r="M2415" i="81"/>
  <c r="H2415" i="81"/>
  <c r="K2415" i="81" s="1"/>
  <c r="F2415" i="81"/>
  <c r="E2415" i="81"/>
  <c r="D2415" i="81"/>
  <c r="B2415" i="81"/>
  <c r="N2414" i="81"/>
  <c r="M2414" i="81"/>
  <c r="H2414" i="81"/>
  <c r="L2414" i="81" s="1"/>
  <c r="F2414" i="81"/>
  <c r="E2414" i="81"/>
  <c r="D2414" i="81"/>
  <c r="B2414" i="81"/>
  <c r="N2413" i="81"/>
  <c r="M2413" i="81"/>
  <c r="H2413" i="81"/>
  <c r="J2413" i="81" s="1"/>
  <c r="F2413" i="81"/>
  <c r="E2413" i="81"/>
  <c r="D2413" i="81"/>
  <c r="B2413" i="81"/>
  <c r="N2412" i="81"/>
  <c r="M2412" i="81"/>
  <c r="H2412" i="81"/>
  <c r="L2412" i="81" s="1"/>
  <c r="F2412" i="81"/>
  <c r="E2412" i="81"/>
  <c r="D2412" i="81"/>
  <c r="B2412" i="81"/>
  <c r="N2411" i="81"/>
  <c r="M2411" i="81"/>
  <c r="H2411" i="81"/>
  <c r="F2411" i="81"/>
  <c r="E2411" i="81"/>
  <c r="D2411" i="81"/>
  <c r="B2411" i="81"/>
  <c r="N2410" i="81"/>
  <c r="M2410" i="81"/>
  <c r="H2410" i="81"/>
  <c r="L2410" i="81" s="1"/>
  <c r="F2410" i="81"/>
  <c r="E2410" i="81"/>
  <c r="D2410" i="81"/>
  <c r="B2410" i="81"/>
  <c r="N2409" i="81"/>
  <c r="M2409" i="81"/>
  <c r="H2409" i="81"/>
  <c r="F2409" i="81"/>
  <c r="E2409" i="81"/>
  <c r="D2409" i="81"/>
  <c r="B2409" i="81"/>
  <c r="N2408" i="81"/>
  <c r="M2408" i="81"/>
  <c r="H2408" i="81"/>
  <c r="K2408" i="81" s="1"/>
  <c r="F2408" i="81"/>
  <c r="E2408" i="81"/>
  <c r="D2408" i="81"/>
  <c r="B2408" i="81"/>
  <c r="M2407" i="81"/>
  <c r="A2406" i="81"/>
  <c r="M2406" i="81" s="1"/>
  <c r="G2404" i="81"/>
  <c r="U2404" i="81" s="1"/>
  <c r="B2404" i="81"/>
  <c r="N2192" i="81"/>
  <c r="M2192" i="81"/>
  <c r="H2192" i="81"/>
  <c r="K2192" i="81" s="1"/>
  <c r="F2192" i="81"/>
  <c r="E2192" i="81"/>
  <c r="D2192" i="81"/>
  <c r="B2192" i="81"/>
  <c r="N2191" i="81"/>
  <c r="M2191" i="81"/>
  <c r="H2191" i="81"/>
  <c r="J2191" i="81" s="1"/>
  <c r="F2191" i="81"/>
  <c r="E2191" i="81"/>
  <c r="D2191" i="81"/>
  <c r="B2191" i="81"/>
  <c r="N2190" i="81"/>
  <c r="M2190" i="81"/>
  <c r="H2190" i="81"/>
  <c r="I2190" i="81" s="1"/>
  <c r="F2190" i="81"/>
  <c r="E2190" i="81"/>
  <c r="D2190" i="81"/>
  <c r="B2190" i="81"/>
  <c r="N2189" i="81"/>
  <c r="M2189" i="81"/>
  <c r="H2189" i="81"/>
  <c r="L2189" i="81" s="1"/>
  <c r="F2189" i="81"/>
  <c r="E2189" i="81"/>
  <c r="D2189" i="81"/>
  <c r="B2189" i="81"/>
  <c r="N2188" i="81"/>
  <c r="M2188" i="81"/>
  <c r="H2188" i="81"/>
  <c r="L2188" i="81" s="1"/>
  <c r="F2188" i="81"/>
  <c r="E2188" i="81"/>
  <c r="D2188" i="81"/>
  <c r="B2188" i="81"/>
  <c r="N2187" i="81"/>
  <c r="M2187" i="81"/>
  <c r="H2187" i="81"/>
  <c r="K2187" i="81" s="1"/>
  <c r="F2187" i="81"/>
  <c r="E2187" i="81"/>
  <c r="D2187" i="81"/>
  <c r="B2187" i="81"/>
  <c r="N2186" i="81"/>
  <c r="M2186" i="81"/>
  <c r="H2186" i="81"/>
  <c r="J2186" i="81" s="1"/>
  <c r="F2186" i="81"/>
  <c r="E2186" i="81"/>
  <c r="D2186" i="81"/>
  <c r="B2186" i="81"/>
  <c r="N2185" i="81"/>
  <c r="M2185" i="81"/>
  <c r="H2185" i="81"/>
  <c r="F2185" i="81"/>
  <c r="E2185" i="81"/>
  <c r="D2185" i="81"/>
  <c r="B2185" i="81"/>
  <c r="N2184" i="81"/>
  <c r="M2184" i="81"/>
  <c r="H2184" i="81"/>
  <c r="J2184" i="81" s="1"/>
  <c r="F2184" i="81"/>
  <c r="E2184" i="81"/>
  <c r="D2184" i="81"/>
  <c r="B2184" i="81"/>
  <c r="N2183" i="81"/>
  <c r="M2183" i="81"/>
  <c r="H2183" i="81"/>
  <c r="F2183" i="81"/>
  <c r="E2183" i="81"/>
  <c r="D2183" i="81"/>
  <c r="B2183" i="81"/>
  <c r="N2182" i="81"/>
  <c r="M2182" i="81"/>
  <c r="H2182" i="81"/>
  <c r="I2182" i="81" s="1"/>
  <c r="F2182" i="81"/>
  <c r="E2182" i="81"/>
  <c r="D2182" i="81"/>
  <c r="B2182" i="81"/>
  <c r="N2181" i="81"/>
  <c r="M2181" i="81"/>
  <c r="H2181" i="81"/>
  <c r="F2181" i="81"/>
  <c r="E2181" i="81"/>
  <c r="D2181" i="81"/>
  <c r="B2181" i="81"/>
  <c r="N2180" i="81"/>
  <c r="M2180" i="81"/>
  <c r="H2180" i="81"/>
  <c r="K2180" i="81" s="1"/>
  <c r="F2180" i="81"/>
  <c r="E2180" i="81"/>
  <c r="D2180" i="81"/>
  <c r="B2180" i="81"/>
  <c r="N2179" i="81"/>
  <c r="M2179" i="81"/>
  <c r="H2179" i="81"/>
  <c r="J2179" i="81" s="1"/>
  <c r="F2179" i="81"/>
  <c r="E2179" i="81"/>
  <c r="D2179" i="81"/>
  <c r="B2179" i="81"/>
  <c r="N2178" i="81"/>
  <c r="M2178" i="81"/>
  <c r="H2178" i="81"/>
  <c r="I2178" i="81" s="1"/>
  <c r="F2178" i="81"/>
  <c r="E2178" i="81"/>
  <c r="D2178" i="81"/>
  <c r="B2178" i="81"/>
  <c r="N2177" i="81"/>
  <c r="M2177" i="81"/>
  <c r="H2177" i="81"/>
  <c r="J2177" i="81" s="1"/>
  <c r="F2177" i="81"/>
  <c r="E2177" i="81"/>
  <c r="D2177" i="81"/>
  <c r="B2177" i="81"/>
  <c r="N2176" i="81"/>
  <c r="M2176" i="81"/>
  <c r="H2176" i="81"/>
  <c r="F2176" i="81"/>
  <c r="E2176" i="81"/>
  <c r="D2176" i="81"/>
  <c r="B2176" i="81"/>
  <c r="N2175" i="81"/>
  <c r="M2175" i="81"/>
  <c r="H2175" i="81"/>
  <c r="K2175" i="81" s="1"/>
  <c r="F2175" i="81"/>
  <c r="E2175" i="81"/>
  <c r="D2175" i="81"/>
  <c r="B2175" i="81"/>
  <c r="N2174" i="81"/>
  <c r="M2174" i="81"/>
  <c r="H2174" i="81"/>
  <c r="J2174" i="81" s="1"/>
  <c r="F2174" i="81"/>
  <c r="E2174" i="81"/>
  <c r="D2174" i="81"/>
  <c r="B2174" i="81"/>
  <c r="N2169" i="81"/>
  <c r="M2169" i="81"/>
  <c r="H2169" i="81"/>
  <c r="K2169" i="81" s="1"/>
  <c r="F2169" i="81"/>
  <c r="E2169" i="81"/>
  <c r="D2169" i="81"/>
  <c r="B2169" i="81"/>
  <c r="N2168" i="81"/>
  <c r="M2168" i="81"/>
  <c r="H2168" i="81"/>
  <c r="K2168" i="81" s="1"/>
  <c r="F2168" i="81"/>
  <c r="E2168" i="81"/>
  <c r="D2168" i="81"/>
  <c r="B2168" i="81"/>
  <c r="N2167" i="81"/>
  <c r="M2167" i="81"/>
  <c r="H2167" i="81"/>
  <c r="K2167" i="81" s="1"/>
  <c r="F2167" i="81"/>
  <c r="E2167" i="81"/>
  <c r="D2167" i="81"/>
  <c r="B2167" i="81"/>
  <c r="N2166" i="81"/>
  <c r="M2166" i="81"/>
  <c r="H2166" i="81"/>
  <c r="J2166" i="81" s="1"/>
  <c r="F2166" i="81"/>
  <c r="E2166" i="81"/>
  <c r="D2166" i="81"/>
  <c r="B2166" i="81"/>
  <c r="N2165" i="81"/>
  <c r="M2165" i="81"/>
  <c r="H2165" i="81"/>
  <c r="F2165" i="81"/>
  <c r="E2165" i="81"/>
  <c r="D2165" i="81"/>
  <c r="B2165" i="81"/>
  <c r="N2164" i="81"/>
  <c r="M2164" i="81"/>
  <c r="H2164" i="81"/>
  <c r="J2164" i="81" s="1"/>
  <c r="F2164" i="81"/>
  <c r="E2164" i="81"/>
  <c r="D2164" i="81"/>
  <c r="B2164" i="81"/>
  <c r="N2163" i="81"/>
  <c r="M2163" i="81"/>
  <c r="H2163" i="81"/>
  <c r="K2163" i="81" s="1"/>
  <c r="F2163" i="81"/>
  <c r="E2163" i="81"/>
  <c r="D2163" i="81"/>
  <c r="B2163" i="81"/>
  <c r="N2162" i="81"/>
  <c r="M2162" i="81"/>
  <c r="H2162" i="81"/>
  <c r="J2162" i="81" s="1"/>
  <c r="F2162" i="81"/>
  <c r="E2162" i="81"/>
  <c r="D2162" i="81"/>
  <c r="B2162" i="81"/>
  <c r="N2161" i="81"/>
  <c r="M2161" i="81"/>
  <c r="H2161" i="81"/>
  <c r="F2161" i="81"/>
  <c r="E2161" i="81"/>
  <c r="D2161" i="81"/>
  <c r="B2161" i="81"/>
  <c r="N2160" i="81"/>
  <c r="M2160" i="81"/>
  <c r="H2160" i="81"/>
  <c r="L2160" i="81" s="1"/>
  <c r="F2160" i="81"/>
  <c r="E2160" i="81"/>
  <c r="D2160" i="81"/>
  <c r="B2160" i="81"/>
  <c r="N2155" i="81"/>
  <c r="M2155" i="81"/>
  <c r="H2155" i="81"/>
  <c r="J2155" i="81" s="1"/>
  <c r="F2155" i="81"/>
  <c r="E2155" i="81"/>
  <c r="D2155" i="81"/>
  <c r="B2155" i="81"/>
  <c r="N2154" i="81"/>
  <c r="M2154" i="81"/>
  <c r="H2154" i="81"/>
  <c r="J2154" i="81" s="1"/>
  <c r="F2154" i="81"/>
  <c r="E2154" i="81"/>
  <c r="D2154" i="81"/>
  <c r="B2154" i="81"/>
  <c r="N2153" i="81"/>
  <c r="M2153" i="81"/>
  <c r="H2153" i="81"/>
  <c r="J2153" i="81" s="1"/>
  <c r="F2153" i="81"/>
  <c r="E2153" i="81"/>
  <c r="D2153" i="81"/>
  <c r="B2153" i="81"/>
  <c r="N2152" i="81"/>
  <c r="M2152" i="81"/>
  <c r="H2152" i="81"/>
  <c r="F2152" i="81"/>
  <c r="E2152" i="81"/>
  <c r="D2152" i="81"/>
  <c r="B2152" i="81"/>
  <c r="N2151" i="81"/>
  <c r="M2151" i="81"/>
  <c r="H2151" i="81"/>
  <c r="I2151" i="81" s="1"/>
  <c r="F2151" i="81"/>
  <c r="E2151" i="81"/>
  <c r="D2151" i="81"/>
  <c r="B2151" i="81"/>
  <c r="N2150" i="81"/>
  <c r="M2150" i="81"/>
  <c r="H2150" i="81"/>
  <c r="F2150" i="81"/>
  <c r="E2150" i="81"/>
  <c r="D2150" i="81"/>
  <c r="B2150" i="81"/>
  <c r="N2149" i="81"/>
  <c r="M2149" i="81"/>
  <c r="H2149" i="81"/>
  <c r="L2149" i="81" s="1"/>
  <c r="F2149" i="81"/>
  <c r="E2149" i="81"/>
  <c r="D2149" i="81"/>
  <c r="B2149" i="81"/>
  <c r="N2148" i="81"/>
  <c r="M2148" i="81"/>
  <c r="H2148" i="81"/>
  <c r="J2148" i="81" s="1"/>
  <c r="F2148" i="81"/>
  <c r="E2148" i="81"/>
  <c r="D2148" i="81"/>
  <c r="B2148" i="81"/>
  <c r="A2147" i="81"/>
  <c r="D2147" i="81" s="1"/>
  <c r="A2146" i="81"/>
  <c r="M2146" i="81" s="1"/>
  <c r="G2144" i="81"/>
  <c r="U2144" i="81" s="1"/>
  <c r="E2144" i="81"/>
  <c r="N1516" i="81"/>
  <c r="M1516" i="81"/>
  <c r="H1516" i="81"/>
  <c r="L1516" i="81" s="1"/>
  <c r="F1516" i="81"/>
  <c r="E1516" i="81"/>
  <c r="D1516" i="81"/>
  <c r="B1516" i="81"/>
  <c r="N1515" i="81"/>
  <c r="M1515" i="81"/>
  <c r="H1515" i="81"/>
  <c r="F1515" i="81"/>
  <c r="E1515" i="81"/>
  <c r="D1515" i="81"/>
  <c r="B1515" i="81"/>
  <c r="N1514" i="81"/>
  <c r="M1514" i="81"/>
  <c r="H1514" i="81"/>
  <c r="K1514" i="81" s="1"/>
  <c r="F1514" i="81"/>
  <c r="E1514" i="81"/>
  <c r="D1514" i="81"/>
  <c r="B1514" i="81"/>
  <c r="N1513" i="81"/>
  <c r="M1513" i="81"/>
  <c r="H1513" i="81"/>
  <c r="J1513" i="81" s="1"/>
  <c r="F1513" i="81"/>
  <c r="E1513" i="81"/>
  <c r="D1513" i="81"/>
  <c r="B1513" i="81"/>
  <c r="N1512" i="81"/>
  <c r="M1512" i="81"/>
  <c r="H1512" i="81"/>
  <c r="J1512" i="81" s="1"/>
  <c r="F1512" i="81"/>
  <c r="E1512" i="81"/>
  <c r="D1512" i="81"/>
  <c r="B1512" i="81"/>
  <c r="N1511" i="81"/>
  <c r="M1511" i="81"/>
  <c r="H1511" i="81"/>
  <c r="I1511" i="81" s="1"/>
  <c r="F1511" i="81"/>
  <c r="E1511" i="81"/>
  <c r="D1511" i="81"/>
  <c r="B1511" i="81"/>
  <c r="N1510" i="81"/>
  <c r="M1510" i="81"/>
  <c r="H1510" i="81"/>
  <c r="L1510" i="81" s="1"/>
  <c r="F1510" i="81"/>
  <c r="E1510" i="81"/>
  <c r="D1510" i="81"/>
  <c r="B1510" i="81"/>
  <c r="N1509" i="81"/>
  <c r="M1509" i="81"/>
  <c r="H1509" i="81"/>
  <c r="L1509" i="81" s="1"/>
  <c r="F1509" i="81"/>
  <c r="E1509" i="81"/>
  <c r="D1509" i="81"/>
  <c r="B1509" i="81"/>
  <c r="N1508" i="81"/>
  <c r="M1508" i="81"/>
  <c r="H1508" i="81"/>
  <c r="K1508" i="81" s="1"/>
  <c r="F1508" i="81"/>
  <c r="E1508" i="81"/>
  <c r="D1508" i="81"/>
  <c r="B1508" i="81"/>
  <c r="N1507" i="81"/>
  <c r="M1507" i="81"/>
  <c r="H1507" i="81"/>
  <c r="J1507" i="81" s="1"/>
  <c r="F1507" i="81"/>
  <c r="E1507" i="81"/>
  <c r="D1507" i="81"/>
  <c r="B1507" i="81"/>
  <c r="N1506" i="81"/>
  <c r="M1506" i="81"/>
  <c r="H1506" i="81"/>
  <c r="I1506" i="81" s="1"/>
  <c r="F1506" i="81"/>
  <c r="E1506" i="81"/>
  <c r="D1506" i="81"/>
  <c r="B1506" i="81"/>
  <c r="N1505" i="81"/>
  <c r="M1505" i="81"/>
  <c r="H1505" i="81"/>
  <c r="I1505" i="81" s="1"/>
  <c r="F1505" i="81"/>
  <c r="E1505" i="81"/>
  <c r="D1505" i="81"/>
  <c r="B1505" i="81"/>
  <c r="N1504" i="81"/>
  <c r="M1504" i="81"/>
  <c r="H1504" i="81"/>
  <c r="J1504" i="81" s="1"/>
  <c r="F1504" i="81"/>
  <c r="E1504" i="81"/>
  <c r="D1504" i="81"/>
  <c r="B1504" i="81"/>
  <c r="N1503" i="81"/>
  <c r="M1503" i="81"/>
  <c r="H1503" i="81"/>
  <c r="L1503" i="81" s="1"/>
  <c r="F1503" i="81"/>
  <c r="E1503" i="81"/>
  <c r="D1503" i="81"/>
  <c r="B1503" i="81"/>
  <c r="N1502" i="81"/>
  <c r="M1502" i="81"/>
  <c r="H1502" i="81"/>
  <c r="F1502" i="81"/>
  <c r="E1502" i="81"/>
  <c r="D1502" i="81"/>
  <c r="B1502" i="81"/>
  <c r="N1501" i="81"/>
  <c r="M1501" i="81"/>
  <c r="H1501" i="81"/>
  <c r="K1501" i="81" s="1"/>
  <c r="F1501" i="81"/>
  <c r="E1501" i="81"/>
  <c r="D1501" i="81"/>
  <c r="B1501" i="81"/>
  <c r="N1500" i="81"/>
  <c r="M1500" i="81"/>
  <c r="H1500" i="81"/>
  <c r="J1500" i="81" s="1"/>
  <c r="F1500" i="81"/>
  <c r="E1500" i="81"/>
  <c r="D1500" i="81"/>
  <c r="B1500" i="81"/>
  <c r="N1499" i="81"/>
  <c r="M1499" i="81"/>
  <c r="H1499" i="81"/>
  <c r="I1499" i="81" s="1"/>
  <c r="F1499" i="81"/>
  <c r="E1499" i="81"/>
  <c r="D1499" i="81"/>
  <c r="B1499" i="81"/>
  <c r="N1493" i="81"/>
  <c r="M1493" i="81"/>
  <c r="H1493" i="81"/>
  <c r="K1493" i="81" s="1"/>
  <c r="F1493" i="81"/>
  <c r="E1493" i="81"/>
  <c r="D1493" i="81"/>
  <c r="B1493" i="81"/>
  <c r="N1492" i="81"/>
  <c r="M1492" i="81"/>
  <c r="H1492" i="81"/>
  <c r="L1492" i="81" s="1"/>
  <c r="F1492" i="81"/>
  <c r="E1492" i="81"/>
  <c r="D1492" i="81"/>
  <c r="B1492" i="81"/>
  <c r="N1491" i="81"/>
  <c r="M1491" i="81"/>
  <c r="H1491" i="81"/>
  <c r="I1491" i="81" s="1"/>
  <c r="F1491" i="81"/>
  <c r="E1491" i="81"/>
  <c r="D1491" i="81"/>
  <c r="B1491" i="81"/>
  <c r="N1490" i="81"/>
  <c r="M1490" i="81"/>
  <c r="H1490" i="81"/>
  <c r="L1490" i="81" s="1"/>
  <c r="F1490" i="81"/>
  <c r="E1490" i="81"/>
  <c r="D1490" i="81"/>
  <c r="B1490" i="81"/>
  <c r="N1489" i="81"/>
  <c r="M1489" i="81"/>
  <c r="H1489" i="81"/>
  <c r="I1489" i="81" s="1"/>
  <c r="F1489" i="81"/>
  <c r="E1489" i="81"/>
  <c r="D1489" i="81"/>
  <c r="B1489" i="81"/>
  <c r="N1488" i="81"/>
  <c r="M1488" i="81"/>
  <c r="H1488" i="81"/>
  <c r="J1488" i="81" s="1"/>
  <c r="F1488" i="81"/>
  <c r="E1488" i="81"/>
  <c r="D1488" i="81"/>
  <c r="B1488" i="81"/>
  <c r="N1487" i="81"/>
  <c r="M1487" i="81"/>
  <c r="H1487" i="81"/>
  <c r="L1487" i="81" s="1"/>
  <c r="F1487" i="81"/>
  <c r="E1487" i="81"/>
  <c r="D1487" i="81"/>
  <c r="B1487" i="81"/>
  <c r="N1486" i="81"/>
  <c r="M1486" i="81"/>
  <c r="H1486" i="81"/>
  <c r="I1486" i="81" s="1"/>
  <c r="F1486" i="81"/>
  <c r="E1486" i="81"/>
  <c r="D1486" i="81"/>
  <c r="B1486" i="81"/>
  <c r="N1485" i="81"/>
  <c r="M1485" i="81"/>
  <c r="H1485" i="81"/>
  <c r="F1485" i="81"/>
  <c r="E1485" i="81"/>
  <c r="D1485" i="81"/>
  <c r="B1485" i="81"/>
  <c r="N1484" i="81"/>
  <c r="M1484" i="81"/>
  <c r="H1484" i="81"/>
  <c r="K1484" i="81" s="1"/>
  <c r="F1484" i="81"/>
  <c r="E1484" i="81"/>
  <c r="D1484" i="81"/>
  <c r="B1484" i="81"/>
  <c r="N1479" i="81"/>
  <c r="M1479" i="81"/>
  <c r="H1479" i="81"/>
  <c r="K1479" i="81" s="1"/>
  <c r="F1479" i="81"/>
  <c r="E1479" i="81"/>
  <c r="D1479" i="81"/>
  <c r="B1479" i="81"/>
  <c r="N1478" i="81"/>
  <c r="M1478" i="81"/>
  <c r="H1478" i="81"/>
  <c r="I1478" i="81" s="1"/>
  <c r="F1478" i="81"/>
  <c r="E1478" i="81"/>
  <c r="D1478" i="81"/>
  <c r="B1478" i="81"/>
  <c r="N1477" i="81"/>
  <c r="M1477" i="81"/>
  <c r="H1477" i="81"/>
  <c r="J1477" i="81" s="1"/>
  <c r="F1477" i="81"/>
  <c r="E1477" i="81"/>
  <c r="D1477" i="81"/>
  <c r="B1477" i="81"/>
  <c r="N1476" i="81"/>
  <c r="M1476" i="81"/>
  <c r="H1476" i="81"/>
  <c r="L1476" i="81" s="1"/>
  <c r="F1476" i="81"/>
  <c r="E1476" i="81"/>
  <c r="D1476" i="81"/>
  <c r="B1476" i="81"/>
  <c r="N1475" i="81"/>
  <c r="M1475" i="81"/>
  <c r="H1475" i="81"/>
  <c r="J1475" i="81" s="1"/>
  <c r="F1475" i="81"/>
  <c r="E1475" i="81"/>
  <c r="D1475" i="81"/>
  <c r="B1475" i="81"/>
  <c r="N1474" i="81"/>
  <c r="M1474" i="81"/>
  <c r="H1474" i="81"/>
  <c r="F1474" i="81"/>
  <c r="E1474" i="81"/>
  <c r="D1474" i="81"/>
  <c r="B1474" i="81"/>
  <c r="N1473" i="81"/>
  <c r="M1473" i="81"/>
  <c r="H1473" i="81"/>
  <c r="K1473" i="81" s="1"/>
  <c r="F1473" i="81"/>
  <c r="E1473" i="81"/>
  <c r="D1473" i="81"/>
  <c r="B1473" i="81"/>
  <c r="N1472" i="81"/>
  <c r="M1472" i="81"/>
  <c r="H1472" i="81"/>
  <c r="L1472" i="81" s="1"/>
  <c r="F1472" i="81"/>
  <c r="E1472" i="81"/>
  <c r="D1472" i="81"/>
  <c r="B1472" i="81"/>
  <c r="M1471" i="81"/>
  <c r="D1471" i="81"/>
  <c r="B1471" i="81"/>
  <c r="A1470" i="81"/>
  <c r="D1470" i="81" s="1"/>
  <c r="E1468" i="81"/>
  <c r="G1468" i="81"/>
  <c r="N1724" i="81"/>
  <c r="M1724" i="81"/>
  <c r="H1724" i="81"/>
  <c r="K1724" i="81" s="1"/>
  <c r="F1724" i="81"/>
  <c r="E1724" i="81"/>
  <c r="D1724" i="81"/>
  <c r="B1724" i="81"/>
  <c r="N1723" i="81"/>
  <c r="M1723" i="81"/>
  <c r="H1723" i="81"/>
  <c r="L1723" i="81" s="1"/>
  <c r="F1723" i="81"/>
  <c r="E1723" i="81"/>
  <c r="D1723" i="81"/>
  <c r="B1723" i="81"/>
  <c r="N1722" i="81"/>
  <c r="M1722" i="81"/>
  <c r="H1722" i="81"/>
  <c r="I1722" i="81" s="1"/>
  <c r="F1722" i="81"/>
  <c r="E1722" i="81"/>
  <c r="D1722" i="81"/>
  <c r="B1722" i="81"/>
  <c r="N1721" i="81"/>
  <c r="M1721" i="81"/>
  <c r="H1721" i="81"/>
  <c r="J1721" i="81" s="1"/>
  <c r="F1721" i="81"/>
  <c r="E1721" i="81"/>
  <c r="D1721" i="81"/>
  <c r="B1721" i="81"/>
  <c r="N1720" i="81"/>
  <c r="M1720" i="81"/>
  <c r="H1720" i="81"/>
  <c r="I1720" i="81" s="1"/>
  <c r="F1720" i="81"/>
  <c r="E1720" i="81"/>
  <c r="D1720" i="81"/>
  <c r="B1720" i="81"/>
  <c r="N1719" i="81"/>
  <c r="M1719" i="81"/>
  <c r="H1719" i="81"/>
  <c r="J1719" i="81" s="1"/>
  <c r="F1719" i="81"/>
  <c r="E1719" i="81"/>
  <c r="D1719" i="81"/>
  <c r="B1719" i="81"/>
  <c r="N1718" i="81"/>
  <c r="M1718" i="81"/>
  <c r="H1718" i="81"/>
  <c r="L1718" i="81" s="1"/>
  <c r="F1718" i="81"/>
  <c r="E1718" i="81"/>
  <c r="D1718" i="81"/>
  <c r="B1718" i="81"/>
  <c r="N1717" i="81"/>
  <c r="M1717" i="81"/>
  <c r="H1717" i="81"/>
  <c r="L1717" i="81" s="1"/>
  <c r="F1717" i="81"/>
  <c r="E1717" i="81"/>
  <c r="D1717" i="81"/>
  <c r="B1717" i="81"/>
  <c r="N1716" i="81"/>
  <c r="M1716" i="81"/>
  <c r="H1716" i="81"/>
  <c r="F1716" i="81"/>
  <c r="E1716" i="81"/>
  <c r="D1716" i="81"/>
  <c r="B1716" i="81"/>
  <c r="N1715" i="81"/>
  <c r="M1715" i="81"/>
  <c r="H1715" i="81"/>
  <c r="K1715" i="81" s="1"/>
  <c r="F1715" i="81"/>
  <c r="E1715" i="81"/>
  <c r="D1715" i="81"/>
  <c r="B1715" i="81"/>
  <c r="N1714" i="81"/>
  <c r="M1714" i="81"/>
  <c r="H1714" i="81"/>
  <c r="L1714" i="81" s="1"/>
  <c r="F1714" i="81"/>
  <c r="E1714" i="81"/>
  <c r="D1714" i="81"/>
  <c r="B1714" i="81"/>
  <c r="N1713" i="81"/>
  <c r="M1713" i="81"/>
  <c r="H1713" i="81"/>
  <c r="L1713" i="81" s="1"/>
  <c r="F1713" i="81"/>
  <c r="E1713" i="81"/>
  <c r="D1713" i="81"/>
  <c r="B1713" i="81"/>
  <c r="N1712" i="81"/>
  <c r="M1712" i="81"/>
  <c r="H1712" i="81"/>
  <c r="K1712" i="81" s="1"/>
  <c r="F1712" i="81"/>
  <c r="E1712" i="81"/>
  <c r="D1712" i="81"/>
  <c r="B1712" i="81"/>
  <c r="N1711" i="81"/>
  <c r="M1711" i="81"/>
  <c r="H1711" i="81"/>
  <c r="L1711" i="81" s="1"/>
  <c r="F1711" i="81"/>
  <c r="E1711" i="81"/>
  <c r="D1711" i="81"/>
  <c r="B1711" i="81"/>
  <c r="N1710" i="81"/>
  <c r="M1710" i="81"/>
  <c r="H1710" i="81"/>
  <c r="I1710" i="81" s="1"/>
  <c r="F1710" i="81"/>
  <c r="E1710" i="81"/>
  <c r="D1710" i="81"/>
  <c r="B1710" i="81"/>
  <c r="N1709" i="81"/>
  <c r="M1709" i="81"/>
  <c r="H1709" i="81"/>
  <c r="I1709" i="81" s="1"/>
  <c r="F1709" i="81"/>
  <c r="E1709" i="81"/>
  <c r="D1709" i="81"/>
  <c r="B1709" i="81"/>
  <c r="N1708" i="81"/>
  <c r="M1708" i="81"/>
  <c r="H1708" i="81"/>
  <c r="I1708" i="81" s="1"/>
  <c r="F1708" i="81"/>
  <c r="E1708" i="81"/>
  <c r="D1708" i="81"/>
  <c r="B1708" i="81"/>
  <c r="N1707" i="81"/>
  <c r="M1707" i="81"/>
  <c r="H1707" i="81"/>
  <c r="J1707" i="81" s="1"/>
  <c r="F1707" i="81"/>
  <c r="E1707" i="81"/>
  <c r="D1707" i="81"/>
  <c r="B1707" i="81"/>
  <c r="A1706" i="81"/>
  <c r="N1701" i="81"/>
  <c r="M1701" i="81"/>
  <c r="H1701" i="81"/>
  <c r="I1701" i="81" s="1"/>
  <c r="F1701" i="81"/>
  <c r="E1701" i="81"/>
  <c r="D1701" i="81"/>
  <c r="B1701" i="81"/>
  <c r="N1700" i="81"/>
  <c r="M1700" i="81"/>
  <c r="H1700" i="81"/>
  <c r="L1700" i="81" s="1"/>
  <c r="F1700" i="81"/>
  <c r="E1700" i="81"/>
  <c r="D1700" i="81"/>
  <c r="B1700" i="81"/>
  <c r="N1699" i="81"/>
  <c r="M1699" i="81"/>
  <c r="H1699" i="81"/>
  <c r="I1699" i="81" s="1"/>
  <c r="F1699" i="81"/>
  <c r="E1699" i="81"/>
  <c r="D1699" i="81"/>
  <c r="B1699" i="81"/>
  <c r="N1698" i="81"/>
  <c r="M1698" i="81"/>
  <c r="H1698" i="81"/>
  <c r="J1698" i="81" s="1"/>
  <c r="F1698" i="81"/>
  <c r="E1698" i="81"/>
  <c r="D1698" i="81"/>
  <c r="B1698" i="81"/>
  <c r="N1697" i="81"/>
  <c r="M1697" i="81"/>
  <c r="H1697" i="81"/>
  <c r="F1697" i="81"/>
  <c r="E1697" i="81"/>
  <c r="D1697" i="81"/>
  <c r="B1697" i="81"/>
  <c r="N1696" i="81"/>
  <c r="M1696" i="81"/>
  <c r="H1696" i="81"/>
  <c r="I1696" i="81" s="1"/>
  <c r="F1696" i="81"/>
  <c r="E1696" i="81"/>
  <c r="D1696" i="81"/>
  <c r="B1696" i="81"/>
  <c r="N1695" i="81"/>
  <c r="M1695" i="81"/>
  <c r="H1695" i="81"/>
  <c r="F1695" i="81"/>
  <c r="E1695" i="81"/>
  <c r="D1695" i="81"/>
  <c r="B1695" i="81"/>
  <c r="N1694" i="81"/>
  <c r="M1694" i="81"/>
  <c r="H1694" i="81"/>
  <c r="K1694" i="81" s="1"/>
  <c r="F1694" i="81"/>
  <c r="E1694" i="81"/>
  <c r="D1694" i="81"/>
  <c r="B1694" i="81"/>
  <c r="N1693" i="81"/>
  <c r="M1693" i="81"/>
  <c r="H1693" i="81"/>
  <c r="L1693" i="81" s="1"/>
  <c r="F1693" i="81"/>
  <c r="E1693" i="81"/>
  <c r="D1693" i="81"/>
  <c r="B1693" i="81"/>
  <c r="N1692" i="81"/>
  <c r="M1692" i="81"/>
  <c r="H1692" i="81"/>
  <c r="L1692" i="81" s="1"/>
  <c r="F1692" i="81"/>
  <c r="E1692" i="81"/>
  <c r="D1692" i="81"/>
  <c r="B1692" i="81"/>
  <c r="N1687" i="81"/>
  <c r="M1687" i="81"/>
  <c r="H1687" i="81"/>
  <c r="J1687" i="81" s="1"/>
  <c r="F1687" i="81"/>
  <c r="E1687" i="81"/>
  <c r="D1687" i="81"/>
  <c r="B1687" i="81"/>
  <c r="N1686" i="81"/>
  <c r="M1686" i="81"/>
  <c r="H1686" i="81"/>
  <c r="F1686" i="81"/>
  <c r="E1686" i="81"/>
  <c r="D1686" i="81"/>
  <c r="B1686" i="81"/>
  <c r="N1685" i="81"/>
  <c r="M1685" i="81"/>
  <c r="H1685" i="81"/>
  <c r="L1685" i="81" s="1"/>
  <c r="F1685" i="81"/>
  <c r="E1685" i="81"/>
  <c r="D1685" i="81"/>
  <c r="B1685" i="81"/>
  <c r="N1684" i="81"/>
  <c r="M1684" i="81"/>
  <c r="H1684" i="81"/>
  <c r="F1684" i="81"/>
  <c r="E1684" i="81"/>
  <c r="D1684" i="81"/>
  <c r="B1684" i="81"/>
  <c r="N1683" i="81"/>
  <c r="M1683" i="81"/>
  <c r="H1683" i="81"/>
  <c r="K1683" i="81" s="1"/>
  <c r="F1683" i="81"/>
  <c r="E1683" i="81"/>
  <c r="D1683" i="81"/>
  <c r="B1683" i="81"/>
  <c r="N1682" i="81"/>
  <c r="M1682" i="81"/>
  <c r="H1682" i="81"/>
  <c r="L1682" i="81" s="1"/>
  <c r="F1682" i="81"/>
  <c r="E1682" i="81"/>
  <c r="D1682" i="81"/>
  <c r="B1682" i="81"/>
  <c r="N1681" i="81"/>
  <c r="M1681" i="81"/>
  <c r="H1681" i="81"/>
  <c r="L1681" i="81" s="1"/>
  <c r="F1681" i="81"/>
  <c r="E1681" i="81"/>
  <c r="D1681" i="81"/>
  <c r="B1681" i="81"/>
  <c r="N1680" i="81"/>
  <c r="M1680" i="81"/>
  <c r="H1680" i="81"/>
  <c r="K1680" i="81" s="1"/>
  <c r="F1680" i="81"/>
  <c r="E1680" i="81"/>
  <c r="D1680" i="81"/>
  <c r="B1680" i="81"/>
  <c r="A1679" i="81"/>
  <c r="M1679" i="81" s="1"/>
  <c r="A1678" i="81"/>
  <c r="M1678" i="81" s="1"/>
  <c r="G1676" i="81"/>
  <c r="U1676" i="81" s="1"/>
  <c r="B1676" i="81"/>
  <c r="N1568" i="81"/>
  <c r="M1568" i="81"/>
  <c r="H1568" i="81"/>
  <c r="I1568" i="81" s="1"/>
  <c r="F1568" i="81"/>
  <c r="E1568" i="81"/>
  <c r="D1568" i="81"/>
  <c r="B1568" i="81"/>
  <c r="N1567" i="81"/>
  <c r="M1567" i="81"/>
  <c r="H1567" i="81"/>
  <c r="K1567" i="81" s="1"/>
  <c r="F1567" i="81"/>
  <c r="E1567" i="81"/>
  <c r="D1567" i="81"/>
  <c r="B1567" i="81"/>
  <c r="N1566" i="81"/>
  <c r="M1566" i="81"/>
  <c r="H1566" i="81"/>
  <c r="I1566" i="81" s="1"/>
  <c r="F1566" i="81"/>
  <c r="E1566" i="81"/>
  <c r="D1566" i="81"/>
  <c r="B1566" i="81"/>
  <c r="N1565" i="81"/>
  <c r="M1565" i="81"/>
  <c r="H1565" i="81"/>
  <c r="J1565" i="81" s="1"/>
  <c r="F1565" i="81"/>
  <c r="E1565" i="81"/>
  <c r="D1565" i="81"/>
  <c r="B1565" i="81"/>
  <c r="N1564" i="81"/>
  <c r="M1564" i="81"/>
  <c r="H1564" i="81"/>
  <c r="F1564" i="81"/>
  <c r="E1564" i="81"/>
  <c r="D1564" i="81"/>
  <c r="B1564" i="81"/>
  <c r="N1563" i="81"/>
  <c r="M1563" i="81"/>
  <c r="H1563" i="81"/>
  <c r="L1563" i="81" s="1"/>
  <c r="F1563" i="81"/>
  <c r="E1563" i="81"/>
  <c r="D1563" i="81"/>
  <c r="B1563" i="81"/>
  <c r="N1562" i="81"/>
  <c r="M1562" i="81"/>
  <c r="H1562" i="81"/>
  <c r="F1562" i="81"/>
  <c r="E1562" i="81"/>
  <c r="D1562" i="81"/>
  <c r="B1562" i="81"/>
  <c r="N1561" i="81"/>
  <c r="M1561" i="81"/>
  <c r="H1561" i="81"/>
  <c r="K1561" i="81" s="1"/>
  <c r="F1561" i="81"/>
  <c r="E1561" i="81"/>
  <c r="D1561" i="81"/>
  <c r="B1561" i="81"/>
  <c r="N1560" i="81"/>
  <c r="M1560" i="81"/>
  <c r="H1560" i="81"/>
  <c r="L1560" i="81" s="1"/>
  <c r="F1560" i="81"/>
  <c r="E1560" i="81"/>
  <c r="D1560" i="81"/>
  <c r="B1560" i="81"/>
  <c r="N1559" i="81"/>
  <c r="M1559" i="81"/>
  <c r="H1559" i="81"/>
  <c r="L1559" i="81" s="1"/>
  <c r="F1559" i="81"/>
  <c r="E1559" i="81"/>
  <c r="D1559" i="81"/>
  <c r="B1559" i="81"/>
  <c r="N1558" i="81"/>
  <c r="M1558" i="81"/>
  <c r="H1558" i="81"/>
  <c r="F1558" i="81"/>
  <c r="E1558" i="81"/>
  <c r="D1558" i="81"/>
  <c r="B1558" i="81"/>
  <c r="N1557" i="81"/>
  <c r="M1557" i="81"/>
  <c r="H1557" i="81"/>
  <c r="F1557" i="81"/>
  <c r="E1557" i="81"/>
  <c r="D1557" i="81"/>
  <c r="B1557" i="81"/>
  <c r="N1556" i="81"/>
  <c r="M1556" i="81"/>
  <c r="H1556" i="81"/>
  <c r="I1556" i="81" s="1"/>
  <c r="F1556" i="81"/>
  <c r="E1556" i="81"/>
  <c r="D1556" i="81"/>
  <c r="B1556" i="81"/>
  <c r="N1555" i="81"/>
  <c r="M1555" i="81"/>
  <c r="H1555" i="81"/>
  <c r="L1555" i="81" s="1"/>
  <c r="F1555" i="81"/>
  <c r="E1555" i="81"/>
  <c r="D1555" i="81"/>
  <c r="B1555" i="81"/>
  <c r="N1554" i="81"/>
  <c r="M1554" i="81"/>
  <c r="H1554" i="81"/>
  <c r="I1554" i="81" s="1"/>
  <c r="F1554" i="81"/>
  <c r="E1554" i="81"/>
  <c r="D1554" i="81"/>
  <c r="B1554" i="81"/>
  <c r="N1553" i="81"/>
  <c r="M1553" i="81"/>
  <c r="H1553" i="81"/>
  <c r="J1553" i="81" s="1"/>
  <c r="F1553" i="81"/>
  <c r="E1553" i="81"/>
  <c r="D1553" i="81"/>
  <c r="B1553" i="81"/>
  <c r="N1552" i="81"/>
  <c r="M1552" i="81"/>
  <c r="H1552" i="81"/>
  <c r="J1552" i="81" s="1"/>
  <c r="F1552" i="81"/>
  <c r="E1552" i="81"/>
  <c r="D1552" i="81"/>
  <c r="B1552" i="81"/>
  <c r="N1551" i="81"/>
  <c r="M1551" i="81"/>
  <c r="H1551" i="81"/>
  <c r="F1551" i="81"/>
  <c r="E1551" i="81"/>
  <c r="D1551" i="81"/>
  <c r="B1551" i="81"/>
  <c r="N1545" i="81"/>
  <c r="M1545" i="81"/>
  <c r="H1545" i="81"/>
  <c r="J1545" i="81" s="1"/>
  <c r="F1545" i="81"/>
  <c r="E1545" i="81"/>
  <c r="D1545" i="81"/>
  <c r="B1545" i="81"/>
  <c r="N1544" i="81"/>
  <c r="M1544" i="81"/>
  <c r="H1544" i="81"/>
  <c r="J1544" i="81" s="1"/>
  <c r="F1544" i="81"/>
  <c r="E1544" i="81"/>
  <c r="D1544" i="81"/>
  <c r="B1544" i="81"/>
  <c r="N1543" i="81"/>
  <c r="M1543" i="81"/>
  <c r="H1543" i="81"/>
  <c r="F1543" i="81"/>
  <c r="E1543" i="81"/>
  <c r="D1543" i="81"/>
  <c r="B1543" i="81"/>
  <c r="N1542" i="81"/>
  <c r="M1542" i="81"/>
  <c r="H1542" i="81"/>
  <c r="F1542" i="81"/>
  <c r="E1542" i="81"/>
  <c r="D1542" i="81"/>
  <c r="B1542" i="81"/>
  <c r="N1541" i="81"/>
  <c r="M1541" i="81"/>
  <c r="H1541" i="81"/>
  <c r="L1541" i="81" s="1"/>
  <c r="F1541" i="81"/>
  <c r="E1541" i="81"/>
  <c r="D1541" i="81"/>
  <c r="B1541" i="81"/>
  <c r="N1540" i="81"/>
  <c r="M1540" i="81"/>
  <c r="H1540" i="81"/>
  <c r="L1540" i="81" s="1"/>
  <c r="F1540" i="81"/>
  <c r="E1540" i="81"/>
  <c r="D1540" i="81"/>
  <c r="B1540" i="81"/>
  <c r="N1539" i="81"/>
  <c r="M1539" i="81"/>
  <c r="H1539" i="81"/>
  <c r="L1539" i="81" s="1"/>
  <c r="F1539" i="81"/>
  <c r="E1539" i="81"/>
  <c r="D1539" i="81"/>
  <c r="B1539" i="81"/>
  <c r="N1538" i="81"/>
  <c r="M1538" i="81"/>
  <c r="H1538" i="81"/>
  <c r="K1538" i="81" s="1"/>
  <c r="F1538" i="81"/>
  <c r="E1538" i="81"/>
  <c r="D1538" i="81"/>
  <c r="B1538" i="81"/>
  <c r="N1537" i="81"/>
  <c r="M1537" i="81"/>
  <c r="H1537" i="81"/>
  <c r="K1537" i="81" s="1"/>
  <c r="F1537" i="81"/>
  <c r="E1537" i="81"/>
  <c r="D1537" i="81"/>
  <c r="B1537" i="81"/>
  <c r="N1536" i="81"/>
  <c r="M1536" i="81"/>
  <c r="H1536" i="81"/>
  <c r="I1536" i="81" s="1"/>
  <c r="F1536" i="81"/>
  <c r="E1536" i="81"/>
  <c r="D1536" i="81"/>
  <c r="B1536" i="81"/>
  <c r="N1531" i="81"/>
  <c r="M1531" i="81"/>
  <c r="H1531" i="81"/>
  <c r="J1531" i="81" s="1"/>
  <c r="F1531" i="81"/>
  <c r="E1531" i="81"/>
  <c r="D1531" i="81"/>
  <c r="B1531" i="81"/>
  <c r="N1530" i="81"/>
  <c r="M1530" i="81"/>
  <c r="H1530" i="81"/>
  <c r="F1530" i="81"/>
  <c r="E1530" i="81"/>
  <c r="D1530" i="81"/>
  <c r="B1530" i="81"/>
  <c r="N1529" i="81"/>
  <c r="M1529" i="81"/>
  <c r="H1529" i="81"/>
  <c r="F1529" i="81"/>
  <c r="E1529" i="81"/>
  <c r="D1529" i="81"/>
  <c r="B1529" i="81"/>
  <c r="N1528" i="81"/>
  <c r="M1528" i="81"/>
  <c r="H1528" i="81"/>
  <c r="F1528" i="81"/>
  <c r="E1528" i="81"/>
  <c r="D1528" i="81"/>
  <c r="B1528" i="81"/>
  <c r="N1527" i="81"/>
  <c r="M1527" i="81"/>
  <c r="H1527" i="81"/>
  <c r="K1527" i="81" s="1"/>
  <c r="F1527" i="81"/>
  <c r="E1527" i="81"/>
  <c r="D1527" i="81"/>
  <c r="B1527" i="81"/>
  <c r="N1526" i="81"/>
  <c r="M1526" i="81"/>
  <c r="H1526" i="81"/>
  <c r="K1526" i="81" s="1"/>
  <c r="F1526" i="81"/>
  <c r="E1526" i="81"/>
  <c r="D1526" i="81"/>
  <c r="B1526" i="81"/>
  <c r="N1525" i="81"/>
  <c r="M1525" i="81"/>
  <c r="H1525" i="81"/>
  <c r="L1525" i="81" s="1"/>
  <c r="F1525" i="81"/>
  <c r="E1525" i="81"/>
  <c r="D1525" i="81"/>
  <c r="B1525" i="81"/>
  <c r="N1524" i="81"/>
  <c r="M1524" i="81"/>
  <c r="H1524" i="81"/>
  <c r="L1524" i="81" s="1"/>
  <c r="F1524" i="81"/>
  <c r="E1524" i="81"/>
  <c r="D1524" i="81"/>
  <c r="B1524" i="81"/>
  <c r="M1523" i="81"/>
  <c r="D1523" i="81"/>
  <c r="B1523" i="81"/>
  <c r="A1522" i="81"/>
  <c r="G1520" i="81"/>
  <c r="E1520" i="81"/>
  <c r="N1256" i="81"/>
  <c r="M1256" i="81"/>
  <c r="H1256" i="81"/>
  <c r="L1256" i="81" s="1"/>
  <c r="F1256" i="81"/>
  <c r="E1256" i="81"/>
  <c r="D1256" i="81"/>
  <c r="B1256" i="81"/>
  <c r="N1255" i="81"/>
  <c r="M1255" i="81"/>
  <c r="H1255" i="81"/>
  <c r="L1255" i="81" s="1"/>
  <c r="F1255" i="81"/>
  <c r="E1255" i="81"/>
  <c r="D1255" i="81"/>
  <c r="B1255" i="81"/>
  <c r="N1254" i="81"/>
  <c r="M1254" i="81"/>
  <c r="H1254" i="81"/>
  <c r="L1254" i="81" s="1"/>
  <c r="F1254" i="81"/>
  <c r="E1254" i="81"/>
  <c r="D1254" i="81"/>
  <c r="B1254" i="81"/>
  <c r="N1253" i="81"/>
  <c r="M1253" i="81"/>
  <c r="H1253" i="81"/>
  <c r="K1253" i="81" s="1"/>
  <c r="F1253" i="81"/>
  <c r="E1253" i="81"/>
  <c r="D1253" i="81"/>
  <c r="B1253" i="81"/>
  <c r="N1252" i="81"/>
  <c r="M1252" i="81"/>
  <c r="H1252" i="81"/>
  <c r="F1252" i="81"/>
  <c r="E1252" i="81"/>
  <c r="D1252" i="81"/>
  <c r="B1252" i="81"/>
  <c r="N1251" i="81"/>
  <c r="M1251" i="81"/>
  <c r="H1251" i="81"/>
  <c r="I1251" i="81" s="1"/>
  <c r="F1251" i="81"/>
  <c r="E1251" i="81"/>
  <c r="D1251" i="81"/>
  <c r="B1251" i="81"/>
  <c r="N1250" i="81"/>
  <c r="M1250" i="81"/>
  <c r="H1250" i="81"/>
  <c r="L1250" i="81" s="1"/>
  <c r="F1250" i="81"/>
  <c r="E1250" i="81"/>
  <c r="D1250" i="81"/>
  <c r="B1250" i="81"/>
  <c r="N1249" i="81"/>
  <c r="M1249" i="81"/>
  <c r="H1249" i="81"/>
  <c r="F1249" i="81"/>
  <c r="E1249" i="81"/>
  <c r="D1249" i="81"/>
  <c r="B1249" i="81"/>
  <c r="N1248" i="81"/>
  <c r="M1248" i="81"/>
  <c r="H1248" i="81"/>
  <c r="K1248" i="81" s="1"/>
  <c r="F1248" i="81"/>
  <c r="E1248" i="81"/>
  <c r="D1248" i="81"/>
  <c r="B1248" i="81"/>
  <c r="N1247" i="81"/>
  <c r="M1247" i="81"/>
  <c r="H1247" i="81"/>
  <c r="J1247" i="81" s="1"/>
  <c r="F1247" i="81"/>
  <c r="E1247" i="81"/>
  <c r="D1247" i="81"/>
  <c r="B1247" i="81"/>
  <c r="N1246" i="81"/>
  <c r="M1246" i="81"/>
  <c r="H1246" i="81"/>
  <c r="I1246" i="81" s="1"/>
  <c r="F1246" i="81"/>
  <c r="E1246" i="81"/>
  <c r="D1246" i="81"/>
  <c r="B1246" i="81"/>
  <c r="N1245" i="81"/>
  <c r="M1245" i="81"/>
  <c r="H1245" i="81"/>
  <c r="K1245" i="81" s="1"/>
  <c r="F1245" i="81"/>
  <c r="E1245" i="81"/>
  <c r="D1245" i="81"/>
  <c r="B1245" i="81"/>
  <c r="N1244" i="81"/>
  <c r="M1244" i="81"/>
  <c r="H1244" i="81"/>
  <c r="L1244" i="81" s="1"/>
  <c r="F1244" i="81"/>
  <c r="E1244" i="81"/>
  <c r="D1244" i="81"/>
  <c r="B1244" i="81"/>
  <c r="N1243" i="81"/>
  <c r="M1243" i="81"/>
  <c r="H1243" i="81"/>
  <c r="L1243" i="81" s="1"/>
  <c r="F1243" i="81"/>
  <c r="E1243" i="81"/>
  <c r="D1243" i="81"/>
  <c r="B1243" i="81"/>
  <c r="N1242" i="81"/>
  <c r="M1242" i="81"/>
  <c r="H1242" i="81"/>
  <c r="L1242" i="81" s="1"/>
  <c r="F1242" i="81"/>
  <c r="E1242" i="81"/>
  <c r="D1242" i="81"/>
  <c r="B1242" i="81"/>
  <c r="N1241" i="81"/>
  <c r="M1241" i="81"/>
  <c r="H1241" i="81"/>
  <c r="K1241" i="81" s="1"/>
  <c r="F1241" i="81"/>
  <c r="E1241" i="81"/>
  <c r="D1241" i="81"/>
  <c r="B1241" i="81"/>
  <c r="N1240" i="81"/>
  <c r="M1240" i="81"/>
  <c r="H1240" i="81"/>
  <c r="J1240" i="81" s="1"/>
  <c r="F1240" i="81"/>
  <c r="E1240" i="81"/>
  <c r="D1240" i="81"/>
  <c r="B1240" i="81"/>
  <c r="N1239" i="81"/>
  <c r="M1239" i="81"/>
  <c r="H1239" i="81"/>
  <c r="I1239" i="81" s="1"/>
  <c r="F1239" i="81"/>
  <c r="E1239" i="81"/>
  <c r="D1239" i="81"/>
  <c r="B1239" i="81"/>
  <c r="N1238" i="81"/>
  <c r="M1238" i="81"/>
  <c r="H1238" i="81"/>
  <c r="L1238" i="81" s="1"/>
  <c r="F1238" i="81"/>
  <c r="E1238" i="81"/>
  <c r="D1238" i="81"/>
  <c r="B1238" i="81"/>
  <c r="N1233" i="81"/>
  <c r="M1233" i="81"/>
  <c r="H1233" i="81"/>
  <c r="K1233" i="81" s="1"/>
  <c r="F1233" i="81"/>
  <c r="E1233" i="81"/>
  <c r="D1233" i="81"/>
  <c r="B1233" i="81"/>
  <c r="N1232" i="81"/>
  <c r="M1232" i="81"/>
  <c r="H1232" i="81"/>
  <c r="J1232" i="81" s="1"/>
  <c r="F1232" i="81"/>
  <c r="E1232" i="81"/>
  <c r="D1232" i="81"/>
  <c r="B1232" i="81"/>
  <c r="N1231" i="81"/>
  <c r="M1231" i="81"/>
  <c r="H1231" i="81"/>
  <c r="I1231" i="81" s="1"/>
  <c r="F1231" i="81"/>
  <c r="E1231" i="81"/>
  <c r="D1231" i="81"/>
  <c r="B1231" i="81"/>
  <c r="N1230" i="81"/>
  <c r="M1230" i="81"/>
  <c r="H1230" i="81"/>
  <c r="I1230" i="81" s="1"/>
  <c r="F1230" i="81"/>
  <c r="E1230" i="81"/>
  <c r="D1230" i="81"/>
  <c r="B1230" i="81"/>
  <c r="N1229" i="81"/>
  <c r="M1229" i="81"/>
  <c r="H1229" i="81"/>
  <c r="F1229" i="81"/>
  <c r="E1229" i="81"/>
  <c r="D1229" i="81"/>
  <c r="B1229" i="81"/>
  <c r="N1228" i="81"/>
  <c r="M1228" i="81"/>
  <c r="H1228" i="81"/>
  <c r="K1228" i="81" s="1"/>
  <c r="F1228" i="81"/>
  <c r="E1228" i="81"/>
  <c r="D1228" i="81"/>
  <c r="B1228" i="81"/>
  <c r="N1227" i="81"/>
  <c r="M1227" i="81"/>
  <c r="H1227" i="81"/>
  <c r="J1227" i="81" s="1"/>
  <c r="F1227" i="81"/>
  <c r="E1227" i="81"/>
  <c r="D1227" i="81"/>
  <c r="B1227" i="81"/>
  <c r="N1226" i="81"/>
  <c r="M1226" i="81"/>
  <c r="H1226" i="81"/>
  <c r="L1226" i="81" s="1"/>
  <c r="F1226" i="81"/>
  <c r="E1226" i="81"/>
  <c r="D1226" i="81"/>
  <c r="B1226" i="81"/>
  <c r="N1225" i="81"/>
  <c r="M1225" i="81"/>
  <c r="H1225" i="81"/>
  <c r="L1225" i="81" s="1"/>
  <c r="F1225" i="81"/>
  <c r="E1225" i="81"/>
  <c r="D1225" i="81"/>
  <c r="B1225" i="81"/>
  <c r="N1224" i="81"/>
  <c r="M1224" i="81"/>
  <c r="H1224" i="81"/>
  <c r="L1224" i="81" s="1"/>
  <c r="F1224" i="81"/>
  <c r="E1224" i="81"/>
  <c r="D1224" i="81"/>
  <c r="B1224" i="81"/>
  <c r="N1219" i="81"/>
  <c r="M1219" i="81"/>
  <c r="H1219" i="81"/>
  <c r="L1219" i="81" s="1"/>
  <c r="F1219" i="81"/>
  <c r="E1219" i="81"/>
  <c r="D1219" i="81"/>
  <c r="B1219" i="81"/>
  <c r="N1218" i="81"/>
  <c r="M1218" i="81"/>
  <c r="H1218" i="81"/>
  <c r="F1218" i="81"/>
  <c r="E1218" i="81"/>
  <c r="D1218" i="81"/>
  <c r="B1218" i="81"/>
  <c r="N1217" i="81"/>
  <c r="M1217" i="81"/>
  <c r="H1217" i="81"/>
  <c r="K1217" i="81" s="1"/>
  <c r="F1217" i="81"/>
  <c r="E1217" i="81"/>
  <c r="D1217" i="81"/>
  <c r="B1217" i="81"/>
  <c r="N1216" i="81"/>
  <c r="M1216" i="81"/>
  <c r="H1216" i="81"/>
  <c r="J1216" i="81" s="1"/>
  <c r="F1216" i="81"/>
  <c r="E1216" i="81"/>
  <c r="D1216" i="81"/>
  <c r="B1216" i="81"/>
  <c r="N1215" i="81"/>
  <c r="M1215" i="81"/>
  <c r="H1215" i="81"/>
  <c r="L1215" i="81" s="1"/>
  <c r="F1215" i="81"/>
  <c r="E1215" i="81"/>
  <c r="D1215" i="81"/>
  <c r="B1215" i="81"/>
  <c r="N1214" i="81"/>
  <c r="M1214" i="81"/>
  <c r="H1214" i="81"/>
  <c r="L1214" i="81" s="1"/>
  <c r="F1214" i="81"/>
  <c r="E1214" i="81"/>
  <c r="D1214" i="81"/>
  <c r="B1214" i="81"/>
  <c r="N1213" i="81"/>
  <c r="M1213" i="81"/>
  <c r="H1213" i="81"/>
  <c r="F1213" i="81"/>
  <c r="E1213" i="81"/>
  <c r="D1213" i="81"/>
  <c r="B1213" i="81"/>
  <c r="N1212" i="81"/>
  <c r="M1212" i="81"/>
  <c r="H1212" i="81"/>
  <c r="L1212" i="81" s="1"/>
  <c r="F1212" i="81"/>
  <c r="E1212" i="81"/>
  <c r="D1212" i="81"/>
  <c r="B1212" i="81"/>
  <c r="A1211" i="81"/>
  <c r="A1210" i="81"/>
  <c r="G1208" i="81"/>
  <c r="S171" i="82"/>
  <c r="D171" i="82"/>
  <c r="S170" i="82"/>
  <c r="D170" i="82"/>
  <c r="S169" i="82"/>
  <c r="S168" i="82"/>
  <c r="D168" i="82"/>
  <c r="S167" i="82"/>
  <c r="D167" i="82"/>
  <c r="S166" i="82"/>
  <c r="D166" i="82"/>
  <c r="S163" i="82"/>
  <c r="S162" i="82"/>
  <c r="S161" i="82"/>
  <c r="S159" i="82"/>
  <c r="S133" i="82"/>
  <c r="S160" i="82"/>
  <c r="S158" i="82"/>
  <c r="S157" i="82"/>
  <c r="S155" i="82"/>
  <c r="S154" i="82"/>
  <c r="S153" i="82"/>
  <c r="S134" i="82"/>
  <c r="S151" i="82"/>
  <c r="S150" i="82"/>
  <c r="S152" i="82"/>
  <c r="S149" i="82"/>
  <c r="S148" i="82"/>
  <c r="S147" i="82"/>
  <c r="S146" i="82"/>
  <c r="S144" i="82"/>
  <c r="S141" i="82"/>
  <c r="S142" i="82"/>
  <c r="S143" i="82"/>
  <c r="S135" i="82"/>
  <c r="S137" i="82"/>
  <c r="S139" i="82"/>
  <c r="S136" i="82"/>
  <c r="S138" i="82"/>
  <c r="S131" i="82"/>
  <c r="S130" i="82"/>
  <c r="S129" i="82"/>
  <c r="S128" i="82"/>
  <c r="S126" i="82"/>
  <c r="S124" i="82"/>
  <c r="S122" i="82"/>
  <c r="S121" i="82"/>
  <c r="S120" i="82"/>
  <c r="A2953" i="81"/>
  <c r="G176" i="83"/>
  <c r="B2959" i="81"/>
  <c r="B2958" i="81"/>
  <c r="B2957" i="81"/>
  <c r="B2956" i="81"/>
  <c r="B2955" i="81"/>
  <c r="B2954" i="81"/>
  <c r="B2949" i="81"/>
  <c r="B2948" i="81"/>
  <c r="B2947" i="81"/>
  <c r="B2946" i="81"/>
  <c r="B2945" i="81"/>
  <c r="B2944" i="81"/>
  <c r="B2943" i="81"/>
  <c r="B2942" i="81"/>
  <c r="B2941" i="81"/>
  <c r="B2940" i="81"/>
  <c r="B2935" i="81"/>
  <c r="B2934" i="81"/>
  <c r="B2933" i="81"/>
  <c r="B2932" i="81"/>
  <c r="B2931" i="81"/>
  <c r="B2930" i="81"/>
  <c r="B2929" i="81"/>
  <c r="A2928" i="81"/>
  <c r="B2928" i="81" s="1"/>
  <c r="A2927" i="81"/>
  <c r="B2927" i="81" s="1"/>
  <c r="A2926" i="81"/>
  <c r="B2926" i="81" s="1"/>
  <c r="A2901" i="81"/>
  <c r="B2905" i="81"/>
  <c r="B2904" i="81"/>
  <c r="B2903" i="81"/>
  <c r="B2902" i="81"/>
  <c r="B2897" i="81"/>
  <c r="B2896" i="81"/>
  <c r="B2895" i="81"/>
  <c r="B2894" i="81"/>
  <c r="B2893" i="81"/>
  <c r="B2892" i="81"/>
  <c r="B2891" i="81"/>
  <c r="B2890" i="81"/>
  <c r="B2889" i="81"/>
  <c r="B2888" i="81"/>
  <c r="B2883" i="81"/>
  <c r="B2882" i="81"/>
  <c r="B2881" i="81"/>
  <c r="B2880" i="81"/>
  <c r="B2879" i="81"/>
  <c r="B2878" i="81"/>
  <c r="B2877" i="81"/>
  <c r="A2876" i="81"/>
  <c r="B2876" i="81" s="1"/>
  <c r="A2875" i="81"/>
  <c r="B2875" i="81" s="1"/>
  <c r="A2874" i="81"/>
  <c r="B2874" i="81" s="1"/>
  <c r="A2849" i="81"/>
  <c r="G174" i="83"/>
  <c r="B2856" i="81"/>
  <c r="B2855" i="81"/>
  <c r="B2854" i="81"/>
  <c r="B2853" i="81"/>
  <c r="B2852" i="81"/>
  <c r="B2851" i="81"/>
  <c r="B2850" i="81"/>
  <c r="B2845" i="81"/>
  <c r="B2844" i="81"/>
  <c r="B2843" i="81"/>
  <c r="B2842" i="81"/>
  <c r="B2841" i="81"/>
  <c r="B2840" i="81"/>
  <c r="B2839" i="81"/>
  <c r="B2838" i="81"/>
  <c r="B2837" i="81"/>
  <c r="B2836" i="81"/>
  <c r="B2831" i="81"/>
  <c r="B2830" i="81"/>
  <c r="B2829" i="81"/>
  <c r="B2828" i="81"/>
  <c r="B2827" i="81"/>
  <c r="B2826" i="81"/>
  <c r="B2825" i="81"/>
  <c r="A2824" i="81"/>
  <c r="B2824" i="81" s="1"/>
  <c r="A2823" i="81"/>
  <c r="B2823" i="81" s="1"/>
  <c r="A2822" i="81"/>
  <c r="B2822" i="81" s="1"/>
  <c r="A2641" i="81"/>
  <c r="F2617" i="81"/>
  <c r="E2617" i="81"/>
  <c r="D2617" i="81"/>
  <c r="A2616" i="81"/>
  <c r="A2615" i="81"/>
  <c r="A2614" i="81"/>
  <c r="A2745" i="81"/>
  <c r="G145" i="83"/>
  <c r="A2590" i="81"/>
  <c r="G120" i="83"/>
  <c r="A2589" i="81"/>
  <c r="G124" i="83"/>
  <c r="C2329" i="81"/>
  <c r="A2329" i="81"/>
  <c r="G179" i="83"/>
  <c r="A2719" i="81"/>
  <c r="B2719" i="81" s="1"/>
  <c r="A2718" i="81"/>
  <c r="B2718" i="81" s="1"/>
  <c r="F2569" i="81"/>
  <c r="E2569" i="81"/>
  <c r="D2569" i="81"/>
  <c r="F2568" i="81"/>
  <c r="E2568" i="81"/>
  <c r="D2568" i="81"/>
  <c r="F2567" i="81"/>
  <c r="E2567" i="81"/>
  <c r="D2567" i="81"/>
  <c r="F2566" i="81"/>
  <c r="E2566" i="81"/>
  <c r="D2566" i="81"/>
  <c r="F2565" i="81"/>
  <c r="E2565" i="81"/>
  <c r="D2565" i="81"/>
  <c r="F2564" i="81"/>
  <c r="E2564" i="81"/>
  <c r="D2564" i="81"/>
  <c r="A2563" i="81"/>
  <c r="D2563" i="81" s="1"/>
  <c r="A2562" i="81"/>
  <c r="B2538" i="81"/>
  <c r="A2537" i="81"/>
  <c r="B2533" i="81"/>
  <c r="B2532" i="81"/>
  <c r="B2531" i="81"/>
  <c r="B2530" i="81"/>
  <c r="B2529" i="81"/>
  <c r="B2528" i="81"/>
  <c r="B2527" i="81"/>
  <c r="B2526" i="81"/>
  <c r="B2525" i="81"/>
  <c r="B2524" i="81"/>
  <c r="B2519" i="81"/>
  <c r="B2518" i="81"/>
  <c r="B2517" i="81"/>
  <c r="B2516" i="81"/>
  <c r="B2515" i="81"/>
  <c r="B2514" i="81"/>
  <c r="B2513" i="81"/>
  <c r="B2512" i="81"/>
  <c r="B2511" i="81"/>
  <c r="A2510" i="81"/>
  <c r="B2510" i="81" s="1"/>
  <c r="A2485" i="81"/>
  <c r="A2458" i="81"/>
  <c r="A2382" i="81"/>
  <c r="A2381" i="81"/>
  <c r="A2355" i="81"/>
  <c r="A2354" i="81"/>
  <c r="E2304" i="81"/>
  <c r="A2303" i="81"/>
  <c r="A2302" i="81"/>
  <c r="A1445" i="81"/>
  <c r="B1450" i="81"/>
  <c r="B1449" i="81"/>
  <c r="B1448" i="81"/>
  <c r="B1447" i="81"/>
  <c r="A1446" i="81"/>
  <c r="B1441" i="81"/>
  <c r="B1440" i="81"/>
  <c r="B1439" i="81"/>
  <c r="B1438" i="81"/>
  <c r="B1437" i="81"/>
  <c r="B1436" i="81"/>
  <c r="B1435" i="81"/>
  <c r="B1434" i="81"/>
  <c r="B1433" i="81"/>
  <c r="B1432" i="81"/>
  <c r="B1427" i="81"/>
  <c r="B1426" i="81"/>
  <c r="B1425" i="81"/>
  <c r="B1424" i="81"/>
  <c r="B1423" i="81"/>
  <c r="B1422" i="81"/>
  <c r="B1421" i="81"/>
  <c r="B1420" i="81"/>
  <c r="A1419" i="81"/>
  <c r="B1419" i="81" s="1"/>
  <c r="A1418" i="81"/>
  <c r="B1418" i="81" s="1"/>
  <c r="A1394" i="81"/>
  <c r="A1393" i="81"/>
  <c r="G72" i="83"/>
  <c r="A1367" i="81"/>
  <c r="A1366" i="81"/>
  <c r="A2694" i="81"/>
  <c r="A2693" i="81"/>
  <c r="A2667" i="81"/>
  <c r="A2666" i="81"/>
  <c r="A4047" i="81"/>
  <c r="A4046" i="81"/>
  <c r="A4045" i="81"/>
  <c r="F4023" i="81"/>
  <c r="E4023" i="81"/>
  <c r="D4023" i="81"/>
  <c r="F4022" i="81"/>
  <c r="E4022" i="81"/>
  <c r="D4022" i="81"/>
  <c r="F4021" i="81"/>
  <c r="E4021" i="81"/>
  <c r="D4021" i="81"/>
  <c r="F4020" i="81"/>
  <c r="E4020" i="81"/>
  <c r="D4020" i="81"/>
  <c r="A4019" i="81"/>
  <c r="D4019" i="81" s="1"/>
  <c r="A4018" i="81"/>
  <c r="F3975" i="81"/>
  <c r="E3975" i="81"/>
  <c r="D3975" i="81"/>
  <c r="F3974" i="81"/>
  <c r="E3974" i="81"/>
  <c r="D3974" i="81"/>
  <c r="F3973" i="81"/>
  <c r="E3973" i="81"/>
  <c r="D3973" i="81"/>
  <c r="F3972" i="81"/>
  <c r="E3972" i="81"/>
  <c r="D3972" i="81"/>
  <c r="F3971" i="81"/>
  <c r="E3971" i="81"/>
  <c r="D3971" i="81"/>
  <c r="F3970" i="81"/>
  <c r="E3970" i="81"/>
  <c r="D3970" i="81"/>
  <c r="F3969" i="81"/>
  <c r="E3969" i="81"/>
  <c r="D3969" i="81"/>
  <c r="F3968" i="81"/>
  <c r="E3968" i="81"/>
  <c r="D3968" i="81"/>
  <c r="A3995" i="81"/>
  <c r="A3994" i="81"/>
  <c r="A3993" i="81"/>
  <c r="A3967" i="81"/>
  <c r="A3966" i="81"/>
  <c r="C3915" i="81"/>
  <c r="C3914" i="81"/>
  <c r="C3945" i="81"/>
  <c r="A3945" i="81"/>
  <c r="C3944" i="81"/>
  <c r="A3944" i="81"/>
  <c r="A3943" i="81"/>
  <c r="A3942" i="81"/>
  <c r="A3941" i="81"/>
  <c r="A3915" i="81"/>
  <c r="A3914" i="81"/>
  <c r="A3879" i="81"/>
  <c r="A3878" i="81"/>
  <c r="C3879" i="81"/>
  <c r="C3878" i="81"/>
  <c r="G34" i="83"/>
  <c r="G35" i="83"/>
  <c r="C3863" i="81"/>
  <c r="C3867" i="81"/>
  <c r="A3867" i="81"/>
  <c r="C3862" i="81"/>
  <c r="C3896" i="81"/>
  <c r="A3896" i="81"/>
  <c r="C3895" i="81"/>
  <c r="A3895" i="81"/>
  <c r="C3866" i="81"/>
  <c r="A3866" i="81"/>
  <c r="C3865" i="81"/>
  <c r="A3865" i="81"/>
  <c r="C3894" i="81"/>
  <c r="A3894" i="81"/>
  <c r="C3893" i="81"/>
  <c r="A3893" i="81"/>
  <c r="C3877" i="81"/>
  <c r="A3877" i="81"/>
  <c r="C3876" i="81"/>
  <c r="A3876" i="81"/>
  <c r="C3864" i="81"/>
  <c r="A3864" i="81"/>
  <c r="C3891" i="81"/>
  <c r="C3892" i="81"/>
  <c r="A3892" i="81"/>
  <c r="A3863" i="81"/>
  <c r="A3862" i="81"/>
  <c r="A3891" i="81"/>
  <c r="A3890" i="81"/>
  <c r="A3889" i="81"/>
  <c r="C3825" i="81"/>
  <c r="C3824" i="81"/>
  <c r="C3812" i="81"/>
  <c r="C3837" i="81"/>
  <c r="A3825" i="81"/>
  <c r="B3825" i="81" s="1"/>
  <c r="A3824" i="81"/>
  <c r="B3824" i="81" s="1"/>
  <c r="A3812" i="81"/>
  <c r="B3812" i="81" s="1"/>
  <c r="C3839" i="81"/>
  <c r="B3840" i="81"/>
  <c r="A3839" i="81"/>
  <c r="A3838" i="81"/>
  <c r="A3837" i="81"/>
  <c r="B3843" i="81"/>
  <c r="B3842" i="81"/>
  <c r="B3841" i="81"/>
  <c r="B3833" i="81"/>
  <c r="B3832" i="81"/>
  <c r="B3831" i="81"/>
  <c r="B3830" i="81"/>
  <c r="B3829" i="81"/>
  <c r="B3828" i="81"/>
  <c r="B3827" i="81"/>
  <c r="B3826" i="81"/>
  <c r="B3819" i="81"/>
  <c r="B3818" i="81"/>
  <c r="B3817" i="81"/>
  <c r="B3816" i="81"/>
  <c r="B3815" i="81"/>
  <c r="B3814" i="81"/>
  <c r="B3813" i="81"/>
  <c r="A3811" i="81"/>
  <c r="B3811" i="81" s="1"/>
  <c r="A3810" i="81"/>
  <c r="B3810" i="81" s="1"/>
  <c r="C3759" i="81"/>
  <c r="C3790" i="81"/>
  <c r="A3790" i="81"/>
  <c r="C3789" i="81"/>
  <c r="A3789" i="81"/>
  <c r="C3788" i="81"/>
  <c r="A3788" i="81"/>
  <c r="A3787" i="81"/>
  <c r="A3786" i="81"/>
  <c r="A3785" i="81"/>
  <c r="A3759" i="81"/>
  <c r="A3758" i="81"/>
  <c r="N1471" i="81" l="1"/>
  <c r="N1523" i="81"/>
  <c r="D2146" i="81"/>
  <c r="M1470" i="81"/>
  <c r="B2406" i="81"/>
  <c r="N2406" i="81" s="1"/>
  <c r="K1709" i="81"/>
  <c r="L3058" i="81"/>
  <c r="I2414" i="81"/>
  <c r="K1232" i="81"/>
  <c r="K1701" i="81"/>
  <c r="I1707" i="81"/>
  <c r="L2162" i="81"/>
  <c r="L2798" i="81"/>
  <c r="J1491" i="81"/>
  <c r="I1698" i="81"/>
  <c r="K1568" i="81"/>
  <c r="K1721" i="81"/>
  <c r="I1500" i="81"/>
  <c r="L1505" i="81"/>
  <c r="L2451" i="81"/>
  <c r="L1553" i="81"/>
  <c r="K1226" i="81"/>
  <c r="J1486" i="81"/>
  <c r="J2773" i="81"/>
  <c r="K3072" i="81"/>
  <c r="L1709" i="81"/>
  <c r="L1478" i="81"/>
  <c r="L2190" i="81"/>
  <c r="L2800" i="81"/>
  <c r="L2805" i="81"/>
  <c r="J3075" i="81"/>
  <c r="J1246" i="81"/>
  <c r="L2192" i="81"/>
  <c r="J2189" i="81"/>
  <c r="J1214" i="81"/>
  <c r="J1567" i="81"/>
  <c r="K1698" i="81"/>
  <c r="K1707" i="81"/>
  <c r="K1499" i="81"/>
  <c r="I2425" i="81"/>
  <c r="I2809" i="81"/>
  <c r="I3045" i="81"/>
  <c r="L1567" i="81"/>
  <c r="L1499" i="81"/>
  <c r="K2162" i="81"/>
  <c r="J2425" i="81"/>
  <c r="J2809" i="81"/>
  <c r="K2425" i="81"/>
  <c r="K2809" i="81"/>
  <c r="J1700" i="81"/>
  <c r="J1709" i="81"/>
  <c r="J2438" i="81"/>
  <c r="J2798" i="81"/>
  <c r="L1230" i="81"/>
  <c r="J1250" i="81"/>
  <c r="K1556" i="81"/>
  <c r="L1724" i="81"/>
  <c r="L1493" i="81"/>
  <c r="J2151" i="81"/>
  <c r="L2154" i="81"/>
  <c r="L2179" i="81"/>
  <c r="L2777" i="81"/>
  <c r="I2790" i="81"/>
  <c r="K2798" i="81"/>
  <c r="L1694" i="81"/>
  <c r="J2444" i="81"/>
  <c r="K2151" i="81"/>
  <c r="J2790" i="81"/>
  <c r="K3061" i="81"/>
  <c r="K1224" i="81"/>
  <c r="J1696" i="81"/>
  <c r="I1479" i="81"/>
  <c r="L2151" i="81"/>
  <c r="K2164" i="81"/>
  <c r="J2414" i="81"/>
  <c r="K2790" i="81"/>
  <c r="I1493" i="81"/>
  <c r="L2439" i="81"/>
  <c r="L1696" i="81"/>
  <c r="J1479" i="81"/>
  <c r="L2164" i="81"/>
  <c r="K2414" i="81"/>
  <c r="L1545" i="81"/>
  <c r="J1685" i="81"/>
  <c r="L1479" i="81"/>
  <c r="L1489" i="81"/>
  <c r="K2427" i="81"/>
  <c r="J1226" i="81"/>
  <c r="K1552" i="81"/>
  <c r="K1685" i="81"/>
  <c r="J1478" i="81"/>
  <c r="K2188" i="81"/>
  <c r="L2413" i="81"/>
  <c r="K1250" i="81"/>
  <c r="L1475" i="81"/>
  <c r="K2423" i="81"/>
  <c r="I1724" i="81"/>
  <c r="I1687" i="81"/>
  <c r="L1491" i="81"/>
  <c r="I2155" i="81"/>
  <c r="L2426" i="81"/>
  <c r="L3045" i="81"/>
  <c r="L3050" i="81"/>
  <c r="L3072" i="81"/>
  <c r="L1228" i="81"/>
  <c r="J1238" i="81"/>
  <c r="L1248" i="81"/>
  <c r="K1687" i="81"/>
  <c r="J2187" i="81"/>
  <c r="K2190" i="81"/>
  <c r="J1252" i="81"/>
  <c r="K1252" i="81"/>
  <c r="L1213" i="81"/>
  <c r="I1213" i="81"/>
  <c r="L1239" i="81"/>
  <c r="K1247" i="81"/>
  <c r="I1250" i="81"/>
  <c r="L1251" i="81"/>
  <c r="I1553" i="81"/>
  <c r="I1565" i="81"/>
  <c r="I1475" i="81"/>
  <c r="L1501" i="81"/>
  <c r="I2162" i="81"/>
  <c r="L2169" i="81"/>
  <c r="I2410" i="81"/>
  <c r="I2421" i="81"/>
  <c r="I2442" i="81"/>
  <c r="I2786" i="81"/>
  <c r="K2810" i="81"/>
  <c r="L3051" i="81"/>
  <c r="I1214" i="81"/>
  <c r="I1238" i="81"/>
  <c r="K1244" i="81"/>
  <c r="L1247" i="81"/>
  <c r="K1553" i="81"/>
  <c r="L1565" i="81"/>
  <c r="L1687" i="81"/>
  <c r="L1719" i="81"/>
  <c r="K1475" i="81"/>
  <c r="L1484" i="81"/>
  <c r="J3050" i="81"/>
  <c r="I1224" i="81"/>
  <c r="L1241" i="81"/>
  <c r="J1556" i="81"/>
  <c r="L1683" i="81"/>
  <c r="I1700" i="81"/>
  <c r="J1503" i="81"/>
  <c r="L1506" i="81"/>
  <c r="L2148" i="81"/>
  <c r="I2189" i="81"/>
  <c r="K2412" i="81"/>
  <c r="J2423" i="81"/>
  <c r="I2444" i="81"/>
  <c r="K2450" i="81"/>
  <c r="J2775" i="81"/>
  <c r="J1536" i="81"/>
  <c r="J1539" i="81"/>
  <c r="L1556" i="81"/>
  <c r="L1561" i="81"/>
  <c r="L1568" i="81"/>
  <c r="L1680" i="81"/>
  <c r="K1700" i="81"/>
  <c r="K1710" i="81"/>
  <c r="L1486" i="81"/>
  <c r="K1511" i="81"/>
  <c r="K2189" i="81"/>
  <c r="L2415" i="81"/>
  <c r="K2429" i="81"/>
  <c r="L2435" i="81"/>
  <c r="K2444" i="81"/>
  <c r="L2447" i="81"/>
  <c r="J2785" i="81"/>
  <c r="J2789" i="81"/>
  <c r="I2808" i="81"/>
  <c r="K1536" i="81"/>
  <c r="I1567" i="81"/>
  <c r="I1685" i="81"/>
  <c r="L1715" i="81"/>
  <c r="L1477" i="81"/>
  <c r="J1499" i="81"/>
  <c r="J1505" i="81"/>
  <c r="K2785" i="81"/>
  <c r="I3075" i="81"/>
  <c r="I1563" i="81"/>
  <c r="K1693" i="81"/>
  <c r="L1712" i="81"/>
  <c r="L1488" i="81"/>
  <c r="I1510" i="81"/>
  <c r="L1513" i="81"/>
  <c r="K2177" i="81"/>
  <c r="I2437" i="81"/>
  <c r="I2446" i="81"/>
  <c r="J2816" i="81"/>
  <c r="K3052" i="81"/>
  <c r="J1525" i="81"/>
  <c r="L1538" i="81"/>
  <c r="J1563" i="81"/>
  <c r="J1566" i="81"/>
  <c r="I1717" i="81"/>
  <c r="L1473" i="81"/>
  <c r="K1510" i="81"/>
  <c r="I2169" i="81"/>
  <c r="J2182" i="81"/>
  <c r="J2437" i="81"/>
  <c r="L2446" i="81"/>
  <c r="L2784" i="81"/>
  <c r="L2807" i="81"/>
  <c r="L3052" i="81"/>
  <c r="K3069" i="81"/>
  <c r="J1215" i="81"/>
  <c r="J1231" i="81"/>
  <c r="J1239" i="81"/>
  <c r="J1251" i="81"/>
  <c r="J1554" i="81"/>
  <c r="L1566" i="81"/>
  <c r="J1717" i="81"/>
  <c r="J1476" i="81"/>
  <c r="K2155" i="81"/>
  <c r="I2166" i="81"/>
  <c r="J2169" i="81"/>
  <c r="K2182" i="81"/>
  <c r="K2191" i="81"/>
  <c r="L2437" i="81"/>
  <c r="I3051" i="81"/>
  <c r="K1215" i="81"/>
  <c r="K1231" i="81"/>
  <c r="K1239" i="81"/>
  <c r="K1251" i="81"/>
  <c r="I1254" i="81"/>
  <c r="L1554" i="81"/>
  <c r="K2166" i="81"/>
  <c r="L2182" i="81"/>
  <c r="L2776" i="81"/>
  <c r="J2788" i="81"/>
  <c r="J3051" i="81"/>
  <c r="L1217" i="81"/>
  <c r="L1227" i="81"/>
  <c r="J1230" i="81"/>
  <c r="L1231" i="81"/>
  <c r="I1244" i="81"/>
  <c r="L1245" i="81"/>
  <c r="L1253" i="81"/>
  <c r="K1256" i="81"/>
  <c r="K1230" i="81"/>
  <c r="I1525" i="81"/>
  <c r="K1525" i="81"/>
  <c r="L1528" i="81"/>
  <c r="J1528" i="81"/>
  <c r="K1216" i="81"/>
  <c r="I1219" i="81"/>
  <c r="I1225" i="81"/>
  <c r="L1551" i="81"/>
  <c r="J1551" i="81"/>
  <c r="L1216" i="81"/>
  <c r="J1219" i="81"/>
  <c r="J1225" i="81"/>
  <c r="K1240" i="81"/>
  <c r="L1252" i="81"/>
  <c r="I1524" i="81"/>
  <c r="J1543" i="81"/>
  <c r="I1543" i="81"/>
  <c r="I1551" i="81"/>
  <c r="K1555" i="81"/>
  <c r="J1555" i="81"/>
  <c r="I1555" i="81"/>
  <c r="M1210" i="81"/>
  <c r="K1219" i="81"/>
  <c r="K1225" i="81"/>
  <c r="L1233" i="81"/>
  <c r="L1240" i="81"/>
  <c r="J1524" i="81"/>
  <c r="K1543" i="81"/>
  <c r="K1551" i="81"/>
  <c r="K1558" i="81"/>
  <c r="I1558" i="81"/>
  <c r="K1524" i="81"/>
  <c r="L1543" i="81"/>
  <c r="L1558" i="81"/>
  <c r="M1211" i="81"/>
  <c r="K1214" i="81"/>
  <c r="L1232" i="81"/>
  <c r="K1238" i="81"/>
  <c r="I1242" i="81"/>
  <c r="I1245" i="81"/>
  <c r="K1246" i="81"/>
  <c r="K1560" i="81"/>
  <c r="J1245" i="81"/>
  <c r="L1246" i="81"/>
  <c r="K1213" i="81"/>
  <c r="K1227" i="81"/>
  <c r="I1256" i="81"/>
  <c r="L1526" i="81"/>
  <c r="J1681" i="81"/>
  <c r="K1696" i="81"/>
  <c r="L1701" i="81"/>
  <c r="L1710" i="81"/>
  <c r="J1713" i="81"/>
  <c r="J1720" i="81"/>
  <c r="L1721" i="81"/>
  <c r="K1486" i="81"/>
  <c r="I1490" i="81"/>
  <c r="K1491" i="81"/>
  <c r="I1504" i="81"/>
  <c r="K1505" i="81"/>
  <c r="I1512" i="81"/>
  <c r="I2153" i="81"/>
  <c r="L2177" i="81"/>
  <c r="I2184" i="81"/>
  <c r="I2412" i="81"/>
  <c r="K2448" i="81"/>
  <c r="I2452" i="81"/>
  <c r="L1720" i="81"/>
  <c r="J1490" i="81"/>
  <c r="K1504" i="81"/>
  <c r="K1512" i="81"/>
  <c r="K2153" i="81"/>
  <c r="K2184" i="81"/>
  <c r="J2412" i="81"/>
  <c r="J2429" i="81"/>
  <c r="L2452" i="81"/>
  <c r="J1699" i="81"/>
  <c r="J1708" i="81"/>
  <c r="I1719" i="81"/>
  <c r="K1490" i="81"/>
  <c r="L1504" i="81"/>
  <c r="J1508" i="81"/>
  <c r="L1512" i="81"/>
  <c r="L2153" i="81"/>
  <c r="L2184" i="81"/>
  <c r="K1540" i="81"/>
  <c r="J1568" i="81"/>
  <c r="I1680" i="81"/>
  <c r="J1692" i="81"/>
  <c r="L1699" i="81"/>
  <c r="L1708" i="81"/>
  <c r="I1712" i="81"/>
  <c r="K1719" i="81"/>
  <c r="K1472" i="81"/>
  <c r="J1489" i="81"/>
  <c r="L2180" i="81"/>
  <c r="L2187" i="81"/>
  <c r="I2428" i="81"/>
  <c r="K2436" i="81"/>
  <c r="I2440" i="81"/>
  <c r="J2447" i="81"/>
  <c r="K2451" i="81"/>
  <c r="J2428" i="81"/>
  <c r="L2440" i="81"/>
  <c r="I1488" i="81"/>
  <c r="J2175" i="81"/>
  <c r="I2186" i="81"/>
  <c r="L2191" i="81"/>
  <c r="D2406" i="81"/>
  <c r="I2408" i="81"/>
  <c r="L2428" i="81"/>
  <c r="J2446" i="81"/>
  <c r="L1536" i="81"/>
  <c r="K1563" i="81"/>
  <c r="L1698" i="81"/>
  <c r="L1707" i="81"/>
  <c r="J1718" i="81"/>
  <c r="K1488" i="81"/>
  <c r="J1510" i="81"/>
  <c r="K2148" i="81"/>
  <c r="I2164" i="81"/>
  <c r="L2175" i="81"/>
  <c r="K2179" i="81"/>
  <c r="K2186" i="81"/>
  <c r="J2190" i="81"/>
  <c r="L2408" i="81"/>
  <c r="J2415" i="81"/>
  <c r="I2423" i="81"/>
  <c r="J2435" i="81"/>
  <c r="K2439" i="81"/>
  <c r="J2450" i="81"/>
  <c r="K1682" i="81"/>
  <c r="K1714" i="81"/>
  <c r="J1722" i="81"/>
  <c r="J2167" i="81"/>
  <c r="I2174" i="81"/>
  <c r="J2178" i="81"/>
  <c r="B2407" i="81"/>
  <c r="N2407" i="81" s="1"/>
  <c r="I2449" i="81"/>
  <c r="I1527" i="81"/>
  <c r="I1545" i="81"/>
  <c r="J1559" i="81"/>
  <c r="K1717" i="81"/>
  <c r="I1721" i="81"/>
  <c r="K1722" i="81"/>
  <c r="I1477" i="81"/>
  <c r="J1487" i="81"/>
  <c r="J1506" i="81"/>
  <c r="L2167" i="81"/>
  <c r="K2174" i="81"/>
  <c r="I2177" i="81"/>
  <c r="K2178" i="81"/>
  <c r="D2407" i="81"/>
  <c r="J2449" i="81"/>
  <c r="L1527" i="81"/>
  <c r="I1538" i="81"/>
  <c r="K1545" i="81"/>
  <c r="K1565" i="81"/>
  <c r="J1701" i="81"/>
  <c r="J1710" i="81"/>
  <c r="L1722" i="81"/>
  <c r="B1470" i="81"/>
  <c r="K1477" i="81"/>
  <c r="K1506" i="81"/>
  <c r="J1516" i="81"/>
  <c r="J2163" i="81"/>
  <c r="L2178" i="81"/>
  <c r="J2426" i="81"/>
  <c r="K2438" i="81"/>
  <c r="L2449" i="81"/>
  <c r="I2806" i="81"/>
  <c r="L2806" i="81"/>
  <c r="K2806" i="81"/>
  <c r="J2806" i="81"/>
  <c r="I2775" i="81"/>
  <c r="I2789" i="81"/>
  <c r="K2805" i="81"/>
  <c r="J2810" i="81"/>
  <c r="K2775" i="81"/>
  <c r="K2789" i="81"/>
  <c r="L2810" i="81"/>
  <c r="B3030" i="81"/>
  <c r="J3032" i="81"/>
  <c r="I3049" i="81"/>
  <c r="I3067" i="81"/>
  <c r="J3071" i="81"/>
  <c r="I3038" i="81"/>
  <c r="K3049" i="81"/>
  <c r="J3060" i="81"/>
  <c r="K3067" i="81"/>
  <c r="I3070" i="81"/>
  <c r="K3071" i="81"/>
  <c r="M3030" i="81"/>
  <c r="K3038" i="81"/>
  <c r="I3059" i="81"/>
  <c r="K3060" i="81"/>
  <c r="J3070" i="81"/>
  <c r="L3071" i="81"/>
  <c r="I3074" i="81"/>
  <c r="K2774" i="81"/>
  <c r="L2786" i="81"/>
  <c r="K2788" i="81"/>
  <c r="I2792" i="81"/>
  <c r="L2808" i="81"/>
  <c r="I2812" i="81"/>
  <c r="I3034" i="81"/>
  <c r="K3053" i="81"/>
  <c r="J3059" i="81"/>
  <c r="L3060" i="81"/>
  <c r="K3070" i="81"/>
  <c r="L2774" i="81"/>
  <c r="L2788" i="81"/>
  <c r="L2792" i="81"/>
  <c r="L2812" i="81"/>
  <c r="B3031" i="81"/>
  <c r="N3031" i="81" s="1"/>
  <c r="L3034" i="81"/>
  <c r="K3059" i="81"/>
  <c r="I3063" i="81"/>
  <c r="I3069" i="81"/>
  <c r="B2770" i="81"/>
  <c r="I2777" i="81"/>
  <c r="I2785" i="81"/>
  <c r="I2800" i="81"/>
  <c r="K2807" i="81"/>
  <c r="J3052" i="81"/>
  <c r="J3058" i="81"/>
  <c r="J3063" i="81"/>
  <c r="I3062" i="81"/>
  <c r="I2784" i="81"/>
  <c r="I2805" i="81"/>
  <c r="I3036" i="81"/>
  <c r="I3047" i="81"/>
  <c r="L3062" i="81"/>
  <c r="I3065" i="81"/>
  <c r="K3036" i="81"/>
  <c r="K3047" i="81"/>
  <c r="L3065" i="81"/>
  <c r="P2768" i="81"/>
  <c r="L1249" i="81"/>
  <c r="K1249" i="81"/>
  <c r="J1249" i="81"/>
  <c r="I1249" i="81"/>
  <c r="U1208" i="81"/>
  <c r="K1515" i="81"/>
  <c r="L1515" i="81"/>
  <c r="J1515" i="81"/>
  <c r="I1515" i="81"/>
  <c r="L1542" i="81"/>
  <c r="K1542" i="81"/>
  <c r="J1542" i="81"/>
  <c r="I1542" i="81"/>
  <c r="L1229" i="81"/>
  <c r="K1229" i="81"/>
  <c r="J1229" i="81"/>
  <c r="I1229" i="81"/>
  <c r="L1218" i="81"/>
  <c r="K1218" i="81"/>
  <c r="J1218" i="81"/>
  <c r="I1218" i="81"/>
  <c r="U1520" i="81"/>
  <c r="L1529" i="81"/>
  <c r="J1529" i="81"/>
  <c r="I1529" i="81"/>
  <c r="D1679" i="81"/>
  <c r="B1679" i="81"/>
  <c r="N1679" i="81" s="1"/>
  <c r="I1217" i="81"/>
  <c r="I1228" i="81"/>
  <c r="I1248" i="81"/>
  <c r="D1522" i="81"/>
  <c r="K1529" i="81"/>
  <c r="L1564" i="81"/>
  <c r="K1564" i="81"/>
  <c r="I1564" i="81"/>
  <c r="B1210" i="81"/>
  <c r="B1211" i="81"/>
  <c r="I1216" i="81"/>
  <c r="J1217" i="81"/>
  <c r="I1227" i="81"/>
  <c r="J1228" i="81"/>
  <c r="I1247" i="81"/>
  <c r="J1248" i="81"/>
  <c r="B1522" i="81"/>
  <c r="J1564" i="81"/>
  <c r="L1697" i="81"/>
  <c r="K1697" i="81"/>
  <c r="I1697" i="81"/>
  <c r="U1468" i="81"/>
  <c r="L1474" i="81"/>
  <c r="K1474" i="81"/>
  <c r="J1474" i="81"/>
  <c r="I1474" i="81"/>
  <c r="D1210" i="81"/>
  <c r="D1211" i="81"/>
  <c r="I1215" i="81"/>
  <c r="I1226" i="81"/>
  <c r="K1541" i="81"/>
  <c r="J1541" i="81"/>
  <c r="I1541" i="81"/>
  <c r="L1552" i="81"/>
  <c r="I1552" i="81"/>
  <c r="L1684" i="81"/>
  <c r="K1684" i="81"/>
  <c r="J1684" i="81"/>
  <c r="I1684" i="81"/>
  <c r="J1697" i="81"/>
  <c r="L1557" i="81"/>
  <c r="K1557" i="81"/>
  <c r="J1557" i="81"/>
  <c r="I1557" i="81"/>
  <c r="O1208" i="81"/>
  <c r="L1531" i="81"/>
  <c r="K1531" i="81"/>
  <c r="L1502" i="81"/>
  <c r="K1502" i="81"/>
  <c r="J1502" i="81"/>
  <c r="I1502" i="81"/>
  <c r="B1208" i="81"/>
  <c r="I1212" i="81"/>
  <c r="J1213" i="81"/>
  <c r="J1224" i="81"/>
  <c r="I1243" i="81"/>
  <c r="J1244" i="81"/>
  <c r="I1255" i="81"/>
  <c r="J1256" i="81"/>
  <c r="O1520" i="81"/>
  <c r="P1520" i="81" s="1"/>
  <c r="I1531" i="81"/>
  <c r="L1537" i="81"/>
  <c r="J1537" i="81"/>
  <c r="I1537" i="81"/>
  <c r="L1544" i="81"/>
  <c r="I1544" i="81"/>
  <c r="L1716" i="81"/>
  <c r="K1716" i="81"/>
  <c r="J1716" i="81"/>
  <c r="I1716" i="81"/>
  <c r="L2152" i="81"/>
  <c r="I2152" i="81"/>
  <c r="K2152" i="81"/>
  <c r="J2152" i="81"/>
  <c r="E1208" i="81"/>
  <c r="J1212" i="81"/>
  <c r="J1243" i="81"/>
  <c r="J1255" i="81"/>
  <c r="K1212" i="81"/>
  <c r="I1233" i="81"/>
  <c r="I1241" i="81"/>
  <c r="J1242" i="81"/>
  <c r="K1243" i="81"/>
  <c r="I1253" i="81"/>
  <c r="J1254" i="81"/>
  <c r="K1255" i="81"/>
  <c r="K1530" i="81"/>
  <c r="J1530" i="81"/>
  <c r="K1544" i="81"/>
  <c r="L1562" i="81"/>
  <c r="K1562" i="81"/>
  <c r="J1562" i="81"/>
  <c r="I1562" i="81"/>
  <c r="L1695" i="81"/>
  <c r="K1695" i="81"/>
  <c r="J1695" i="81"/>
  <c r="I1695" i="81"/>
  <c r="I1232" i="81"/>
  <c r="J1233" i="81"/>
  <c r="I1240" i="81"/>
  <c r="J1241" i="81"/>
  <c r="K1242" i="81"/>
  <c r="I1252" i="81"/>
  <c r="J1253" i="81"/>
  <c r="K1254" i="81"/>
  <c r="B1520" i="81"/>
  <c r="M1522" i="81"/>
  <c r="I1530" i="81"/>
  <c r="L1686" i="81"/>
  <c r="K1686" i="81"/>
  <c r="I1686" i="81"/>
  <c r="J1526" i="81"/>
  <c r="I1526" i="81"/>
  <c r="L1530" i="81"/>
  <c r="D1678" i="81"/>
  <c r="B1678" i="81"/>
  <c r="N1678" i="81" s="1"/>
  <c r="J1686" i="81"/>
  <c r="L1485" i="81"/>
  <c r="K1485" i="81"/>
  <c r="J1485" i="81"/>
  <c r="I1485" i="81"/>
  <c r="L2183" i="81"/>
  <c r="K2183" i="81"/>
  <c r="I2183" i="81"/>
  <c r="K1554" i="81"/>
  <c r="K1566" i="81"/>
  <c r="K1699" i="81"/>
  <c r="K1708" i="81"/>
  <c r="I1718" i="81"/>
  <c r="K1720" i="81"/>
  <c r="I1476" i="81"/>
  <c r="K1478" i="81"/>
  <c r="I1487" i="81"/>
  <c r="K1489" i="81"/>
  <c r="I1503" i="81"/>
  <c r="J1511" i="81"/>
  <c r="I1516" i="81"/>
  <c r="J2183" i="81"/>
  <c r="K1718" i="81"/>
  <c r="K1476" i="81"/>
  <c r="K1487" i="81"/>
  <c r="K1503" i="81"/>
  <c r="L1511" i="81"/>
  <c r="K1516" i="81"/>
  <c r="B2147" i="81"/>
  <c r="I1561" i="81"/>
  <c r="I1683" i="81"/>
  <c r="I1694" i="81"/>
  <c r="I1715" i="81"/>
  <c r="I1473" i="81"/>
  <c r="I1484" i="81"/>
  <c r="I1509" i="81"/>
  <c r="L2161" i="81"/>
  <c r="K2161" i="81"/>
  <c r="J2161" i="81"/>
  <c r="I1540" i="81"/>
  <c r="I1560" i="81"/>
  <c r="J1561" i="81"/>
  <c r="I1682" i="81"/>
  <c r="J1683" i="81"/>
  <c r="I1693" i="81"/>
  <c r="J1694" i="81"/>
  <c r="I1714" i="81"/>
  <c r="J1715" i="81"/>
  <c r="O1468" i="81"/>
  <c r="P1468" i="81" s="1"/>
  <c r="I1472" i="81"/>
  <c r="J1473" i="81"/>
  <c r="J1484" i="81"/>
  <c r="I1501" i="81"/>
  <c r="J1509" i="81"/>
  <c r="J1514" i="81"/>
  <c r="L1514" i="81"/>
  <c r="I2161" i="81"/>
  <c r="I1528" i="81"/>
  <c r="I1539" i="81"/>
  <c r="J1540" i="81"/>
  <c r="I1559" i="81"/>
  <c r="J1560" i="81"/>
  <c r="O1676" i="81"/>
  <c r="I1681" i="81"/>
  <c r="J1682" i="81"/>
  <c r="I1692" i="81"/>
  <c r="J1693" i="81"/>
  <c r="I1713" i="81"/>
  <c r="J1714" i="81"/>
  <c r="B1468" i="81"/>
  <c r="J1472" i="81"/>
  <c r="J1501" i="81"/>
  <c r="I1508" i="81"/>
  <c r="K1509" i="81"/>
  <c r="I1514" i="81"/>
  <c r="I2165" i="81"/>
  <c r="K2165" i="81"/>
  <c r="L2181" i="81"/>
  <c r="K2181" i="81"/>
  <c r="J2181" i="81"/>
  <c r="I2181" i="81"/>
  <c r="I2185" i="81"/>
  <c r="K2185" i="81"/>
  <c r="L2150" i="81"/>
  <c r="K2150" i="81"/>
  <c r="J2150" i="81"/>
  <c r="J2165" i="81"/>
  <c r="J2185" i="81"/>
  <c r="J1527" i="81"/>
  <c r="K1528" i="81"/>
  <c r="J1538" i="81"/>
  <c r="K1539" i="81"/>
  <c r="J1558" i="81"/>
  <c r="K1559" i="81"/>
  <c r="E1676" i="81"/>
  <c r="J1680" i="81"/>
  <c r="K1681" i="81"/>
  <c r="K1692" i="81"/>
  <c r="I1711" i="81"/>
  <c r="J1712" i="81"/>
  <c r="K1713" i="81"/>
  <c r="I1723" i="81"/>
  <c r="J1724" i="81"/>
  <c r="I1492" i="81"/>
  <c r="J1493" i="81"/>
  <c r="K1500" i="81"/>
  <c r="I1507" i="81"/>
  <c r="L1508" i="81"/>
  <c r="I1513" i="81"/>
  <c r="K1513" i="81"/>
  <c r="B2146" i="81"/>
  <c r="N2146" i="81" s="1"/>
  <c r="I2150" i="81"/>
  <c r="K2160" i="81"/>
  <c r="J2160" i="81"/>
  <c r="I2160" i="81"/>
  <c r="L2165" i="81"/>
  <c r="L2176" i="81"/>
  <c r="J2176" i="81"/>
  <c r="I2176" i="81"/>
  <c r="L2185" i="81"/>
  <c r="J1711" i="81"/>
  <c r="J1723" i="81"/>
  <c r="J1492" i="81"/>
  <c r="L1500" i="81"/>
  <c r="K1507" i="81"/>
  <c r="M2147" i="81"/>
  <c r="I2154" i="81"/>
  <c r="K2154" i="81"/>
  <c r="L2168" i="81"/>
  <c r="J2168" i="81"/>
  <c r="I2168" i="81"/>
  <c r="K2176" i="81"/>
  <c r="K1711" i="81"/>
  <c r="K1723" i="81"/>
  <c r="K1492" i="81"/>
  <c r="L1507" i="81"/>
  <c r="K2149" i="81"/>
  <c r="J2149" i="81"/>
  <c r="I2149" i="81"/>
  <c r="L2163" i="81"/>
  <c r="I2163" i="81"/>
  <c r="L2155" i="81"/>
  <c r="L2166" i="81"/>
  <c r="L2174" i="81"/>
  <c r="L2186" i="81"/>
  <c r="I2413" i="81"/>
  <c r="K2413" i="81"/>
  <c r="L2422" i="81"/>
  <c r="K2422" i="81"/>
  <c r="I2422" i="81"/>
  <c r="L2443" i="81"/>
  <c r="K2443" i="81"/>
  <c r="I2443" i="81"/>
  <c r="O2144" i="81"/>
  <c r="P2144" i="81" s="1"/>
  <c r="I2180" i="81"/>
  <c r="I2192" i="81"/>
  <c r="L2409" i="81"/>
  <c r="K2409" i="81"/>
  <c r="J2409" i="81"/>
  <c r="I2409" i="81"/>
  <c r="B2144" i="81"/>
  <c r="I2148" i="81"/>
  <c r="I2179" i="81"/>
  <c r="J2180" i="81"/>
  <c r="I2191" i="81"/>
  <c r="J2192" i="81"/>
  <c r="L2411" i="81"/>
  <c r="K2411" i="81"/>
  <c r="I2411" i="81"/>
  <c r="I2424" i="81"/>
  <c r="K2424" i="81"/>
  <c r="I2445" i="81"/>
  <c r="K2445" i="81"/>
  <c r="I2188" i="81"/>
  <c r="J2411" i="81"/>
  <c r="J2424" i="81"/>
  <c r="J2445" i="81"/>
  <c r="I2167" i="81"/>
  <c r="I2175" i="81"/>
  <c r="I2187" i="81"/>
  <c r="J2188" i="81"/>
  <c r="L2424" i="81"/>
  <c r="L2445" i="81"/>
  <c r="L2420" i="81"/>
  <c r="K2420" i="81"/>
  <c r="J2420" i="81"/>
  <c r="I2420" i="81"/>
  <c r="L2441" i="81"/>
  <c r="K2441" i="81"/>
  <c r="J2441" i="81"/>
  <c r="I2441" i="81"/>
  <c r="L2787" i="81"/>
  <c r="K2787" i="81"/>
  <c r="J2787" i="81"/>
  <c r="I2787" i="81"/>
  <c r="O2404" i="81"/>
  <c r="J2410" i="81"/>
  <c r="J2421" i="81"/>
  <c r="J2442" i="81"/>
  <c r="L2814" i="81"/>
  <c r="K2814" i="81"/>
  <c r="J2814" i="81"/>
  <c r="I2814" i="81"/>
  <c r="K2410" i="81"/>
  <c r="K2421" i="81"/>
  <c r="K2442" i="81"/>
  <c r="L2802" i="81"/>
  <c r="K2802" i="81"/>
  <c r="J2802" i="81"/>
  <c r="I2802" i="81"/>
  <c r="E2404" i="81"/>
  <c r="J2408" i="81"/>
  <c r="I2439" i="81"/>
  <c r="J2440" i="81"/>
  <c r="I2451" i="81"/>
  <c r="J2452" i="81"/>
  <c r="I2429" i="81"/>
  <c r="I2438" i="81"/>
  <c r="I2450" i="81"/>
  <c r="L2816" i="81"/>
  <c r="K2816" i="81"/>
  <c r="L2804" i="81"/>
  <c r="K2804" i="81"/>
  <c r="I2427" i="81"/>
  <c r="I2436" i="81"/>
  <c r="I2448" i="81"/>
  <c r="I2415" i="81"/>
  <c r="I2426" i="81"/>
  <c r="J2427" i="81"/>
  <c r="I2435" i="81"/>
  <c r="J2436" i="81"/>
  <c r="I2447" i="81"/>
  <c r="J2448" i="81"/>
  <c r="G2768" i="81"/>
  <c r="J2804" i="81"/>
  <c r="B2768" i="81"/>
  <c r="L2773" i="81"/>
  <c r="K2773" i="81"/>
  <c r="L2815" i="81"/>
  <c r="K2815" i="81"/>
  <c r="J2815" i="81"/>
  <c r="L2779" i="81"/>
  <c r="K2779" i="81"/>
  <c r="J2779" i="81"/>
  <c r="I2779" i="81"/>
  <c r="L2803" i="81"/>
  <c r="K2803" i="81"/>
  <c r="J2803" i="81"/>
  <c r="L3066" i="81"/>
  <c r="K3066" i="81"/>
  <c r="J3066" i="81"/>
  <c r="I3066" i="81"/>
  <c r="I2778" i="81"/>
  <c r="I2793" i="81"/>
  <c r="I2801" i="81"/>
  <c r="I2813" i="81"/>
  <c r="J2778" i="81"/>
  <c r="J2793" i="81"/>
  <c r="J2801" i="81"/>
  <c r="J2813" i="81"/>
  <c r="M2770" i="81"/>
  <c r="M2771" i="81"/>
  <c r="N2771" i="81" s="1"/>
  <c r="M2772" i="81"/>
  <c r="N2772" i="81" s="1"/>
  <c r="I2776" i="81"/>
  <c r="J2777" i="81"/>
  <c r="K2778" i="81"/>
  <c r="J2786" i="81"/>
  <c r="I2791" i="81"/>
  <c r="J2792" i="81"/>
  <c r="K2793" i="81"/>
  <c r="I2799" i="81"/>
  <c r="J2800" i="81"/>
  <c r="K2801" i="81"/>
  <c r="I2811" i="81"/>
  <c r="J2812" i="81"/>
  <c r="K2813" i="81"/>
  <c r="I3039" i="81"/>
  <c r="K3039" i="81"/>
  <c r="L3039" i="81"/>
  <c r="J3039" i="81"/>
  <c r="J2776" i="81"/>
  <c r="J2791" i="81"/>
  <c r="J2799" i="81"/>
  <c r="J2811" i="81"/>
  <c r="K2791" i="81"/>
  <c r="K2799" i="81"/>
  <c r="K2811" i="81"/>
  <c r="D2770" i="81"/>
  <c r="D2771" i="81"/>
  <c r="D2772" i="81"/>
  <c r="I2774" i="81"/>
  <c r="J2784" i="81"/>
  <c r="I2807" i="81"/>
  <c r="J2808" i="81"/>
  <c r="L3033" i="81"/>
  <c r="K3033" i="81"/>
  <c r="J3033" i="81"/>
  <c r="I3033" i="81"/>
  <c r="L3048" i="81"/>
  <c r="K3048" i="81"/>
  <c r="I3048" i="81"/>
  <c r="J3048" i="81"/>
  <c r="U3028" i="81"/>
  <c r="L3035" i="81"/>
  <c r="K3035" i="81"/>
  <c r="I3035" i="81"/>
  <c r="L3068" i="81"/>
  <c r="K3068" i="81"/>
  <c r="I3068" i="81"/>
  <c r="L3046" i="81"/>
  <c r="K3046" i="81"/>
  <c r="J3046" i="81"/>
  <c r="I3046" i="81"/>
  <c r="J3068" i="81"/>
  <c r="K3037" i="81"/>
  <c r="I3037" i="81"/>
  <c r="L3037" i="81"/>
  <c r="J3038" i="81"/>
  <c r="J3049" i="81"/>
  <c r="K3050" i="81"/>
  <c r="K3058" i="81"/>
  <c r="J3069" i="81"/>
  <c r="D3030" i="81"/>
  <c r="D3031" i="81"/>
  <c r="J3036" i="81"/>
  <c r="J3047" i="81"/>
  <c r="J3067" i="81"/>
  <c r="O3028" i="81"/>
  <c r="P3028" i="81" s="1"/>
  <c r="J3034" i="81"/>
  <c r="I3044" i="81"/>
  <c r="J3045" i="81"/>
  <c r="I3064" i="81"/>
  <c r="J3065" i="81"/>
  <c r="I3076" i="81"/>
  <c r="B3028" i="81"/>
  <c r="I3032" i="81"/>
  <c r="J3044" i="81"/>
  <c r="J3064" i="81"/>
  <c r="J3076" i="81"/>
  <c r="K3044" i="81"/>
  <c r="K3064" i="81"/>
  <c r="K3076" i="81"/>
  <c r="K3032" i="81"/>
  <c r="I3053" i="81"/>
  <c r="I3061" i="81"/>
  <c r="J3062" i="81"/>
  <c r="K3063" i="81"/>
  <c r="I3073" i="81"/>
  <c r="J3074" i="81"/>
  <c r="K3075" i="81"/>
  <c r="J3053" i="81"/>
  <c r="J3061" i="81"/>
  <c r="I3072" i="81"/>
  <c r="J3073" i="81"/>
  <c r="K3074" i="81"/>
  <c r="K3073" i="81"/>
  <c r="D2615" i="81"/>
  <c r="D2616" i="81"/>
  <c r="D3967" i="81"/>
  <c r="B3625" i="81"/>
  <c r="B3624" i="81"/>
  <c r="B3623" i="81"/>
  <c r="B3622" i="81"/>
  <c r="B3621" i="81"/>
  <c r="B3620" i="81"/>
  <c r="B3619" i="81"/>
  <c r="B3618" i="81"/>
  <c r="B3617" i="81"/>
  <c r="B3616" i="81"/>
  <c r="B3611" i="81"/>
  <c r="B3610" i="81"/>
  <c r="B3609" i="81"/>
  <c r="B3608" i="81"/>
  <c r="B3607" i="81"/>
  <c r="B3606" i="81"/>
  <c r="B3605" i="81"/>
  <c r="B3604" i="81"/>
  <c r="A3603" i="81"/>
  <c r="B3603" i="81" s="1"/>
  <c r="A3602" i="81"/>
  <c r="B3602" i="81" s="1"/>
  <c r="A3499" i="81"/>
  <c r="A3498" i="81"/>
  <c r="A3447" i="81"/>
  <c r="A3446" i="81"/>
  <c r="A3083" i="81"/>
  <c r="A3082" i="81"/>
  <c r="A2979" i="81"/>
  <c r="A2978" i="81"/>
  <c r="A2278" i="81"/>
  <c r="A2277" i="81"/>
  <c r="A2251" i="81"/>
  <c r="A2250" i="81"/>
  <c r="N1470" i="81" l="1"/>
  <c r="N1210" i="81"/>
  <c r="N2770" i="81"/>
  <c r="N1211" i="81"/>
  <c r="N3030" i="81"/>
  <c r="N2147" i="81"/>
  <c r="N1522" i="81"/>
  <c r="P1208" i="81"/>
  <c r="U2768" i="81"/>
  <c r="P1676" i="81"/>
  <c r="P2404" i="81"/>
  <c r="G177" i="83" l="1"/>
  <c r="G175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39" i="83"/>
  <c r="G38" i="83"/>
  <c r="G37" i="83"/>
  <c r="G36" i="83"/>
  <c r="G33" i="83"/>
  <c r="G32" i="83"/>
  <c r="G31" i="83"/>
  <c r="G30" i="83"/>
  <c r="G29" i="83"/>
  <c r="G28" i="83"/>
  <c r="G180" i="83"/>
  <c r="G178" i="83"/>
  <c r="G173" i="83"/>
  <c r="G172" i="83"/>
  <c r="G171" i="83"/>
  <c r="G170" i="83"/>
  <c r="G169" i="83"/>
  <c r="G168" i="83"/>
  <c r="G167" i="83"/>
  <c r="G166" i="83"/>
  <c r="G165" i="83"/>
  <c r="G164" i="83"/>
  <c r="G163" i="83"/>
  <c r="G162" i="83"/>
  <c r="G161" i="83"/>
  <c r="G160" i="83"/>
  <c r="G159" i="83"/>
  <c r="G158" i="83"/>
  <c r="G157" i="83"/>
  <c r="G156" i="83"/>
  <c r="G154" i="83"/>
  <c r="G153" i="83"/>
  <c r="G152" i="83"/>
  <c r="G151" i="83"/>
  <c r="G149" i="83"/>
  <c r="G147" i="83"/>
  <c r="G143" i="83"/>
  <c r="G142" i="83"/>
  <c r="G141" i="83"/>
  <c r="G140" i="83"/>
  <c r="G139" i="83"/>
  <c r="G138" i="83"/>
  <c r="G137" i="83"/>
  <c r="G136" i="83"/>
  <c r="G135" i="83"/>
  <c r="G134" i="83"/>
  <c r="G133" i="83"/>
  <c r="G132" i="83"/>
  <c r="G131" i="83"/>
  <c r="G130" i="83"/>
  <c r="G128" i="83"/>
  <c r="G127" i="83"/>
  <c r="G126" i="83"/>
  <c r="G125" i="83"/>
  <c r="G123" i="83"/>
  <c r="G122" i="83"/>
  <c r="G121" i="83"/>
  <c r="G119" i="83"/>
  <c r="G118" i="83"/>
  <c r="G117" i="83"/>
  <c r="G116" i="83"/>
  <c r="G115" i="83"/>
  <c r="G114" i="83"/>
  <c r="G113" i="83"/>
  <c r="G112" i="83"/>
  <c r="G111" i="83"/>
  <c r="G110" i="83"/>
  <c r="G109" i="83"/>
  <c r="G108" i="83"/>
  <c r="G107" i="83"/>
  <c r="G106" i="83"/>
  <c r="G105" i="83"/>
  <c r="G104" i="83"/>
  <c r="G103" i="83"/>
  <c r="G102" i="83"/>
  <c r="G100" i="83"/>
  <c r="G99" i="83"/>
  <c r="G98" i="83"/>
  <c r="G97" i="83"/>
  <c r="G95" i="83"/>
  <c r="G93" i="83"/>
  <c r="G92" i="83"/>
  <c r="G91" i="83"/>
  <c r="G90" i="83"/>
  <c r="G88" i="83"/>
  <c r="G86" i="83"/>
  <c r="G85" i="83"/>
  <c r="G84" i="83"/>
  <c r="G83" i="83"/>
  <c r="G82" i="83"/>
  <c r="G81" i="83"/>
  <c r="G80" i="83"/>
  <c r="G79" i="83"/>
  <c r="G76" i="83"/>
  <c r="G75" i="83"/>
  <c r="G74" i="83"/>
  <c r="G73" i="83"/>
  <c r="G71" i="83"/>
  <c r="G70" i="83"/>
  <c r="G69" i="83"/>
  <c r="G68" i="83"/>
  <c r="G67" i="83"/>
  <c r="G66" i="83"/>
  <c r="G65" i="83"/>
  <c r="G64" i="83"/>
  <c r="G63" i="83"/>
  <c r="G62" i="83"/>
  <c r="G61" i="83"/>
  <c r="G60" i="83"/>
  <c r="G59" i="83"/>
  <c r="G58" i="83"/>
  <c r="G57" i="83"/>
  <c r="G56" i="83"/>
  <c r="G55" i="83"/>
  <c r="G54" i="83"/>
  <c r="G53" i="83"/>
  <c r="G52" i="83"/>
  <c r="G51" i="83"/>
  <c r="G50" i="83"/>
  <c r="G49" i="83"/>
  <c r="G48" i="83"/>
  <c r="G47" i="83"/>
  <c r="G46" i="83"/>
  <c r="G45" i="83"/>
  <c r="G44" i="83"/>
  <c r="G43" i="83"/>
  <c r="G42" i="83"/>
  <c r="M20" i="128" l="1"/>
  <c r="M19" i="128"/>
  <c r="M18" i="128"/>
  <c r="M17" i="128"/>
  <c r="J20" i="128"/>
  <c r="J19" i="128"/>
  <c r="J18" i="128"/>
  <c r="J17" i="128"/>
  <c r="G20" i="128"/>
  <c r="G19" i="128"/>
  <c r="G18" i="128"/>
  <c r="G17" i="128"/>
  <c r="M16" i="128"/>
  <c r="J16" i="128"/>
  <c r="G16" i="128"/>
  <c r="D20" i="128"/>
  <c r="D19" i="128"/>
  <c r="D18" i="128"/>
  <c r="D17" i="128"/>
  <c r="D16" i="128"/>
  <c r="J14" i="128"/>
  <c r="G14" i="128"/>
  <c r="D14" i="128"/>
  <c r="M12" i="128"/>
  <c r="M11" i="128"/>
  <c r="J12" i="128"/>
  <c r="J11" i="128"/>
  <c r="G12" i="128"/>
  <c r="P20" i="128"/>
  <c r="P19" i="128"/>
  <c r="P18" i="128"/>
  <c r="P17" i="128"/>
  <c r="P16" i="128"/>
  <c r="P14" i="128"/>
  <c r="P12" i="128"/>
  <c r="P11" i="128"/>
  <c r="D12" i="128"/>
  <c r="D11" i="128"/>
  <c r="A49" i="83"/>
  <c r="A48" i="83"/>
  <c r="A47" i="83"/>
  <c r="A3681" i="81" s="1"/>
  <c r="A46" i="83"/>
  <c r="A45" i="83"/>
  <c r="A44" i="83"/>
  <c r="A3369" i="81" s="1"/>
  <c r="A43" i="83"/>
  <c r="A42" i="83"/>
  <c r="B4" i="128"/>
  <c r="H3317" i="81" l="1"/>
  <c r="E3213" i="81"/>
  <c r="F3213" i="81" s="1"/>
  <c r="D3213" i="81"/>
  <c r="B3213" i="81"/>
  <c r="M3265" i="81"/>
  <c r="H3214" i="81"/>
  <c r="H3265" i="81"/>
  <c r="M3161" i="81"/>
  <c r="E3214" i="81"/>
  <c r="F3214" i="81" s="1"/>
  <c r="B3161" i="81"/>
  <c r="M3213" i="81"/>
  <c r="D3214" i="81"/>
  <c r="M3317" i="81"/>
  <c r="D3265" i="81"/>
  <c r="H3161" i="81"/>
  <c r="E3265" i="81"/>
  <c r="F3265" i="81" s="1"/>
  <c r="H3213" i="81"/>
  <c r="D3317" i="81"/>
  <c r="B3265" i="81"/>
  <c r="E3317" i="81"/>
  <c r="B3214" i="81"/>
  <c r="E3161" i="81"/>
  <c r="F3161" i="81" s="1"/>
  <c r="M3214" i="81"/>
  <c r="D3161" i="81"/>
  <c r="B3317" i="81"/>
  <c r="H3741" i="81"/>
  <c r="E3741" i="81"/>
  <c r="F3741" i="81" s="1"/>
  <c r="D3742" i="81"/>
  <c r="D3741" i="81"/>
  <c r="B3741" i="81"/>
  <c r="M3740" i="81"/>
  <c r="H3740" i="81"/>
  <c r="M3742" i="81"/>
  <c r="E3740" i="81"/>
  <c r="F3740" i="81" s="1"/>
  <c r="H3742" i="81"/>
  <c r="D3740" i="81"/>
  <c r="E3742" i="81"/>
  <c r="F3742" i="81" s="1"/>
  <c r="B3740" i="81"/>
  <c r="B3742" i="81"/>
  <c r="M3741" i="81"/>
  <c r="E3738" i="81"/>
  <c r="F3738" i="81" s="1"/>
  <c r="B3736" i="81"/>
  <c r="D3738" i="81"/>
  <c r="M3735" i="81"/>
  <c r="B3738" i="81"/>
  <c r="H3735" i="81"/>
  <c r="M3737" i="81"/>
  <c r="E3735" i="81"/>
  <c r="F3735" i="81" s="1"/>
  <c r="M3739" i="81"/>
  <c r="H3737" i="81"/>
  <c r="D3735" i="81"/>
  <c r="H3739" i="81"/>
  <c r="E3737" i="81"/>
  <c r="F3737" i="81" s="1"/>
  <c r="B3735" i="81"/>
  <c r="E3734" i="81"/>
  <c r="F3734" i="81" s="1"/>
  <c r="E3739" i="81"/>
  <c r="F3739" i="81" s="1"/>
  <c r="D3737" i="81"/>
  <c r="D3739" i="81"/>
  <c r="B3737" i="81"/>
  <c r="M3734" i="81"/>
  <c r="B3739" i="81"/>
  <c r="M3736" i="81"/>
  <c r="H3734" i="81"/>
  <c r="M3738" i="81"/>
  <c r="E3736" i="81"/>
  <c r="F3736" i="81" s="1"/>
  <c r="D3734" i="81"/>
  <c r="H3738" i="81"/>
  <c r="D3736" i="81"/>
  <c r="B3734" i="81"/>
  <c r="H3736" i="81"/>
  <c r="D46" i="83"/>
  <c r="A3577" i="81"/>
  <c r="D47" i="83"/>
  <c r="D3681" i="81" s="1"/>
  <c r="A3057" i="81"/>
  <c r="M2017" i="81"/>
  <c r="B2017" i="81"/>
  <c r="H2017" i="81"/>
  <c r="E2017" i="81"/>
  <c r="D2017" i="81"/>
  <c r="E1498" i="81"/>
  <c r="F1498" i="81" s="1"/>
  <c r="D1550" i="81"/>
  <c r="D1498" i="81"/>
  <c r="B1550" i="81"/>
  <c r="B1498" i="81"/>
  <c r="M1550" i="81"/>
  <c r="M1498" i="81"/>
  <c r="H1550" i="81"/>
  <c r="H1498" i="81"/>
  <c r="E1550" i="81"/>
  <c r="F1550" i="81" s="1"/>
  <c r="H925" i="81"/>
  <c r="E925" i="81"/>
  <c r="F925" i="81" s="1"/>
  <c r="D925" i="81"/>
  <c r="B925" i="81"/>
  <c r="M1029" i="81"/>
  <c r="E821" i="81"/>
  <c r="F821" i="81" s="1"/>
  <c r="D821" i="81"/>
  <c r="B821" i="81"/>
  <c r="B1029" i="81"/>
  <c r="E1029" i="81"/>
  <c r="M925" i="81"/>
  <c r="M821" i="81"/>
  <c r="H1029" i="81"/>
  <c r="D1029" i="81"/>
  <c r="H821" i="81"/>
  <c r="D1342" i="81"/>
  <c r="M3421" i="81"/>
  <c r="H3421" i="81"/>
  <c r="E3421" i="81"/>
  <c r="F3421" i="81" s="1"/>
  <c r="M1341" i="81"/>
  <c r="H1341" i="81"/>
  <c r="E1341" i="81"/>
  <c r="F1341" i="81" s="1"/>
  <c r="M3422" i="81"/>
  <c r="D1341" i="81"/>
  <c r="B1342" i="81"/>
  <c r="H3422" i="81"/>
  <c r="B3422" i="81"/>
  <c r="E1342" i="81"/>
  <c r="F1342" i="81" s="1"/>
  <c r="B1341" i="81"/>
  <c r="M1342" i="81"/>
  <c r="H1342" i="81"/>
  <c r="D3421" i="81"/>
  <c r="D3422" i="81"/>
  <c r="E3422" i="81"/>
  <c r="F3422" i="81" s="1"/>
  <c r="B3421" i="81"/>
  <c r="E2434" i="81"/>
  <c r="F2434" i="81" s="1"/>
  <c r="D2173" i="81"/>
  <c r="D1497" i="81"/>
  <c r="M2173" i="81"/>
  <c r="M1497" i="81"/>
  <c r="H2173" i="81"/>
  <c r="M2434" i="81"/>
  <c r="E2173" i="81"/>
  <c r="F2173" i="81" s="1"/>
  <c r="H1497" i="81"/>
  <c r="B1549" i="81"/>
  <c r="B1705" i="81"/>
  <c r="E2433" i="81"/>
  <c r="F2433" i="81" s="1"/>
  <c r="B1706" i="81"/>
  <c r="H2797" i="81"/>
  <c r="M1549" i="81"/>
  <c r="B1497" i="81"/>
  <c r="H2433" i="81"/>
  <c r="M2433" i="81"/>
  <c r="H2434" i="81"/>
  <c r="E1549" i="81"/>
  <c r="F1549" i="81" s="1"/>
  <c r="E1705" i="81"/>
  <c r="D2433" i="81"/>
  <c r="E2797" i="81"/>
  <c r="F2797" i="81" s="1"/>
  <c r="H1549" i="81"/>
  <c r="D1237" i="81"/>
  <c r="E1706" i="81"/>
  <c r="F1706" i="81" s="1"/>
  <c r="B2433" i="81"/>
  <c r="D2434" i="81"/>
  <c r="D2797" i="81"/>
  <c r="H1705" i="81"/>
  <c r="D1549" i="81"/>
  <c r="B2434" i="81"/>
  <c r="B2797" i="81"/>
  <c r="H1237" i="81"/>
  <c r="D1705" i="81"/>
  <c r="M1237" i="81"/>
  <c r="H1706" i="81"/>
  <c r="B2173" i="81"/>
  <c r="M1705" i="81"/>
  <c r="D1706" i="81"/>
  <c r="B1237" i="81"/>
  <c r="M1706" i="81"/>
  <c r="E1237" i="81"/>
  <c r="F1237" i="81" s="1"/>
  <c r="E1497" i="81"/>
  <c r="M2797" i="81"/>
  <c r="B2901" i="81"/>
  <c r="B2953" i="81"/>
  <c r="B2849" i="81"/>
  <c r="B2694" i="81"/>
  <c r="B1445" i="81"/>
  <c r="B1446" i="81"/>
  <c r="B2537" i="81"/>
  <c r="D44" i="83"/>
  <c r="D3369" i="81" s="1"/>
  <c r="A3109" i="81"/>
  <c r="D42" i="83"/>
  <c r="B3838" i="81"/>
  <c r="B3837" i="81"/>
  <c r="B3839" i="81"/>
  <c r="D43" i="83"/>
  <c r="A3005" i="81"/>
  <c r="B45" i="83"/>
  <c r="A3473" i="81"/>
  <c r="D48" i="83"/>
  <c r="A3525" i="81"/>
  <c r="D49" i="83"/>
  <c r="A3629" i="81"/>
  <c r="H3369" i="81"/>
  <c r="E3681" i="81"/>
  <c r="D45" i="83"/>
  <c r="B46" i="83"/>
  <c r="B47" i="83"/>
  <c r="B3681" i="81" s="1"/>
  <c r="B42" i="83"/>
  <c r="B48" i="83"/>
  <c r="B43" i="83"/>
  <c r="B49" i="83"/>
  <c r="B44" i="83"/>
  <c r="B3369" i="81" s="1"/>
  <c r="N3214" i="81" l="1"/>
  <c r="N3741" i="81"/>
  <c r="N3265" i="81"/>
  <c r="J3369" i="81"/>
  <c r="K3369" i="81" s="1"/>
  <c r="L3369" i="81"/>
  <c r="F3681" i="81"/>
  <c r="H3681" i="81"/>
  <c r="J3213" i="81"/>
  <c r="K3213" i="81" s="1"/>
  <c r="I3213" i="81"/>
  <c r="L3213" i="81"/>
  <c r="J3161" i="81"/>
  <c r="K3161" i="81" s="1"/>
  <c r="I3161" i="81"/>
  <c r="J3741" i="81"/>
  <c r="K3741" i="81" s="1"/>
  <c r="I3741" i="81"/>
  <c r="L3741" i="81"/>
  <c r="N3317" i="81"/>
  <c r="J3317" i="81"/>
  <c r="K3317" i="81" s="1"/>
  <c r="L3317" i="81"/>
  <c r="J3742" i="81"/>
  <c r="K3742" i="81" s="1"/>
  <c r="I3742" i="81"/>
  <c r="L3742" i="81"/>
  <c r="N3213" i="81"/>
  <c r="E3369" i="81"/>
  <c r="N3742" i="81"/>
  <c r="M3369" i="81"/>
  <c r="N3369" i="81" s="1"/>
  <c r="M3681" i="81"/>
  <c r="N3681" i="81" s="1"/>
  <c r="I3740" i="81"/>
  <c r="J3740" i="81"/>
  <c r="K3740" i="81" s="1"/>
  <c r="L3740" i="81"/>
  <c r="I3317" i="81"/>
  <c r="F3317" i="81"/>
  <c r="N3161" i="81"/>
  <c r="N3740" i="81"/>
  <c r="J3265" i="81"/>
  <c r="K3265" i="81" s="1"/>
  <c r="I3265" i="81"/>
  <c r="L3265" i="81"/>
  <c r="I3214" i="81"/>
  <c r="J3214" i="81"/>
  <c r="K3214" i="81" s="1"/>
  <c r="L3214" i="81"/>
  <c r="N3736" i="81"/>
  <c r="N3735" i="81"/>
  <c r="I3736" i="81"/>
  <c r="J3736" i="81"/>
  <c r="K3736" i="81" s="1"/>
  <c r="L3736" i="81"/>
  <c r="J3735" i="81"/>
  <c r="K3735" i="81" s="1"/>
  <c r="L3735" i="81"/>
  <c r="I3735" i="81"/>
  <c r="I3738" i="81"/>
  <c r="J3738" i="81"/>
  <c r="K3738" i="81" s="1"/>
  <c r="L3738" i="81"/>
  <c r="N3738" i="81"/>
  <c r="L3739" i="81"/>
  <c r="I3739" i="81"/>
  <c r="J3739" i="81"/>
  <c r="K3739" i="81" s="1"/>
  <c r="J3734" i="81"/>
  <c r="K3734" i="81" s="1"/>
  <c r="I3734" i="81"/>
  <c r="L3734" i="81"/>
  <c r="J3737" i="81"/>
  <c r="K3737" i="81" s="1"/>
  <c r="I3737" i="81"/>
  <c r="L3737" i="81"/>
  <c r="N3739" i="81"/>
  <c r="N3734" i="81"/>
  <c r="N3737" i="81"/>
  <c r="D3577" i="81"/>
  <c r="B3577" i="81"/>
  <c r="D3733" i="81"/>
  <c r="E3577" i="81"/>
  <c r="F3577" i="81" s="1"/>
  <c r="E3733" i="81"/>
  <c r="F3733" i="81" s="1"/>
  <c r="B3733" i="81"/>
  <c r="D3057" i="81"/>
  <c r="B3057" i="81"/>
  <c r="E3057" i="81"/>
  <c r="F3057" i="81" s="1"/>
  <c r="N1549" i="81"/>
  <c r="N3421" i="81"/>
  <c r="N1498" i="81"/>
  <c r="N1550" i="81"/>
  <c r="I2017" i="81"/>
  <c r="F2017" i="81"/>
  <c r="J2017" i="81"/>
  <c r="K2017" i="81" s="1"/>
  <c r="L2017" i="81"/>
  <c r="J1498" i="81"/>
  <c r="K1498" i="81" s="1"/>
  <c r="L1498" i="81"/>
  <c r="I1498" i="81"/>
  <c r="N2017" i="81"/>
  <c r="L1550" i="81"/>
  <c r="I1550" i="81"/>
  <c r="J1550" i="81"/>
  <c r="K1550" i="81" s="1"/>
  <c r="N1497" i="81"/>
  <c r="N1342" i="81"/>
  <c r="N821" i="81"/>
  <c r="N1705" i="81"/>
  <c r="N925" i="81"/>
  <c r="I1029" i="81"/>
  <c r="F1029" i="81"/>
  <c r="N1029" i="81"/>
  <c r="I821" i="81"/>
  <c r="L821" i="81"/>
  <c r="J821" i="81"/>
  <c r="K821" i="81" s="1"/>
  <c r="L1029" i="81"/>
  <c r="J1029" i="81"/>
  <c r="K1029" i="81" s="1"/>
  <c r="I925" i="81"/>
  <c r="L925" i="81"/>
  <c r="J925" i="81"/>
  <c r="K925" i="81" s="1"/>
  <c r="N1237" i="81"/>
  <c r="N2433" i="81"/>
  <c r="N1706" i="81"/>
  <c r="N3422" i="81"/>
  <c r="N2434" i="81"/>
  <c r="J1497" i="81"/>
  <c r="K1497" i="81" s="1"/>
  <c r="L1497" i="81"/>
  <c r="I1341" i="81"/>
  <c r="J1341" i="81"/>
  <c r="K1341" i="81" s="1"/>
  <c r="L1341" i="81"/>
  <c r="J1706" i="81"/>
  <c r="K1706" i="81" s="1"/>
  <c r="L1706" i="81"/>
  <c r="I1706" i="81"/>
  <c r="J1705" i="81"/>
  <c r="K1705" i="81" s="1"/>
  <c r="L1705" i="81"/>
  <c r="L1549" i="81"/>
  <c r="I1549" i="81"/>
  <c r="J1549" i="81"/>
  <c r="K1549" i="81" s="1"/>
  <c r="M3733" i="81"/>
  <c r="N1341" i="81"/>
  <c r="L1237" i="81"/>
  <c r="J1237" i="81"/>
  <c r="K1237" i="81" s="1"/>
  <c r="I1237" i="81"/>
  <c r="L2173" i="81"/>
  <c r="I2173" i="81"/>
  <c r="J2173" i="81"/>
  <c r="K2173" i="81" s="1"/>
  <c r="H3733" i="81"/>
  <c r="I1497" i="81"/>
  <c r="F1497" i="81"/>
  <c r="H3057" i="81"/>
  <c r="N2797" i="81"/>
  <c r="J2434" i="81"/>
  <c r="K2434" i="81" s="1"/>
  <c r="L2434" i="81"/>
  <c r="I2434" i="81"/>
  <c r="N2173" i="81"/>
  <c r="I1342" i="81"/>
  <c r="J1342" i="81"/>
  <c r="K1342" i="81" s="1"/>
  <c r="L1342" i="81"/>
  <c r="J3421" i="81"/>
  <c r="K3421" i="81" s="1"/>
  <c r="I3421" i="81"/>
  <c r="L3421" i="81"/>
  <c r="M3577" i="81"/>
  <c r="M3057" i="81"/>
  <c r="J2433" i="81"/>
  <c r="K2433" i="81" s="1"/>
  <c r="L2433" i="81"/>
  <c r="I2433" i="81"/>
  <c r="J2797" i="81"/>
  <c r="K2797" i="81" s="1"/>
  <c r="L2797" i="81"/>
  <c r="I2797" i="81"/>
  <c r="J3422" i="81"/>
  <c r="K3422" i="81" s="1"/>
  <c r="I3422" i="81"/>
  <c r="L3422" i="81"/>
  <c r="H3577" i="81"/>
  <c r="I1705" i="81"/>
  <c r="F1705" i="81"/>
  <c r="B3629" i="81"/>
  <c r="D84" i="82"/>
  <c r="D83" i="82"/>
  <c r="D81" i="82"/>
  <c r="D80" i="82"/>
  <c r="D79" i="82"/>
  <c r="D70" i="82"/>
  <c r="G3132" i="81" s="1"/>
  <c r="A409" i="81"/>
  <c r="A354" i="81"/>
  <c r="A315" i="81"/>
  <c r="A314" i="81"/>
  <c r="A313" i="81"/>
  <c r="A309" i="81"/>
  <c r="A308" i="81"/>
  <c r="A307" i="81"/>
  <c r="A306" i="81"/>
  <c r="I3369" i="81" l="1"/>
  <c r="F3369" i="81"/>
  <c r="J3681" i="81"/>
  <c r="K3681" i="81" s="1"/>
  <c r="L3681" i="81"/>
  <c r="I3681" i="81"/>
  <c r="U3132" i="81"/>
  <c r="L3161" i="81"/>
  <c r="N3577" i="81"/>
  <c r="N3733" i="81"/>
  <c r="N3057" i="81"/>
  <c r="I3057" i="81"/>
  <c r="L3057" i="81"/>
  <c r="J3057" i="81"/>
  <c r="K3057" i="81" s="1"/>
  <c r="I3733" i="81"/>
  <c r="J3733" i="81"/>
  <c r="K3733" i="81" s="1"/>
  <c r="L3733" i="81"/>
  <c r="J3577" i="81"/>
  <c r="K3577" i="81" s="1"/>
  <c r="I3577" i="81"/>
  <c r="L3577" i="81"/>
  <c r="C4085" i="81"/>
  <c r="C4084" i="81"/>
  <c r="D56" i="82"/>
  <c r="A4016" i="81" l="1"/>
  <c r="A3964" i="81"/>
  <c r="G3964" i="81" s="1"/>
  <c r="A3912" i="81"/>
  <c r="B3912" i="81" s="1"/>
  <c r="A3860" i="81"/>
  <c r="G3860" i="81" s="1"/>
  <c r="U3860" i="81" s="1"/>
  <c r="A3808" i="81"/>
  <c r="E3808" i="81" s="1"/>
  <c r="A3756" i="81"/>
  <c r="G3756" i="81" s="1"/>
  <c r="B4064" i="81"/>
  <c r="B4063" i="81"/>
  <c r="B4062" i="81"/>
  <c r="B4061" i="81"/>
  <c r="B4060" i="81"/>
  <c r="B4059" i="81"/>
  <c r="B4058" i="81"/>
  <c r="B4057" i="81"/>
  <c r="B4056" i="81"/>
  <c r="B4055" i="81"/>
  <c r="B4054" i="81"/>
  <c r="B4053" i="81"/>
  <c r="B4052" i="81"/>
  <c r="B4051" i="81"/>
  <c r="B4050" i="81"/>
  <c r="B4049" i="81"/>
  <c r="B4048" i="81"/>
  <c r="B4047" i="81"/>
  <c r="B4046" i="81"/>
  <c r="B4045" i="81"/>
  <c r="B4041" i="81"/>
  <c r="B4040" i="81"/>
  <c r="B4039" i="81"/>
  <c r="B4038" i="81"/>
  <c r="B4037" i="81"/>
  <c r="B4036" i="81"/>
  <c r="B4035" i="81"/>
  <c r="B4034" i="81"/>
  <c r="B4033" i="81"/>
  <c r="B4032" i="81"/>
  <c r="B4027" i="81"/>
  <c r="B4026" i="81"/>
  <c r="B4025" i="81"/>
  <c r="B4024" i="81"/>
  <c r="B4023" i="81"/>
  <c r="B4022" i="81"/>
  <c r="B4021" i="81"/>
  <c r="B4020" i="81"/>
  <c r="B4019" i="81"/>
  <c r="B4018" i="81"/>
  <c r="B4012" i="81"/>
  <c r="B4011" i="81"/>
  <c r="B4010" i="81"/>
  <c r="B4009" i="81"/>
  <c r="B4008" i="81"/>
  <c r="B4007" i="81"/>
  <c r="B4006" i="81"/>
  <c r="B4005" i="81"/>
  <c r="B4004" i="81"/>
  <c r="B4003" i="81"/>
  <c r="B4002" i="81"/>
  <c r="B4001" i="81"/>
  <c r="B4000" i="81"/>
  <c r="B3999" i="81"/>
  <c r="B3998" i="81"/>
  <c r="B3997" i="81"/>
  <c r="B3996" i="81"/>
  <c r="B3995" i="81"/>
  <c r="B3994" i="81"/>
  <c r="B3993" i="81"/>
  <c r="B3989" i="81"/>
  <c r="B3988" i="81"/>
  <c r="B3987" i="81"/>
  <c r="B3986" i="81"/>
  <c r="B3985" i="81"/>
  <c r="B3984" i="81"/>
  <c r="B3983" i="81"/>
  <c r="B3982" i="81"/>
  <c r="B3981" i="81"/>
  <c r="B3980" i="81"/>
  <c r="B3975" i="81"/>
  <c r="B3974" i="81"/>
  <c r="B3973" i="81"/>
  <c r="B3972" i="81"/>
  <c r="B3971" i="81"/>
  <c r="B3970" i="81"/>
  <c r="B3969" i="81"/>
  <c r="B3968" i="81"/>
  <c r="B3967" i="81"/>
  <c r="B3966" i="81"/>
  <c r="B3960" i="81"/>
  <c r="B3959" i="81"/>
  <c r="B3958" i="81"/>
  <c r="B3957" i="81"/>
  <c r="B3956" i="81"/>
  <c r="B3955" i="81"/>
  <c r="B3954" i="81"/>
  <c r="B3953" i="81"/>
  <c r="B3952" i="81"/>
  <c r="B3951" i="81"/>
  <c r="B3950" i="81"/>
  <c r="B3949" i="81"/>
  <c r="B3948" i="81"/>
  <c r="B3947" i="81"/>
  <c r="B3946" i="81"/>
  <c r="B3945" i="81"/>
  <c r="B3944" i="81"/>
  <c r="B3943" i="81"/>
  <c r="B3942" i="81"/>
  <c r="B3941" i="81"/>
  <c r="B3937" i="81"/>
  <c r="B3936" i="81"/>
  <c r="B3935" i="81"/>
  <c r="B3934" i="81"/>
  <c r="B3933" i="81"/>
  <c r="B3932" i="81"/>
  <c r="B3931" i="81"/>
  <c r="B3930" i="81"/>
  <c r="B3929" i="81"/>
  <c r="B3928" i="81"/>
  <c r="B3923" i="81"/>
  <c r="B3922" i="81"/>
  <c r="B3921" i="81"/>
  <c r="B3920" i="81"/>
  <c r="B3919" i="81"/>
  <c r="B3918" i="81"/>
  <c r="B3917" i="81"/>
  <c r="B3916" i="81"/>
  <c r="B3915" i="81"/>
  <c r="B3914" i="81"/>
  <c r="B3908" i="81"/>
  <c r="B3907" i="81"/>
  <c r="B3906" i="81"/>
  <c r="B3905" i="81"/>
  <c r="B3904" i="81"/>
  <c r="B3903" i="81"/>
  <c r="B3902" i="81"/>
  <c r="B3901" i="81"/>
  <c r="B3900" i="81"/>
  <c r="B3899" i="81"/>
  <c r="B3898" i="81"/>
  <c r="B3897" i="81"/>
  <c r="B3896" i="81"/>
  <c r="B3895" i="81"/>
  <c r="B3894" i="81"/>
  <c r="B3893" i="81"/>
  <c r="B3892" i="81"/>
  <c r="B3891" i="81"/>
  <c r="B3890" i="81"/>
  <c r="B3889" i="81"/>
  <c r="B3885" i="81"/>
  <c r="B3884" i="81"/>
  <c r="B3883" i="81"/>
  <c r="B3882" i="81"/>
  <c r="B3881" i="81"/>
  <c r="B3880" i="81"/>
  <c r="B3879" i="81"/>
  <c r="B3878" i="81"/>
  <c r="B3877" i="81"/>
  <c r="B3876" i="81"/>
  <c r="B3871" i="81"/>
  <c r="B3870" i="81"/>
  <c r="B3869" i="81"/>
  <c r="B3868" i="81"/>
  <c r="B3867" i="81"/>
  <c r="B3866" i="81"/>
  <c r="B3865" i="81"/>
  <c r="B3864" i="81"/>
  <c r="B3863" i="81"/>
  <c r="B3862" i="81"/>
  <c r="B3856" i="81"/>
  <c r="B3855" i="81"/>
  <c r="B3854" i="81"/>
  <c r="B3853" i="81"/>
  <c r="B3852" i="81"/>
  <c r="B3851" i="81"/>
  <c r="B3850" i="81"/>
  <c r="B3849" i="81"/>
  <c r="B3848" i="81"/>
  <c r="B3847" i="81"/>
  <c r="B3846" i="81"/>
  <c r="B3845" i="81"/>
  <c r="B3844" i="81"/>
  <c r="B3804" i="81"/>
  <c r="B3803" i="81"/>
  <c r="B3802" i="81"/>
  <c r="B3801" i="81"/>
  <c r="B3800" i="81"/>
  <c r="B3799" i="81"/>
  <c r="B3798" i="81"/>
  <c r="B3797" i="81"/>
  <c r="B3796" i="81"/>
  <c r="B3795" i="81"/>
  <c r="B3794" i="81"/>
  <c r="B3793" i="81"/>
  <c r="B3792" i="81"/>
  <c r="B3791" i="81"/>
  <c r="B3790" i="81"/>
  <c r="B3789" i="81"/>
  <c r="B3788" i="81"/>
  <c r="B3787" i="81"/>
  <c r="B3786" i="81"/>
  <c r="B3785" i="81"/>
  <c r="B3781" i="81"/>
  <c r="B3780" i="81"/>
  <c r="B3779" i="81"/>
  <c r="B3778" i="81"/>
  <c r="B3777" i="81"/>
  <c r="B3776" i="81"/>
  <c r="B3775" i="81"/>
  <c r="B3774" i="81"/>
  <c r="B3773" i="81"/>
  <c r="B3772" i="81"/>
  <c r="B3767" i="81"/>
  <c r="B3766" i="81"/>
  <c r="B3765" i="81"/>
  <c r="B3764" i="81"/>
  <c r="B3763" i="81"/>
  <c r="B3762" i="81"/>
  <c r="B3761" i="81"/>
  <c r="B3760" i="81"/>
  <c r="B3759" i="81"/>
  <c r="B3758" i="81"/>
  <c r="A3600" i="81"/>
  <c r="E3600" i="81" s="1"/>
  <c r="A3496" i="81"/>
  <c r="O3496" i="81" s="1"/>
  <c r="A3444" i="81"/>
  <c r="E3444" i="81" s="1"/>
  <c r="A1416" i="81"/>
  <c r="E1416" i="81" s="1"/>
  <c r="A3080" i="81"/>
  <c r="A2976" i="81"/>
  <c r="G2976" i="81" s="1"/>
  <c r="A2924" i="81"/>
  <c r="O2924" i="81" s="1"/>
  <c r="A2872" i="81"/>
  <c r="O2872" i="81" s="1"/>
  <c r="A2820" i="81"/>
  <c r="O2820" i="81" s="1"/>
  <c r="A1364" i="81"/>
  <c r="G1364" i="81" s="1"/>
  <c r="U1364" i="81" s="1"/>
  <c r="A2716" i="81"/>
  <c r="G2716" i="81" s="1"/>
  <c r="U2716" i="81" s="1"/>
  <c r="A2664" i="81"/>
  <c r="G2664" i="81" s="1"/>
  <c r="A2612" i="81"/>
  <c r="G2612" i="81" s="1"/>
  <c r="U2612" i="81" s="1"/>
  <c r="A2560" i="81"/>
  <c r="O2560" i="81" s="1"/>
  <c r="A2508" i="81"/>
  <c r="G2508" i="81" s="1"/>
  <c r="U2508" i="81" s="1"/>
  <c r="A2456" i="81"/>
  <c r="G2456" i="81" s="1"/>
  <c r="A2352" i="81"/>
  <c r="G2352" i="81" s="1"/>
  <c r="U2352" i="81" s="1"/>
  <c r="A2300" i="81"/>
  <c r="G2300" i="81" s="1"/>
  <c r="U2300" i="81" s="1"/>
  <c r="B3544" i="81"/>
  <c r="B3543" i="81"/>
  <c r="B3542" i="81"/>
  <c r="B3541" i="81"/>
  <c r="B3540" i="81"/>
  <c r="B3539" i="81"/>
  <c r="B3538" i="81"/>
  <c r="B3537" i="81"/>
  <c r="B3536" i="81"/>
  <c r="B3535" i="81"/>
  <c r="B3534" i="81"/>
  <c r="B3533" i="81"/>
  <c r="B3532" i="81"/>
  <c r="B3531" i="81"/>
  <c r="B3530" i="81"/>
  <c r="B3529" i="81"/>
  <c r="B3528" i="81"/>
  <c r="B3527" i="81"/>
  <c r="B3526" i="81"/>
  <c r="B3525" i="81"/>
  <c r="B3521" i="81"/>
  <c r="B3520" i="81"/>
  <c r="B3519" i="81"/>
  <c r="B3518" i="81"/>
  <c r="B3517" i="81"/>
  <c r="B3516" i="81"/>
  <c r="B3515" i="81"/>
  <c r="B3514" i="81"/>
  <c r="B3513" i="81"/>
  <c r="B3512" i="81"/>
  <c r="B3507" i="81"/>
  <c r="B3506" i="81"/>
  <c r="B3505" i="81"/>
  <c r="B3504" i="81"/>
  <c r="B3503" i="81"/>
  <c r="B3502" i="81"/>
  <c r="B3501" i="81"/>
  <c r="B3500" i="81"/>
  <c r="B3499" i="81"/>
  <c r="B3498" i="81"/>
  <c r="B3492" i="81"/>
  <c r="B3491" i="81"/>
  <c r="B3490" i="81"/>
  <c r="B3489" i="81"/>
  <c r="B3488" i="81"/>
  <c r="B3487" i="81"/>
  <c r="B3486" i="81"/>
  <c r="B3485" i="81"/>
  <c r="B3484" i="81"/>
  <c r="B3483" i="81"/>
  <c r="B3482" i="81"/>
  <c r="B3481" i="81"/>
  <c r="B3480" i="81"/>
  <c r="B3479" i="81"/>
  <c r="B3478" i="81"/>
  <c r="B3477" i="81"/>
  <c r="B3476" i="81"/>
  <c r="B3475" i="81"/>
  <c r="B3474" i="81"/>
  <c r="B3473" i="81"/>
  <c r="B3469" i="81"/>
  <c r="B3468" i="81"/>
  <c r="B3467" i="81"/>
  <c r="B3466" i="81"/>
  <c r="B3465" i="81"/>
  <c r="B3464" i="81"/>
  <c r="B3463" i="81"/>
  <c r="B3462" i="81"/>
  <c r="B3461" i="81"/>
  <c r="B3460" i="81"/>
  <c r="B3455" i="81"/>
  <c r="B3454" i="81"/>
  <c r="B3453" i="81"/>
  <c r="B3452" i="81"/>
  <c r="B3451" i="81"/>
  <c r="B3450" i="81"/>
  <c r="B3449" i="81"/>
  <c r="B3448" i="81"/>
  <c r="B3447" i="81"/>
  <c r="B3446" i="81"/>
  <c r="B1464" i="81"/>
  <c r="B1463" i="81"/>
  <c r="B1462" i="81"/>
  <c r="B1461" i="81"/>
  <c r="B1460" i="81"/>
  <c r="B1459" i="81"/>
  <c r="B1458" i="81"/>
  <c r="B1457" i="81"/>
  <c r="B1456" i="81"/>
  <c r="B1455" i="81"/>
  <c r="B1454" i="81"/>
  <c r="B1453" i="81"/>
  <c r="B1452" i="81"/>
  <c r="B1451" i="81"/>
  <c r="B3128" i="81"/>
  <c r="B3127" i="81"/>
  <c r="B3126" i="81"/>
  <c r="B3125" i="81"/>
  <c r="B3124" i="81"/>
  <c r="B3123" i="81"/>
  <c r="B3122" i="81"/>
  <c r="B3121" i="81"/>
  <c r="B3120" i="81"/>
  <c r="B3119" i="81"/>
  <c r="B3118" i="81"/>
  <c r="B3117" i="81"/>
  <c r="B3116" i="81"/>
  <c r="B3115" i="81"/>
  <c r="B3114" i="81"/>
  <c r="B3113" i="81"/>
  <c r="B3112" i="81"/>
  <c r="B3111" i="81"/>
  <c r="B3110" i="81"/>
  <c r="B3109" i="81"/>
  <c r="B3105" i="81"/>
  <c r="B3104" i="81"/>
  <c r="B3103" i="81"/>
  <c r="B3102" i="81"/>
  <c r="B3101" i="81"/>
  <c r="B3100" i="81"/>
  <c r="B3099" i="81"/>
  <c r="B3098" i="81"/>
  <c r="B3097" i="81"/>
  <c r="B3096" i="81"/>
  <c r="B3091" i="81"/>
  <c r="B3090" i="81"/>
  <c r="B3089" i="81"/>
  <c r="B3088" i="81"/>
  <c r="B3087" i="81"/>
  <c r="B3086" i="81"/>
  <c r="B3085" i="81"/>
  <c r="B3084" i="81"/>
  <c r="B3083" i="81"/>
  <c r="B3082" i="81"/>
  <c r="B3024" i="81"/>
  <c r="B3023" i="81"/>
  <c r="B3022" i="81"/>
  <c r="B3021" i="81"/>
  <c r="B3020" i="81"/>
  <c r="B3019" i="81"/>
  <c r="B3018" i="81"/>
  <c r="B3017" i="81"/>
  <c r="B3016" i="81"/>
  <c r="B3015" i="81"/>
  <c r="B3014" i="81"/>
  <c r="B3013" i="81"/>
  <c r="B3012" i="81"/>
  <c r="B3011" i="81"/>
  <c r="B3010" i="81"/>
  <c r="B3009" i="81"/>
  <c r="B3008" i="81"/>
  <c r="B3007" i="81"/>
  <c r="B3006" i="81"/>
  <c r="B3005" i="81"/>
  <c r="B3001" i="81"/>
  <c r="B3000" i="81"/>
  <c r="B2999" i="81"/>
  <c r="B2998" i="81"/>
  <c r="B2997" i="81"/>
  <c r="B2996" i="81"/>
  <c r="B2995" i="81"/>
  <c r="B2994" i="81"/>
  <c r="B2993" i="81"/>
  <c r="B2992" i="81"/>
  <c r="B2987" i="81"/>
  <c r="B2986" i="81"/>
  <c r="B2985" i="81"/>
  <c r="B2984" i="81"/>
  <c r="B2983" i="81"/>
  <c r="B2982" i="81"/>
  <c r="B2981" i="81"/>
  <c r="B2980" i="81"/>
  <c r="B2979" i="81"/>
  <c r="B2978" i="81"/>
  <c r="B2963" i="81"/>
  <c r="B2962" i="81"/>
  <c r="B2961" i="81"/>
  <c r="B2960" i="81"/>
  <c r="B2917" i="81"/>
  <c r="B2916" i="81"/>
  <c r="B2915" i="81"/>
  <c r="B2914" i="81"/>
  <c r="B2913" i="81"/>
  <c r="B2912" i="81"/>
  <c r="B2911" i="81"/>
  <c r="B2910" i="81"/>
  <c r="B2909" i="81"/>
  <c r="B2908" i="81"/>
  <c r="B2907" i="81"/>
  <c r="B2906" i="81"/>
  <c r="B2865" i="81"/>
  <c r="B2864" i="81"/>
  <c r="B2863" i="81"/>
  <c r="B2862" i="81"/>
  <c r="B2861" i="81"/>
  <c r="B2860" i="81"/>
  <c r="B2859" i="81"/>
  <c r="B2858" i="81"/>
  <c r="B2857" i="81"/>
  <c r="B1409" i="81"/>
  <c r="B1408" i="81"/>
  <c r="B1407" i="81"/>
  <c r="B1406" i="81"/>
  <c r="B1405" i="81"/>
  <c r="B1404" i="81"/>
  <c r="B1403" i="81"/>
  <c r="B1402" i="81"/>
  <c r="B1401" i="81"/>
  <c r="B1400" i="81"/>
  <c r="B1399" i="81"/>
  <c r="B1398" i="81"/>
  <c r="B1397" i="81"/>
  <c r="B1396" i="81"/>
  <c r="B1395" i="81"/>
  <c r="B1394" i="81"/>
  <c r="B1393" i="81"/>
  <c r="B1389" i="81"/>
  <c r="B1388" i="81"/>
  <c r="B1387" i="81"/>
  <c r="B1386" i="81"/>
  <c r="B1385" i="81"/>
  <c r="B1384" i="81"/>
  <c r="B1383" i="81"/>
  <c r="B1382" i="81"/>
  <c r="B1381" i="81"/>
  <c r="B1380" i="81"/>
  <c r="B1375" i="81"/>
  <c r="B1374" i="81"/>
  <c r="B1373" i="81"/>
  <c r="B1372" i="81"/>
  <c r="B1371" i="81"/>
  <c r="B1370" i="81"/>
  <c r="B1369" i="81"/>
  <c r="B1368" i="81"/>
  <c r="B1367" i="81"/>
  <c r="B1366" i="81"/>
  <c r="B2761" i="81"/>
  <c r="B2760" i="81"/>
  <c r="B2759" i="81"/>
  <c r="B2758" i="81"/>
  <c r="B2757" i="81"/>
  <c r="B2756" i="81"/>
  <c r="B2755" i="81"/>
  <c r="B2754" i="81"/>
  <c r="B2753" i="81"/>
  <c r="B2752" i="81"/>
  <c r="B2751" i="81"/>
  <c r="B2750" i="81"/>
  <c r="B2749" i="81"/>
  <c r="B2748" i="81"/>
  <c r="B2747" i="81"/>
  <c r="B2746" i="81"/>
  <c r="B2745" i="81"/>
  <c r="B2741" i="81"/>
  <c r="B2740" i="81"/>
  <c r="B2739" i="81"/>
  <c r="B2738" i="81"/>
  <c r="B2737" i="81"/>
  <c r="B2736" i="81"/>
  <c r="B2735" i="81"/>
  <c r="B2734" i="81"/>
  <c r="B2733" i="81"/>
  <c r="B2732" i="81"/>
  <c r="B2727" i="81"/>
  <c r="B2726" i="81"/>
  <c r="B2725" i="81"/>
  <c r="B2724" i="81"/>
  <c r="B2723" i="81"/>
  <c r="B2722" i="81"/>
  <c r="B2721" i="81"/>
  <c r="B2720" i="81"/>
  <c r="B2709" i="81"/>
  <c r="B2708" i="81"/>
  <c r="B2707" i="81"/>
  <c r="B2706" i="81"/>
  <c r="B2705" i="81"/>
  <c r="B2704" i="81"/>
  <c r="B2703" i="81"/>
  <c r="B2702" i="81"/>
  <c r="B2701" i="81"/>
  <c r="B2700" i="81"/>
  <c r="B2699" i="81"/>
  <c r="B2698" i="81"/>
  <c r="B2697" i="81"/>
  <c r="B2696" i="81"/>
  <c r="B2695" i="81"/>
  <c r="B2693" i="81"/>
  <c r="B2689" i="81"/>
  <c r="B2688" i="81"/>
  <c r="B2687" i="81"/>
  <c r="B2686" i="81"/>
  <c r="B2685" i="81"/>
  <c r="B2684" i="81"/>
  <c r="B2683" i="81"/>
  <c r="B2682" i="81"/>
  <c r="B2681" i="81"/>
  <c r="B2680" i="81"/>
  <c r="B2675" i="81"/>
  <c r="B2674" i="81"/>
  <c r="B2673" i="81"/>
  <c r="B2672" i="81"/>
  <c r="B2671" i="81"/>
  <c r="B2670" i="81"/>
  <c r="B2669" i="81"/>
  <c r="B2668" i="81"/>
  <c r="B2667" i="81"/>
  <c r="B2666" i="81"/>
  <c r="B2657" i="81"/>
  <c r="B2656" i="81"/>
  <c r="B2655" i="81"/>
  <c r="B2654" i="81"/>
  <c r="B2653" i="81"/>
  <c r="B2652" i="81"/>
  <c r="B2651" i="81"/>
  <c r="B2650" i="81"/>
  <c r="B2649" i="81"/>
  <c r="B2648" i="81"/>
  <c r="B2647" i="81"/>
  <c r="B2646" i="81"/>
  <c r="B2645" i="81"/>
  <c r="B2644" i="81"/>
  <c r="B2643" i="81"/>
  <c r="B2642" i="81"/>
  <c r="B2641" i="81"/>
  <c r="B2637" i="81"/>
  <c r="B2636" i="81"/>
  <c r="B2635" i="81"/>
  <c r="B2634" i="81"/>
  <c r="B2633" i="81"/>
  <c r="B2632" i="81"/>
  <c r="B2631" i="81"/>
  <c r="B2630" i="81"/>
  <c r="B2629" i="81"/>
  <c r="B2628" i="81"/>
  <c r="B2623" i="81"/>
  <c r="B2622" i="81"/>
  <c r="B2621" i="81"/>
  <c r="B2620" i="81"/>
  <c r="B2619" i="81"/>
  <c r="B2618" i="81"/>
  <c r="B2617" i="81"/>
  <c r="B2616" i="81"/>
  <c r="B2615" i="81"/>
  <c r="B2614" i="81"/>
  <c r="B2605" i="81"/>
  <c r="B2604" i="81"/>
  <c r="B2603" i="81"/>
  <c r="B2602" i="81"/>
  <c r="B2601" i="81"/>
  <c r="B2600" i="81"/>
  <c r="B2599" i="81"/>
  <c r="B2598" i="81"/>
  <c r="B2597" i="81"/>
  <c r="B2596" i="81"/>
  <c r="B2595" i="81"/>
  <c r="B2594" i="81"/>
  <c r="B2593" i="81"/>
  <c r="B2592" i="81"/>
  <c r="B2591" i="81"/>
  <c r="B2590" i="81"/>
  <c r="B2589" i="81"/>
  <c r="B2585" i="81"/>
  <c r="B2584" i="81"/>
  <c r="B2583" i="81"/>
  <c r="B2582" i="81"/>
  <c r="B2581" i="81"/>
  <c r="B2580" i="81"/>
  <c r="B2579" i="81"/>
  <c r="B2578" i="81"/>
  <c r="B2577" i="81"/>
  <c r="B2576" i="81"/>
  <c r="B2571" i="81"/>
  <c r="B2570" i="81"/>
  <c r="B2569" i="81"/>
  <c r="B2568" i="81"/>
  <c r="B2567" i="81"/>
  <c r="B2566" i="81"/>
  <c r="B2565" i="81"/>
  <c r="B2564" i="81"/>
  <c r="B2563" i="81"/>
  <c r="B2562" i="81"/>
  <c r="B2545" i="81"/>
  <c r="B2544" i="81"/>
  <c r="B2543" i="81"/>
  <c r="B2542" i="81"/>
  <c r="B2541" i="81"/>
  <c r="B2540" i="81"/>
  <c r="B2539" i="81"/>
  <c r="B2493" i="81"/>
  <c r="B2492" i="81"/>
  <c r="B2491" i="81"/>
  <c r="B2490" i="81"/>
  <c r="B2489" i="81"/>
  <c r="B2488" i="81"/>
  <c r="B2487" i="81"/>
  <c r="B2486" i="81"/>
  <c r="B2485" i="81"/>
  <c r="B2481" i="81"/>
  <c r="B2480" i="81"/>
  <c r="B2479" i="81"/>
  <c r="B2478" i="81"/>
  <c r="B2477" i="81"/>
  <c r="B2476" i="81"/>
  <c r="B2475" i="81"/>
  <c r="B2474" i="81"/>
  <c r="B2473" i="81"/>
  <c r="B2472" i="81"/>
  <c r="B2467" i="81"/>
  <c r="B2466" i="81"/>
  <c r="B2465" i="81"/>
  <c r="B2464" i="81"/>
  <c r="B2463" i="81"/>
  <c r="B2462" i="81"/>
  <c r="B2461" i="81"/>
  <c r="B2460" i="81"/>
  <c r="B2459" i="81"/>
  <c r="B2458" i="81"/>
  <c r="B2383" i="81"/>
  <c r="B2382" i="81"/>
  <c r="B2381" i="81"/>
  <c r="B2377" i="81"/>
  <c r="B2376" i="81"/>
  <c r="B2375" i="81"/>
  <c r="B2374" i="81"/>
  <c r="B2373" i="81"/>
  <c r="B2372" i="81"/>
  <c r="B2371" i="81"/>
  <c r="B2370" i="81"/>
  <c r="B2369" i="81"/>
  <c r="B2368" i="81"/>
  <c r="B2363" i="81"/>
  <c r="B2362" i="81"/>
  <c r="B2361" i="81"/>
  <c r="B2360" i="81"/>
  <c r="B2359" i="81"/>
  <c r="B2358" i="81"/>
  <c r="B2357" i="81"/>
  <c r="B2356" i="81"/>
  <c r="B2355" i="81"/>
  <c r="B2354" i="81"/>
  <c r="B2331" i="81"/>
  <c r="B2330" i="81"/>
  <c r="B2329" i="81"/>
  <c r="B2325" i="81"/>
  <c r="B2324" i="81"/>
  <c r="B2323" i="81"/>
  <c r="B2322" i="81"/>
  <c r="B2321" i="81"/>
  <c r="B2320" i="81"/>
  <c r="B2319" i="81"/>
  <c r="B2318" i="81"/>
  <c r="B2317" i="81"/>
  <c r="B2316" i="81"/>
  <c r="B2311" i="81"/>
  <c r="B2310" i="81"/>
  <c r="B2309" i="81"/>
  <c r="B2308" i="81"/>
  <c r="B2307" i="81"/>
  <c r="B2306" i="81"/>
  <c r="B2305" i="81"/>
  <c r="B2304" i="81"/>
  <c r="B2303" i="81"/>
  <c r="B2302" i="81"/>
  <c r="A2248" i="81"/>
  <c r="O2248" i="81" s="1"/>
  <c r="N4064" i="81"/>
  <c r="M4064" i="81"/>
  <c r="H4064" i="81"/>
  <c r="F4064" i="81"/>
  <c r="E4064" i="81"/>
  <c r="D4064" i="81"/>
  <c r="N4063" i="81"/>
  <c r="M4063" i="81"/>
  <c r="H4063" i="81"/>
  <c r="L4063" i="81" s="1"/>
  <c r="F4063" i="81"/>
  <c r="E4063" i="81"/>
  <c r="D4063" i="81"/>
  <c r="N4062" i="81"/>
  <c r="M4062" i="81"/>
  <c r="H4062" i="81"/>
  <c r="F4062" i="81"/>
  <c r="E4062" i="81"/>
  <c r="D4062" i="81"/>
  <c r="N4061" i="81"/>
  <c r="M4061" i="81"/>
  <c r="H4061" i="81"/>
  <c r="L4061" i="81" s="1"/>
  <c r="F4061" i="81"/>
  <c r="E4061" i="81"/>
  <c r="D4061" i="81"/>
  <c r="N4060" i="81"/>
  <c r="M4060" i="81"/>
  <c r="H4060" i="81"/>
  <c r="K4060" i="81" s="1"/>
  <c r="F4060" i="81"/>
  <c r="E4060" i="81"/>
  <c r="D4060" i="81"/>
  <c r="N4059" i="81"/>
  <c r="M4059" i="81"/>
  <c r="H4059" i="81"/>
  <c r="J4059" i="81" s="1"/>
  <c r="F4059" i="81"/>
  <c r="E4059" i="81"/>
  <c r="D4059" i="81"/>
  <c r="N4058" i="81"/>
  <c r="M4058" i="81"/>
  <c r="H4058" i="81"/>
  <c r="L4058" i="81" s="1"/>
  <c r="F4058" i="81"/>
  <c r="E4058" i="81"/>
  <c r="D4058" i="81"/>
  <c r="N4057" i="81"/>
  <c r="M4057" i="81"/>
  <c r="H4057" i="81"/>
  <c r="K4057" i="81" s="1"/>
  <c r="F4057" i="81"/>
  <c r="E4057" i="81"/>
  <c r="D4057" i="81"/>
  <c r="N4056" i="81"/>
  <c r="M4056" i="81"/>
  <c r="H4056" i="81"/>
  <c r="J4056" i="81" s="1"/>
  <c r="F4056" i="81"/>
  <c r="E4056" i="81"/>
  <c r="D4056" i="81"/>
  <c r="N4055" i="81"/>
  <c r="M4055" i="81"/>
  <c r="H4055" i="81"/>
  <c r="I4055" i="81" s="1"/>
  <c r="F4055" i="81"/>
  <c r="E4055" i="81"/>
  <c r="D4055" i="81"/>
  <c r="N4054" i="81"/>
  <c r="M4054" i="81"/>
  <c r="H4054" i="81"/>
  <c r="L4054" i="81" s="1"/>
  <c r="F4054" i="81"/>
  <c r="E4054" i="81"/>
  <c r="D4054" i="81"/>
  <c r="N4053" i="81"/>
  <c r="M4053" i="81"/>
  <c r="H4053" i="81"/>
  <c r="F4053" i="81"/>
  <c r="E4053" i="81"/>
  <c r="D4053" i="81"/>
  <c r="N4052" i="81"/>
  <c r="M4052" i="81"/>
  <c r="H4052" i="81"/>
  <c r="F4052" i="81"/>
  <c r="E4052" i="81"/>
  <c r="D4052" i="81"/>
  <c r="N4051" i="81"/>
  <c r="M4051" i="81"/>
  <c r="H4051" i="81"/>
  <c r="L4051" i="81" s="1"/>
  <c r="F4051" i="81"/>
  <c r="E4051" i="81"/>
  <c r="D4051" i="81"/>
  <c r="N4050" i="81"/>
  <c r="M4050" i="81"/>
  <c r="H4050" i="81"/>
  <c r="F4050" i="81"/>
  <c r="E4050" i="81"/>
  <c r="D4050" i="81"/>
  <c r="N4049" i="81"/>
  <c r="M4049" i="81"/>
  <c r="H4049" i="81"/>
  <c r="L4049" i="81" s="1"/>
  <c r="F4049" i="81"/>
  <c r="E4049" i="81"/>
  <c r="D4049" i="81"/>
  <c r="N4048" i="81"/>
  <c r="M4048" i="81"/>
  <c r="H4048" i="81"/>
  <c r="K4048" i="81" s="1"/>
  <c r="F4048" i="81"/>
  <c r="E4048" i="81"/>
  <c r="D4048" i="81"/>
  <c r="M4047" i="81"/>
  <c r="H4047" i="81"/>
  <c r="J4047" i="81" s="1"/>
  <c r="E4047" i="81"/>
  <c r="F4047" i="81" s="1"/>
  <c r="D4047" i="81"/>
  <c r="M4046" i="81"/>
  <c r="H4046" i="81"/>
  <c r="E4046" i="81"/>
  <c r="F4046" i="81" s="1"/>
  <c r="D4046" i="81"/>
  <c r="M4045" i="81"/>
  <c r="H4045" i="81"/>
  <c r="E4045" i="81"/>
  <c r="F4045" i="81" s="1"/>
  <c r="D4045" i="81"/>
  <c r="N4041" i="81"/>
  <c r="M4041" i="81"/>
  <c r="H4041" i="81"/>
  <c r="K4041" i="81" s="1"/>
  <c r="F4041" i="81"/>
  <c r="E4041" i="81"/>
  <c r="D4041" i="81"/>
  <c r="N4040" i="81"/>
  <c r="M4040" i="81"/>
  <c r="H4040" i="81"/>
  <c r="J4040" i="81" s="1"/>
  <c r="F4040" i="81"/>
  <c r="E4040" i="81"/>
  <c r="D4040" i="81"/>
  <c r="N4039" i="81"/>
  <c r="M4039" i="81"/>
  <c r="H4039" i="81"/>
  <c r="L4039" i="81" s="1"/>
  <c r="F4039" i="81"/>
  <c r="E4039" i="81"/>
  <c r="D4039" i="81"/>
  <c r="N4038" i="81"/>
  <c r="M4038" i="81"/>
  <c r="H4038" i="81"/>
  <c r="L4038" i="81" s="1"/>
  <c r="F4038" i="81"/>
  <c r="E4038" i="81"/>
  <c r="D4038" i="81"/>
  <c r="N4037" i="81"/>
  <c r="M4037" i="81"/>
  <c r="H4037" i="81"/>
  <c r="J4037" i="81" s="1"/>
  <c r="F4037" i="81"/>
  <c r="N4036" i="81"/>
  <c r="M4036" i="81"/>
  <c r="H4036" i="81"/>
  <c r="F4036" i="81"/>
  <c r="N4035" i="81"/>
  <c r="M4035" i="81"/>
  <c r="H4035" i="81"/>
  <c r="K4035" i="81" s="1"/>
  <c r="F4035" i="81"/>
  <c r="N4034" i="81"/>
  <c r="M4034" i="81"/>
  <c r="H4034" i="81"/>
  <c r="J4034" i="81" s="1"/>
  <c r="F4034" i="81"/>
  <c r="H4033" i="81"/>
  <c r="D4033" i="81"/>
  <c r="E4033" i="81"/>
  <c r="F4033" i="81" s="1"/>
  <c r="M4032" i="81"/>
  <c r="H4032" i="81"/>
  <c r="E4032" i="81"/>
  <c r="D4032" i="81"/>
  <c r="F4032" i="81"/>
  <c r="N4027" i="81"/>
  <c r="M4027" i="81"/>
  <c r="H4027" i="81"/>
  <c r="L4027" i="81" s="1"/>
  <c r="F4027" i="81"/>
  <c r="E4027" i="81"/>
  <c r="D4027" i="81"/>
  <c r="N4026" i="81"/>
  <c r="M4026" i="81"/>
  <c r="H4026" i="81"/>
  <c r="L4026" i="81" s="1"/>
  <c r="F4026" i="81"/>
  <c r="E4026" i="81"/>
  <c r="D4026" i="81"/>
  <c r="N4025" i="81"/>
  <c r="M4025" i="81"/>
  <c r="H4025" i="81"/>
  <c r="J4025" i="81" s="1"/>
  <c r="F4025" i="81"/>
  <c r="E4025" i="81"/>
  <c r="D4025" i="81"/>
  <c r="N4024" i="81"/>
  <c r="M4024" i="81"/>
  <c r="H4024" i="81"/>
  <c r="L4024" i="81" s="1"/>
  <c r="F4024" i="81"/>
  <c r="E4024" i="81"/>
  <c r="D4024" i="81"/>
  <c r="N4023" i="81"/>
  <c r="M4023" i="81"/>
  <c r="H4023" i="81"/>
  <c r="I4023" i="81" s="1"/>
  <c r="N4022" i="81"/>
  <c r="M4022" i="81"/>
  <c r="H4022" i="81"/>
  <c r="K4022" i="81" s="1"/>
  <c r="N4021" i="81"/>
  <c r="M4021" i="81"/>
  <c r="H4021" i="81"/>
  <c r="L4021" i="81" s="1"/>
  <c r="N4020" i="81"/>
  <c r="M4020" i="81"/>
  <c r="H4020" i="81"/>
  <c r="L4020" i="81" s="1"/>
  <c r="M4019" i="81"/>
  <c r="M4018" i="81"/>
  <c r="D4018" i="81"/>
  <c r="N4012" i="81"/>
  <c r="M4012" i="81"/>
  <c r="H4012" i="81"/>
  <c r="L4012" i="81" s="1"/>
  <c r="F4012" i="81"/>
  <c r="E4012" i="81"/>
  <c r="D4012" i="81"/>
  <c r="N4011" i="81"/>
  <c r="M4011" i="81"/>
  <c r="H4011" i="81"/>
  <c r="L4011" i="81" s="1"/>
  <c r="F4011" i="81"/>
  <c r="E4011" i="81"/>
  <c r="D4011" i="81"/>
  <c r="N4010" i="81"/>
  <c r="M4010" i="81"/>
  <c r="H4010" i="81"/>
  <c r="J4010" i="81" s="1"/>
  <c r="F4010" i="81"/>
  <c r="E4010" i="81"/>
  <c r="D4010" i="81"/>
  <c r="N4009" i="81"/>
  <c r="M4009" i="81"/>
  <c r="H4009" i="81"/>
  <c r="L4009" i="81" s="1"/>
  <c r="F4009" i="81"/>
  <c r="E4009" i="81"/>
  <c r="D4009" i="81"/>
  <c r="N4008" i="81"/>
  <c r="M4008" i="81"/>
  <c r="H4008" i="81"/>
  <c r="L4008" i="81" s="1"/>
  <c r="F4008" i="81"/>
  <c r="E4008" i="81"/>
  <c r="D4008" i="81"/>
  <c r="N4007" i="81"/>
  <c r="M4007" i="81"/>
  <c r="H4007" i="81"/>
  <c r="J4007" i="81" s="1"/>
  <c r="F4007" i="81"/>
  <c r="E4007" i="81"/>
  <c r="D4007" i="81"/>
  <c r="N4006" i="81"/>
  <c r="M4006" i="81"/>
  <c r="H4006" i="81"/>
  <c r="I4006" i="81" s="1"/>
  <c r="F4006" i="81"/>
  <c r="E4006" i="81"/>
  <c r="D4006" i="81"/>
  <c r="N4005" i="81"/>
  <c r="M4005" i="81"/>
  <c r="H4005" i="81"/>
  <c r="K4005" i="81" s="1"/>
  <c r="F4005" i="81"/>
  <c r="E4005" i="81"/>
  <c r="D4005" i="81"/>
  <c r="N4004" i="81"/>
  <c r="M4004" i="81"/>
  <c r="H4004" i="81"/>
  <c r="F4004" i="81"/>
  <c r="E4004" i="81"/>
  <c r="D4004" i="81"/>
  <c r="N4003" i="81"/>
  <c r="M4003" i="81"/>
  <c r="H4003" i="81"/>
  <c r="F4003" i="81"/>
  <c r="E4003" i="81"/>
  <c r="D4003" i="81"/>
  <c r="N4002" i="81"/>
  <c r="M4002" i="81"/>
  <c r="H4002" i="81"/>
  <c r="L4002" i="81" s="1"/>
  <c r="F4002" i="81"/>
  <c r="E4002" i="81"/>
  <c r="D4002" i="81"/>
  <c r="N4001" i="81"/>
  <c r="M4001" i="81"/>
  <c r="H4001" i="81"/>
  <c r="F4001" i="81"/>
  <c r="E4001" i="81"/>
  <c r="D4001" i="81"/>
  <c r="N4000" i="81"/>
  <c r="M4000" i="81"/>
  <c r="H4000" i="81"/>
  <c r="L4000" i="81" s="1"/>
  <c r="F4000" i="81"/>
  <c r="E4000" i="81"/>
  <c r="D4000" i="81"/>
  <c r="N3999" i="81"/>
  <c r="M3999" i="81"/>
  <c r="H3999" i="81"/>
  <c r="K3999" i="81" s="1"/>
  <c r="F3999" i="81"/>
  <c r="E3999" i="81"/>
  <c r="D3999" i="81"/>
  <c r="N3998" i="81"/>
  <c r="M3998" i="81"/>
  <c r="H3998" i="81"/>
  <c r="J3998" i="81" s="1"/>
  <c r="F3998" i="81"/>
  <c r="E3998" i="81"/>
  <c r="D3998" i="81"/>
  <c r="N3997" i="81"/>
  <c r="M3997" i="81"/>
  <c r="H3997" i="81"/>
  <c r="L3997" i="81" s="1"/>
  <c r="F3997" i="81"/>
  <c r="E3997" i="81"/>
  <c r="D3997" i="81"/>
  <c r="N3996" i="81"/>
  <c r="M3996" i="81"/>
  <c r="H3996" i="81"/>
  <c r="J3996" i="81" s="1"/>
  <c r="F3996" i="81"/>
  <c r="E3996" i="81"/>
  <c r="D3996" i="81"/>
  <c r="M3995" i="81"/>
  <c r="H3995" i="81"/>
  <c r="J3995" i="81" s="1"/>
  <c r="E3995" i="81"/>
  <c r="F3995" i="81" s="1"/>
  <c r="D3995" i="81"/>
  <c r="M3994" i="81"/>
  <c r="H3994" i="81"/>
  <c r="E3994" i="81"/>
  <c r="F3994" i="81" s="1"/>
  <c r="D3994" i="81"/>
  <c r="M3993" i="81"/>
  <c r="H3993" i="81"/>
  <c r="E3993" i="81"/>
  <c r="F3993" i="81" s="1"/>
  <c r="D3993" i="81"/>
  <c r="N3989" i="81"/>
  <c r="M3989" i="81"/>
  <c r="H3989" i="81"/>
  <c r="K3989" i="81" s="1"/>
  <c r="F3989" i="81"/>
  <c r="E3989" i="81"/>
  <c r="D3989" i="81"/>
  <c r="N3988" i="81"/>
  <c r="M3988" i="81"/>
  <c r="H3988" i="81"/>
  <c r="J3988" i="81" s="1"/>
  <c r="F3988" i="81"/>
  <c r="E3988" i="81"/>
  <c r="D3988" i="81"/>
  <c r="N3987" i="81"/>
  <c r="M3987" i="81"/>
  <c r="H3987" i="81"/>
  <c r="I3987" i="81" s="1"/>
  <c r="F3987" i="81"/>
  <c r="E3987" i="81"/>
  <c r="D3987" i="81"/>
  <c r="N3986" i="81"/>
  <c r="M3986" i="81"/>
  <c r="H3986" i="81"/>
  <c r="L3986" i="81" s="1"/>
  <c r="F3986" i="81"/>
  <c r="E3986" i="81"/>
  <c r="D3986" i="81"/>
  <c r="N3985" i="81"/>
  <c r="M3985" i="81"/>
  <c r="H3985" i="81"/>
  <c r="F3985" i="81"/>
  <c r="E3985" i="81"/>
  <c r="D3985" i="81"/>
  <c r="N3984" i="81"/>
  <c r="M3984" i="81"/>
  <c r="H3984" i="81"/>
  <c r="F3984" i="81"/>
  <c r="E3984" i="81"/>
  <c r="D3984" i="81"/>
  <c r="N3983" i="81"/>
  <c r="M3983" i="81"/>
  <c r="H3983" i="81"/>
  <c r="L3983" i="81" s="1"/>
  <c r="F3983" i="81"/>
  <c r="N3982" i="81"/>
  <c r="M3982" i="81"/>
  <c r="H3982" i="81"/>
  <c r="J3982" i="81" s="1"/>
  <c r="F3982" i="81"/>
  <c r="N3981" i="81"/>
  <c r="M3981" i="81"/>
  <c r="H3981" i="81"/>
  <c r="I3981" i="81" s="1"/>
  <c r="F3981" i="81"/>
  <c r="M3980" i="81"/>
  <c r="E3980" i="81"/>
  <c r="F3980" i="81" s="1"/>
  <c r="D3980" i="81"/>
  <c r="N3975" i="81"/>
  <c r="M3975" i="81"/>
  <c r="H3975" i="81"/>
  <c r="L3975" i="81" s="1"/>
  <c r="N3974" i="81"/>
  <c r="M3974" i="81"/>
  <c r="H3974" i="81"/>
  <c r="K3974" i="81" s="1"/>
  <c r="N3973" i="81"/>
  <c r="M3973" i="81"/>
  <c r="H3973" i="81"/>
  <c r="J3973" i="81" s="1"/>
  <c r="N3972" i="81"/>
  <c r="M3972" i="81"/>
  <c r="H3972" i="81"/>
  <c r="I3972" i="81" s="1"/>
  <c r="N3971" i="81"/>
  <c r="M3971" i="81"/>
  <c r="H3971" i="81"/>
  <c r="L3971" i="81" s="1"/>
  <c r="N3970" i="81"/>
  <c r="M3970" i="81"/>
  <c r="H3970" i="81"/>
  <c r="N3969" i="81"/>
  <c r="M3969" i="81"/>
  <c r="H3969" i="81"/>
  <c r="L3969" i="81" s="1"/>
  <c r="N3968" i="81"/>
  <c r="M3968" i="81"/>
  <c r="H3968" i="81"/>
  <c r="J3968" i="81" s="1"/>
  <c r="M3967" i="81"/>
  <c r="M3966" i="81"/>
  <c r="N3960" i="81"/>
  <c r="M3960" i="81"/>
  <c r="H3960" i="81"/>
  <c r="J3960" i="81" s="1"/>
  <c r="F3960" i="81"/>
  <c r="E3960" i="81"/>
  <c r="D3960" i="81"/>
  <c r="N3959" i="81"/>
  <c r="M3959" i="81"/>
  <c r="H3959" i="81"/>
  <c r="L3959" i="81" s="1"/>
  <c r="F3959" i="81"/>
  <c r="E3959" i="81"/>
  <c r="D3959" i="81"/>
  <c r="N3958" i="81"/>
  <c r="M3958" i="81"/>
  <c r="H3958" i="81"/>
  <c r="K3958" i="81" s="1"/>
  <c r="F3958" i="81"/>
  <c r="E3958" i="81"/>
  <c r="D3958" i="81"/>
  <c r="N3957" i="81"/>
  <c r="M3957" i="81"/>
  <c r="H3957" i="81"/>
  <c r="J3957" i="81" s="1"/>
  <c r="F3957" i="81"/>
  <c r="E3957" i="81"/>
  <c r="D3957" i="81"/>
  <c r="N3956" i="81"/>
  <c r="M3956" i="81"/>
  <c r="H3956" i="81"/>
  <c r="I3956" i="81" s="1"/>
  <c r="F3956" i="81"/>
  <c r="E3956" i="81"/>
  <c r="D3956" i="81"/>
  <c r="N3955" i="81"/>
  <c r="M3955" i="81"/>
  <c r="H3955" i="81"/>
  <c r="K3955" i="81" s="1"/>
  <c r="F3955" i="81"/>
  <c r="E3955" i="81"/>
  <c r="D3955" i="81"/>
  <c r="N3954" i="81"/>
  <c r="M3954" i="81"/>
  <c r="H3954" i="81"/>
  <c r="F3954" i="81"/>
  <c r="E3954" i="81"/>
  <c r="D3954" i="81"/>
  <c r="N3953" i="81"/>
  <c r="M3953" i="81"/>
  <c r="H3953" i="81"/>
  <c r="J3953" i="81" s="1"/>
  <c r="F3953" i="81"/>
  <c r="E3953" i="81"/>
  <c r="D3953" i="81"/>
  <c r="N3952" i="81"/>
  <c r="M3952" i="81"/>
  <c r="H3952" i="81"/>
  <c r="L3952" i="81" s="1"/>
  <c r="F3952" i="81"/>
  <c r="E3952" i="81"/>
  <c r="D3952" i="81"/>
  <c r="N3951" i="81"/>
  <c r="M3951" i="81"/>
  <c r="H3951" i="81"/>
  <c r="F3951" i="81"/>
  <c r="E3951" i="81"/>
  <c r="D3951" i="81"/>
  <c r="N3950" i="81"/>
  <c r="M3950" i="81"/>
  <c r="H3950" i="81"/>
  <c r="L3950" i="81" s="1"/>
  <c r="F3950" i="81"/>
  <c r="E3950" i="81"/>
  <c r="D3950" i="81"/>
  <c r="N3949" i="81"/>
  <c r="M3949" i="81"/>
  <c r="H3949" i="81"/>
  <c r="K3949" i="81" s="1"/>
  <c r="F3949" i="81"/>
  <c r="E3949" i="81"/>
  <c r="D3949" i="81"/>
  <c r="N3948" i="81"/>
  <c r="M3948" i="81"/>
  <c r="H3948" i="81"/>
  <c r="J3948" i="81" s="1"/>
  <c r="F3948" i="81"/>
  <c r="E3948" i="81"/>
  <c r="D3948" i="81"/>
  <c r="N3947" i="81"/>
  <c r="M3947" i="81"/>
  <c r="H3947" i="81"/>
  <c r="L3947" i="81" s="1"/>
  <c r="F3947" i="81"/>
  <c r="E3947" i="81"/>
  <c r="D3947" i="81"/>
  <c r="N3946" i="81"/>
  <c r="M3946" i="81"/>
  <c r="H3946" i="81"/>
  <c r="K3946" i="81" s="1"/>
  <c r="F3946" i="81"/>
  <c r="E3946" i="81"/>
  <c r="D3946" i="81"/>
  <c r="M3945" i="81"/>
  <c r="H3945" i="81"/>
  <c r="J3945" i="81" s="1"/>
  <c r="E3945" i="81"/>
  <c r="F3945" i="81" s="1"/>
  <c r="D3945" i="81"/>
  <c r="M3944" i="81"/>
  <c r="H3944" i="81"/>
  <c r="E3944" i="81"/>
  <c r="F3944" i="81" s="1"/>
  <c r="D3944" i="81"/>
  <c r="M3943" i="81"/>
  <c r="H3943" i="81"/>
  <c r="E3943" i="81"/>
  <c r="F3943" i="81" s="1"/>
  <c r="D3943" i="81"/>
  <c r="M3942" i="81"/>
  <c r="H3942" i="81"/>
  <c r="E3942" i="81"/>
  <c r="F3942" i="81" s="1"/>
  <c r="D3942" i="81"/>
  <c r="M3941" i="81"/>
  <c r="H3941" i="81"/>
  <c r="E3941" i="81"/>
  <c r="F3941" i="81" s="1"/>
  <c r="D3941" i="81"/>
  <c r="N3937" i="81"/>
  <c r="M3937" i="81"/>
  <c r="H3937" i="81"/>
  <c r="I3937" i="81" s="1"/>
  <c r="F3937" i="81"/>
  <c r="E3937" i="81"/>
  <c r="D3937" i="81"/>
  <c r="N3936" i="81"/>
  <c r="M3936" i="81"/>
  <c r="H3936" i="81"/>
  <c r="I3936" i="81" s="1"/>
  <c r="F3936" i="81"/>
  <c r="E3936" i="81"/>
  <c r="D3936" i="81"/>
  <c r="N3935" i="81"/>
  <c r="M3935" i="81"/>
  <c r="H3935" i="81"/>
  <c r="I3935" i="81" s="1"/>
  <c r="F3935" i="81"/>
  <c r="E3935" i="81"/>
  <c r="D3935" i="81"/>
  <c r="N3934" i="81"/>
  <c r="M3934" i="81"/>
  <c r="H3934" i="81"/>
  <c r="F3934" i="81"/>
  <c r="E3934" i="81"/>
  <c r="D3934" i="81"/>
  <c r="N3933" i="81"/>
  <c r="M3933" i="81"/>
  <c r="H3933" i="81"/>
  <c r="L3933" i="81" s="1"/>
  <c r="F3933" i="81"/>
  <c r="N3932" i="81"/>
  <c r="M3932" i="81"/>
  <c r="H3932" i="81"/>
  <c r="L3932" i="81" s="1"/>
  <c r="F3932" i="81"/>
  <c r="N3931" i="81"/>
  <c r="M3931" i="81"/>
  <c r="H3931" i="81"/>
  <c r="I3931" i="81" s="1"/>
  <c r="F3931" i="81"/>
  <c r="N3930" i="81"/>
  <c r="M3930" i="81"/>
  <c r="H3930" i="81"/>
  <c r="L3930" i="81" s="1"/>
  <c r="F3930" i="81"/>
  <c r="M3928" i="81"/>
  <c r="H3928" i="81"/>
  <c r="J3928" i="81" s="1"/>
  <c r="E3928" i="81"/>
  <c r="D3928" i="81"/>
  <c r="N3928" i="81"/>
  <c r="N3923" i="81"/>
  <c r="M3923" i="81"/>
  <c r="H3923" i="81"/>
  <c r="J3923" i="81" s="1"/>
  <c r="F3923" i="81"/>
  <c r="E3923" i="81"/>
  <c r="D3923" i="81"/>
  <c r="N3922" i="81"/>
  <c r="M3922" i="81"/>
  <c r="H3922" i="81"/>
  <c r="I3922" i="81" s="1"/>
  <c r="F3922" i="81"/>
  <c r="E3922" i="81"/>
  <c r="D3922" i="81"/>
  <c r="N3921" i="81"/>
  <c r="M3921" i="81"/>
  <c r="H3921" i="81"/>
  <c r="K3921" i="81" s="1"/>
  <c r="F3921" i="81"/>
  <c r="E3921" i="81"/>
  <c r="D3921" i="81"/>
  <c r="N3920" i="81"/>
  <c r="M3920" i="81"/>
  <c r="H3920" i="81"/>
  <c r="F3920" i="81"/>
  <c r="E3920" i="81"/>
  <c r="D3920" i="81"/>
  <c r="N3919" i="81"/>
  <c r="M3919" i="81"/>
  <c r="H3919" i="81"/>
  <c r="J3919" i="81" s="1"/>
  <c r="F3919" i="81"/>
  <c r="N3918" i="81"/>
  <c r="M3918" i="81"/>
  <c r="H3918" i="81"/>
  <c r="K3918" i="81" s="1"/>
  <c r="F3918" i="81"/>
  <c r="N3917" i="81"/>
  <c r="M3917" i="81"/>
  <c r="H3917" i="81"/>
  <c r="J3917" i="81" s="1"/>
  <c r="F3917" i="81"/>
  <c r="H3916" i="81"/>
  <c r="J3916" i="81" s="1"/>
  <c r="F3916" i="81"/>
  <c r="D3916" i="81"/>
  <c r="E3916" i="81"/>
  <c r="D3915" i="81"/>
  <c r="D3914" i="81"/>
  <c r="N3908" i="81"/>
  <c r="M3908" i="81"/>
  <c r="H3908" i="81"/>
  <c r="F3908" i="81"/>
  <c r="E3908" i="81"/>
  <c r="D3908" i="81"/>
  <c r="N3907" i="81"/>
  <c r="M3907" i="81"/>
  <c r="H3907" i="81"/>
  <c r="L3907" i="81" s="1"/>
  <c r="F3907" i="81"/>
  <c r="E3907" i="81"/>
  <c r="D3907" i="81"/>
  <c r="N3906" i="81"/>
  <c r="M3906" i="81"/>
  <c r="H3906" i="81"/>
  <c r="L3906" i="81" s="1"/>
  <c r="F3906" i="81"/>
  <c r="E3906" i="81"/>
  <c r="D3906" i="81"/>
  <c r="N3905" i="81"/>
  <c r="M3905" i="81"/>
  <c r="H3905" i="81"/>
  <c r="L3905" i="81" s="1"/>
  <c r="F3905" i="81"/>
  <c r="E3905" i="81"/>
  <c r="D3905" i="81"/>
  <c r="N3904" i="81"/>
  <c r="M3904" i="81"/>
  <c r="H3904" i="81"/>
  <c r="K3904" i="81" s="1"/>
  <c r="F3904" i="81"/>
  <c r="E3904" i="81"/>
  <c r="D3904" i="81"/>
  <c r="N3903" i="81"/>
  <c r="M3903" i="81"/>
  <c r="H3903" i="81"/>
  <c r="L3903" i="81" s="1"/>
  <c r="F3903" i="81"/>
  <c r="E3903" i="81"/>
  <c r="D3903" i="81"/>
  <c r="N3902" i="81"/>
  <c r="M3902" i="81"/>
  <c r="H3902" i="81"/>
  <c r="K3902" i="81" s="1"/>
  <c r="F3902" i="81"/>
  <c r="E3902" i="81"/>
  <c r="D3902" i="81"/>
  <c r="N3901" i="81"/>
  <c r="M3901" i="81"/>
  <c r="H3901" i="81"/>
  <c r="K3901" i="81" s="1"/>
  <c r="F3901" i="81"/>
  <c r="E3901" i="81"/>
  <c r="D3901" i="81"/>
  <c r="N3900" i="81"/>
  <c r="M3900" i="81"/>
  <c r="H3900" i="81"/>
  <c r="J3900" i="81" s="1"/>
  <c r="F3900" i="81"/>
  <c r="E3900" i="81"/>
  <c r="D3900" i="81"/>
  <c r="N3899" i="81"/>
  <c r="M3899" i="81"/>
  <c r="H3899" i="81"/>
  <c r="J3899" i="81" s="1"/>
  <c r="F3899" i="81"/>
  <c r="E3899" i="81"/>
  <c r="D3899" i="81"/>
  <c r="N3898" i="81"/>
  <c r="M3898" i="81"/>
  <c r="H3898" i="81"/>
  <c r="I3898" i="81" s="1"/>
  <c r="F3898" i="81"/>
  <c r="E3898" i="81"/>
  <c r="D3898" i="81"/>
  <c r="N3897" i="81"/>
  <c r="M3897" i="81"/>
  <c r="H3897" i="81"/>
  <c r="F3897" i="81"/>
  <c r="E3897" i="81"/>
  <c r="D3897" i="81"/>
  <c r="M3896" i="81"/>
  <c r="H3896" i="81"/>
  <c r="J3896" i="81" s="1"/>
  <c r="E3896" i="81"/>
  <c r="F3896" i="81" s="1"/>
  <c r="D3896" i="81"/>
  <c r="M3895" i="81"/>
  <c r="H3895" i="81"/>
  <c r="E3895" i="81"/>
  <c r="F3895" i="81" s="1"/>
  <c r="D3895" i="81"/>
  <c r="M3894" i="81"/>
  <c r="H3894" i="81"/>
  <c r="E3894" i="81"/>
  <c r="F3894" i="81" s="1"/>
  <c r="D3894" i="81"/>
  <c r="M3893" i="81"/>
  <c r="H3893" i="81"/>
  <c r="E3893" i="81"/>
  <c r="F3893" i="81" s="1"/>
  <c r="D3893" i="81"/>
  <c r="M3892" i="81"/>
  <c r="H3892" i="81"/>
  <c r="E3892" i="81"/>
  <c r="F3892" i="81" s="1"/>
  <c r="D3892" i="81"/>
  <c r="M3891" i="81"/>
  <c r="H3891" i="81"/>
  <c r="E3891" i="81"/>
  <c r="F3891" i="81" s="1"/>
  <c r="D3891" i="81"/>
  <c r="M3890" i="81"/>
  <c r="H3890" i="81"/>
  <c r="E3890" i="81"/>
  <c r="F3890" i="81" s="1"/>
  <c r="D3890" i="81"/>
  <c r="M3889" i="81"/>
  <c r="H3889" i="81"/>
  <c r="E3889" i="81"/>
  <c r="F3889" i="81" s="1"/>
  <c r="D3889" i="81"/>
  <c r="N3885" i="81"/>
  <c r="M3885" i="81"/>
  <c r="H3885" i="81"/>
  <c r="K3885" i="81" s="1"/>
  <c r="F3885" i="81"/>
  <c r="E3885" i="81"/>
  <c r="D3885" i="81"/>
  <c r="N3884" i="81"/>
  <c r="M3884" i="81"/>
  <c r="H3884" i="81"/>
  <c r="J3884" i="81" s="1"/>
  <c r="F3884" i="81"/>
  <c r="E3884" i="81"/>
  <c r="D3884" i="81"/>
  <c r="N3883" i="81"/>
  <c r="M3883" i="81"/>
  <c r="H3883" i="81"/>
  <c r="K3883" i="81" s="1"/>
  <c r="F3883" i="81"/>
  <c r="E3883" i="81"/>
  <c r="D3883" i="81"/>
  <c r="N3882" i="81"/>
  <c r="M3882" i="81"/>
  <c r="H3882" i="81"/>
  <c r="L3882" i="81" s="1"/>
  <c r="F3882" i="81"/>
  <c r="E3882" i="81"/>
  <c r="D3882" i="81"/>
  <c r="N3881" i="81"/>
  <c r="M3881" i="81"/>
  <c r="H3881" i="81"/>
  <c r="J3881" i="81" s="1"/>
  <c r="F3881" i="81"/>
  <c r="E3881" i="81"/>
  <c r="D3881" i="81"/>
  <c r="N3880" i="81"/>
  <c r="M3880" i="81"/>
  <c r="H3880" i="81"/>
  <c r="K3880" i="81" s="1"/>
  <c r="F3880" i="81"/>
  <c r="E3880" i="81"/>
  <c r="D3880" i="81"/>
  <c r="M3879" i="81"/>
  <c r="H3879" i="81"/>
  <c r="E3879" i="81"/>
  <c r="F3879" i="81" s="1"/>
  <c r="D3879" i="81"/>
  <c r="M3878" i="81"/>
  <c r="H3878" i="81"/>
  <c r="E3878" i="81"/>
  <c r="F3878" i="81" s="1"/>
  <c r="D3878" i="81"/>
  <c r="M3877" i="81"/>
  <c r="H3877" i="81"/>
  <c r="E3877" i="81"/>
  <c r="F3877" i="81" s="1"/>
  <c r="D3877" i="81"/>
  <c r="M3876" i="81"/>
  <c r="H3876" i="81"/>
  <c r="E3876" i="81"/>
  <c r="F3876" i="81" s="1"/>
  <c r="D3876" i="81"/>
  <c r="N3871" i="81"/>
  <c r="M3871" i="81"/>
  <c r="H3871" i="81"/>
  <c r="K3871" i="81" s="1"/>
  <c r="F3871" i="81"/>
  <c r="E3871" i="81"/>
  <c r="D3871" i="81"/>
  <c r="N3870" i="81"/>
  <c r="M3870" i="81"/>
  <c r="H3870" i="81"/>
  <c r="J3870" i="81" s="1"/>
  <c r="F3870" i="81"/>
  <c r="E3870" i="81"/>
  <c r="D3870" i="81"/>
  <c r="N3869" i="81"/>
  <c r="M3869" i="81"/>
  <c r="H3869" i="81"/>
  <c r="F3869" i="81"/>
  <c r="E3869" i="81"/>
  <c r="D3869" i="81"/>
  <c r="N3868" i="81"/>
  <c r="M3868" i="81"/>
  <c r="H3868" i="81"/>
  <c r="K3868" i="81" s="1"/>
  <c r="F3868" i="81"/>
  <c r="E3868" i="81"/>
  <c r="D3868" i="81"/>
  <c r="M3867" i="81"/>
  <c r="D3867" i="81"/>
  <c r="M3866" i="81"/>
  <c r="D3866" i="81"/>
  <c r="M3865" i="81"/>
  <c r="D3865" i="81"/>
  <c r="M3864" i="81"/>
  <c r="D3864" i="81"/>
  <c r="M3863" i="81"/>
  <c r="D3863" i="81"/>
  <c r="M3862" i="81"/>
  <c r="D3862" i="81"/>
  <c r="N3856" i="81"/>
  <c r="M3856" i="81"/>
  <c r="H3856" i="81"/>
  <c r="F3856" i="81"/>
  <c r="E3856" i="81"/>
  <c r="D3856" i="81"/>
  <c r="N3855" i="81"/>
  <c r="M3855" i="81"/>
  <c r="H3855" i="81"/>
  <c r="K3855" i="81" s="1"/>
  <c r="F3855" i="81"/>
  <c r="E3855" i="81"/>
  <c r="D3855" i="81"/>
  <c r="N3854" i="81"/>
  <c r="M3854" i="81"/>
  <c r="H3854" i="81"/>
  <c r="J3854" i="81" s="1"/>
  <c r="F3854" i="81"/>
  <c r="E3854" i="81"/>
  <c r="D3854" i="81"/>
  <c r="N3853" i="81"/>
  <c r="M3853" i="81"/>
  <c r="H3853" i="81"/>
  <c r="F3853" i="81"/>
  <c r="E3853" i="81"/>
  <c r="D3853" i="81"/>
  <c r="N3852" i="81"/>
  <c r="M3852" i="81"/>
  <c r="H3852" i="81"/>
  <c r="K3852" i="81" s="1"/>
  <c r="F3852" i="81"/>
  <c r="E3852" i="81"/>
  <c r="D3852" i="81"/>
  <c r="N3851" i="81"/>
  <c r="M3851" i="81"/>
  <c r="H3851" i="81"/>
  <c r="J3851" i="81" s="1"/>
  <c r="F3851" i="81"/>
  <c r="E3851" i="81"/>
  <c r="D3851" i="81"/>
  <c r="N3850" i="81"/>
  <c r="M3850" i="81"/>
  <c r="H3850" i="81"/>
  <c r="K3850" i="81" s="1"/>
  <c r="F3850" i="81"/>
  <c r="E3850" i="81"/>
  <c r="D3850" i="81"/>
  <c r="N3849" i="81"/>
  <c r="M3849" i="81"/>
  <c r="H3849" i="81"/>
  <c r="L3849" i="81" s="1"/>
  <c r="F3849" i="81"/>
  <c r="E3849" i="81"/>
  <c r="D3849" i="81"/>
  <c r="N3848" i="81"/>
  <c r="M3848" i="81"/>
  <c r="H3848" i="81"/>
  <c r="J3848" i="81" s="1"/>
  <c r="F3848" i="81"/>
  <c r="E3848" i="81"/>
  <c r="D3848" i="81"/>
  <c r="N3847" i="81"/>
  <c r="M3847" i="81"/>
  <c r="H3847" i="81"/>
  <c r="I3847" i="81" s="1"/>
  <c r="F3847" i="81"/>
  <c r="E3847" i="81"/>
  <c r="D3847" i="81"/>
  <c r="N3846" i="81"/>
  <c r="M3846" i="81"/>
  <c r="H3846" i="81"/>
  <c r="L3846" i="81" s="1"/>
  <c r="F3846" i="81"/>
  <c r="E3846" i="81"/>
  <c r="D3846" i="81"/>
  <c r="N3845" i="81"/>
  <c r="M3845" i="81"/>
  <c r="H3845" i="81"/>
  <c r="K3845" i="81" s="1"/>
  <c r="F3845" i="81"/>
  <c r="E3845" i="81"/>
  <c r="D3845" i="81"/>
  <c r="N3844" i="81"/>
  <c r="M3844" i="81"/>
  <c r="H3844" i="81"/>
  <c r="K3844" i="81" s="1"/>
  <c r="F3844" i="81"/>
  <c r="E3844" i="81"/>
  <c r="D3844" i="81"/>
  <c r="N3843" i="81"/>
  <c r="M3843" i="81"/>
  <c r="H3843" i="81"/>
  <c r="J3843" i="81" s="1"/>
  <c r="F3843" i="81"/>
  <c r="E3843" i="81"/>
  <c r="D3843" i="81"/>
  <c r="M3842" i="81"/>
  <c r="N3842" i="81" s="1"/>
  <c r="H3842" i="81"/>
  <c r="J3842" i="81" s="1"/>
  <c r="E3842" i="81"/>
  <c r="F3842" i="81" s="1"/>
  <c r="D3842" i="81"/>
  <c r="M3841" i="81"/>
  <c r="N3841" i="81" s="1"/>
  <c r="H3841" i="81"/>
  <c r="F3841" i="81"/>
  <c r="E3841" i="81"/>
  <c r="D3841" i="81"/>
  <c r="M3840" i="81"/>
  <c r="N3840" i="81" s="1"/>
  <c r="H3840" i="81"/>
  <c r="E3840" i="81"/>
  <c r="F3840" i="81" s="1"/>
  <c r="D3840" i="81"/>
  <c r="M3839" i="81"/>
  <c r="N3839" i="81" s="1"/>
  <c r="H3839" i="81"/>
  <c r="E3839" i="81"/>
  <c r="F3839" i="81" s="1"/>
  <c r="D3839" i="81"/>
  <c r="M3838" i="81"/>
  <c r="N3838" i="81" s="1"/>
  <c r="H3838" i="81"/>
  <c r="E3838" i="81"/>
  <c r="F3838" i="81" s="1"/>
  <c r="D3838" i="81"/>
  <c r="M3837" i="81"/>
  <c r="N3837" i="81" s="1"/>
  <c r="H3837" i="81"/>
  <c r="J3837" i="81" s="1"/>
  <c r="E3837" i="81"/>
  <c r="F3837" i="81" s="1"/>
  <c r="D3837" i="81"/>
  <c r="N3833" i="81"/>
  <c r="M3833" i="81"/>
  <c r="H3833" i="81"/>
  <c r="I3833" i="81" s="1"/>
  <c r="F3833" i="81"/>
  <c r="E3833" i="81"/>
  <c r="D3833" i="81"/>
  <c r="N3832" i="81"/>
  <c r="M3832" i="81"/>
  <c r="H3832" i="81"/>
  <c r="K3832" i="81" s="1"/>
  <c r="F3832" i="81"/>
  <c r="E3832" i="81"/>
  <c r="D3832" i="81"/>
  <c r="N3831" i="81"/>
  <c r="M3831" i="81"/>
  <c r="H3831" i="81"/>
  <c r="L3831" i="81" s="1"/>
  <c r="F3831" i="81"/>
  <c r="E3831" i="81"/>
  <c r="D3831" i="81"/>
  <c r="N3830" i="81"/>
  <c r="M3830" i="81"/>
  <c r="H3830" i="81"/>
  <c r="L3830" i="81" s="1"/>
  <c r="F3830" i="81"/>
  <c r="E3830" i="81"/>
  <c r="D3830" i="81"/>
  <c r="N3829" i="81"/>
  <c r="M3829" i="81"/>
  <c r="H3829" i="81"/>
  <c r="K3829" i="81" s="1"/>
  <c r="F3829" i="81"/>
  <c r="E3829" i="81"/>
  <c r="D3829" i="81"/>
  <c r="N3828" i="81"/>
  <c r="M3828" i="81"/>
  <c r="H3828" i="81"/>
  <c r="J3828" i="81" s="1"/>
  <c r="F3828" i="81"/>
  <c r="E3828" i="81"/>
  <c r="D3828" i="81"/>
  <c r="N3827" i="81"/>
  <c r="M3827" i="81"/>
  <c r="H3827" i="81"/>
  <c r="I3827" i="81" s="1"/>
  <c r="F3827" i="81"/>
  <c r="E3827" i="81"/>
  <c r="D3827" i="81"/>
  <c r="N3826" i="81"/>
  <c r="M3826" i="81"/>
  <c r="H3826" i="81"/>
  <c r="L3826" i="81" s="1"/>
  <c r="F3826" i="81"/>
  <c r="E3826" i="81"/>
  <c r="D3826" i="81"/>
  <c r="M3825" i="81"/>
  <c r="N3825" i="81" s="1"/>
  <c r="H3825" i="81"/>
  <c r="E3825" i="81"/>
  <c r="F3825" i="81" s="1"/>
  <c r="D3825" i="81"/>
  <c r="M3824" i="81"/>
  <c r="N3824" i="81" s="1"/>
  <c r="H3824" i="81"/>
  <c r="E3824" i="81"/>
  <c r="F3824" i="81" s="1"/>
  <c r="D3824" i="81"/>
  <c r="N3819" i="81"/>
  <c r="M3819" i="81"/>
  <c r="H3819" i="81"/>
  <c r="L3819" i="81" s="1"/>
  <c r="F3819" i="81"/>
  <c r="E3819" i="81"/>
  <c r="D3819" i="81"/>
  <c r="N3818" i="81"/>
  <c r="M3818" i="81"/>
  <c r="H3818" i="81"/>
  <c r="K3818" i="81" s="1"/>
  <c r="F3818" i="81"/>
  <c r="E3818" i="81"/>
  <c r="D3818" i="81"/>
  <c r="N3817" i="81"/>
  <c r="M3817" i="81"/>
  <c r="H3817" i="81"/>
  <c r="J3817" i="81" s="1"/>
  <c r="F3817" i="81"/>
  <c r="E3817" i="81"/>
  <c r="D3817" i="81"/>
  <c r="N3816" i="81"/>
  <c r="M3816" i="81"/>
  <c r="H3816" i="81"/>
  <c r="I3816" i="81" s="1"/>
  <c r="F3816" i="81"/>
  <c r="E3816" i="81"/>
  <c r="D3816" i="81"/>
  <c r="N3815" i="81"/>
  <c r="M3815" i="81"/>
  <c r="H3815" i="81"/>
  <c r="L3815" i="81" s="1"/>
  <c r="F3815" i="81"/>
  <c r="E3815" i="81"/>
  <c r="D3815" i="81"/>
  <c r="N3814" i="81"/>
  <c r="M3814" i="81"/>
  <c r="H3814" i="81"/>
  <c r="K3814" i="81" s="1"/>
  <c r="F3814" i="81"/>
  <c r="E3814" i="81"/>
  <c r="D3814" i="81"/>
  <c r="N3813" i="81"/>
  <c r="M3813" i="81"/>
  <c r="H3813" i="81"/>
  <c r="K3813" i="81" s="1"/>
  <c r="F3813" i="81"/>
  <c r="E3813" i="81"/>
  <c r="D3813" i="81"/>
  <c r="M3812" i="81"/>
  <c r="N3812" i="81" s="1"/>
  <c r="D3812" i="81"/>
  <c r="M3811" i="81"/>
  <c r="N3811" i="81" s="1"/>
  <c r="D3811" i="81"/>
  <c r="M3810" i="81"/>
  <c r="N3810" i="81" s="1"/>
  <c r="D3810" i="81"/>
  <c r="N3804" i="81"/>
  <c r="M3804" i="81"/>
  <c r="H3804" i="81"/>
  <c r="L3804" i="81" s="1"/>
  <c r="F3804" i="81"/>
  <c r="E3804" i="81"/>
  <c r="D3804" i="81"/>
  <c r="N3803" i="81"/>
  <c r="M3803" i="81"/>
  <c r="H3803" i="81"/>
  <c r="L3803" i="81" s="1"/>
  <c r="F3803" i="81"/>
  <c r="E3803" i="81"/>
  <c r="D3803" i="81"/>
  <c r="N3802" i="81"/>
  <c r="M3802" i="81"/>
  <c r="H3802" i="81"/>
  <c r="L3802" i="81" s="1"/>
  <c r="F3802" i="81"/>
  <c r="E3802" i="81"/>
  <c r="D3802" i="81"/>
  <c r="N3801" i="81"/>
  <c r="M3801" i="81"/>
  <c r="H3801" i="81"/>
  <c r="L3801" i="81" s="1"/>
  <c r="F3801" i="81"/>
  <c r="E3801" i="81"/>
  <c r="D3801" i="81"/>
  <c r="N3800" i="81"/>
  <c r="M3800" i="81"/>
  <c r="H3800" i="81"/>
  <c r="K3800" i="81" s="1"/>
  <c r="F3800" i="81"/>
  <c r="E3800" i="81"/>
  <c r="D3800" i="81"/>
  <c r="N3799" i="81"/>
  <c r="M3799" i="81"/>
  <c r="H3799" i="81"/>
  <c r="L3799" i="81" s="1"/>
  <c r="F3799" i="81"/>
  <c r="E3799" i="81"/>
  <c r="D3799" i="81"/>
  <c r="N3798" i="81"/>
  <c r="M3798" i="81"/>
  <c r="H3798" i="81"/>
  <c r="L3798" i="81" s="1"/>
  <c r="F3798" i="81"/>
  <c r="E3798" i="81"/>
  <c r="D3798" i="81"/>
  <c r="N3797" i="81"/>
  <c r="M3797" i="81"/>
  <c r="H3797" i="81"/>
  <c r="K3797" i="81" s="1"/>
  <c r="F3797" i="81"/>
  <c r="E3797" i="81"/>
  <c r="D3797" i="81"/>
  <c r="N3796" i="81"/>
  <c r="M3796" i="81"/>
  <c r="H3796" i="81"/>
  <c r="I3796" i="81" s="1"/>
  <c r="F3796" i="81"/>
  <c r="E3796" i="81"/>
  <c r="D3796" i="81"/>
  <c r="N3795" i="81"/>
  <c r="M3795" i="81"/>
  <c r="H3795" i="81"/>
  <c r="F3795" i="81"/>
  <c r="E3795" i="81"/>
  <c r="D3795" i="81"/>
  <c r="N3794" i="81"/>
  <c r="M3794" i="81"/>
  <c r="H3794" i="81"/>
  <c r="L3794" i="81" s="1"/>
  <c r="F3794" i="81"/>
  <c r="E3794" i="81"/>
  <c r="D3794" i="81"/>
  <c r="N3793" i="81"/>
  <c r="M3793" i="81"/>
  <c r="H3793" i="81"/>
  <c r="L3793" i="81" s="1"/>
  <c r="F3793" i="81"/>
  <c r="E3793" i="81"/>
  <c r="D3793" i="81"/>
  <c r="N3792" i="81"/>
  <c r="M3792" i="81"/>
  <c r="H3792" i="81"/>
  <c r="K3792" i="81" s="1"/>
  <c r="F3792" i="81"/>
  <c r="E3792" i="81"/>
  <c r="D3792" i="81"/>
  <c r="N3791" i="81"/>
  <c r="M3791" i="81"/>
  <c r="H3791" i="81"/>
  <c r="L3791" i="81" s="1"/>
  <c r="F3791" i="81"/>
  <c r="E3791" i="81"/>
  <c r="D3791" i="81"/>
  <c r="M3790" i="81"/>
  <c r="H3790" i="81"/>
  <c r="E3790" i="81"/>
  <c r="F3790" i="81" s="1"/>
  <c r="D3790" i="81"/>
  <c r="M3789" i="81"/>
  <c r="H3789" i="81"/>
  <c r="J3789" i="81" s="1"/>
  <c r="E3789" i="81"/>
  <c r="F3789" i="81" s="1"/>
  <c r="D3789" i="81"/>
  <c r="M3788" i="81"/>
  <c r="H3788" i="81"/>
  <c r="E3788" i="81"/>
  <c r="F3788" i="81" s="1"/>
  <c r="D3788" i="81"/>
  <c r="M3787" i="81"/>
  <c r="H3787" i="81"/>
  <c r="E3787" i="81"/>
  <c r="F3787" i="81" s="1"/>
  <c r="D3787" i="81"/>
  <c r="M3786" i="81"/>
  <c r="H3786" i="81"/>
  <c r="J3786" i="81" s="1"/>
  <c r="E3786" i="81"/>
  <c r="F3786" i="81" s="1"/>
  <c r="D3786" i="81"/>
  <c r="M3785" i="81"/>
  <c r="H3785" i="81"/>
  <c r="E3785" i="81"/>
  <c r="F3785" i="81" s="1"/>
  <c r="D3785" i="81"/>
  <c r="N3781" i="81"/>
  <c r="M3781" i="81"/>
  <c r="H3781" i="81"/>
  <c r="L3781" i="81" s="1"/>
  <c r="F3781" i="81"/>
  <c r="E3781" i="81"/>
  <c r="D3781" i="81"/>
  <c r="N3780" i="81"/>
  <c r="M3780" i="81"/>
  <c r="H3780" i="81"/>
  <c r="K3780" i="81" s="1"/>
  <c r="F3780" i="81"/>
  <c r="D3780" i="81"/>
  <c r="N3779" i="81"/>
  <c r="M3779" i="81"/>
  <c r="H3779" i="81"/>
  <c r="I3779" i="81" s="1"/>
  <c r="F3779" i="81"/>
  <c r="D3779" i="81"/>
  <c r="N3778" i="81"/>
  <c r="M3778" i="81"/>
  <c r="H3778" i="81"/>
  <c r="F3778" i="81"/>
  <c r="E3778" i="81"/>
  <c r="D3778" i="81"/>
  <c r="N3777" i="81"/>
  <c r="M3777" i="81"/>
  <c r="H3777" i="81"/>
  <c r="L3777" i="81" s="1"/>
  <c r="F3777" i="81"/>
  <c r="E3777" i="81"/>
  <c r="D3777" i="81"/>
  <c r="N3776" i="81"/>
  <c r="M3776" i="81"/>
  <c r="H3776" i="81"/>
  <c r="L3776" i="81" s="1"/>
  <c r="F3776" i="81"/>
  <c r="E3776" i="81"/>
  <c r="D3776" i="81"/>
  <c r="N3775" i="81"/>
  <c r="M3775" i="81"/>
  <c r="H3775" i="81"/>
  <c r="K3775" i="81" s="1"/>
  <c r="F3775" i="81"/>
  <c r="E3775" i="81"/>
  <c r="D3775" i="81"/>
  <c r="D3774" i="81"/>
  <c r="E3773" i="81"/>
  <c r="D3773" i="81"/>
  <c r="M3772" i="81"/>
  <c r="E3772" i="81"/>
  <c r="F3772" i="81" s="1"/>
  <c r="D3772" i="81"/>
  <c r="N3767" i="81"/>
  <c r="M3767" i="81"/>
  <c r="H3767" i="81"/>
  <c r="L3767" i="81" s="1"/>
  <c r="F3767" i="81"/>
  <c r="E3767" i="81"/>
  <c r="D3767" i="81"/>
  <c r="N3766" i="81"/>
  <c r="M3766" i="81"/>
  <c r="H3766" i="81"/>
  <c r="K3766" i="81" s="1"/>
  <c r="F3766" i="81"/>
  <c r="E3766" i="81"/>
  <c r="D3766" i="81"/>
  <c r="N3765" i="81"/>
  <c r="M3765" i="81"/>
  <c r="H3765" i="81"/>
  <c r="J3765" i="81" s="1"/>
  <c r="F3765" i="81"/>
  <c r="E3765" i="81"/>
  <c r="D3765" i="81"/>
  <c r="N3764" i="81"/>
  <c r="M3764" i="81"/>
  <c r="H3764" i="81"/>
  <c r="I3764" i="81" s="1"/>
  <c r="F3764" i="81"/>
  <c r="E3764" i="81"/>
  <c r="D3764" i="81"/>
  <c r="N3763" i="81"/>
  <c r="M3763" i="81"/>
  <c r="H3763" i="81"/>
  <c r="I3763" i="81" s="1"/>
  <c r="F3763" i="81"/>
  <c r="E3763" i="81"/>
  <c r="D3763" i="81"/>
  <c r="N3762" i="81"/>
  <c r="M3762" i="81"/>
  <c r="H3762" i="81"/>
  <c r="F3762" i="81"/>
  <c r="E3762" i="81"/>
  <c r="D3762" i="81"/>
  <c r="N3761" i="81"/>
  <c r="M3761" i="81"/>
  <c r="H3761" i="81"/>
  <c r="F3761" i="81"/>
  <c r="E3761" i="81"/>
  <c r="D3761" i="81"/>
  <c r="N3760" i="81"/>
  <c r="M3760" i="81"/>
  <c r="H3760" i="81"/>
  <c r="L3760" i="81" s="1"/>
  <c r="F3760" i="81"/>
  <c r="E3760" i="81"/>
  <c r="D3760" i="81"/>
  <c r="M3759" i="81"/>
  <c r="D3759" i="81"/>
  <c r="M3758" i="81"/>
  <c r="D3758" i="81"/>
  <c r="N3648" i="81"/>
  <c r="M3648" i="81"/>
  <c r="H3648" i="81"/>
  <c r="I3648" i="81" s="1"/>
  <c r="F3648" i="81"/>
  <c r="E3648" i="81"/>
  <c r="D3648" i="81"/>
  <c r="B3648" i="81"/>
  <c r="N3647" i="81"/>
  <c r="M3647" i="81"/>
  <c r="H3647" i="81"/>
  <c r="I3647" i="81" s="1"/>
  <c r="F3647" i="81"/>
  <c r="E3647" i="81"/>
  <c r="D3647" i="81"/>
  <c r="B3647" i="81"/>
  <c r="N3646" i="81"/>
  <c r="M3646" i="81"/>
  <c r="H3646" i="81"/>
  <c r="L3646" i="81" s="1"/>
  <c r="F3646" i="81"/>
  <c r="E3646" i="81"/>
  <c r="D3646" i="81"/>
  <c r="B3646" i="81"/>
  <c r="N3645" i="81"/>
  <c r="M3645" i="81"/>
  <c r="H3645" i="81"/>
  <c r="K3645" i="81" s="1"/>
  <c r="F3645" i="81"/>
  <c r="E3645" i="81"/>
  <c r="D3645" i="81"/>
  <c r="B3645" i="81"/>
  <c r="N3644" i="81"/>
  <c r="M3644" i="81"/>
  <c r="H3644" i="81"/>
  <c r="J3644" i="81" s="1"/>
  <c r="F3644" i="81"/>
  <c r="E3644" i="81"/>
  <c r="D3644" i="81"/>
  <c r="B3644" i="81"/>
  <c r="N3643" i="81"/>
  <c r="M3643" i="81"/>
  <c r="H3643" i="81"/>
  <c r="I3643" i="81" s="1"/>
  <c r="F3643" i="81"/>
  <c r="E3643" i="81"/>
  <c r="D3643" i="81"/>
  <c r="B3643" i="81"/>
  <c r="N3642" i="81"/>
  <c r="M3642" i="81"/>
  <c r="H3642" i="81"/>
  <c r="K3642" i="81" s="1"/>
  <c r="F3642" i="81"/>
  <c r="E3642" i="81"/>
  <c r="D3642" i="81"/>
  <c r="B3642" i="81"/>
  <c r="N3641" i="81"/>
  <c r="M3641" i="81"/>
  <c r="H3641" i="81"/>
  <c r="I3641" i="81" s="1"/>
  <c r="F3641" i="81"/>
  <c r="E3641" i="81"/>
  <c r="D3641" i="81"/>
  <c r="B3641" i="81"/>
  <c r="N3640" i="81"/>
  <c r="M3640" i="81"/>
  <c r="H3640" i="81"/>
  <c r="F3640" i="81"/>
  <c r="E3640" i="81"/>
  <c r="D3640" i="81"/>
  <c r="B3640" i="81"/>
  <c r="N3639" i="81"/>
  <c r="M3639" i="81"/>
  <c r="H3639" i="81"/>
  <c r="L3639" i="81" s="1"/>
  <c r="F3639" i="81"/>
  <c r="E3639" i="81"/>
  <c r="D3639" i="81"/>
  <c r="B3639" i="81"/>
  <c r="N3638" i="81"/>
  <c r="M3638" i="81"/>
  <c r="H3638" i="81"/>
  <c r="K3638" i="81" s="1"/>
  <c r="F3638" i="81"/>
  <c r="E3638" i="81"/>
  <c r="D3638" i="81"/>
  <c r="B3638" i="81"/>
  <c r="N3637" i="81"/>
  <c r="M3637" i="81"/>
  <c r="H3637" i="81"/>
  <c r="L3637" i="81" s="1"/>
  <c r="F3637" i="81"/>
  <c r="E3637" i="81"/>
  <c r="D3637" i="81"/>
  <c r="B3637" i="81"/>
  <c r="N3636" i="81"/>
  <c r="M3636" i="81"/>
  <c r="H3636" i="81"/>
  <c r="I3636" i="81" s="1"/>
  <c r="F3636" i="81"/>
  <c r="E3636" i="81"/>
  <c r="D3636" i="81"/>
  <c r="B3636" i="81"/>
  <c r="N3635" i="81"/>
  <c r="M3635" i="81"/>
  <c r="H3635" i="81"/>
  <c r="L3635" i="81" s="1"/>
  <c r="F3635" i="81"/>
  <c r="E3635" i="81"/>
  <c r="D3635" i="81"/>
  <c r="B3635" i="81"/>
  <c r="N3634" i="81"/>
  <c r="M3634" i="81"/>
  <c r="H3634" i="81"/>
  <c r="F3634" i="81"/>
  <c r="E3634" i="81"/>
  <c r="D3634" i="81"/>
  <c r="B3634" i="81"/>
  <c r="N3633" i="81"/>
  <c r="M3633" i="81"/>
  <c r="H3633" i="81"/>
  <c r="K3633" i="81" s="1"/>
  <c r="F3633" i="81"/>
  <c r="E3633" i="81"/>
  <c r="D3633" i="81"/>
  <c r="B3633" i="81"/>
  <c r="N3632" i="81"/>
  <c r="M3632" i="81"/>
  <c r="H3632" i="81"/>
  <c r="J3632" i="81" s="1"/>
  <c r="F3632" i="81"/>
  <c r="E3632" i="81"/>
  <c r="D3632" i="81"/>
  <c r="B3632" i="81"/>
  <c r="N3631" i="81"/>
  <c r="M3631" i="81"/>
  <c r="H3631" i="81"/>
  <c r="I3631" i="81" s="1"/>
  <c r="F3631" i="81"/>
  <c r="E3631" i="81"/>
  <c r="D3631" i="81"/>
  <c r="B3631" i="81"/>
  <c r="N3630" i="81"/>
  <c r="M3630" i="81"/>
  <c r="H3630" i="81"/>
  <c r="K3630" i="81" s="1"/>
  <c r="F3630" i="81"/>
  <c r="E3630" i="81"/>
  <c r="D3630" i="81"/>
  <c r="B3630" i="81"/>
  <c r="M3629" i="81"/>
  <c r="N3629" i="81" s="1"/>
  <c r="H3629" i="81"/>
  <c r="E3629" i="81"/>
  <c r="F3629" i="81" s="1"/>
  <c r="D3629" i="81"/>
  <c r="N3625" i="81"/>
  <c r="M3625" i="81"/>
  <c r="H3625" i="81"/>
  <c r="J3625" i="81" s="1"/>
  <c r="F3625" i="81"/>
  <c r="E3625" i="81"/>
  <c r="D3625" i="81"/>
  <c r="N3624" i="81"/>
  <c r="M3624" i="81"/>
  <c r="H3624" i="81"/>
  <c r="I3624" i="81" s="1"/>
  <c r="F3624" i="81"/>
  <c r="E3624" i="81"/>
  <c r="D3624" i="81"/>
  <c r="N3623" i="81"/>
  <c r="M3623" i="81"/>
  <c r="H3623" i="81"/>
  <c r="I3623" i="81" s="1"/>
  <c r="F3623" i="81"/>
  <c r="E3623" i="81"/>
  <c r="D3623" i="81"/>
  <c r="N3622" i="81"/>
  <c r="M3622" i="81"/>
  <c r="H3622" i="81"/>
  <c r="I3622" i="81" s="1"/>
  <c r="F3622" i="81"/>
  <c r="E3622" i="81"/>
  <c r="D3622" i="81"/>
  <c r="N3621" i="81"/>
  <c r="M3621" i="81"/>
  <c r="H3621" i="81"/>
  <c r="F3621" i="81"/>
  <c r="E3621" i="81"/>
  <c r="D3621" i="81"/>
  <c r="N3620" i="81"/>
  <c r="M3620" i="81"/>
  <c r="H3620" i="81"/>
  <c r="L3620" i="81" s="1"/>
  <c r="F3620" i="81"/>
  <c r="E3620" i="81"/>
  <c r="D3620" i="81"/>
  <c r="N3619" i="81"/>
  <c r="M3619" i="81"/>
  <c r="H3619" i="81"/>
  <c r="K3619" i="81" s="1"/>
  <c r="F3619" i="81"/>
  <c r="E3619" i="81"/>
  <c r="D3619" i="81"/>
  <c r="M3618" i="81"/>
  <c r="H3618" i="81"/>
  <c r="E3618" i="81"/>
  <c r="F3618" i="81" s="1"/>
  <c r="D3618" i="81"/>
  <c r="N3618" i="81"/>
  <c r="D3617" i="81"/>
  <c r="E3616" i="81"/>
  <c r="D3616" i="81"/>
  <c r="N3611" i="81"/>
  <c r="M3611" i="81"/>
  <c r="H3611" i="81"/>
  <c r="K3611" i="81" s="1"/>
  <c r="F3611" i="81"/>
  <c r="E3611" i="81"/>
  <c r="D3611" i="81"/>
  <c r="N3610" i="81"/>
  <c r="M3610" i="81"/>
  <c r="H3610" i="81"/>
  <c r="K3610" i="81" s="1"/>
  <c r="F3610" i="81"/>
  <c r="E3610" i="81"/>
  <c r="D3610" i="81"/>
  <c r="N3609" i="81"/>
  <c r="M3609" i="81"/>
  <c r="H3609" i="81"/>
  <c r="J3609" i="81" s="1"/>
  <c r="F3609" i="81"/>
  <c r="E3609" i="81"/>
  <c r="D3609" i="81"/>
  <c r="N3608" i="81"/>
  <c r="M3608" i="81"/>
  <c r="H3608" i="81"/>
  <c r="F3608" i="81"/>
  <c r="E3608" i="81"/>
  <c r="D3608" i="81"/>
  <c r="N3607" i="81"/>
  <c r="M3607" i="81"/>
  <c r="H3607" i="81"/>
  <c r="L3607" i="81" s="1"/>
  <c r="F3607" i="81"/>
  <c r="E3607" i="81"/>
  <c r="D3607" i="81"/>
  <c r="N3606" i="81"/>
  <c r="M3606" i="81"/>
  <c r="H3606" i="81"/>
  <c r="I3606" i="81" s="1"/>
  <c r="F3606" i="81"/>
  <c r="E3606" i="81"/>
  <c r="D3606" i="81"/>
  <c r="N3605" i="81"/>
  <c r="M3605" i="81"/>
  <c r="H3605" i="81"/>
  <c r="F3605" i="81"/>
  <c r="E3605" i="81"/>
  <c r="D3605" i="81"/>
  <c r="N3604" i="81"/>
  <c r="M3604" i="81"/>
  <c r="H3604" i="81"/>
  <c r="L3604" i="81" s="1"/>
  <c r="F3604" i="81"/>
  <c r="E3604" i="81"/>
  <c r="D3604" i="81"/>
  <c r="D3603" i="81"/>
  <c r="N3544" i="81"/>
  <c r="M3544" i="81"/>
  <c r="H3544" i="81"/>
  <c r="K3544" i="81" s="1"/>
  <c r="F3544" i="81"/>
  <c r="E3544" i="81"/>
  <c r="D3544" i="81"/>
  <c r="N3543" i="81"/>
  <c r="M3543" i="81"/>
  <c r="H3543" i="81"/>
  <c r="K3543" i="81" s="1"/>
  <c r="F3543" i="81"/>
  <c r="E3543" i="81"/>
  <c r="D3543" i="81"/>
  <c r="N3542" i="81"/>
  <c r="M3542" i="81"/>
  <c r="H3542" i="81"/>
  <c r="I3542" i="81" s="1"/>
  <c r="F3542" i="81"/>
  <c r="E3542" i="81"/>
  <c r="D3542" i="81"/>
  <c r="N3541" i="81"/>
  <c r="M3541" i="81"/>
  <c r="H3541" i="81"/>
  <c r="K3541" i="81" s="1"/>
  <c r="F3541" i="81"/>
  <c r="E3541" i="81"/>
  <c r="D3541" i="81"/>
  <c r="N3540" i="81"/>
  <c r="M3540" i="81"/>
  <c r="H3540" i="81"/>
  <c r="K3540" i="81" s="1"/>
  <c r="F3540" i="81"/>
  <c r="E3540" i="81"/>
  <c r="D3540" i="81"/>
  <c r="N3539" i="81"/>
  <c r="M3539" i="81"/>
  <c r="H3539" i="81"/>
  <c r="K3539" i="81" s="1"/>
  <c r="F3539" i="81"/>
  <c r="E3539" i="81"/>
  <c r="D3539" i="81"/>
  <c r="N3538" i="81"/>
  <c r="M3538" i="81"/>
  <c r="H3538" i="81"/>
  <c r="J3538" i="81" s="1"/>
  <c r="F3538" i="81"/>
  <c r="E3538" i="81"/>
  <c r="D3538" i="81"/>
  <c r="N3537" i="81"/>
  <c r="M3537" i="81"/>
  <c r="H3537" i="81"/>
  <c r="I3537" i="81" s="1"/>
  <c r="F3537" i="81"/>
  <c r="E3537" i="81"/>
  <c r="D3537" i="81"/>
  <c r="N3536" i="81"/>
  <c r="M3536" i="81"/>
  <c r="H3536" i="81"/>
  <c r="K3536" i="81" s="1"/>
  <c r="F3536" i="81"/>
  <c r="E3536" i="81"/>
  <c r="D3536" i="81"/>
  <c r="N3535" i="81"/>
  <c r="M3535" i="81"/>
  <c r="H3535" i="81"/>
  <c r="K3535" i="81" s="1"/>
  <c r="F3535" i="81"/>
  <c r="E3535" i="81"/>
  <c r="D3535" i="81"/>
  <c r="N3534" i="81"/>
  <c r="M3534" i="81"/>
  <c r="H3534" i="81"/>
  <c r="L3534" i="81" s="1"/>
  <c r="F3534" i="81"/>
  <c r="E3534" i="81"/>
  <c r="D3534" i="81"/>
  <c r="N3533" i="81"/>
  <c r="M3533" i="81"/>
  <c r="H3533" i="81"/>
  <c r="J3533" i="81" s="1"/>
  <c r="F3533" i="81"/>
  <c r="E3533" i="81"/>
  <c r="D3533" i="81"/>
  <c r="N3532" i="81"/>
  <c r="M3532" i="81"/>
  <c r="H3532" i="81"/>
  <c r="L3532" i="81" s="1"/>
  <c r="F3532" i="81"/>
  <c r="E3532" i="81"/>
  <c r="D3532" i="81"/>
  <c r="N3531" i="81"/>
  <c r="M3531" i="81"/>
  <c r="H3531" i="81"/>
  <c r="K3531" i="81" s="1"/>
  <c r="F3531" i="81"/>
  <c r="E3531" i="81"/>
  <c r="D3531" i="81"/>
  <c r="N3530" i="81"/>
  <c r="M3530" i="81"/>
  <c r="H3530" i="81"/>
  <c r="I3530" i="81" s="1"/>
  <c r="F3530" i="81"/>
  <c r="E3530" i="81"/>
  <c r="D3530" i="81"/>
  <c r="N3529" i="81"/>
  <c r="M3529" i="81"/>
  <c r="H3529" i="81"/>
  <c r="L3529" i="81" s="1"/>
  <c r="F3529" i="81"/>
  <c r="E3529" i="81"/>
  <c r="D3529" i="81"/>
  <c r="N3528" i="81"/>
  <c r="M3528" i="81"/>
  <c r="H3528" i="81"/>
  <c r="L3528" i="81" s="1"/>
  <c r="F3528" i="81"/>
  <c r="E3528" i="81"/>
  <c r="D3528" i="81"/>
  <c r="N3527" i="81"/>
  <c r="M3527" i="81"/>
  <c r="H3527" i="81"/>
  <c r="K3527" i="81" s="1"/>
  <c r="F3527" i="81"/>
  <c r="E3527" i="81"/>
  <c r="D3527" i="81"/>
  <c r="N3526" i="81"/>
  <c r="M3526" i="81"/>
  <c r="H3526" i="81"/>
  <c r="J3526" i="81" s="1"/>
  <c r="F3526" i="81"/>
  <c r="E3526" i="81"/>
  <c r="D3526" i="81"/>
  <c r="M3525" i="81"/>
  <c r="H3525" i="81"/>
  <c r="E3525" i="81"/>
  <c r="F3525" i="81" s="1"/>
  <c r="D3525" i="81"/>
  <c r="N3521" i="81"/>
  <c r="M3521" i="81"/>
  <c r="H3521" i="81"/>
  <c r="L3521" i="81" s="1"/>
  <c r="F3521" i="81"/>
  <c r="E3521" i="81"/>
  <c r="D3521" i="81"/>
  <c r="N3520" i="81"/>
  <c r="M3520" i="81"/>
  <c r="H3520" i="81"/>
  <c r="L3520" i="81" s="1"/>
  <c r="F3520" i="81"/>
  <c r="E3520" i="81"/>
  <c r="D3520" i="81"/>
  <c r="N3519" i="81"/>
  <c r="M3519" i="81"/>
  <c r="H3519" i="81"/>
  <c r="K3519" i="81" s="1"/>
  <c r="F3519" i="81"/>
  <c r="E3519" i="81"/>
  <c r="D3519" i="81"/>
  <c r="N3518" i="81"/>
  <c r="M3518" i="81"/>
  <c r="H3518" i="81"/>
  <c r="J3518" i="81" s="1"/>
  <c r="F3518" i="81"/>
  <c r="E3518" i="81"/>
  <c r="D3518" i="81"/>
  <c r="N3517" i="81"/>
  <c r="M3517" i="81"/>
  <c r="H3517" i="81"/>
  <c r="I3517" i="81" s="1"/>
  <c r="F3517" i="81"/>
  <c r="E3517" i="81"/>
  <c r="D3517" i="81"/>
  <c r="N3516" i="81"/>
  <c r="M3516" i="81"/>
  <c r="H3516" i="81"/>
  <c r="I3516" i="81" s="1"/>
  <c r="F3516" i="81"/>
  <c r="E3516" i="81"/>
  <c r="D3516" i="81"/>
  <c r="N3515" i="81"/>
  <c r="M3515" i="81"/>
  <c r="H3515" i="81"/>
  <c r="K3515" i="81" s="1"/>
  <c r="F3515" i="81"/>
  <c r="E3515" i="81"/>
  <c r="D3515" i="81"/>
  <c r="N3514" i="81"/>
  <c r="M3514" i="81"/>
  <c r="H3514" i="81"/>
  <c r="L3514" i="81" s="1"/>
  <c r="F3514" i="81"/>
  <c r="E3514" i="81"/>
  <c r="D3514" i="81"/>
  <c r="N3513" i="81"/>
  <c r="M3513" i="81"/>
  <c r="H3513" i="81"/>
  <c r="F3513" i="81"/>
  <c r="E3513" i="81"/>
  <c r="D3513" i="81"/>
  <c r="N3512" i="81"/>
  <c r="M3512" i="81"/>
  <c r="H3512" i="81"/>
  <c r="F3512" i="81"/>
  <c r="E3512" i="81"/>
  <c r="D3512" i="81"/>
  <c r="N3507" i="81"/>
  <c r="M3507" i="81"/>
  <c r="H3507" i="81"/>
  <c r="J3507" i="81" s="1"/>
  <c r="F3507" i="81"/>
  <c r="E3507" i="81"/>
  <c r="D3507" i="81"/>
  <c r="N3506" i="81"/>
  <c r="M3506" i="81"/>
  <c r="H3506" i="81"/>
  <c r="I3506" i="81" s="1"/>
  <c r="F3506" i="81"/>
  <c r="E3506" i="81"/>
  <c r="D3506" i="81"/>
  <c r="N3505" i="81"/>
  <c r="M3505" i="81"/>
  <c r="H3505" i="81"/>
  <c r="L3505" i="81" s="1"/>
  <c r="F3505" i="81"/>
  <c r="E3505" i="81"/>
  <c r="D3505" i="81"/>
  <c r="N3504" i="81"/>
  <c r="M3504" i="81"/>
  <c r="H3504" i="81"/>
  <c r="I3504" i="81" s="1"/>
  <c r="F3504" i="81"/>
  <c r="E3504" i="81"/>
  <c r="D3504" i="81"/>
  <c r="N3503" i="81"/>
  <c r="M3503" i="81"/>
  <c r="H3503" i="81"/>
  <c r="L3503" i="81" s="1"/>
  <c r="F3503" i="81"/>
  <c r="E3503" i="81"/>
  <c r="D3503" i="81"/>
  <c r="N3502" i="81"/>
  <c r="M3502" i="81"/>
  <c r="H3502" i="81"/>
  <c r="J3502" i="81" s="1"/>
  <c r="F3502" i="81"/>
  <c r="E3502" i="81"/>
  <c r="D3502" i="81"/>
  <c r="N3501" i="81"/>
  <c r="M3501" i="81"/>
  <c r="H3501" i="81"/>
  <c r="F3501" i="81"/>
  <c r="E3501" i="81"/>
  <c r="D3501" i="81"/>
  <c r="N3500" i="81"/>
  <c r="M3500" i="81"/>
  <c r="H3500" i="81"/>
  <c r="F3500" i="81"/>
  <c r="E3500" i="81"/>
  <c r="D3500" i="81"/>
  <c r="M3499" i="81"/>
  <c r="M3498" i="81"/>
  <c r="D3498" i="81"/>
  <c r="N3492" i="81"/>
  <c r="M3492" i="81"/>
  <c r="H3492" i="81"/>
  <c r="I3492" i="81" s="1"/>
  <c r="F3492" i="81"/>
  <c r="E3492" i="81"/>
  <c r="D3492" i="81"/>
  <c r="N3491" i="81"/>
  <c r="M3491" i="81"/>
  <c r="H3491" i="81"/>
  <c r="L3491" i="81" s="1"/>
  <c r="F3491" i="81"/>
  <c r="E3491" i="81"/>
  <c r="D3491" i="81"/>
  <c r="N3490" i="81"/>
  <c r="M3490" i="81"/>
  <c r="H3490" i="81"/>
  <c r="L3490" i="81" s="1"/>
  <c r="F3490" i="81"/>
  <c r="E3490" i="81"/>
  <c r="D3490" i="81"/>
  <c r="N3489" i="81"/>
  <c r="M3489" i="81"/>
  <c r="H3489" i="81"/>
  <c r="K3489" i="81" s="1"/>
  <c r="F3489" i="81"/>
  <c r="E3489" i="81"/>
  <c r="D3489" i="81"/>
  <c r="N3488" i="81"/>
  <c r="M3488" i="81"/>
  <c r="H3488" i="81"/>
  <c r="J3488" i="81" s="1"/>
  <c r="F3488" i="81"/>
  <c r="E3488" i="81"/>
  <c r="D3488" i="81"/>
  <c r="N3487" i="81"/>
  <c r="M3487" i="81"/>
  <c r="H3487" i="81"/>
  <c r="I3487" i="81" s="1"/>
  <c r="F3487" i="81"/>
  <c r="E3487" i="81"/>
  <c r="D3487" i="81"/>
  <c r="N3486" i="81"/>
  <c r="M3486" i="81"/>
  <c r="H3486" i="81"/>
  <c r="I3486" i="81" s="1"/>
  <c r="F3486" i="81"/>
  <c r="E3486" i="81"/>
  <c r="D3486" i="81"/>
  <c r="N3485" i="81"/>
  <c r="M3485" i="81"/>
  <c r="H3485" i="81"/>
  <c r="I3485" i="81" s="1"/>
  <c r="F3485" i="81"/>
  <c r="E3485" i="81"/>
  <c r="D3485" i="81"/>
  <c r="N3484" i="81"/>
  <c r="M3484" i="81"/>
  <c r="H3484" i="81"/>
  <c r="L3484" i="81" s="1"/>
  <c r="F3484" i="81"/>
  <c r="E3484" i="81"/>
  <c r="D3484" i="81"/>
  <c r="N3483" i="81"/>
  <c r="M3483" i="81"/>
  <c r="H3483" i="81"/>
  <c r="L3483" i="81" s="1"/>
  <c r="F3483" i="81"/>
  <c r="E3483" i="81"/>
  <c r="D3483" i="81"/>
  <c r="N3482" i="81"/>
  <c r="M3482" i="81"/>
  <c r="H3482" i="81"/>
  <c r="K3482" i="81" s="1"/>
  <c r="F3482" i="81"/>
  <c r="E3482" i="81"/>
  <c r="D3482" i="81"/>
  <c r="N3481" i="81"/>
  <c r="M3481" i="81"/>
  <c r="H3481" i="81"/>
  <c r="J3481" i="81" s="1"/>
  <c r="F3481" i="81"/>
  <c r="E3481" i="81"/>
  <c r="D3481" i="81"/>
  <c r="N3480" i="81"/>
  <c r="M3480" i="81"/>
  <c r="H3480" i="81"/>
  <c r="L3480" i="81" s="1"/>
  <c r="F3480" i="81"/>
  <c r="E3480" i="81"/>
  <c r="D3480" i="81"/>
  <c r="N3479" i="81"/>
  <c r="M3479" i="81"/>
  <c r="H3479" i="81"/>
  <c r="K3479" i="81" s="1"/>
  <c r="F3479" i="81"/>
  <c r="E3479" i="81"/>
  <c r="D3479" i="81"/>
  <c r="N3478" i="81"/>
  <c r="M3478" i="81"/>
  <c r="H3478" i="81"/>
  <c r="J3478" i="81" s="1"/>
  <c r="F3478" i="81"/>
  <c r="E3478" i="81"/>
  <c r="D3478" i="81"/>
  <c r="N3477" i="81"/>
  <c r="M3477" i="81"/>
  <c r="H3477" i="81"/>
  <c r="I3477" i="81" s="1"/>
  <c r="F3477" i="81"/>
  <c r="E3477" i="81"/>
  <c r="D3477" i="81"/>
  <c r="N3476" i="81"/>
  <c r="M3476" i="81"/>
  <c r="H3476" i="81"/>
  <c r="K3476" i="81" s="1"/>
  <c r="F3476" i="81"/>
  <c r="E3476" i="81"/>
  <c r="D3476" i="81"/>
  <c r="N3475" i="81"/>
  <c r="M3475" i="81"/>
  <c r="H3475" i="81"/>
  <c r="L3475" i="81" s="1"/>
  <c r="F3475" i="81"/>
  <c r="E3475" i="81"/>
  <c r="D3475" i="81"/>
  <c r="M3474" i="81"/>
  <c r="H3474" i="81"/>
  <c r="E3474" i="81"/>
  <c r="F3474" i="81" s="1"/>
  <c r="M3473" i="81"/>
  <c r="H3473" i="81"/>
  <c r="E3473" i="81"/>
  <c r="F3473" i="81" s="1"/>
  <c r="N3469" i="81"/>
  <c r="M3469" i="81"/>
  <c r="H3469" i="81"/>
  <c r="J3469" i="81" s="1"/>
  <c r="F3469" i="81"/>
  <c r="E3469" i="81"/>
  <c r="D3469" i="81"/>
  <c r="N3468" i="81"/>
  <c r="M3468" i="81"/>
  <c r="H3468" i="81"/>
  <c r="I3468" i="81" s="1"/>
  <c r="F3468" i="81"/>
  <c r="E3468" i="81"/>
  <c r="D3468" i="81"/>
  <c r="N3467" i="81"/>
  <c r="M3467" i="81"/>
  <c r="H3467" i="81"/>
  <c r="L3467" i="81" s="1"/>
  <c r="F3467" i="81"/>
  <c r="E3467" i="81"/>
  <c r="D3467" i="81"/>
  <c r="N3466" i="81"/>
  <c r="M3466" i="81"/>
  <c r="H3466" i="81"/>
  <c r="L3466" i="81" s="1"/>
  <c r="F3466" i="81"/>
  <c r="E3466" i="81"/>
  <c r="D3466" i="81"/>
  <c r="N3465" i="81"/>
  <c r="M3465" i="81"/>
  <c r="H3465" i="81"/>
  <c r="L3465" i="81" s="1"/>
  <c r="F3465" i="81"/>
  <c r="E3465" i="81"/>
  <c r="D3465" i="81"/>
  <c r="N3464" i="81"/>
  <c r="M3464" i="81"/>
  <c r="H3464" i="81"/>
  <c r="J3464" i="81" s="1"/>
  <c r="F3464" i="81"/>
  <c r="E3464" i="81"/>
  <c r="D3464" i="81"/>
  <c r="N3463" i="81"/>
  <c r="M3463" i="81"/>
  <c r="H3463" i="81"/>
  <c r="L3463" i="81" s="1"/>
  <c r="F3463" i="81"/>
  <c r="E3463" i="81"/>
  <c r="D3463" i="81"/>
  <c r="N3462" i="81"/>
  <c r="M3462" i="81"/>
  <c r="H3462" i="81"/>
  <c r="L3462" i="81" s="1"/>
  <c r="F3462" i="81"/>
  <c r="E3462" i="81"/>
  <c r="D3462" i="81"/>
  <c r="N3461" i="81"/>
  <c r="M3461" i="81"/>
  <c r="H3461" i="81"/>
  <c r="K3461" i="81" s="1"/>
  <c r="F3461" i="81"/>
  <c r="E3461" i="81"/>
  <c r="D3461" i="81"/>
  <c r="N3460" i="81"/>
  <c r="M3460" i="81"/>
  <c r="H3460" i="81"/>
  <c r="L3460" i="81" s="1"/>
  <c r="F3460" i="81"/>
  <c r="E3460" i="81"/>
  <c r="D3460" i="81"/>
  <c r="N3455" i="81"/>
  <c r="M3455" i="81"/>
  <c r="H3455" i="81"/>
  <c r="L3455" i="81" s="1"/>
  <c r="F3455" i="81"/>
  <c r="E3455" i="81"/>
  <c r="D3455" i="81"/>
  <c r="N3454" i="81"/>
  <c r="M3454" i="81"/>
  <c r="H3454" i="81"/>
  <c r="L3454" i="81" s="1"/>
  <c r="F3454" i="81"/>
  <c r="E3454" i="81"/>
  <c r="D3454" i="81"/>
  <c r="N3453" i="81"/>
  <c r="M3453" i="81"/>
  <c r="H3453" i="81"/>
  <c r="J3453" i="81" s="1"/>
  <c r="F3453" i="81"/>
  <c r="E3453" i="81"/>
  <c r="D3453" i="81"/>
  <c r="N3452" i="81"/>
  <c r="M3452" i="81"/>
  <c r="H3452" i="81"/>
  <c r="L3452" i="81" s="1"/>
  <c r="F3452" i="81"/>
  <c r="E3452" i="81"/>
  <c r="D3452" i="81"/>
  <c r="N3451" i="81"/>
  <c r="M3451" i="81"/>
  <c r="H3451" i="81"/>
  <c r="K3451" i="81" s="1"/>
  <c r="F3451" i="81"/>
  <c r="E3451" i="81"/>
  <c r="D3451" i="81"/>
  <c r="N3450" i="81"/>
  <c r="M3450" i="81"/>
  <c r="H3450" i="81"/>
  <c r="K3450" i="81" s="1"/>
  <c r="F3450" i="81"/>
  <c r="E3450" i="81"/>
  <c r="D3450" i="81"/>
  <c r="N3449" i="81"/>
  <c r="M3449" i="81"/>
  <c r="H3449" i="81"/>
  <c r="L3449" i="81" s="1"/>
  <c r="F3449" i="81"/>
  <c r="E3449" i="81"/>
  <c r="D3449" i="81"/>
  <c r="N3448" i="81"/>
  <c r="M3448" i="81"/>
  <c r="H3448" i="81"/>
  <c r="L3448" i="81" s="1"/>
  <c r="F3448" i="81"/>
  <c r="E3448" i="81"/>
  <c r="D3448" i="81"/>
  <c r="M3447" i="81"/>
  <c r="M3446" i="81"/>
  <c r="N1464" i="81"/>
  <c r="M1464" i="81"/>
  <c r="H1464" i="81"/>
  <c r="I1464" i="81" s="1"/>
  <c r="F1464" i="81"/>
  <c r="E1464" i="81"/>
  <c r="D1464" i="81"/>
  <c r="N1463" i="81"/>
  <c r="M1463" i="81"/>
  <c r="H1463" i="81"/>
  <c r="L1463" i="81" s="1"/>
  <c r="F1463" i="81"/>
  <c r="E1463" i="81"/>
  <c r="D1463" i="81"/>
  <c r="N1462" i="81"/>
  <c r="M1462" i="81"/>
  <c r="H1462" i="81"/>
  <c r="L1462" i="81" s="1"/>
  <c r="F1462" i="81"/>
  <c r="E1462" i="81"/>
  <c r="D1462" i="81"/>
  <c r="N1461" i="81"/>
  <c r="M1461" i="81"/>
  <c r="H1461" i="81"/>
  <c r="K1461" i="81" s="1"/>
  <c r="F1461" i="81"/>
  <c r="E1461" i="81"/>
  <c r="D1461" i="81"/>
  <c r="N1460" i="81"/>
  <c r="M1460" i="81"/>
  <c r="H1460" i="81"/>
  <c r="J1460" i="81" s="1"/>
  <c r="F1460" i="81"/>
  <c r="E1460" i="81"/>
  <c r="D1460" i="81"/>
  <c r="N1459" i="81"/>
  <c r="M1459" i="81"/>
  <c r="H1459" i="81"/>
  <c r="J1459" i="81" s="1"/>
  <c r="F1459" i="81"/>
  <c r="E1459" i="81"/>
  <c r="D1459" i="81"/>
  <c r="N1458" i="81"/>
  <c r="M1458" i="81"/>
  <c r="H1458" i="81"/>
  <c r="L1458" i="81" s="1"/>
  <c r="F1458" i="81"/>
  <c r="E1458" i="81"/>
  <c r="D1458" i="81"/>
  <c r="N1457" i="81"/>
  <c r="M1457" i="81"/>
  <c r="H1457" i="81"/>
  <c r="I1457" i="81" s="1"/>
  <c r="F1457" i="81"/>
  <c r="E1457" i="81"/>
  <c r="D1457" i="81"/>
  <c r="N1456" i="81"/>
  <c r="M1456" i="81"/>
  <c r="H1456" i="81"/>
  <c r="L1456" i="81" s="1"/>
  <c r="F1456" i="81"/>
  <c r="E1456" i="81"/>
  <c r="D1456" i="81"/>
  <c r="N1455" i="81"/>
  <c r="M1455" i="81"/>
  <c r="H1455" i="81"/>
  <c r="J1455" i="81" s="1"/>
  <c r="F1455" i="81"/>
  <c r="E1455" i="81"/>
  <c r="D1455" i="81"/>
  <c r="N1454" i="81"/>
  <c r="M1454" i="81"/>
  <c r="H1454" i="81"/>
  <c r="L1454" i="81" s="1"/>
  <c r="F1454" i="81"/>
  <c r="E1454" i="81"/>
  <c r="D1454" i="81"/>
  <c r="N1453" i="81"/>
  <c r="M1453" i="81"/>
  <c r="H1453" i="81"/>
  <c r="F1453" i="81"/>
  <c r="E1453" i="81"/>
  <c r="D1453" i="81"/>
  <c r="N1452" i="81"/>
  <c r="M1452" i="81"/>
  <c r="H1452" i="81"/>
  <c r="I1452" i="81" s="1"/>
  <c r="F1452" i="81"/>
  <c r="E1452" i="81"/>
  <c r="D1452" i="81"/>
  <c r="N1451" i="81"/>
  <c r="M1451" i="81"/>
  <c r="H1451" i="81"/>
  <c r="L1451" i="81" s="1"/>
  <c r="F1451" i="81"/>
  <c r="E1451" i="81"/>
  <c r="D1451" i="81"/>
  <c r="N1450" i="81"/>
  <c r="M1450" i="81"/>
  <c r="H1450" i="81"/>
  <c r="L1450" i="81" s="1"/>
  <c r="F1450" i="81"/>
  <c r="E1450" i="81"/>
  <c r="D1450" i="81"/>
  <c r="N1449" i="81"/>
  <c r="M1449" i="81"/>
  <c r="H1449" i="81"/>
  <c r="K1449" i="81" s="1"/>
  <c r="F1449" i="81"/>
  <c r="E1449" i="81"/>
  <c r="D1449" i="81"/>
  <c r="N1448" i="81"/>
  <c r="M1448" i="81"/>
  <c r="H1448" i="81"/>
  <c r="J1448" i="81" s="1"/>
  <c r="F1448" i="81"/>
  <c r="E1448" i="81"/>
  <c r="D1448" i="81"/>
  <c r="N1447" i="81"/>
  <c r="M1447" i="81"/>
  <c r="H1447" i="81"/>
  <c r="I1447" i="81" s="1"/>
  <c r="F1447" i="81"/>
  <c r="E1447" i="81"/>
  <c r="D1447" i="81"/>
  <c r="M1446" i="81"/>
  <c r="N1446" i="81" s="1"/>
  <c r="H1446" i="81"/>
  <c r="E1446" i="81"/>
  <c r="F1446" i="81" s="1"/>
  <c r="D1446" i="81"/>
  <c r="M1445" i="81"/>
  <c r="N1445" i="81" s="1"/>
  <c r="H1445" i="81"/>
  <c r="E1445" i="81"/>
  <c r="F1445" i="81" s="1"/>
  <c r="D1445" i="81"/>
  <c r="N1441" i="81"/>
  <c r="M1441" i="81"/>
  <c r="H1441" i="81"/>
  <c r="J1441" i="81" s="1"/>
  <c r="F1441" i="81"/>
  <c r="E1441" i="81"/>
  <c r="D1441" i="81"/>
  <c r="N1440" i="81"/>
  <c r="M1440" i="81"/>
  <c r="H1440" i="81"/>
  <c r="I1440" i="81" s="1"/>
  <c r="F1440" i="81"/>
  <c r="E1440" i="81"/>
  <c r="D1440" i="81"/>
  <c r="N1439" i="81"/>
  <c r="M1439" i="81"/>
  <c r="H1439" i="81"/>
  <c r="L1439" i="81" s="1"/>
  <c r="F1439" i="81"/>
  <c r="E1439" i="81"/>
  <c r="D1439" i="81"/>
  <c r="N1438" i="81"/>
  <c r="M1438" i="81"/>
  <c r="H1438" i="81"/>
  <c r="L1438" i="81" s="1"/>
  <c r="F1438" i="81"/>
  <c r="E1438" i="81"/>
  <c r="D1438" i="81"/>
  <c r="N1437" i="81"/>
  <c r="M1437" i="81"/>
  <c r="H1437" i="81"/>
  <c r="L1437" i="81" s="1"/>
  <c r="F1437" i="81"/>
  <c r="E1437" i="81"/>
  <c r="D1437" i="81"/>
  <c r="N1436" i="81"/>
  <c r="M1436" i="81"/>
  <c r="H1436" i="81"/>
  <c r="L1436" i="81" s="1"/>
  <c r="F1436" i="81"/>
  <c r="E1436" i="81"/>
  <c r="D1436" i="81"/>
  <c r="N1435" i="81"/>
  <c r="M1435" i="81"/>
  <c r="H1435" i="81"/>
  <c r="K1435" i="81" s="1"/>
  <c r="F1435" i="81"/>
  <c r="E1435" i="81"/>
  <c r="D1435" i="81"/>
  <c r="N1434" i="81"/>
  <c r="M1434" i="81"/>
  <c r="H1434" i="81"/>
  <c r="J1434" i="81" s="1"/>
  <c r="F1434" i="81"/>
  <c r="N1433" i="81"/>
  <c r="M1433" i="81"/>
  <c r="H1433" i="81"/>
  <c r="K1433" i="81" s="1"/>
  <c r="F1433" i="81"/>
  <c r="H1432" i="81"/>
  <c r="D1432" i="81"/>
  <c r="N1427" i="81"/>
  <c r="M1427" i="81"/>
  <c r="H1427" i="81"/>
  <c r="I1427" i="81" s="1"/>
  <c r="F1427" i="81"/>
  <c r="E1427" i="81"/>
  <c r="D1427" i="81"/>
  <c r="N1426" i="81"/>
  <c r="M1426" i="81"/>
  <c r="H1426" i="81"/>
  <c r="L1426" i="81" s="1"/>
  <c r="F1426" i="81"/>
  <c r="E1426" i="81"/>
  <c r="D1426" i="81"/>
  <c r="N1425" i="81"/>
  <c r="M1425" i="81"/>
  <c r="H1425" i="81"/>
  <c r="L1425" i="81" s="1"/>
  <c r="F1425" i="81"/>
  <c r="E1425" i="81"/>
  <c r="D1425" i="81"/>
  <c r="N1424" i="81"/>
  <c r="M1424" i="81"/>
  <c r="H1424" i="81"/>
  <c r="L1424" i="81" s="1"/>
  <c r="F1424" i="81"/>
  <c r="E1424" i="81"/>
  <c r="D1424" i="81"/>
  <c r="N1423" i="81"/>
  <c r="M1423" i="81"/>
  <c r="H1423" i="81"/>
  <c r="L1423" i="81" s="1"/>
  <c r="F1423" i="81"/>
  <c r="E1423" i="81"/>
  <c r="D1423" i="81"/>
  <c r="N1422" i="81"/>
  <c r="M1422" i="81"/>
  <c r="H1422" i="81"/>
  <c r="L1422" i="81" s="1"/>
  <c r="F1422" i="81"/>
  <c r="E1422" i="81"/>
  <c r="D1422" i="81"/>
  <c r="N1421" i="81"/>
  <c r="M1421" i="81"/>
  <c r="H1421" i="81"/>
  <c r="L1421" i="81" s="1"/>
  <c r="F1421" i="81"/>
  <c r="E1421" i="81"/>
  <c r="D1421" i="81"/>
  <c r="N1420" i="81"/>
  <c r="M1420" i="81"/>
  <c r="H1420" i="81"/>
  <c r="K1420" i="81" s="1"/>
  <c r="F1420" i="81"/>
  <c r="E1420" i="81"/>
  <c r="D1420" i="81"/>
  <c r="M1419" i="81"/>
  <c r="N1419" i="81" s="1"/>
  <c r="D1419" i="81"/>
  <c r="N3128" i="81"/>
  <c r="M3128" i="81"/>
  <c r="H3128" i="81"/>
  <c r="L3128" i="81" s="1"/>
  <c r="F3128" i="81"/>
  <c r="E3128" i="81"/>
  <c r="D3128" i="81"/>
  <c r="N3127" i="81"/>
  <c r="M3127" i="81"/>
  <c r="H3127" i="81"/>
  <c r="L3127" i="81" s="1"/>
  <c r="F3127" i="81"/>
  <c r="E3127" i="81"/>
  <c r="D3127" i="81"/>
  <c r="N3126" i="81"/>
  <c r="M3126" i="81"/>
  <c r="H3126" i="81"/>
  <c r="I3126" i="81" s="1"/>
  <c r="F3126" i="81"/>
  <c r="E3126" i="81"/>
  <c r="D3126" i="81"/>
  <c r="N3125" i="81"/>
  <c r="M3125" i="81"/>
  <c r="H3125" i="81"/>
  <c r="J3125" i="81" s="1"/>
  <c r="F3125" i="81"/>
  <c r="E3125" i="81"/>
  <c r="D3125" i="81"/>
  <c r="N3124" i="81"/>
  <c r="M3124" i="81"/>
  <c r="H3124" i="81"/>
  <c r="I3124" i="81" s="1"/>
  <c r="F3124" i="81"/>
  <c r="E3124" i="81"/>
  <c r="D3124" i="81"/>
  <c r="N3123" i="81"/>
  <c r="M3123" i="81"/>
  <c r="H3123" i="81"/>
  <c r="I3123" i="81" s="1"/>
  <c r="F3123" i="81"/>
  <c r="E3123" i="81"/>
  <c r="D3123" i="81"/>
  <c r="N3122" i="81"/>
  <c r="M3122" i="81"/>
  <c r="H3122" i="81"/>
  <c r="L3122" i="81" s="1"/>
  <c r="F3122" i="81"/>
  <c r="E3122" i="81"/>
  <c r="D3122" i="81"/>
  <c r="N3121" i="81"/>
  <c r="M3121" i="81"/>
  <c r="H3121" i="81"/>
  <c r="L3121" i="81" s="1"/>
  <c r="F3121" i="81"/>
  <c r="E3121" i="81"/>
  <c r="D3121" i="81"/>
  <c r="N3120" i="81"/>
  <c r="M3120" i="81"/>
  <c r="H3120" i="81"/>
  <c r="K3120" i="81" s="1"/>
  <c r="F3120" i="81"/>
  <c r="E3120" i="81"/>
  <c r="D3120" i="81"/>
  <c r="N3119" i="81"/>
  <c r="M3119" i="81"/>
  <c r="H3119" i="81"/>
  <c r="L3119" i="81" s="1"/>
  <c r="F3119" i="81"/>
  <c r="E3119" i="81"/>
  <c r="D3119" i="81"/>
  <c r="N3118" i="81"/>
  <c r="M3118" i="81"/>
  <c r="H3118" i="81"/>
  <c r="L3118" i="81" s="1"/>
  <c r="F3118" i="81"/>
  <c r="E3118" i="81"/>
  <c r="D3118" i="81"/>
  <c r="N3117" i="81"/>
  <c r="M3117" i="81"/>
  <c r="H3117" i="81"/>
  <c r="L3117" i="81" s="1"/>
  <c r="F3117" i="81"/>
  <c r="E3117" i="81"/>
  <c r="D3117" i="81"/>
  <c r="N3116" i="81"/>
  <c r="M3116" i="81"/>
  <c r="H3116" i="81"/>
  <c r="L3116" i="81" s="1"/>
  <c r="F3116" i="81"/>
  <c r="E3116" i="81"/>
  <c r="D3116" i="81"/>
  <c r="N3115" i="81"/>
  <c r="M3115" i="81"/>
  <c r="H3115" i="81"/>
  <c r="L3115" i="81" s="1"/>
  <c r="F3115" i="81"/>
  <c r="E3115" i="81"/>
  <c r="D3115" i="81"/>
  <c r="N3114" i="81"/>
  <c r="M3114" i="81"/>
  <c r="H3114" i="81"/>
  <c r="L3114" i="81" s="1"/>
  <c r="F3114" i="81"/>
  <c r="E3114" i="81"/>
  <c r="D3114" i="81"/>
  <c r="N3113" i="81"/>
  <c r="M3113" i="81"/>
  <c r="H3113" i="81"/>
  <c r="J3113" i="81" s="1"/>
  <c r="F3113" i="81"/>
  <c r="E3113" i="81"/>
  <c r="D3113" i="81"/>
  <c r="N3112" i="81"/>
  <c r="M3112" i="81"/>
  <c r="H3112" i="81"/>
  <c r="I3112" i="81" s="1"/>
  <c r="F3112" i="81"/>
  <c r="E3112" i="81"/>
  <c r="D3112" i="81"/>
  <c r="N3111" i="81"/>
  <c r="M3111" i="81"/>
  <c r="H3111" i="81"/>
  <c r="I3111" i="81" s="1"/>
  <c r="F3111" i="81"/>
  <c r="E3111" i="81"/>
  <c r="D3111" i="81"/>
  <c r="N3110" i="81"/>
  <c r="M3110" i="81"/>
  <c r="H3110" i="81"/>
  <c r="L3110" i="81" s="1"/>
  <c r="F3110" i="81"/>
  <c r="E3110" i="81"/>
  <c r="D3110" i="81"/>
  <c r="M3109" i="81"/>
  <c r="H3109" i="81"/>
  <c r="J3109" i="81" s="1"/>
  <c r="E3109" i="81"/>
  <c r="F3109" i="81" s="1"/>
  <c r="D3109" i="81"/>
  <c r="N3105" i="81"/>
  <c r="M3105" i="81"/>
  <c r="H3105" i="81"/>
  <c r="J3105" i="81" s="1"/>
  <c r="F3105" i="81"/>
  <c r="E3105" i="81"/>
  <c r="D3105" i="81"/>
  <c r="N3104" i="81"/>
  <c r="M3104" i="81"/>
  <c r="H3104" i="81"/>
  <c r="I3104" i="81" s="1"/>
  <c r="F3104" i="81"/>
  <c r="E3104" i="81"/>
  <c r="D3104" i="81"/>
  <c r="N3103" i="81"/>
  <c r="M3103" i="81"/>
  <c r="H3103" i="81"/>
  <c r="I3103" i="81" s="1"/>
  <c r="F3103" i="81"/>
  <c r="E3103" i="81"/>
  <c r="D3103" i="81"/>
  <c r="N3102" i="81"/>
  <c r="M3102" i="81"/>
  <c r="H3102" i="81"/>
  <c r="L3102" i="81" s="1"/>
  <c r="F3102" i="81"/>
  <c r="E3102" i="81"/>
  <c r="D3102" i="81"/>
  <c r="N3101" i="81"/>
  <c r="M3101" i="81"/>
  <c r="H3101" i="81"/>
  <c r="L3101" i="81" s="1"/>
  <c r="F3101" i="81"/>
  <c r="E3101" i="81"/>
  <c r="D3101" i="81"/>
  <c r="N3100" i="81"/>
  <c r="M3100" i="81"/>
  <c r="H3100" i="81"/>
  <c r="K3100" i="81" s="1"/>
  <c r="F3100" i="81"/>
  <c r="E3100" i="81"/>
  <c r="D3100" i="81"/>
  <c r="N3099" i="81"/>
  <c r="M3099" i="81"/>
  <c r="H3099" i="81"/>
  <c r="L3099" i="81" s="1"/>
  <c r="F3099" i="81"/>
  <c r="E3099" i="81"/>
  <c r="D3099" i="81"/>
  <c r="N3098" i="81"/>
  <c r="M3098" i="81"/>
  <c r="H3098" i="81"/>
  <c r="L3098" i="81" s="1"/>
  <c r="F3098" i="81"/>
  <c r="E3098" i="81"/>
  <c r="D3098" i="81"/>
  <c r="N3097" i="81"/>
  <c r="M3097" i="81"/>
  <c r="H3097" i="81"/>
  <c r="K3097" i="81" s="1"/>
  <c r="F3097" i="81"/>
  <c r="E3097" i="81"/>
  <c r="D3097" i="81"/>
  <c r="N3096" i="81"/>
  <c r="M3096" i="81"/>
  <c r="H3096" i="81"/>
  <c r="F3096" i="81"/>
  <c r="E3096" i="81"/>
  <c r="D3096" i="81"/>
  <c r="N3091" i="81"/>
  <c r="M3091" i="81"/>
  <c r="H3091" i="81"/>
  <c r="L3091" i="81" s="1"/>
  <c r="F3091" i="81"/>
  <c r="E3091" i="81"/>
  <c r="D3091" i="81"/>
  <c r="N3090" i="81"/>
  <c r="M3090" i="81"/>
  <c r="H3090" i="81"/>
  <c r="L3090" i="81" s="1"/>
  <c r="F3090" i="81"/>
  <c r="E3090" i="81"/>
  <c r="D3090" i="81"/>
  <c r="N3089" i="81"/>
  <c r="M3089" i="81"/>
  <c r="H3089" i="81"/>
  <c r="K3089" i="81" s="1"/>
  <c r="F3089" i="81"/>
  <c r="E3089" i="81"/>
  <c r="D3089" i="81"/>
  <c r="N3088" i="81"/>
  <c r="M3088" i="81"/>
  <c r="H3088" i="81"/>
  <c r="K3088" i="81" s="1"/>
  <c r="F3088" i="81"/>
  <c r="E3088" i="81"/>
  <c r="D3088" i="81"/>
  <c r="N3087" i="81"/>
  <c r="M3087" i="81"/>
  <c r="H3087" i="81"/>
  <c r="L3087" i="81" s="1"/>
  <c r="F3087" i="81"/>
  <c r="E3087" i="81"/>
  <c r="D3087" i="81"/>
  <c r="N3086" i="81"/>
  <c r="M3086" i="81"/>
  <c r="H3086" i="81"/>
  <c r="K3086" i="81" s="1"/>
  <c r="F3086" i="81"/>
  <c r="E3086" i="81"/>
  <c r="D3086" i="81"/>
  <c r="N3085" i="81"/>
  <c r="M3085" i="81"/>
  <c r="H3085" i="81"/>
  <c r="L3085" i="81" s="1"/>
  <c r="F3085" i="81"/>
  <c r="E3085" i="81"/>
  <c r="D3085" i="81"/>
  <c r="N3084" i="81"/>
  <c r="M3084" i="81"/>
  <c r="H3084" i="81"/>
  <c r="F3084" i="81"/>
  <c r="E3084" i="81"/>
  <c r="D3084" i="81"/>
  <c r="N3024" i="81"/>
  <c r="M3024" i="81"/>
  <c r="H3024" i="81"/>
  <c r="L3024" i="81" s="1"/>
  <c r="F3024" i="81"/>
  <c r="E3024" i="81"/>
  <c r="D3024" i="81"/>
  <c r="N3023" i="81"/>
  <c r="M3023" i="81"/>
  <c r="H3023" i="81"/>
  <c r="J3023" i="81" s="1"/>
  <c r="F3023" i="81"/>
  <c r="E3023" i="81"/>
  <c r="D3023" i="81"/>
  <c r="N3022" i="81"/>
  <c r="M3022" i="81"/>
  <c r="H3022" i="81"/>
  <c r="F3022" i="81"/>
  <c r="E3022" i="81"/>
  <c r="D3022" i="81"/>
  <c r="N3021" i="81"/>
  <c r="M3021" i="81"/>
  <c r="H3021" i="81"/>
  <c r="I3021" i="81" s="1"/>
  <c r="F3021" i="81"/>
  <c r="E3021" i="81"/>
  <c r="D3021" i="81"/>
  <c r="N3020" i="81"/>
  <c r="M3020" i="81"/>
  <c r="H3020" i="81"/>
  <c r="L3020" i="81" s="1"/>
  <c r="F3020" i="81"/>
  <c r="E3020" i="81"/>
  <c r="D3020" i="81"/>
  <c r="N3019" i="81"/>
  <c r="M3019" i="81"/>
  <c r="H3019" i="81"/>
  <c r="L3019" i="81" s="1"/>
  <c r="F3019" i="81"/>
  <c r="E3019" i="81"/>
  <c r="D3019" i="81"/>
  <c r="N3018" i="81"/>
  <c r="M3018" i="81"/>
  <c r="H3018" i="81"/>
  <c r="K3018" i="81" s="1"/>
  <c r="F3018" i="81"/>
  <c r="E3018" i="81"/>
  <c r="D3018" i="81"/>
  <c r="N3017" i="81"/>
  <c r="M3017" i="81"/>
  <c r="H3017" i="81"/>
  <c r="F3017" i="81"/>
  <c r="E3017" i="81"/>
  <c r="D3017" i="81"/>
  <c r="N3016" i="81"/>
  <c r="M3016" i="81"/>
  <c r="H3016" i="81"/>
  <c r="I3016" i="81" s="1"/>
  <c r="F3016" i="81"/>
  <c r="E3016" i="81"/>
  <c r="D3016" i="81"/>
  <c r="N3015" i="81"/>
  <c r="M3015" i="81"/>
  <c r="H3015" i="81"/>
  <c r="K3015" i="81" s="1"/>
  <c r="F3015" i="81"/>
  <c r="E3015" i="81"/>
  <c r="D3015" i="81"/>
  <c r="N3014" i="81"/>
  <c r="M3014" i="81"/>
  <c r="H3014" i="81"/>
  <c r="F3014" i="81"/>
  <c r="E3014" i="81"/>
  <c r="D3014" i="81"/>
  <c r="N3013" i="81"/>
  <c r="M3013" i="81"/>
  <c r="H3013" i="81"/>
  <c r="K3013" i="81" s="1"/>
  <c r="F3013" i="81"/>
  <c r="E3013" i="81"/>
  <c r="D3013" i="81"/>
  <c r="N3012" i="81"/>
  <c r="M3012" i="81"/>
  <c r="H3012" i="81"/>
  <c r="L3012" i="81" s="1"/>
  <c r="F3012" i="81"/>
  <c r="E3012" i="81"/>
  <c r="D3012" i="81"/>
  <c r="N3011" i="81"/>
  <c r="M3011" i="81"/>
  <c r="H3011" i="81"/>
  <c r="J3011" i="81" s="1"/>
  <c r="F3011" i="81"/>
  <c r="E3011" i="81"/>
  <c r="D3011" i="81"/>
  <c r="N3010" i="81"/>
  <c r="M3010" i="81"/>
  <c r="H3010" i="81"/>
  <c r="F3010" i="81"/>
  <c r="E3010" i="81"/>
  <c r="D3010" i="81"/>
  <c r="N3009" i="81"/>
  <c r="M3009" i="81"/>
  <c r="H3009" i="81"/>
  <c r="I3009" i="81" s="1"/>
  <c r="F3009" i="81"/>
  <c r="E3009" i="81"/>
  <c r="D3009" i="81"/>
  <c r="N3008" i="81"/>
  <c r="M3008" i="81"/>
  <c r="H3008" i="81"/>
  <c r="L3008" i="81" s="1"/>
  <c r="F3008" i="81"/>
  <c r="E3008" i="81"/>
  <c r="D3008" i="81"/>
  <c r="N3007" i="81"/>
  <c r="M3007" i="81"/>
  <c r="H3007" i="81"/>
  <c r="L3007" i="81" s="1"/>
  <c r="F3007" i="81"/>
  <c r="E3007" i="81"/>
  <c r="D3007" i="81"/>
  <c r="N3006" i="81"/>
  <c r="M3006" i="81"/>
  <c r="H3006" i="81"/>
  <c r="K3006" i="81" s="1"/>
  <c r="F3006" i="81"/>
  <c r="E3006" i="81"/>
  <c r="D3006" i="81"/>
  <c r="N3001" i="81"/>
  <c r="M3001" i="81"/>
  <c r="H3001" i="81"/>
  <c r="I3001" i="81" s="1"/>
  <c r="F3001" i="81"/>
  <c r="E3001" i="81"/>
  <c r="D3001" i="81"/>
  <c r="N3000" i="81"/>
  <c r="M3000" i="81"/>
  <c r="H3000" i="81"/>
  <c r="L3000" i="81" s="1"/>
  <c r="F3000" i="81"/>
  <c r="E3000" i="81"/>
  <c r="D3000" i="81"/>
  <c r="N2999" i="81"/>
  <c r="M2999" i="81"/>
  <c r="H2999" i="81"/>
  <c r="L2999" i="81" s="1"/>
  <c r="F2999" i="81"/>
  <c r="E2999" i="81"/>
  <c r="D2999" i="81"/>
  <c r="N2998" i="81"/>
  <c r="M2998" i="81"/>
  <c r="H2998" i="81"/>
  <c r="K2998" i="81" s="1"/>
  <c r="F2998" i="81"/>
  <c r="E2998" i="81"/>
  <c r="D2998" i="81"/>
  <c r="N2997" i="81"/>
  <c r="M2997" i="81"/>
  <c r="H2997" i="81"/>
  <c r="F2997" i="81"/>
  <c r="E2997" i="81"/>
  <c r="D2997" i="81"/>
  <c r="N2996" i="81"/>
  <c r="M2996" i="81"/>
  <c r="H2996" i="81"/>
  <c r="L2996" i="81" s="1"/>
  <c r="F2996" i="81"/>
  <c r="E2996" i="81"/>
  <c r="D2996" i="81"/>
  <c r="N2995" i="81"/>
  <c r="M2995" i="81"/>
  <c r="H2995" i="81"/>
  <c r="K2995" i="81" s="1"/>
  <c r="F2995" i="81"/>
  <c r="E2995" i="81"/>
  <c r="D2995" i="81"/>
  <c r="N2994" i="81"/>
  <c r="M2994" i="81"/>
  <c r="H2994" i="81"/>
  <c r="F2994" i="81"/>
  <c r="E2994" i="81"/>
  <c r="D2994" i="81"/>
  <c r="N2993" i="81"/>
  <c r="M2993" i="81"/>
  <c r="H2993" i="81"/>
  <c r="K2993" i="81" s="1"/>
  <c r="F2993" i="81"/>
  <c r="E2993" i="81"/>
  <c r="D2993" i="81"/>
  <c r="N2992" i="81"/>
  <c r="M2992" i="81"/>
  <c r="H2992" i="81"/>
  <c r="L2992" i="81" s="1"/>
  <c r="F2992" i="81"/>
  <c r="E2992" i="81"/>
  <c r="D2992" i="81"/>
  <c r="N2987" i="81"/>
  <c r="M2987" i="81"/>
  <c r="H2987" i="81"/>
  <c r="F2987" i="81"/>
  <c r="E2987" i="81"/>
  <c r="D2987" i="81"/>
  <c r="N2986" i="81"/>
  <c r="M2986" i="81"/>
  <c r="H2986" i="81"/>
  <c r="F2986" i="81"/>
  <c r="E2986" i="81"/>
  <c r="D2986" i="81"/>
  <c r="N2985" i="81"/>
  <c r="M2985" i="81"/>
  <c r="H2985" i="81"/>
  <c r="L2985" i="81" s="1"/>
  <c r="F2985" i="81"/>
  <c r="E2985" i="81"/>
  <c r="D2985" i="81"/>
  <c r="N2984" i="81"/>
  <c r="M2984" i="81"/>
  <c r="H2984" i="81"/>
  <c r="K2984" i="81" s="1"/>
  <c r="F2984" i="81"/>
  <c r="E2984" i="81"/>
  <c r="D2984" i="81"/>
  <c r="N2983" i="81"/>
  <c r="M2983" i="81"/>
  <c r="H2983" i="81"/>
  <c r="L2983" i="81" s="1"/>
  <c r="F2983" i="81"/>
  <c r="E2983" i="81"/>
  <c r="D2983" i="81"/>
  <c r="N2982" i="81"/>
  <c r="M2982" i="81"/>
  <c r="H2982" i="81"/>
  <c r="F2982" i="81"/>
  <c r="E2982" i="81"/>
  <c r="D2982" i="81"/>
  <c r="N2981" i="81"/>
  <c r="M2981" i="81"/>
  <c r="H2981" i="81"/>
  <c r="L2981" i="81" s="1"/>
  <c r="F2981" i="81"/>
  <c r="E2981" i="81"/>
  <c r="D2981" i="81"/>
  <c r="N2980" i="81"/>
  <c r="M2980" i="81"/>
  <c r="H2980" i="81"/>
  <c r="J2980" i="81" s="1"/>
  <c r="F2980" i="81"/>
  <c r="E2980" i="81"/>
  <c r="D2980" i="81"/>
  <c r="M2979" i="81"/>
  <c r="D2979" i="81"/>
  <c r="M2978" i="81"/>
  <c r="D2978" i="81"/>
  <c r="N2972" i="81"/>
  <c r="M2972" i="81"/>
  <c r="H2972" i="81"/>
  <c r="F2972" i="81"/>
  <c r="E2972" i="81"/>
  <c r="D2972" i="81"/>
  <c r="B2972" i="81"/>
  <c r="N2971" i="81"/>
  <c r="M2971" i="81"/>
  <c r="H2971" i="81"/>
  <c r="I2971" i="81" s="1"/>
  <c r="F2971" i="81"/>
  <c r="E2971" i="81"/>
  <c r="D2971" i="81"/>
  <c r="B2971" i="81"/>
  <c r="N2970" i="81"/>
  <c r="M2970" i="81"/>
  <c r="H2970" i="81"/>
  <c r="L2970" i="81" s="1"/>
  <c r="F2970" i="81"/>
  <c r="E2970" i="81"/>
  <c r="D2970" i="81"/>
  <c r="B2970" i="81"/>
  <c r="N2969" i="81"/>
  <c r="M2969" i="81"/>
  <c r="H2969" i="81"/>
  <c r="F2969" i="81"/>
  <c r="E2969" i="81"/>
  <c r="D2969" i="81"/>
  <c r="B2969" i="81"/>
  <c r="N2968" i="81"/>
  <c r="M2968" i="81"/>
  <c r="H2968" i="81"/>
  <c r="F2968" i="81"/>
  <c r="E2968" i="81"/>
  <c r="D2968" i="81"/>
  <c r="B2968" i="81"/>
  <c r="N2967" i="81"/>
  <c r="M2967" i="81"/>
  <c r="H2967" i="81"/>
  <c r="F2967" i="81"/>
  <c r="E2967" i="81"/>
  <c r="D2967" i="81"/>
  <c r="B2967" i="81"/>
  <c r="M2966" i="81"/>
  <c r="N2966" i="81" s="1"/>
  <c r="E2966" i="81"/>
  <c r="F2966" i="81" s="1"/>
  <c r="D2966" i="81"/>
  <c r="B2966" i="81"/>
  <c r="H2966" i="81"/>
  <c r="J2966" i="81" s="1"/>
  <c r="K2966" i="81" s="1"/>
  <c r="H2965" i="81"/>
  <c r="M2964" i="81"/>
  <c r="H2964" i="81"/>
  <c r="D2964" i="81"/>
  <c r="B2964" i="81"/>
  <c r="H2963" i="81"/>
  <c r="D2963" i="81"/>
  <c r="H2961" i="81"/>
  <c r="I2961" i="81" s="1"/>
  <c r="E2961" i="81"/>
  <c r="D2961" i="81"/>
  <c r="F2961" i="81"/>
  <c r="M2960" i="81"/>
  <c r="H2960" i="81"/>
  <c r="J2960" i="81" s="1"/>
  <c r="F2960" i="81"/>
  <c r="E2960" i="81"/>
  <c r="D2960" i="81"/>
  <c r="N2960" i="81"/>
  <c r="M2959" i="81"/>
  <c r="H2959" i="81"/>
  <c r="J2959" i="81" s="1"/>
  <c r="E2959" i="81"/>
  <c r="D2959" i="81"/>
  <c r="M2958" i="81"/>
  <c r="N2958" i="81" s="1"/>
  <c r="E2958" i="81"/>
  <c r="F2958" i="81" s="1"/>
  <c r="D2958" i="81"/>
  <c r="M2957" i="81"/>
  <c r="H2957" i="81"/>
  <c r="E2957" i="81"/>
  <c r="D2957" i="81"/>
  <c r="M2955" i="81"/>
  <c r="H2955" i="81"/>
  <c r="J2955" i="81" s="1"/>
  <c r="D2955" i="81"/>
  <c r="E2955" i="81"/>
  <c r="M2954" i="81"/>
  <c r="E2954" i="81"/>
  <c r="D2954" i="81"/>
  <c r="H2953" i="81"/>
  <c r="N2949" i="81"/>
  <c r="M2949" i="81"/>
  <c r="H2949" i="81"/>
  <c r="I2949" i="81" s="1"/>
  <c r="F2949" i="81"/>
  <c r="N2948" i="81"/>
  <c r="M2948" i="81"/>
  <c r="H2948" i="81"/>
  <c r="F2948" i="81"/>
  <c r="N2947" i="81"/>
  <c r="M2947" i="81"/>
  <c r="H2947" i="81"/>
  <c r="L2947" i="81" s="1"/>
  <c r="F2947" i="81"/>
  <c r="N2946" i="81"/>
  <c r="M2946" i="81"/>
  <c r="H2946" i="81"/>
  <c r="I2946" i="81" s="1"/>
  <c r="F2946" i="81"/>
  <c r="N2945" i="81"/>
  <c r="M2945" i="81"/>
  <c r="H2945" i="81"/>
  <c r="I2945" i="81" s="1"/>
  <c r="F2945" i="81"/>
  <c r="N2944" i="81"/>
  <c r="M2944" i="81"/>
  <c r="H2944" i="81"/>
  <c r="F2944" i="81"/>
  <c r="H2943" i="81"/>
  <c r="M2943" i="81"/>
  <c r="N2942" i="81"/>
  <c r="E2942" i="81"/>
  <c r="F2942" i="81" s="1"/>
  <c r="D2942" i="81"/>
  <c r="M2942" i="81"/>
  <c r="D2941" i="81"/>
  <c r="M2941" i="81"/>
  <c r="M2940" i="81"/>
  <c r="H2940" i="81"/>
  <c r="J2940" i="81" s="1"/>
  <c r="E2940" i="81"/>
  <c r="D2940" i="81"/>
  <c r="F2940" i="81"/>
  <c r="N2935" i="81"/>
  <c r="M2935" i="81"/>
  <c r="H2935" i="81"/>
  <c r="J2935" i="81" s="1"/>
  <c r="F2935" i="81"/>
  <c r="E2935" i="81"/>
  <c r="D2935" i="81"/>
  <c r="N2934" i="81"/>
  <c r="M2934" i="81"/>
  <c r="H2934" i="81"/>
  <c r="I2934" i="81" s="1"/>
  <c r="F2934" i="81"/>
  <c r="E2934" i="81"/>
  <c r="D2934" i="81"/>
  <c r="N2933" i="81"/>
  <c r="M2933" i="81"/>
  <c r="H2933" i="81"/>
  <c r="J2933" i="81" s="1"/>
  <c r="F2933" i="81"/>
  <c r="E2933" i="81"/>
  <c r="D2933" i="81"/>
  <c r="N2932" i="81"/>
  <c r="M2932" i="81"/>
  <c r="H2932" i="81"/>
  <c r="J2932" i="81" s="1"/>
  <c r="F2932" i="81"/>
  <c r="M2931" i="81"/>
  <c r="D2931" i="81"/>
  <c r="H2929" i="81"/>
  <c r="I2929" i="81" s="1"/>
  <c r="E2929" i="81"/>
  <c r="M2928" i="81"/>
  <c r="D2928" i="81"/>
  <c r="M2927" i="81"/>
  <c r="N2920" i="81"/>
  <c r="M2920" i="81"/>
  <c r="H2920" i="81"/>
  <c r="I2920" i="81" s="1"/>
  <c r="F2920" i="81"/>
  <c r="E2920" i="81"/>
  <c r="D2920" i="81"/>
  <c r="B2920" i="81"/>
  <c r="M2919" i="81"/>
  <c r="D2919" i="81"/>
  <c r="M2918" i="81"/>
  <c r="N2918" i="81" s="1"/>
  <c r="E2918" i="81"/>
  <c r="F2918" i="81" s="1"/>
  <c r="D2918" i="81"/>
  <c r="B2918" i="81"/>
  <c r="H2918" i="81"/>
  <c r="J2918" i="81" s="1"/>
  <c r="M2917" i="81"/>
  <c r="N2917" i="81" s="1"/>
  <c r="H2917" i="81"/>
  <c r="J2917" i="81" s="1"/>
  <c r="K2917" i="81" s="1"/>
  <c r="E2917" i="81"/>
  <c r="F2917" i="81" s="1"/>
  <c r="D2917" i="81"/>
  <c r="H2914" i="81"/>
  <c r="D2914" i="81"/>
  <c r="N2913" i="81"/>
  <c r="M2913" i="81"/>
  <c r="H2913" i="81"/>
  <c r="F2913" i="81"/>
  <c r="E2913" i="81"/>
  <c r="D2913" i="81"/>
  <c r="M2912" i="81"/>
  <c r="E2912" i="81"/>
  <c r="D2912" i="81"/>
  <c r="E2911" i="81"/>
  <c r="D2911" i="81"/>
  <c r="M2910" i="81"/>
  <c r="E2910" i="81"/>
  <c r="F2910" i="81" s="1"/>
  <c r="D2910" i="81"/>
  <c r="N2910" i="81"/>
  <c r="M2909" i="81"/>
  <c r="N2909" i="81" s="1"/>
  <c r="H2909" i="81"/>
  <c r="J2909" i="81" s="1"/>
  <c r="F2909" i="81"/>
  <c r="E2909" i="81"/>
  <c r="D2909" i="81"/>
  <c r="M2908" i="81"/>
  <c r="N2908" i="81" s="1"/>
  <c r="H2908" i="81"/>
  <c r="J2908" i="81" s="1"/>
  <c r="F2908" i="81"/>
  <c r="E2908" i="81"/>
  <c r="D2908" i="81"/>
  <c r="M2907" i="81"/>
  <c r="N2907" i="81" s="1"/>
  <c r="H2907" i="81"/>
  <c r="J2907" i="81" s="1"/>
  <c r="F2907" i="81"/>
  <c r="E2907" i="81"/>
  <c r="D2907" i="81"/>
  <c r="M2906" i="81"/>
  <c r="N2906" i="81" s="1"/>
  <c r="H2906" i="81"/>
  <c r="K2906" i="81" s="1"/>
  <c r="F2906" i="81"/>
  <c r="E2906" i="81"/>
  <c r="D2906" i="81"/>
  <c r="M2905" i="81"/>
  <c r="H2905" i="81"/>
  <c r="J2905" i="81" s="1"/>
  <c r="E2905" i="81"/>
  <c r="F2905" i="81" s="1"/>
  <c r="D2905" i="81"/>
  <c r="M2904" i="81"/>
  <c r="N2904" i="81" s="1"/>
  <c r="H2904" i="81"/>
  <c r="J2904" i="81" s="1"/>
  <c r="E2904" i="81"/>
  <c r="F2904" i="81" s="1"/>
  <c r="D2904" i="81"/>
  <c r="M2903" i="81"/>
  <c r="N2903" i="81" s="1"/>
  <c r="H2903" i="81"/>
  <c r="J2903" i="81" s="1"/>
  <c r="E2903" i="81"/>
  <c r="F2903" i="81" s="1"/>
  <c r="D2903" i="81"/>
  <c r="M2902" i="81"/>
  <c r="H2902" i="81"/>
  <c r="K2902" i="81" s="1"/>
  <c r="E2902" i="81"/>
  <c r="F2902" i="81" s="1"/>
  <c r="D2902" i="81"/>
  <c r="M2901" i="81"/>
  <c r="H2901" i="81"/>
  <c r="J2901" i="81" s="1"/>
  <c r="E2901" i="81"/>
  <c r="F2901" i="81" s="1"/>
  <c r="D2901" i="81"/>
  <c r="N2897" i="81"/>
  <c r="M2897" i="81"/>
  <c r="H2897" i="81"/>
  <c r="L2897" i="81" s="1"/>
  <c r="F2897" i="81"/>
  <c r="E2897" i="81"/>
  <c r="D2897" i="81"/>
  <c r="N2896" i="81"/>
  <c r="M2896" i="81"/>
  <c r="H2896" i="81"/>
  <c r="J2896" i="81" s="1"/>
  <c r="F2896" i="81"/>
  <c r="E2896" i="81"/>
  <c r="D2896" i="81"/>
  <c r="N2895" i="81"/>
  <c r="M2895" i="81"/>
  <c r="H2895" i="81"/>
  <c r="K2895" i="81" s="1"/>
  <c r="F2895" i="81"/>
  <c r="E2895" i="81"/>
  <c r="D2895" i="81"/>
  <c r="N2894" i="81"/>
  <c r="M2894" i="81"/>
  <c r="H2894" i="81"/>
  <c r="F2894" i="81"/>
  <c r="E2894" i="81"/>
  <c r="D2894" i="81"/>
  <c r="N2893" i="81"/>
  <c r="M2893" i="81"/>
  <c r="H2893" i="81"/>
  <c r="F2893" i="81"/>
  <c r="E2893" i="81"/>
  <c r="D2893" i="81"/>
  <c r="N2892" i="81"/>
  <c r="M2892" i="81"/>
  <c r="H2892" i="81"/>
  <c r="J2892" i="81" s="1"/>
  <c r="F2892" i="81"/>
  <c r="E2892" i="81"/>
  <c r="D2892" i="81"/>
  <c r="N2891" i="81"/>
  <c r="M2891" i="81"/>
  <c r="H2891" i="81"/>
  <c r="J2891" i="81" s="1"/>
  <c r="F2891" i="81"/>
  <c r="E2891" i="81"/>
  <c r="D2891" i="81"/>
  <c r="N2890" i="81"/>
  <c r="M2890" i="81"/>
  <c r="H2890" i="81"/>
  <c r="L2890" i="81" s="1"/>
  <c r="F2890" i="81"/>
  <c r="E2890" i="81"/>
  <c r="D2890" i="81"/>
  <c r="N2889" i="81"/>
  <c r="M2889" i="81"/>
  <c r="H2889" i="81"/>
  <c r="F2889" i="81"/>
  <c r="E2889" i="81"/>
  <c r="D2889" i="81"/>
  <c r="N2888" i="81"/>
  <c r="M2888" i="81"/>
  <c r="H2888" i="81"/>
  <c r="F2888" i="81"/>
  <c r="E2888" i="81"/>
  <c r="D2888" i="81"/>
  <c r="N2883" i="81"/>
  <c r="M2883" i="81"/>
  <c r="H2883" i="81"/>
  <c r="K2883" i="81" s="1"/>
  <c r="F2883" i="81"/>
  <c r="E2883" i="81"/>
  <c r="D2883" i="81"/>
  <c r="N2882" i="81"/>
  <c r="M2882" i="81"/>
  <c r="H2882" i="81"/>
  <c r="L2882" i="81" s="1"/>
  <c r="F2882" i="81"/>
  <c r="E2882" i="81"/>
  <c r="D2882" i="81"/>
  <c r="N2881" i="81"/>
  <c r="M2881" i="81"/>
  <c r="H2881" i="81"/>
  <c r="J2881" i="81" s="1"/>
  <c r="F2881" i="81"/>
  <c r="E2881" i="81"/>
  <c r="D2881" i="81"/>
  <c r="N2880" i="81"/>
  <c r="M2880" i="81"/>
  <c r="H2880" i="81"/>
  <c r="F2880" i="81"/>
  <c r="E2880" i="81"/>
  <c r="D2880" i="81"/>
  <c r="N2879" i="81"/>
  <c r="M2879" i="81"/>
  <c r="H2879" i="81"/>
  <c r="I2879" i="81" s="1"/>
  <c r="F2879" i="81"/>
  <c r="E2879" i="81"/>
  <c r="D2879" i="81"/>
  <c r="N2878" i="81"/>
  <c r="M2878" i="81"/>
  <c r="H2878" i="81"/>
  <c r="L2878" i="81" s="1"/>
  <c r="F2878" i="81"/>
  <c r="E2878" i="81"/>
  <c r="D2878" i="81"/>
  <c r="N2877" i="81"/>
  <c r="M2877" i="81"/>
  <c r="H2877" i="81"/>
  <c r="L2877" i="81" s="1"/>
  <c r="F2877" i="81"/>
  <c r="E2877" i="81"/>
  <c r="D2877" i="81"/>
  <c r="M2876" i="81"/>
  <c r="N2876" i="81" s="1"/>
  <c r="D2876" i="81"/>
  <c r="M2875" i="81"/>
  <c r="N2875" i="81" s="1"/>
  <c r="D2875" i="81"/>
  <c r="M2874" i="81"/>
  <c r="M2868" i="81"/>
  <c r="H2868" i="81"/>
  <c r="M2867" i="81"/>
  <c r="H2867" i="81"/>
  <c r="D2867" i="81"/>
  <c r="M2865" i="81"/>
  <c r="H2865" i="81"/>
  <c r="M2864" i="81"/>
  <c r="H2864" i="81"/>
  <c r="D2864" i="81"/>
  <c r="M2862" i="81"/>
  <c r="H2862" i="81"/>
  <c r="M2861" i="81"/>
  <c r="H2861" i="81"/>
  <c r="D2861" i="81"/>
  <c r="M2859" i="81"/>
  <c r="H2859" i="81"/>
  <c r="M2858" i="81"/>
  <c r="H2858" i="81"/>
  <c r="D2858" i="81"/>
  <c r="M2856" i="81"/>
  <c r="H2856" i="81"/>
  <c r="J2856" i="81" s="1"/>
  <c r="D2856" i="81"/>
  <c r="M2855" i="81"/>
  <c r="H2855" i="81"/>
  <c r="J2855" i="81" s="1"/>
  <c r="D2855" i="81"/>
  <c r="H2854" i="81"/>
  <c r="J2854" i="81" s="1"/>
  <c r="D2854" i="81"/>
  <c r="N2851" i="81"/>
  <c r="M2851" i="81"/>
  <c r="H2851" i="81"/>
  <c r="E2851" i="81"/>
  <c r="M2850" i="81"/>
  <c r="D2849" i="81"/>
  <c r="N2845" i="81"/>
  <c r="M2845" i="81"/>
  <c r="H2845" i="81"/>
  <c r="F2845" i="81"/>
  <c r="E2845" i="81"/>
  <c r="D2845" i="81"/>
  <c r="N2844" i="81"/>
  <c r="M2844" i="81"/>
  <c r="H2844" i="81"/>
  <c r="F2844" i="81"/>
  <c r="E2844" i="81"/>
  <c r="D2844" i="81"/>
  <c r="N2843" i="81"/>
  <c r="M2843" i="81"/>
  <c r="H2843" i="81"/>
  <c r="J2843" i="81" s="1"/>
  <c r="F2843" i="81"/>
  <c r="E2843" i="81"/>
  <c r="D2843" i="81"/>
  <c r="N2842" i="81"/>
  <c r="M2842" i="81"/>
  <c r="H2842" i="81"/>
  <c r="I2842" i="81" s="1"/>
  <c r="F2842" i="81"/>
  <c r="E2842" i="81"/>
  <c r="D2842" i="81"/>
  <c r="N2841" i="81"/>
  <c r="M2841" i="81"/>
  <c r="H2841" i="81"/>
  <c r="J2841" i="81" s="1"/>
  <c r="F2841" i="81"/>
  <c r="E2841" i="81"/>
  <c r="D2841" i="81"/>
  <c r="N2840" i="81"/>
  <c r="M2840" i="81"/>
  <c r="H2840" i="81"/>
  <c r="F2840" i="81"/>
  <c r="E2840" i="81"/>
  <c r="D2840" i="81"/>
  <c r="N2839" i="81"/>
  <c r="M2839" i="81"/>
  <c r="H2839" i="81"/>
  <c r="L2839" i="81" s="1"/>
  <c r="F2839" i="81"/>
  <c r="E2839" i="81"/>
  <c r="D2839" i="81"/>
  <c r="N2838" i="81"/>
  <c r="M2838" i="81"/>
  <c r="H2838" i="81"/>
  <c r="F2838" i="81"/>
  <c r="E2838" i="81"/>
  <c r="D2838" i="81"/>
  <c r="N2837" i="81"/>
  <c r="M2837" i="81"/>
  <c r="H2837" i="81"/>
  <c r="J2837" i="81" s="1"/>
  <c r="F2837" i="81"/>
  <c r="E2837" i="81"/>
  <c r="D2837" i="81"/>
  <c r="N2836" i="81"/>
  <c r="M2836" i="81"/>
  <c r="H2836" i="81"/>
  <c r="I2836" i="81" s="1"/>
  <c r="F2836" i="81"/>
  <c r="E2836" i="81"/>
  <c r="D2836" i="81"/>
  <c r="N2831" i="81"/>
  <c r="M2831" i="81"/>
  <c r="H2831" i="81"/>
  <c r="I2831" i="81" s="1"/>
  <c r="F2831" i="81"/>
  <c r="E2831" i="81"/>
  <c r="D2831" i="81"/>
  <c r="N2830" i="81"/>
  <c r="M2830" i="81"/>
  <c r="H2830" i="81"/>
  <c r="L2830" i="81" s="1"/>
  <c r="F2830" i="81"/>
  <c r="E2830" i="81"/>
  <c r="D2830" i="81"/>
  <c r="N2829" i="81"/>
  <c r="M2829" i="81"/>
  <c r="H2829" i="81"/>
  <c r="J2829" i="81" s="1"/>
  <c r="F2829" i="81"/>
  <c r="E2829" i="81"/>
  <c r="D2829" i="81"/>
  <c r="N2828" i="81"/>
  <c r="M2828" i="81"/>
  <c r="H2828" i="81"/>
  <c r="I2828" i="81" s="1"/>
  <c r="F2828" i="81"/>
  <c r="E2828" i="81"/>
  <c r="D2828" i="81"/>
  <c r="N2827" i="81"/>
  <c r="M2827" i="81"/>
  <c r="H2827" i="81"/>
  <c r="L2827" i="81" s="1"/>
  <c r="F2827" i="81"/>
  <c r="E2827" i="81"/>
  <c r="D2827" i="81"/>
  <c r="N2826" i="81"/>
  <c r="M2826" i="81"/>
  <c r="H2826" i="81"/>
  <c r="L2826" i="81" s="1"/>
  <c r="F2826" i="81"/>
  <c r="E2826" i="81"/>
  <c r="D2826" i="81"/>
  <c r="N2825" i="81"/>
  <c r="M2825" i="81"/>
  <c r="H2825" i="81"/>
  <c r="K2825" i="81" s="1"/>
  <c r="F2825" i="81"/>
  <c r="E2825" i="81"/>
  <c r="D2825" i="81"/>
  <c r="M2824" i="81"/>
  <c r="N2824" i="81" s="1"/>
  <c r="D2824" i="81"/>
  <c r="D2823" i="81"/>
  <c r="M2823" i="81"/>
  <c r="N1412" i="81"/>
  <c r="M1412" i="81"/>
  <c r="H1412" i="81"/>
  <c r="F1412" i="81"/>
  <c r="E1412" i="81"/>
  <c r="D1412" i="81"/>
  <c r="B1412" i="81"/>
  <c r="N1411" i="81"/>
  <c r="M1411" i="81"/>
  <c r="H1411" i="81"/>
  <c r="F1411" i="81"/>
  <c r="E1411" i="81"/>
  <c r="D1411" i="81"/>
  <c r="B1411" i="81"/>
  <c r="N1410" i="81"/>
  <c r="M1410" i="81"/>
  <c r="H1410" i="81"/>
  <c r="I1410" i="81" s="1"/>
  <c r="F1410" i="81"/>
  <c r="E1410" i="81"/>
  <c r="D1410" i="81"/>
  <c r="B1410" i="81"/>
  <c r="E1408" i="81"/>
  <c r="D1408" i="81"/>
  <c r="E1407" i="81"/>
  <c r="D1407" i="81"/>
  <c r="E1405" i="81"/>
  <c r="D1405" i="81"/>
  <c r="E1404" i="81"/>
  <c r="D1404" i="81"/>
  <c r="E1402" i="81"/>
  <c r="D1402" i="81"/>
  <c r="E1401" i="81"/>
  <c r="D1401" i="81"/>
  <c r="E1399" i="81"/>
  <c r="D1399" i="81"/>
  <c r="E1398" i="81"/>
  <c r="D1398" i="81"/>
  <c r="E1396" i="81"/>
  <c r="E1395" i="81"/>
  <c r="E1394" i="81"/>
  <c r="E1393" i="81"/>
  <c r="D1393" i="81"/>
  <c r="N1389" i="81"/>
  <c r="M1389" i="81"/>
  <c r="H1389" i="81"/>
  <c r="J1389" i="81" s="1"/>
  <c r="F1389" i="81"/>
  <c r="E1389" i="81"/>
  <c r="D1389" i="81"/>
  <c r="N1388" i="81"/>
  <c r="M1388" i="81"/>
  <c r="H1388" i="81"/>
  <c r="I1388" i="81" s="1"/>
  <c r="F1388" i="81"/>
  <c r="E1388" i="81"/>
  <c r="D1388" i="81"/>
  <c r="N1387" i="81"/>
  <c r="M1387" i="81"/>
  <c r="H1387" i="81"/>
  <c r="F1387" i="81"/>
  <c r="E1387" i="81"/>
  <c r="D1387" i="81"/>
  <c r="N1386" i="81"/>
  <c r="M1386" i="81"/>
  <c r="H1386" i="81"/>
  <c r="I1386" i="81" s="1"/>
  <c r="F1386" i="81"/>
  <c r="E1386" i="81"/>
  <c r="D1386" i="81"/>
  <c r="N1385" i="81"/>
  <c r="M1385" i="81"/>
  <c r="H1385" i="81"/>
  <c r="L1385" i="81" s="1"/>
  <c r="F1385" i="81"/>
  <c r="E1385" i="81"/>
  <c r="D1385" i="81"/>
  <c r="N1384" i="81"/>
  <c r="M1384" i="81"/>
  <c r="H1384" i="81"/>
  <c r="L1384" i="81" s="1"/>
  <c r="F1384" i="81"/>
  <c r="E1384" i="81"/>
  <c r="D1384" i="81"/>
  <c r="N1383" i="81"/>
  <c r="M1383" i="81"/>
  <c r="H1383" i="81"/>
  <c r="K1383" i="81" s="1"/>
  <c r="F1383" i="81"/>
  <c r="E1383" i="81"/>
  <c r="D1383" i="81"/>
  <c r="N1382" i="81"/>
  <c r="M1382" i="81"/>
  <c r="H1382" i="81"/>
  <c r="J1382" i="81" s="1"/>
  <c r="F1382" i="81"/>
  <c r="E1382" i="81"/>
  <c r="D1382" i="81"/>
  <c r="N1381" i="81"/>
  <c r="M1381" i="81"/>
  <c r="H1381" i="81"/>
  <c r="F1381" i="81"/>
  <c r="E1381" i="81"/>
  <c r="D1381" i="81"/>
  <c r="N1380" i="81"/>
  <c r="M1380" i="81"/>
  <c r="H1380" i="81"/>
  <c r="L1380" i="81" s="1"/>
  <c r="F1380" i="81"/>
  <c r="E1380" i="81"/>
  <c r="D1380" i="81"/>
  <c r="N1375" i="81"/>
  <c r="M1375" i="81"/>
  <c r="H1375" i="81"/>
  <c r="I1375" i="81" s="1"/>
  <c r="F1375" i="81"/>
  <c r="E1375" i="81"/>
  <c r="D1375" i="81"/>
  <c r="N1374" i="81"/>
  <c r="M1374" i="81"/>
  <c r="H1374" i="81"/>
  <c r="L1374" i="81" s="1"/>
  <c r="F1374" i="81"/>
  <c r="E1374" i="81"/>
  <c r="D1374" i="81"/>
  <c r="N1373" i="81"/>
  <c r="M1373" i="81"/>
  <c r="H1373" i="81"/>
  <c r="L1373" i="81" s="1"/>
  <c r="F1373" i="81"/>
  <c r="E1373" i="81"/>
  <c r="D1373" i="81"/>
  <c r="N1372" i="81"/>
  <c r="M1372" i="81"/>
  <c r="H1372" i="81"/>
  <c r="K1372" i="81" s="1"/>
  <c r="F1372" i="81"/>
  <c r="E1372" i="81"/>
  <c r="D1372" i="81"/>
  <c r="N1371" i="81"/>
  <c r="M1371" i="81"/>
  <c r="H1371" i="81"/>
  <c r="J1371" i="81" s="1"/>
  <c r="F1371" i="81"/>
  <c r="E1371" i="81"/>
  <c r="D1371" i="81"/>
  <c r="N1370" i="81"/>
  <c r="M1370" i="81"/>
  <c r="H1370" i="81"/>
  <c r="K1370" i="81" s="1"/>
  <c r="F1370" i="81"/>
  <c r="E1370" i="81"/>
  <c r="D1370" i="81"/>
  <c r="N1369" i="81"/>
  <c r="M1369" i="81"/>
  <c r="H1369" i="81"/>
  <c r="K1369" i="81" s="1"/>
  <c r="F1369" i="81"/>
  <c r="E1369" i="81"/>
  <c r="D1369" i="81"/>
  <c r="N1368" i="81"/>
  <c r="M1368" i="81"/>
  <c r="H1368" i="81"/>
  <c r="L1368" i="81" s="1"/>
  <c r="F1368" i="81"/>
  <c r="E1368" i="81"/>
  <c r="D1368" i="81"/>
  <c r="M1367" i="81"/>
  <c r="D1367" i="81"/>
  <c r="M1366" i="81"/>
  <c r="D1366" i="81"/>
  <c r="N2764" i="81"/>
  <c r="M2764" i="81"/>
  <c r="H2764" i="81"/>
  <c r="I2764" i="81" s="1"/>
  <c r="F2764" i="81"/>
  <c r="E2764" i="81"/>
  <c r="D2764" i="81"/>
  <c r="B2764" i="81"/>
  <c r="N2763" i="81"/>
  <c r="M2763" i="81"/>
  <c r="H2763" i="81"/>
  <c r="L2763" i="81" s="1"/>
  <c r="F2763" i="81"/>
  <c r="E2763" i="81"/>
  <c r="D2763" i="81"/>
  <c r="B2763" i="81"/>
  <c r="N2762" i="81"/>
  <c r="M2762" i="81"/>
  <c r="H2762" i="81"/>
  <c r="F2762" i="81"/>
  <c r="E2762" i="81"/>
  <c r="D2762" i="81"/>
  <c r="B2762" i="81"/>
  <c r="N2761" i="81"/>
  <c r="M2761" i="81"/>
  <c r="H2761" i="81"/>
  <c r="I2761" i="81" s="1"/>
  <c r="F2761" i="81"/>
  <c r="E2761" i="81"/>
  <c r="D2761" i="81"/>
  <c r="E2760" i="81"/>
  <c r="D2760" i="81"/>
  <c r="E2759" i="81"/>
  <c r="D2759" i="81"/>
  <c r="D2758" i="81"/>
  <c r="E2757" i="81"/>
  <c r="D2756" i="81"/>
  <c r="E2755" i="81"/>
  <c r="D2755" i="81"/>
  <c r="E2754" i="81"/>
  <c r="E2753" i="81"/>
  <c r="E2749" i="81"/>
  <c r="D2749" i="81"/>
  <c r="E2748" i="81"/>
  <c r="D2748" i="81"/>
  <c r="E2747" i="81"/>
  <c r="D2747" i="81"/>
  <c r="D2746" i="81"/>
  <c r="E2745" i="81"/>
  <c r="N2741" i="81"/>
  <c r="M2741" i="81"/>
  <c r="H2741" i="81"/>
  <c r="J2741" i="81" s="1"/>
  <c r="F2741" i="81"/>
  <c r="E2741" i="81"/>
  <c r="D2741" i="81"/>
  <c r="N2740" i="81"/>
  <c r="M2740" i="81"/>
  <c r="H2740" i="81"/>
  <c r="I2740" i="81" s="1"/>
  <c r="F2740" i="81"/>
  <c r="E2740" i="81"/>
  <c r="D2740" i="81"/>
  <c r="N2739" i="81"/>
  <c r="M2739" i="81"/>
  <c r="H2739" i="81"/>
  <c r="F2739" i="81"/>
  <c r="E2739" i="81"/>
  <c r="D2739" i="81"/>
  <c r="N2738" i="81"/>
  <c r="M2738" i="81"/>
  <c r="H2738" i="81"/>
  <c r="I2738" i="81" s="1"/>
  <c r="F2738" i="81"/>
  <c r="E2738" i="81"/>
  <c r="D2738" i="81"/>
  <c r="N2737" i="81"/>
  <c r="M2737" i="81"/>
  <c r="H2737" i="81"/>
  <c r="L2737" i="81" s="1"/>
  <c r="F2737" i="81"/>
  <c r="E2737" i="81"/>
  <c r="D2737" i="81"/>
  <c r="N2736" i="81"/>
  <c r="M2736" i="81"/>
  <c r="H2736" i="81"/>
  <c r="F2736" i="81"/>
  <c r="E2736" i="81"/>
  <c r="D2736" i="81"/>
  <c r="N2735" i="81"/>
  <c r="M2735" i="81"/>
  <c r="H2735" i="81"/>
  <c r="K2735" i="81" s="1"/>
  <c r="F2735" i="81"/>
  <c r="E2735" i="81"/>
  <c r="D2735" i="81"/>
  <c r="N2734" i="81"/>
  <c r="M2734" i="81"/>
  <c r="H2734" i="81"/>
  <c r="J2734" i="81" s="1"/>
  <c r="F2734" i="81"/>
  <c r="E2734" i="81"/>
  <c r="D2734" i="81"/>
  <c r="N2733" i="81"/>
  <c r="M2733" i="81"/>
  <c r="H2733" i="81"/>
  <c r="I2733" i="81" s="1"/>
  <c r="F2733" i="81"/>
  <c r="E2733" i="81"/>
  <c r="D2733" i="81"/>
  <c r="N2732" i="81"/>
  <c r="M2732" i="81"/>
  <c r="H2732" i="81"/>
  <c r="L2732" i="81" s="1"/>
  <c r="F2732" i="81"/>
  <c r="E2732" i="81"/>
  <c r="D2732" i="81"/>
  <c r="N2727" i="81"/>
  <c r="M2727" i="81"/>
  <c r="H2727" i="81"/>
  <c r="I2727" i="81" s="1"/>
  <c r="F2727" i="81"/>
  <c r="E2727" i="81"/>
  <c r="D2727" i="81"/>
  <c r="N2726" i="81"/>
  <c r="M2726" i="81"/>
  <c r="H2726" i="81"/>
  <c r="L2726" i="81" s="1"/>
  <c r="F2726" i="81"/>
  <c r="E2726" i="81"/>
  <c r="D2726" i="81"/>
  <c r="M2725" i="81"/>
  <c r="N2725" i="81" s="1"/>
  <c r="M2724" i="81"/>
  <c r="H2724" i="81"/>
  <c r="M2723" i="81"/>
  <c r="D2723" i="81"/>
  <c r="M2722" i="81"/>
  <c r="N2722" i="81" s="1"/>
  <c r="M2721" i="81"/>
  <c r="H2721" i="81"/>
  <c r="M2720" i="81"/>
  <c r="D2720" i="81"/>
  <c r="M2719" i="81"/>
  <c r="N2719" i="81" s="1"/>
  <c r="M2718" i="81"/>
  <c r="N2712" i="81"/>
  <c r="M2712" i="81"/>
  <c r="H2712" i="81"/>
  <c r="L2712" i="81" s="1"/>
  <c r="F2712" i="81"/>
  <c r="E2712" i="81"/>
  <c r="D2712" i="81"/>
  <c r="B2712" i="81"/>
  <c r="N2711" i="81"/>
  <c r="M2711" i="81"/>
  <c r="H2711" i="81"/>
  <c r="K2711" i="81" s="1"/>
  <c r="F2711" i="81"/>
  <c r="E2711" i="81"/>
  <c r="D2711" i="81"/>
  <c r="B2711" i="81"/>
  <c r="N2710" i="81"/>
  <c r="M2710" i="81"/>
  <c r="H2710" i="81"/>
  <c r="J2710" i="81" s="1"/>
  <c r="F2710" i="81"/>
  <c r="E2710" i="81"/>
  <c r="D2710" i="81"/>
  <c r="B2710" i="81"/>
  <c r="N2709" i="81"/>
  <c r="M2709" i="81"/>
  <c r="H2709" i="81"/>
  <c r="I2709" i="81" s="1"/>
  <c r="F2709" i="81"/>
  <c r="E2709" i="81"/>
  <c r="D2709" i="81"/>
  <c r="N2708" i="81"/>
  <c r="M2708" i="81"/>
  <c r="H2708" i="81"/>
  <c r="K2708" i="81" s="1"/>
  <c r="F2708" i="81"/>
  <c r="E2708" i="81"/>
  <c r="D2708" i="81"/>
  <c r="N2707" i="81"/>
  <c r="M2707" i="81"/>
  <c r="H2707" i="81"/>
  <c r="K2707" i="81" s="1"/>
  <c r="F2707" i="81"/>
  <c r="E2707" i="81"/>
  <c r="D2707" i="81"/>
  <c r="N2706" i="81"/>
  <c r="M2706" i="81"/>
  <c r="H2706" i="81"/>
  <c r="L2706" i="81" s="1"/>
  <c r="F2706" i="81"/>
  <c r="E2706" i="81"/>
  <c r="D2706" i="81"/>
  <c r="N2705" i="81"/>
  <c r="M2705" i="81"/>
  <c r="H2705" i="81"/>
  <c r="J2705" i="81" s="1"/>
  <c r="F2705" i="81"/>
  <c r="E2705" i="81"/>
  <c r="D2705" i="81"/>
  <c r="N2704" i="81"/>
  <c r="M2704" i="81"/>
  <c r="H2704" i="81"/>
  <c r="L2704" i="81" s="1"/>
  <c r="F2704" i="81"/>
  <c r="E2704" i="81"/>
  <c r="D2704" i="81"/>
  <c r="N2703" i="81"/>
  <c r="M2703" i="81"/>
  <c r="H2703" i="81"/>
  <c r="L2703" i="81" s="1"/>
  <c r="F2703" i="81"/>
  <c r="E2703" i="81"/>
  <c r="D2703" i="81"/>
  <c r="N2702" i="81"/>
  <c r="M2702" i="81"/>
  <c r="H2702" i="81"/>
  <c r="I2702" i="81" s="1"/>
  <c r="F2702" i="81"/>
  <c r="E2702" i="81"/>
  <c r="D2702" i="81"/>
  <c r="N2701" i="81"/>
  <c r="M2701" i="81"/>
  <c r="H2701" i="81"/>
  <c r="J2701" i="81" s="1"/>
  <c r="F2701" i="81"/>
  <c r="E2701" i="81"/>
  <c r="D2701" i="81"/>
  <c r="N2700" i="81"/>
  <c r="M2700" i="81"/>
  <c r="H2700" i="81"/>
  <c r="L2700" i="81" s="1"/>
  <c r="F2700" i="81"/>
  <c r="E2700" i="81"/>
  <c r="D2700" i="81"/>
  <c r="N2699" i="81"/>
  <c r="M2699" i="81"/>
  <c r="H2699" i="81"/>
  <c r="K2699" i="81" s="1"/>
  <c r="F2699" i="81"/>
  <c r="E2699" i="81"/>
  <c r="D2699" i="81"/>
  <c r="N2698" i="81"/>
  <c r="M2698" i="81"/>
  <c r="H2698" i="81"/>
  <c r="J2698" i="81" s="1"/>
  <c r="F2698" i="81"/>
  <c r="E2698" i="81"/>
  <c r="D2698" i="81"/>
  <c r="N2697" i="81"/>
  <c r="M2697" i="81"/>
  <c r="H2697" i="81"/>
  <c r="I2697" i="81" s="1"/>
  <c r="F2697" i="81"/>
  <c r="M2696" i="81"/>
  <c r="E2696" i="81"/>
  <c r="D2696" i="81"/>
  <c r="M2693" i="81"/>
  <c r="N2689" i="81"/>
  <c r="M2689" i="81"/>
  <c r="H2689" i="81"/>
  <c r="J2689" i="81" s="1"/>
  <c r="F2689" i="81"/>
  <c r="E2689" i="81"/>
  <c r="D2689" i="81"/>
  <c r="N2688" i="81"/>
  <c r="M2688" i="81"/>
  <c r="H2688" i="81"/>
  <c r="L2688" i="81" s="1"/>
  <c r="F2688" i="81"/>
  <c r="E2688" i="81"/>
  <c r="D2688" i="81"/>
  <c r="N2687" i="81"/>
  <c r="M2687" i="81"/>
  <c r="H2687" i="81"/>
  <c r="K2687" i="81" s="1"/>
  <c r="F2687" i="81"/>
  <c r="E2687" i="81"/>
  <c r="D2687" i="81"/>
  <c r="N2686" i="81"/>
  <c r="M2686" i="81"/>
  <c r="H2686" i="81"/>
  <c r="L2686" i="81" s="1"/>
  <c r="F2686" i="81"/>
  <c r="E2686" i="81"/>
  <c r="D2686" i="81"/>
  <c r="N2685" i="81"/>
  <c r="M2685" i="81"/>
  <c r="H2685" i="81"/>
  <c r="K2685" i="81" s="1"/>
  <c r="F2685" i="81"/>
  <c r="E2685" i="81"/>
  <c r="D2685" i="81"/>
  <c r="N2684" i="81"/>
  <c r="M2684" i="81"/>
  <c r="H2684" i="81"/>
  <c r="J2684" i="81" s="1"/>
  <c r="F2684" i="81"/>
  <c r="E2684" i="81"/>
  <c r="D2684" i="81"/>
  <c r="N2683" i="81"/>
  <c r="M2683" i="81"/>
  <c r="H2683" i="81"/>
  <c r="L2683" i="81" s="1"/>
  <c r="F2683" i="81"/>
  <c r="E2683" i="81"/>
  <c r="D2683" i="81"/>
  <c r="N2682" i="81"/>
  <c r="M2682" i="81"/>
  <c r="H2682" i="81"/>
  <c r="K2682" i="81" s="1"/>
  <c r="F2682" i="81"/>
  <c r="E2682" i="81"/>
  <c r="D2682" i="81"/>
  <c r="N2681" i="81"/>
  <c r="M2681" i="81"/>
  <c r="H2681" i="81"/>
  <c r="J2681" i="81" s="1"/>
  <c r="F2681" i="81"/>
  <c r="E2681" i="81"/>
  <c r="D2681" i="81"/>
  <c r="N2680" i="81"/>
  <c r="M2680" i="81"/>
  <c r="H2680" i="81"/>
  <c r="I2680" i="81" s="1"/>
  <c r="F2680" i="81"/>
  <c r="E2680" i="81"/>
  <c r="D2680" i="81"/>
  <c r="N2675" i="81"/>
  <c r="M2675" i="81"/>
  <c r="H2675" i="81"/>
  <c r="K2675" i="81" s="1"/>
  <c r="F2675" i="81"/>
  <c r="E2675" i="81"/>
  <c r="D2675" i="81"/>
  <c r="N2674" i="81"/>
  <c r="M2674" i="81"/>
  <c r="H2674" i="81"/>
  <c r="J2674" i="81" s="1"/>
  <c r="F2674" i="81"/>
  <c r="E2674" i="81"/>
  <c r="D2674" i="81"/>
  <c r="N2673" i="81"/>
  <c r="M2673" i="81"/>
  <c r="H2673" i="81"/>
  <c r="I2673" i="81" s="1"/>
  <c r="F2673" i="81"/>
  <c r="E2673" i="81"/>
  <c r="D2673" i="81"/>
  <c r="N2672" i="81"/>
  <c r="M2672" i="81"/>
  <c r="H2672" i="81"/>
  <c r="L2672" i="81" s="1"/>
  <c r="F2672" i="81"/>
  <c r="E2672" i="81"/>
  <c r="D2672" i="81"/>
  <c r="N2671" i="81"/>
  <c r="M2671" i="81"/>
  <c r="H2671" i="81"/>
  <c r="J2671" i="81" s="1"/>
  <c r="F2671" i="81"/>
  <c r="E2671" i="81"/>
  <c r="D2671" i="81"/>
  <c r="N2670" i="81"/>
  <c r="M2670" i="81"/>
  <c r="H2670" i="81"/>
  <c r="L2670" i="81" s="1"/>
  <c r="F2670" i="81"/>
  <c r="E2670" i="81"/>
  <c r="D2670" i="81"/>
  <c r="N2669" i="81"/>
  <c r="M2669" i="81"/>
  <c r="H2669" i="81"/>
  <c r="K2669" i="81" s="1"/>
  <c r="F2669" i="81"/>
  <c r="E2669" i="81"/>
  <c r="D2669" i="81"/>
  <c r="D2667" i="81"/>
  <c r="D2666" i="81"/>
  <c r="N2660" i="81"/>
  <c r="M2660" i="81"/>
  <c r="H2660" i="81"/>
  <c r="K2660" i="81" s="1"/>
  <c r="F2660" i="81"/>
  <c r="E2660" i="81"/>
  <c r="D2660" i="81"/>
  <c r="B2660" i="81"/>
  <c r="N2659" i="81"/>
  <c r="M2659" i="81"/>
  <c r="H2659" i="81"/>
  <c r="L2659" i="81" s="1"/>
  <c r="F2659" i="81"/>
  <c r="E2659" i="81"/>
  <c r="D2659" i="81"/>
  <c r="B2659" i="81"/>
  <c r="N2658" i="81"/>
  <c r="M2658" i="81"/>
  <c r="H2658" i="81"/>
  <c r="K2658" i="81" s="1"/>
  <c r="F2658" i="81"/>
  <c r="E2658" i="81"/>
  <c r="D2658" i="81"/>
  <c r="B2658" i="81"/>
  <c r="N2657" i="81"/>
  <c r="M2657" i="81"/>
  <c r="H2657" i="81"/>
  <c r="L2657" i="81" s="1"/>
  <c r="F2657" i="81"/>
  <c r="E2657" i="81"/>
  <c r="D2657" i="81"/>
  <c r="N2656" i="81"/>
  <c r="M2656" i="81"/>
  <c r="H2656" i="81"/>
  <c r="L2656" i="81" s="1"/>
  <c r="F2656" i="81"/>
  <c r="E2656" i="81"/>
  <c r="D2656" i="81"/>
  <c r="N2655" i="81"/>
  <c r="M2655" i="81"/>
  <c r="H2655" i="81"/>
  <c r="L2655" i="81" s="1"/>
  <c r="F2655" i="81"/>
  <c r="E2655" i="81"/>
  <c r="D2655" i="81"/>
  <c r="N2654" i="81"/>
  <c r="M2654" i="81"/>
  <c r="H2654" i="81"/>
  <c r="K2654" i="81" s="1"/>
  <c r="F2654" i="81"/>
  <c r="E2654" i="81"/>
  <c r="D2654" i="81"/>
  <c r="N2653" i="81"/>
  <c r="M2653" i="81"/>
  <c r="H2653" i="81"/>
  <c r="J2653" i="81" s="1"/>
  <c r="F2653" i="81"/>
  <c r="E2653" i="81"/>
  <c r="D2653" i="81"/>
  <c r="N2652" i="81"/>
  <c r="M2652" i="81"/>
  <c r="H2652" i="81"/>
  <c r="I2652" i="81" s="1"/>
  <c r="F2652" i="81"/>
  <c r="E2652" i="81"/>
  <c r="D2652" i="81"/>
  <c r="N2651" i="81"/>
  <c r="M2651" i="81"/>
  <c r="H2651" i="81"/>
  <c r="L2651" i="81" s="1"/>
  <c r="F2651" i="81"/>
  <c r="E2651" i="81"/>
  <c r="D2651" i="81"/>
  <c r="N2650" i="81"/>
  <c r="M2650" i="81"/>
  <c r="H2650" i="81"/>
  <c r="J2650" i="81" s="1"/>
  <c r="F2650" i="81"/>
  <c r="E2650" i="81"/>
  <c r="D2650" i="81"/>
  <c r="N2649" i="81"/>
  <c r="M2649" i="81"/>
  <c r="H2649" i="81"/>
  <c r="L2649" i="81" s="1"/>
  <c r="F2649" i="81"/>
  <c r="E2649" i="81"/>
  <c r="D2649" i="81"/>
  <c r="N2648" i="81"/>
  <c r="M2648" i="81"/>
  <c r="H2648" i="81"/>
  <c r="K2648" i="81" s="1"/>
  <c r="F2648" i="81"/>
  <c r="E2648" i="81"/>
  <c r="D2648" i="81"/>
  <c r="N2647" i="81"/>
  <c r="M2647" i="81"/>
  <c r="H2647" i="81"/>
  <c r="F2647" i="81"/>
  <c r="E2647" i="81"/>
  <c r="D2647" i="81"/>
  <c r="N2646" i="81"/>
  <c r="M2646" i="81"/>
  <c r="H2646" i="81"/>
  <c r="K2646" i="81" s="1"/>
  <c r="F2646" i="81"/>
  <c r="E2646" i="81"/>
  <c r="D2646" i="81"/>
  <c r="N2645" i="81"/>
  <c r="M2645" i="81"/>
  <c r="H2645" i="81"/>
  <c r="J2645" i="81" s="1"/>
  <c r="F2645" i="81"/>
  <c r="E2645" i="81"/>
  <c r="D2645" i="81"/>
  <c r="N2644" i="81"/>
  <c r="M2644" i="81"/>
  <c r="H2644" i="81"/>
  <c r="L2644" i="81" s="1"/>
  <c r="F2644" i="81"/>
  <c r="E2644" i="81"/>
  <c r="D2644" i="81"/>
  <c r="N2643" i="81"/>
  <c r="M2643" i="81"/>
  <c r="H2643" i="81"/>
  <c r="L2643" i="81" s="1"/>
  <c r="F2643" i="81"/>
  <c r="E2643" i="81"/>
  <c r="D2643" i="81"/>
  <c r="N2642" i="81"/>
  <c r="M2642" i="81"/>
  <c r="H2642" i="81"/>
  <c r="K2642" i="81" s="1"/>
  <c r="F2642" i="81"/>
  <c r="E2642" i="81"/>
  <c r="D2642" i="81"/>
  <c r="M2641" i="81"/>
  <c r="H2641" i="81"/>
  <c r="E2641" i="81"/>
  <c r="F2641" i="81" s="1"/>
  <c r="D2641" i="81"/>
  <c r="N2637" i="81"/>
  <c r="M2637" i="81"/>
  <c r="H2637" i="81"/>
  <c r="L2637" i="81" s="1"/>
  <c r="F2637" i="81"/>
  <c r="E2637" i="81"/>
  <c r="D2637" i="81"/>
  <c r="N2636" i="81"/>
  <c r="M2636" i="81"/>
  <c r="H2636" i="81"/>
  <c r="L2636" i="81" s="1"/>
  <c r="F2636" i="81"/>
  <c r="E2636" i="81"/>
  <c r="D2636" i="81"/>
  <c r="N2635" i="81"/>
  <c r="M2635" i="81"/>
  <c r="H2635" i="81"/>
  <c r="K2635" i="81" s="1"/>
  <c r="F2635" i="81"/>
  <c r="E2635" i="81"/>
  <c r="D2635" i="81"/>
  <c r="N2634" i="81"/>
  <c r="M2634" i="81"/>
  <c r="H2634" i="81"/>
  <c r="F2634" i="81"/>
  <c r="E2634" i="81"/>
  <c r="D2634" i="81"/>
  <c r="N2633" i="81"/>
  <c r="M2633" i="81"/>
  <c r="H2633" i="81"/>
  <c r="I2633" i="81" s="1"/>
  <c r="F2633" i="81"/>
  <c r="N2632" i="81"/>
  <c r="M2632" i="81"/>
  <c r="H2632" i="81"/>
  <c r="K2632" i="81" s="1"/>
  <c r="F2632" i="81"/>
  <c r="N2631" i="81"/>
  <c r="M2631" i="81"/>
  <c r="H2631" i="81"/>
  <c r="L2631" i="81" s="1"/>
  <c r="F2631" i="81"/>
  <c r="N2630" i="81"/>
  <c r="M2630" i="81"/>
  <c r="H2630" i="81"/>
  <c r="I2630" i="81" s="1"/>
  <c r="F2630" i="81"/>
  <c r="D2629" i="81"/>
  <c r="M2628" i="81"/>
  <c r="H2628" i="81"/>
  <c r="J2628" i="81" s="1"/>
  <c r="K2628" i="81" s="1"/>
  <c r="D2628" i="81"/>
  <c r="F2628" i="81"/>
  <c r="E2628" i="81"/>
  <c r="N2623" i="81"/>
  <c r="M2623" i="81"/>
  <c r="H2623" i="81"/>
  <c r="J2623" i="81" s="1"/>
  <c r="F2623" i="81"/>
  <c r="E2623" i="81"/>
  <c r="D2623" i="81"/>
  <c r="N2622" i="81"/>
  <c r="M2622" i="81"/>
  <c r="H2622" i="81"/>
  <c r="L2622" i="81" s="1"/>
  <c r="F2622" i="81"/>
  <c r="E2622" i="81"/>
  <c r="D2622" i="81"/>
  <c r="N2621" i="81"/>
  <c r="M2621" i="81"/>
  <c r="H2621" i="81"/>
  <c r="L2621" i="81" s="1"/>
  <c r="F2621" i="81"/>
  <c r="E2621" i="81"/>
  <c r="D2621" i="81"/>
  <c r="N2620" i="81"/>
  <c r="M2620" i="81"/>
  <c r="H2620" i="81"/>
  <c r="K2620" i="81" s="1"/>
  <c r="F2620" i="81"/>
  <c r="E2620" i="81"/>
  <c r="D2620" i="81"/>
  <c r="N2619" i="81"/>
  <c r="M2619" i="81"/>
  <c r="H2619" i="81"/>
  <c r="F2619" i="81"/>
  <c r="N2618" i="81"/>
  <c r="M2618" i="81"/>
  <c r="H2618" i="81"/>
  <c r="L2618" i="81" s="1"/>
  <c r="F2618" i="81"/>
  <c r="N2617" i="81"/>
  <c r="M2617" i="81"/>
  <c r="H2617" i="81"/>
  <c r="J2617" i="81" s="1"/>
  <c r="M2616" i="81"/>
  <c r="M2615" i="81"/>
  <c r="M2614" i="81"/>
  <c r="D2614" i="81"/>
  <c r="N2608" i="81"/>
  <c r="M2608" i="81"/>
  <c r="H2608" i="81"/>
  <c r="J2608" i="81" s="1"/>
  <c r="F2608" i="81"/>
  <c r="E2608" i="81"/>
  <c r="D2608" i="81"/>
  <c r="B2608" i="81"/>
  <c r="N2607" i="81"/>
  <c r="M2607" i="81"/>
  <c r="H2607" i="81"/>
  <c r="L2607" i="81" s="1"/>
  <c r="F2607" i="81"/>
  <c r="E2607" i="81"/>
  <c r="D2607" i="81"/>
  <c r="B2607" i="81"/>
  <c r="N2606" i="81"/>
  <c r="M2606" i="81"/>
  <c r="H2606" i="81"/>
  <c r="L2606" i="81" s="1"/>
  <c r="F2606" i="81"/>
  <c r="E2606" i="81"/>
  <c r="D2606" i="81"/>
  <c r="B2606" i="81"/>
  <c r="N2605" i="81"/>
  <c r="M2605" i="81"/>
  <c r="H2605" i="81"/>
  <c r="I2605" i="81" s="1"/>
  <c r="F2605" i="81"/>
  <c r="E2605" i="81"/>
  <c r="D2605" i="81"/>
  <c r="N2604" i="81"/>
  <c r="M2604" i="81"/>
  <c r="H2604" i="81"/>
  <c r="F2604" i="81"/>
  <c r="E2604" i="81"/>
  <c r="D2604" i="81"/>
  <c r="N2603" i="81"/>
  <c r="M2603" i="81"/>
  <c r="H2603" i="81"/>
  <c r="I2603" i="81" s="1"/>
  <c r="F2603" i="81"/>
  <c r="E2603" i="81"/>
  <c r="D2603" i="81"/>
  <c r="N2602" i="81"/>
  <c r="M2602" i="81"/>
  <c r="H2602" i="81"/>
  <c r="L2602" i="81" s="1"/>
  <c r="F2602" i="81"/>
  <c r="E2602" i="81"/>
  <c r="D2602" i="81"/>
  <c r="N2601" i="81"/>
  <c r="M2601" i="81"/>
  <c r="H2601" i="81"/>
  <c r="L2601" i="81" s="1"/>
  <c r="F2601" i="81"/>
  <c r="E2601" i="81"/>
  <c r="D2601" i="81"/>
  <c r="N2600" i="81"/>
  <c r="M2600" i="81"/>
  <c r="H2600" i="81"/>
  <c r="L2600" i="81" s="1"/>
  <c r="F2600" i="81"/>
  <c r="E2600" i="81"/>
  <c r="D2600" i="81"/>
  <c r="N2599" i="81"/>
  <c r="M2599" i="81"/>
  <c r="H2599" i="81"/>
  <c r="K2599" i="81" s="1"/>
  <c r="F2599" i="81"/>
  <c r="E2599" i="81"/>
  <c r="D2599" i="81"/>
  <c r="N2598" i="81"/>
  <c r="M2598" i="81"/>
  <c r="H2598" i="81"/>
  <c r="K2598" i="81" s="1"/>
  <c r="F2598" i="81"/>
  <c r="E2598" i="81"/>
  <c r="D2598" i="81"/>
  <c r="N2597" i="81"/>
  <c r="M2597" i="81"/>
  <c r="H2597" i="81"/>
  <c r="L2597" i="81" s="1"/>
  <c r="F2597" i="81"/>
  <c r="E2597" i="81"/>
  <c r="D2597" i="81"/>
  <c r="N2596" i="81"/>
  <c r="M2596" i="81"/>
  <c r="H2596" i="81"/>
  <c r="K2596" i="81" s="1"/>
  <c r="F2596" i="81"/>
  <c r="E2596" i="81"/>
  <c r="D2596" i="81"/>
  <c r="N2595" i="81"/>
  <c r="M2595" i="81"/>
  <c r="H2595" i="81"/>
  <c r="J2595" i="81" s="1"/>
  <c r="F2595" i="81"/>
  <c r="E2595" i="81"/>
  <c r="D2595" i="81"/>
  <c r="N2594" i="81"/>
  <c r="M2594" i="81"/>
  <c r="H2594" i="81"/>
  <c r="L2594" i="81" s="1"/>
  <c r="F2594" i="81"/>
  <c r="E2594" i="81"/>
  <c r="D2594" i="81"/>
  <c r="N2593" i="81"/>
  <c r="M2593" i="81"/>
  <c r="H2593" i="81"/>
  <c r="J2593" i="81" s="1"/>
  <c r="F2593" i="81"/>
  <c r="E2593" i="81"/>
  <c r="D2593" i="81"/>
  <c r="N2592" i="81"/>
  <c r="M2592" i="81"/>
  <c r="H2592" i="81"/>
  <c r="I2592" i="81" s="1"/>
  <c r="F2592" i="81"/>
  <c r="E2592" i="81"/>
  <c r="D2592" i="81"/>
  <c r="N2591" i="81"/>
  <c r="M2591" i="81"/>
  <c r="H2591" i="81"/>
  <c r="F2591" i="81"/>
  <c r="E2591" i="81"/>
  <c r="D2591" i="81"/>
  <c r="M2590" i="81"/>
  <c r="H2590" i="81"/>
  <c r="J2590" i="81" s="1"/>
  <c r="E2590" i="81"/>
  <c r="F2590" i="81" s="1"/>
  <c r="D2590" i="81"/>
  <c r="M2589" i="81"/>
  <c r="H2589" i="81"/>
  <c r="E2589" i="81"/>
  <c r="F2589" i="81" s="1"/>
  <c r="D2589" i="81"/>
  <c r="N2585" i="81"/>
  <c r="M2585" i="81"/>
  <c r="H2585" i="81"/>
  <c r="I2585" i="81" s="1"/>
  <c r="F2585" i="81"/>
  <c r="E2585" i="81"/>
  <c r="D2585" i="81"/>
  <c r="N2584" i="81"/>
  <c r="M2584" i="81"/>
  <c r="H2584" i="81"/>
  <c r="F2584" i="81"/>
  <c r="E2584" i="81"/>
  <c r="D2584" i="81"/>
  <c r="N2583" i="81"/>
  <c r="M2583" i="81"/>
  <c r="H2583" i="81"/>
  <c r="L2583" i="81" s="1"/>
  <c r="F2583" i="81"/>
  <c r="E2583" i="81"/>
  <c r="D2583" i="81"/>
  <c r="N2582" i="81"/>
  <c r="M2582" i="81"/>
  <c r="H2582" i="81"/>
  <c r="L2582" i="81" s="1"/>
  <c r="F2582" i="81"/>
  <c r="E2582" i="81"/>
  <c r="D2582" i="81"/>
  <c r="N2581" i="81"/>
  <c r="M2581" i="81"/>
  <c r="H2581" i="81"/>
  <c r="L2581" i="81" s="1"/>
  <c r="F2581" i="81"/>
  <c r="E2581" i="81"/>
  <c r="D2581" i="81"/>
  <c r="N2580" i="81"/>
  <c r="M2580" i="81"/>
  <c r="H2580" i="81"/>
  <c r="K2580" i="81" s="1"/>
  <c r="F2580" i="81"/>
  <c r="E2580" i="81"/>
  <c r="D2580" i="81"/>
  <c r="N2579" i="81"/>
  <c r="M2579" i="81"/>
  <c r="H2579" i="81"/>
  <c r="K2579" i="81" s="1"/>
  <c r="F2579" i="81"/>
  <c r="N2578" i="81"/>
  <c r="M2578" i="81"/>
  <c r="H2578" i="81"/>
  <c r="L2578" i="81" s="1"/>
  <c r="F2578" i="81"/>
  <c r="N2577" i="81"/>
  <c r="M2577" i="81"/>
  <c r="H2577" i="81"/>
  <c r="J2577" i="81" s="1"/>
  <c r="F2577" i="81"/>
  <c r="M2576" i="81"/>
  <c r="H2576" i="81"/>
  <c r="N2571" i="81"/>
  <c r="M2571" i="81"/>
  <c r="H2571" i="81"/>
  <c r="J2571" i="81" s="1"/>
  <c r="F2571" i="81"/>
  <c r="E2571" i="81"/>
  <c r="D2571" i="81"/>
  <c r="N2570" i="81"/>
  <c r="M2570" i="81"/>
  <c r="H2570" i="81"/>
  <c r="F2570" i="81"/>
  <c r="E2570" i="81"/>
  <c r="D2570" i="81"/>
  <c r="N2569" i="81"/>
  <c r="M2569" i="81"/>
  <c r="H2569" i="81"/>
  <c r="N2568" i="81"/>
  <c r="M2568" i="81"/>
  <c r="H2568" i="81"/>
  <c r="I2568" i="81" s="1"/>
  <c r="N2567" i="81"/>
  <c r="M2567" i="81"/>
  <c r="H2567" i="81"/>
  <c r="L2567" i="81" s="1"/>
  <c r="N2566" i="81"/>
  <c r="M2566" i="81"/>
  <c r="H2566" i="81"/>
  <c r="L2566" i="81" s="1"/>
  <c r="N2565" i="81"/>
  <c r="M2565" i="81"/>
  <c r="H2565" i="81"/>
  <c r="N2564" i="81"/>
  <c r="M2564" i="81"/>
  <c r="H2564" i="81"/>
  <c r="L2564" i="81" s="1"/>
  <c r="M2563" i="81"/>
  <c r="N2556" i="81"/>
  <c r="M2556" i="81"/>
  <c r="H2556" i="81"/>
  <c r="L2556" i="81" s="1"/>
  <c r="F2556" i="81"/>
  <c r="E2556" i="81"/>
  <c r="D2556" i="81"/>
  <c r="B2556" i="81"/>
  <c r="N2555" i="81"/>
  <c r="M2555" i="81"/>
  <c r="H2555" i="81"/>
  <c r="J2555" i="81" s="1"/>
  <c r="F2555" i="81"/>
  <c r="E2555" i="81"/>
  <c r="D2555" i="81"/>
  <c r="B2555" i="81"/>
  <c r="N2554" i="81"/>
  <c r="M2554" i="81"/>
  <c r="H2554" i="81"/>
  <c r="F2554" i="81"/>
  <c r="E2554" i="81"/>
  <c r="D2554" i="81"/>
  <c r="B2554" i="81"/>
  <c r="N2553" i="81"/>
  <c r="M2553" i="81"/>
  <c r="H2553" i="81"/>
  <c r="L2553" i="81" s="1"/>
  <c r="F2553" i="81"/>
  <c r="E2553" i="81"/>
  <c r="D2553" i="81"/>
  <c r="B2553" i="81"/>
  <c r="N2552" i="81"/>
  <c r="M2552" i="81"/>
  <c r="H2552" i="81"/>
  <c r="K2552" i="81" s="1"/>
  <c r="F2552" i="81"/>
  <c r="E2552" i="81"/>
  <c r="D2552" i="81"/>
  <c r="B2552" i="81"/>
  <c r="N2551" i="81"/>
  <c r="M2551" i="81"/>
  <c r="H2551" i="81"/>
  <c r="J2551" i="81" s="1"/>
  <c r="F2551" i="81"/>
  <c r="E2551" i="81"/>
  <c r="D2551" i="81"/>
  <c r="B2551" i="81"/>
  <c r="N2550" i="81"/>
  <c r="M2550" i="81"/>
  <c r="H2550" i="81"/>
  <c r="L2550" i="81" s="1"/>
  <c r="F2550" i="81"/>
  <c r="E2550" i="81"/>
  <c r="D2550" i="81"/>
  <c r="B2550" i="81"/>
  <c r="N2549" i="81"/>
  <c r="M2549" i="81"/>
  <c r="H2549" i="81"/>
  <c r="K2549" i="81" s="1"/>
  <c r="F2549" i="81"/>
  <c r="E2549" i="81"/>
  <c r="D2549" i="81"/>
  <c r="B2549" i="81"/>
  <c r="N2548" i="81"/>
  <c r="M2548" i="81"/>
  <c r="H2548" i="81"/>
  <c r="K2548" i="81" s="1"/>
  <c r="F2548" i="81"/>
  <c r="E2548" i="81"/>
  <c r="D2548" i="81"/>
  <c r="B2548" i="81"/>
  <c r="N2547" i="81"/>
  <c r="M2547" i="81"/>
  <c r="H2547" i="81"/>
  <c r="L2547" i="81" s="1"/>
  <c r="F2547" i="81"/>
  <c r="E2547" i="81"/>
  <c r="D2547" i="81"/>
  <c r="B2547" i="81"/>
  <c r="N2546" i="81"/>
  <c r="M2546" i="81"/>
  <c r="H2546" i="81"/>
  <c r="K2546" i="81" s="1"/>
  <c r="F2546" i="81"/>
  <c r="E2546" i="81"/>
  <c r="D2546" i="81"/>
  <c r="B2546" i="81"/>
  <c r="N2545" i="81"/>
  <c r="M2545" i="81"/>
  <c r="H2545" i="81"/>
  <c r="I2545" i="81" s="1"/>
  <c r="F2545" i="81"/>
  <c r="E2545" i="81"/>
  <c r="D2545" i="81"/>
  <c r="N2544" i="81"/>
  <c r="M2544" i="81"/>
  <c r="H2544" i="81"/>
  <c r="L2544" i="81" s="1"/>
  <c r="F2544" i="81"/>
  <c r="E2544" i="81"/>
  <c r="D2544" i="81"/>
  <c r="N2543" i="81"/>
  <c r="M2543" i="81"/>
  <c r="H2543" i="81"/>
  <c r="J2543" i="81" s="1"/>
  <c r="F2543" i="81"/>
  <c r="E2543" i="81"/>
  <c r="D2543" i="81"/>
  <c r="N2542" i="81"/>
  <c r="M2542" i="81"/>
  <c r="H2542" i="81"/>
  <c r="I2542" i="81" s="1"/>
  <c r="F2542" i="81"/>
  <c r="E2542" i="81"/>
  <c r="D2542" i="81"/>
  <c r="N2541" i="81"/>
  <c r="M2541" i="81"/>
  <c r="H2541" i="81"/>
  <c r="L2541" i="81" s="1"/>
  <c r="F2541" i="81"/>
  <c r="E2541" i="81"/>
  <c r="D2541" i="81"/>
  <c r="N2540" i="81"/>
  <c r="M2540" i="81"/>
  <c r="H2540" i="81"/>
  <c r="I2540" i="81" s="1"/>
  <c r="F2540" i="81"/>
  <c r="E2540" i="81"/>
  <c r="D2540" i="81"/>
  <c r="N2539" i="81"/>
  <c r="M2539" i="81"/>
  <c r="H2539" i="81"/>
  <c r="K2539" i="81" s="1"/>
  <c r="F2539" i="81"/>
  <c r="E2539" i="81"/>
  <c r="D2539" i="81"/>
  <c r="N2538" i="81"/>
  <c r="M2538" i="81"/>
  <c r="H2538" i="81"/>
  <c r="L2538" i="81" s="1"/>
  <c r="F2538" i="81"/>
  <c r="E2538" i="81"/>
  <c r="D2538" i="81"/>
  <c r="M2537" i="81"/>
  <c r="N2537" i="81" s="1"/>
  <c r="H2537" i="81"/>
  <c r="E2537" i="81"/>
  <c r="F2537" i="81" s="1"/>
  <c r="D2537" i="81"/>
  <c r="N2533" i="81"/>
  <c r="M2533" i="81"/>
  <c r="H2533" i="81"/>
  <c r="J2533" i="81" s="1"/>
  <c r="F2533" i="81"/>
  <c r="E2533" i="81"/>
  <c r="D2533" i="81"/>
  <c r="N2532" i="81"/>
  <c r="M2532" i="81"/>
  <c r="H2532" i="81"/>
  <c r="L2532" i="81" s="1"/>
  <c r="F2532" i="81"/>
  <c r="E2532" i="81"/>
  <c r="D2532" i="81"/>
  <c r="N2531" i="81"/>
  <c r="M2531" i="81"/>
  <c r="H2531" i="81"/>
  <c r="L2531" i="81" s="1"/>
  <c r="F2531" i="81"/>
  <c r="E2531" i="81"/>
  <c r="D2531" i="81"/>
  <c r="N2530" i="81"/>
  <c r="M2530" i="81"/>
  <c r="H2530" i="81"/>
  <c r="J2530" i="81" s="1"/>
  <c r="F2530" i="81"/>
  <c r="E2530" i="81"/>
  <c r="D2530" i="81"/>
  <c r="N2529" i="81"/>
  <c r="M2529" i="81"/>
  <c r="H2529" i="81"/>
  <c r="J2529" i="81" s="1"/>
  <c r="F2529" i="81"/>
  <c r="N2528" i="81"/>
  <c r="M2528" i="81"/>
  <c r="H2528" i="81"/>
  <c r="L2528" i="81" s="1"/>
  <c r="F2528" i="81"/>
  <c r="N2527" i="81"/>
  <c r="M2527" i="81"/>
  <c r="H2527" i="81"/>
  <c r="I2527" i="81" s="1"/>
  <c r="F2527" i="81"/>
  <c r="N2526" i="81"/>
  <c r="M2526" i="81"/>
  <c r="H2526" i="81"/>
  <c r="I2526" i="81" s="1"/>
  <c r="F2526" i="81"/>
  <c r="M2525" i="81"/>
  <c r="E2525" i="81"/>
  <c r="D2525" i="81"/>
  <c r="E2524" i="81"/>
  <c r="D2524" i="81"/>
  <c r="M2524" i="81"/>
  <c r="N2519" i="81"/>
  <c r="M2519" i="81"/>
  <c r="H2519" i="81"/>
  <c r="I2519" i="81" s="1"/>
  <c r="F2519" i="81"/>
  <c r="E2519" i="81"/>
  <c r="D2519" i="81"/>
  <c r="N2518" i="81"/>
  <c r="M2518" i="81"/>
  <c r="H2518" i="81"/>
  <c r="L2518" i="81" s="1"/>
  <c r="F2518" i="81"/>
  <c r="E2518" i="81"/>
  <c r="D2518" i="81"/>
  <c r="N2517" i="81"/>
  <c r="M2517" i="81"/>
  <c r="H2517" i="81"/>
  <c r="L2517" i="81" s="1"/>
  <c r="F2517" i="81"/>
  <c r="E2517" i="81"/>
  <c r="D2517" i="81"/>
  <c r="N2516" i="81"/>
  <c r="M2516" i="81"/>
  <c r="H2516" i="81"/>
  <c r="L2516" i="81" s="1"/>
  <c r="F2516" i="81"/>
  <c r="E2516" i="81"/>
  <c r="D2516" i="81"/>
  <c r="N2515" i="81"/>
  <c r="M2515" i="81"/>
  <c r="H2515" i="81"/>
  <c r="L2515" i="81" s="1"/>
  <c r="F2515" i="81"/>
  <c r="N2514" i="81"/>
  <c r="M2514" i="81"/>
  <c r="H2514" i="81"/>
  <c r="K2514" i="81" s="1"/>
  <c r="F2514" i="81"/>
  <c r="N2513" i="81"/>
  <c r="M2513" i="81"/>
  <c r="H2513" i="81"/>
  <c r="I2513" i="81" s="1"/>
  <c r="F2513" i="81"/>
  <c r="M2512" i="81"/>
  <c r="F2512" i="81"/>
  <c r="E2512" i="81"/>
  <c r="D2512" i="81"/>
  <c r="E2511" i="81"/>
  <c r="D2511" i="81"/>
  <c r="D2510" i="81"/>
  <c r="N2504" i="81"/>
  <c r="M2504" i="81"/>
  <c r="H2504" i="81"/>
  <c r="L2504" i="81" s="1"/>
  <c r="F2504" i="81"/>
  <c r="E2504" i="81"/>
  <c r="D2504" i="81"/>
  <c r="B2504" i="81"/>
  <c r="N2503" i="81"/>
  <c r="M2503" i="81"/>
  <c r="H2503" i="81"/>
  <c r="K2503" i="81" s="1"/>
  <c r="F2503" i="81"/>
  <c r="E2503" i="81"/>
  <c r="D2503" i="81"/>
  <c r="B2503" i="81"/>
  <c r="N2502" i="81"/>
  <c r="M2502" i="81"/>
  <c r="H2502" i="81"/>
  <c r="J2502" i="81" s="1"/>
  <c r="F2502" i="81"/>
  <c r="E2502" i="81"/>
  <c r="D2502" i="81"/>
  <c r="B2502" i="81"/>
  <c r="N2501" i="81"/>
  <c r="M2501" i="81"/>
  <c r="H2501" i="81"/>
  <c r="L2501" i="81" s="1"/>
  <c r="F2501" i="81"/>
  <c r="E2501" i="81"/>
  <c r="D2501" i="81"/>
  <c r="B2501" i="81"/>
  <c r="N2500" i="81"/>
  <c r="M2500" i="81"/>
  <c r="H2500" i="81"/>
  <c r="L2500" i="81" s="1"/>
  <c r="F2500" i="81"/>
  <c r="E2500" i="81"/>
  <c r="D2500" i="81"/>
  <c r="B2500" i="81"/>
  <c r="N2499" i="81"/>
  <c r="M2499" i="81"/>
  <c r="H2499" i="81"/>
  <c r="L2499" i="81" s="1"/>
  <c r="F2499" i="81"/>
  <c r="E2499" i="81"/>
  <c r="D2499" i="81"/>
  <c r="B2499" i="81"/>
  <c r="N2498" i="81"/>
  <c r="M2498" i="81"/>
  <c r="H2498" i="81"/>
  <c r="K2498" i="81" s="1"/>
  <c r="F2498" i="81"/>
  <c r="E2498" i="81"/>
  <c r="D2498" i="81"/>
  <c r="B2498" i="81"/>
  <c r="N2497" i="81"/>
  <c r="M2497" i="81"/>
  <c r="H2497" i="81"/>
  <c r="J2497" i="81" s="1"/>
  <c r="F2497" i="81"/>
  <c r="E2497" i="81"/>
  <c r="D2497" i="81"/>
  <c r="B2497" i="81"/>
  <c r="N2496" i="81"/>
  <c r="M2496" i="81"/>
  <c r="H2496" i="81"/>
  <c r="I2496" i="81" s="1"/>
  <c r="F2496" i="81"/>
  <c r="E2496" i="81"/>
  <c r="D2496" i="81"/>
  <c r="B2496" i="81"/>
  <c r="N2495" i="81"/>
  <c r="M2495" i="81"/>
  <c r="H2495" i="81"/>
  <c r="J2495" i="81" s="1"/>
  <c r="F2495" i="81"/>
  <c r="E2495" i="81"/>
  <c r="D2495" i="81"/>
  <c r="B2495" i="81"/>
  <c r="N2494" i="81"/>
  <c r="M2494" i="81"/>
  <c r="H2494" i="81"/>
  <c r="J2494" i="81" s="1"/>
  <c r="F2494" i="81"/>
  <c r="E2494" i="81"/>
  <c r="D2494" i="81"/>
  <c r="B2494" i="81"/>
  <c r="N2493" i="81"/>
  <c r="M2493" i="81"/>
  <c r="H2493" i="81"/>
  <c r="L2493" i="81" s="1"/>
  <c r="F2493" i="81"/>
  <c r="E2493" i="81"/>
  <c r="D2493" i="81"/>
  <c r="N2492" i="81"/>
  <c r="M2492" i="81"/>
  <c r="H2492" i="81"/>
  <c r="L2492" i="81" s="1"/>
  <c r="F2492" i="81"/>
  <c r="E2492" i="81"/>
  <c r="D2492" i="81"/>
  <c r="N2491" i="81"/>
  <c r="M2491" i="81"/>
  <c r="H2491" i="81"/>
  <c r="L2491" i="81" s="1"/>
  <c r="F2491" i="81"/>
  <c r="E2491" i="81"/>
  <c r="D2491" i="81"/>
  <c r="N2490" i="81"/>
  <c r="M2490" i="81"/>
  <c r="H2490" i="81"/>
  <c r="L2490" i="81" s="1"/>
  <c r="F2490" i="81"/>
  <c r="E2490" i="81"/>
  <c r="D2490" i="81"/>
  <c r="N2489" i="81"/>
  <c r="M2489" i="81"/>
  <c r="H2489" i="81"/>
  <c r="K2489" i="81" s="1"/>
  <c r="F2489" i="81"/>
  <c r="E2489" i="81"/>
  <c r="D2489" i="81"/>
  <c r="N2488" i="81"/>
  <c r="M2488" i="81"/>
  <c r="H2488" i="81"/>
  <c r="L2488" i="81" s="1"/>
  <c r="F2488" i="81"/>
  <c r="E2488" i="81"/>
  <c r="D2488" i="81"/>
  <c r="N2487" i="81"/>
  <c r="M2487" i="81"/>
  <c r="H2487" i="81"/>
  <c r="L2487" i="81" s="1"/>
  <c r="F2487" i="81"/>
  <c r="E2487" i="81"/>
  <c r="D2487" i="81"/>
  <c r="N2486" i="81"/>
  <c r="M2486" i="81"/>
  <c r="H2486" i="81"/>
  <c r="K2486" i="81" s="1"/>
  <c r="F2486" i="81"/>
  <c r="E2486" i="81"/>
  <c r="D2486" i="81"/>
  <c r="M2485" i="81"/>
  <c r="H2485" i="81"/>
  <c r="J2485" i="81" s="1"/>
  <c r="E2485" i="81"/>
  <c r="F2485" i="81" s="1"/>
  <c r="D2485" i="81"/>
  <c r="N2481" i="81"/>
  <c r="M2481" i="81"/>
  <c r="H2481" i="81"/>
  <c r="L2481" i="81" s="1"/>
  <c r="F2481" i="81"/>
  <c r="E2481" i="81"/>
  <c r="D2481" i="81"/>
  <c r="N2480" i="81"/>
  <c r="M2480" i="81"/>
  <c r="H2480" i="81"/>
  <c r="L2480" i="81" s="1"/>
  <c r="F2480" i="81"/>
  <c r="E2480" i="81"/>
  <c r="D2480" i="81"/>
  <c r="N2479" i="81"/>
  <c r="M2479" i="81"/>
  <c r="H2479" i="81"/>
  <c r="K2479" i="81" s="1"/>
  <c r="F2479" i="81"/>
  <c r="E2479" i="81"/>
  <c r="D2479" i="81"/>
  <c r="N2478" i="81"/>
  <c r="M2478" i="81"/>
  <c r="H2478" i="81"/>
  <c r="J2478" i="81" s="1"/>
  <c r="F2478" i="81"/>
  <c r="E2478" i="81"/>
  <c r="D2478" i="81"/>
  <c r="N2477" i="81"/>
  <c r="M2477" i="81"/>
  <c r="H2477" i="81"/>
  <c r="I2477" i="81" s="1"/>
  <c r="F2477" i="81"/>
  <c r="E2477" i="81"/>
  <c r="D2477" i="81"/>
  <c r="N2476" i="81"/>
  <c r="M2476" i="81"/>
  <c r="H2476" i="81"/>
  <c r="K2476" i="81" s="1"/>
  <c r="F2476" i="81"/>
  <c r="E2476" i="81"/>
  <c r="D2476" i="81"/>
  <c r="N2475" i="81"/>
  <c r="M2475" i="81"/>
  <c r="H2475" i="81"/>
  <c r="L2475" i="81" s="1"/>
  <c r="F2475" i="81"/>
  <c r="E2475" i="81"/>
  <c r="D2475" i="81"/>
  <c r="N2474" i="81"/>
  <c r="M2474" i="81"/>
  <c r="H2474" i="81"/>
  <c r="K2474" i="81" s="1"/>
  <c r="F2474" i="81"/>
  <c r="E2474" i="81"/>
  <c r="D2474" i="81"/>
  <c r="N2473" i="81"/>
  <c r="M2473" i="81"/>
  <c r="H2473" i="81"/>
  <c r="L2473" i="81" s="1"/>
  <c r="F2473" i="81"/>
  <c r="E2473" i="81"/>
  <c r="D2473" i="81"/>
  <c r="N2472" i="81"/>
  <c r="M2472" i="81"/>
  <c r="H2472" i="81"/>
  <c r="L2472" i="81" s="1"/>
  <c r="F2472" i="81"/>
  <c r="E2472" i="81"/>
  <c r="D2472" i="81"/>
  <c r="N2467" i="81"/>
  <c r="M2467" i="81"/>
  <c r="H2467" i="81"/>
  <c r="L2467" i="81" s="1"/>
  <c r="F2467" i="81"/>
  <c r="E2467" i="81"/>
  <c r="D2467" i="81"/>
  <c r="N2466" i="81"/>
  <c r="M2466" i="81"/>
  <c r="H2466" i="81"/>
  <c r="I2466" i="81" s="1"/>
  <c r="F2466" i="81"/>
  <c r="E2466" i="81"/>
  <c r="D2466" i="81"/>
  <c r="N2465" i="81"/>
  <c r="M2465" i="81"/>
  <c r="H2465" i="81"/>
  <c r="L2465" i="81" s="1"/>
  <c r="F2465" i="81"/>
  <c r="E2465" i="81"/>
  <c r="D2465" i="81"/>
  <c r="N2464" i="81"/>
  <c r="M2464" i="81"/>
  <c r="H2464" i="81"/>
  <c r="L2464" i="81" s="1"/>
  <c r="F2464" i="81"/>
  <c r="E2464" i="81"/>
  <c r="D2464" i="81"/>
  <c r="N2463" i="81"/>
  <c r="M2463" i="81"/>
  <c r="H2463" i="81"/>
  <c r="K2463" i="81" s="1"/>
  <c r="F2463" i="81"/>
  <c r="E2463" i="81"/>
  <c r="D2463" i="81"/>
  <c r="N2462" i="81"/>
  <c r="M2462" i="81"/>
  <c r="H2462" i="81"/>
  <c r="L2462" i="81" s="1"/>
  <c r="F2462" i="81"/>
  <c r="E2462" i="81"/>
  <c r="D2462" i="81"/>
  <c r="N2461" i="81"/>
  <c r="M2461" i="81"/>
  <c r="H2461" i="81"/>
  <c r="L2461" i="81" s="1"/>
  <c r="F2461" i="81"/>
  <c r="E2461" i="81"/>
  <c r="D2461" i="81"/>
  <c r="N2460" i="81"/>
  <c r="M2460" i="81"/>
  <c r="H2460" i="81"/>
  <c r="I2460" i="81" s="1"/>
  <c r="F2460" i="81"/>
  <c r="E2460" i="81"/>
  <c r="D2460" i="81"/>
  <c r="H2459" i="81"/>
  <c r="E2459" i="81"/>
  <c r="D2459" i="81"/>
  <c r="F2459" i="81"/>
  <c r="D2458" i="81"/>
  <c r="N2400" i="81"/>
  <c r="M2400" i="81"/>
  <c r="H2400" i="81"/>
  <c r="K2400" i="81" s="1"/>
  <c r="F2400" i="81"/>
  <c r="E2400" i="81"/>
  <c r="D2400" i="81"/>
  <c r="B2400" i="81"/>
  <c r="N2399" i="81"/>
  <c r="M2399" i="81"/>
  <c r="H2399" i="81"/>
  <c r="L2399" i="81" s="1"/>
  <c r="F2399" i="81"/>
  <c r="E2399" i="81"/>
  <c r="D2399" i="81"/>
  <c r="B2399" i="81"/>
  <c r="N2398" i="81"/>
  <c r="M2398" i="81"/>
  <c r="H2398" i="81"/>
  <c r="L2398" i="81" s="1"/>
  <c r="F2398" i="81"/>
  <c r="E2398" i="81"/>
  <c r="D2398" i="81"/>
  <c r="B2398" i="81"/>
  <c r="N2397" i="81"/>
  <c r="M2397" i="81"/>
  <c r="H2397" i="81"/>
  <c r="L2397" i="81" s="1"/>
  <c r="F2397" i="81"/>
  <c r="E2397" i="81"/>
  <c r="D2397" i="81"/>
  <c r="B2397" i="81"/>
  <c r="N2396" i="81"/>
  <c r="M2396" i="81"/>
  <c r="H2396" i="81"/>
  <c r="L2396" i="81" s="1"/>
  <c r="F2396" i="81"/>
  <c r="E2396" i="81"/>
  <c r="D2396" i="81"/>
  <c r="B2396" i="81"/>
  <c r="N2395" i="81"/>
  <c r="M2395" i="81"/>
  <c r="H2395" i="81"/>
  <c r="I2395" i="81" s="1"/>
  <c r="F2395" i="81"/>
  <c r="E2395" i="81"/>
  <c r="D2395" i="81"/>
  <c r="B2395" i="81"/>
  <c r="N2394" i="81"/>
  <c r="M2394" i="81"/>
  <c r="H2394" i="81"/>
  <c r="L2394" i="81" s="1"/>
  <c r="F2394" i="81"/>
  <c r="E2394" i="81"/>
  <c r="D2394" i="81"/>
  <c r="B2394" i="81"/>
  <c r="N2393" i="81"/>
  <c r="M2393" i="81"/>
  <c r="H2393" i="81"/>
  <c r="L2393" i="81" s="1"/>
  <c r="F2393" i="81"/>
  <c r="E2393" i="81"/>
  <c r="D2393" i="81"/>
  <c r="B2393" i="81"/>
  <c r="N2392" i="81"/>
  <c r="M2392" i="81"/>
  <c r="H2392" i="81"/>
  <c r="K2392" i="81" s="1"/>
  <c r="F2392" i="81"/>
  <c r="E2392" i="81"/>
  <c r="D2392" i="81"/>
  <c r="B2392" i="81"/>
  <c r="N2391" i="81"/>
  <c r="M2391" i="81"/>
  <c r="H2391" i="81"/>
  <c r="L2391" i="81" s="1"/>
  <c r="F2391" i="81"/>
  <c r="E2391" i="81"/>
  <c r="D2391" i="81"/>
  <c r="B2391" i="81"/>
  <c r="N2390" i="81"/>
  <c r="M2390" i="81"/>
  <c r="H2390" i="81"/>
  <c r="L2390" i="81" s="1"/>
  <c r="F2390" i="81"/>
  <c r="E2390" i="81"/>
  <c r="D2390" i="81"/>
  <c r="B2390" i="81"/>
  <c r="N2389" i="81"/>
  <c r="M2389" i="81"/>
  <c r="H2389" i="81"/>
  <c r="L2389" i="81" s="1"/>
  <c r="F2389" i="81"/>
  <c r="E2389" i="81"/>
  <c r="D2389" i="81"/>
  <c r="B2389" i="81"/>
  <c r="N2388" i="81"/>
  <c r="M2388" i="81"/>
  <c r="H2388" i="81"/>
  <c r="K2388" i="81" s="1"/>
  <c r="F2388" i="81"/>
  <c r="E2388" i="81"/>
  <c r="D2388" i="81"/>
  <c r="B2388" i="81"/>
  <c r="N2387" i="81"/>
  <c r="M2387" i="81"/>
  <c r="H2387" i="81"/>
  <c r="L2387" i="81" s="1"/>
  <c r="F2387" i="81"/>
  <c r="E2387" i="81"/>
  <c r="D2387" i="81"/>
  <c r="B2387" i="81"/>
  <c r="N2386" i="81"/>
  <c r="M2386" i="81"/>
  <c r="H2386" i="81"/>
  <c r="L2386" i="81" s="1"/>
  <c r="F2386" i="81"/>
  <c r="E2386" i="81"/>
  <c r="D2386" i="81"/>
  <c r="B2386" i="81"/>
  <c r="N2385" i="81"/>
  <c r="M2385" i="81"/>
  <c r="H2385" i="81"/>
  <c r="L2385" i="81" s="1"/>
  <c r="F2385" i="81"/>
  <c r="E2385" i="81"/>
  <c r="D2385" i="81"/>
  <c r="B2385" i="81"/>
  <c r="N2384" i="81"/>
  <c r="M2384" i="81"/>
  <c r="H2384" i="81"/>
  <c r="L2384" i="81" s="1"/>
  <c r="F2384" i="81"/>
  <c r="E2384" i="81"/>
  <c r="D2384" i="81"/>
  <c r="B2384" i="81"/>
  <c r="N2383" i="81"/>
  <c r="M2383" i="81"/>
  <c r="H2383" i="81"/>
  <c r="I2383" i="81" s="1"/>
  <c r="F2383" i="81"/>
  <c r="E2383" i="81"/>
  <c r="D2383" i="81"/>
  <c r="M2382" i="81"/>
  <c r="H2382" i="81"/>
  <c r="E2382" i="81"/>
  <c r="F2382" i="81" s="1"/>
  <c r="D2382" i="81"/>
  <c r="M2381" i="81"/>
  <c r="H2381" i="81"/>
  <c r="J2381" i="81" s="1"/>
  <c r="D2381" i="81"/>
  <c r="N2377" i="81"/>
  <c r="M2377" i="81"/>
  <c r="H2377" i="81"/>
  <c r="L2377" i="81" s="1"/>
  <c r="F2377" i="81"/>
  <c r="E2377" i="81"/>
  <c r="D2377" i="81"/>
  <c r="N2376" i="81"/>
  <c r="M2376" i="81"/>
  <c r="H2376" i="81"/>
  <c r="L2376" i="81" s="1"/>
  <c r="F2376" i="81"/>
  <c r="E2376" i="81"/>
  <c r="D2376" i="81"/>
  <c r="N2375" i="81"/>
  <c r="M2375" i="81"/>
  <c r="H2375" i="81"/>
  <c r="I2375" i="81" s="1"/>
  <c r="F2375" i="81"/>
  <c r="E2375" i="81"/>
  <c r="D2375" i="81"/>
  <c r="N2374" i="81"/>
  <c r="M2374" i="81"/>
  <c r="H2374" i="81"/>
  <c r="L2374" i="81" s="1"/>
  <c r="F2374" i="81"/>
  <c r="E2374" i="81"/>
  <c r="D2374" i="81"/>
  <c r="N2373" i="81"/>
  <c r="M2373" i="81"/>
  <c r="H2373" i="81"/>
  <c r="L2373" i="81" s="1"/>
  <c r="F2373" i="81"/>
  <c r="E2373" i="81"/>
  <c r="D2373" i="81"/>
  <c r="N2372" i="81"/>
  <c r="M2372" i="81"/>
  <c r="H2372" i="81"/>
  <c r="K2372" i="81" s="1"/>
  <c r="F2372" i="81"/>
  <c r="E2372" i="81"/>
  <c r="D2372" i="81"/>
  <c r="N2371" i="81"/>
  <c r="M2371" i="81"/>
  <c r="H2371" i="81"/>
  <c r="L2371" i="81" s="1"/>
  <c r="F2371" i="81"/>
  <c r="E2371" i="81"/>
  <c r="D2371" i="81"/>
  <c r="N2370" i="81"/>
  <c r="M2370" i="81"/>
  <c r="H2370" i="81"/>
  <c r="L2370" i="81" s="1"/>
  <c r="F2370" i="81"/>
  <c r="E2370" i="81"/>
  <c r="D2370" i="81"/>
  <c r="N2369" i="81"/>
  <c r="M2369" i="81"/>
  <c r="H2369" i="81"/>
  <c r="I2369" i="81" s="1"/>
  <c r="F2369" i="81"/>
  <c r="E2369" i="81"/>
  <c r="D2369" i="81"/>
  <c r="N2368" i="81"/>
  <c r="M2368" i="81"/>
  <c r="H2368" i="81"/>
  <c r="K2368" i="81" s="1"/>
  <c r="F2368" i="81"/>
  <c r="E2368" i="81"/>
  <c r="D2368" i="81"/>
  <c r="N2363" i="81"/>
  <c r="M2363" i="81"/>
  <c r="H2363" i="81"/>
  <c r="L2363" i="81" s="1"/>
  <c r="F2363" i="81"/>
  <c r="E2363" i="81"/>
  <c r="D2363" i="81"/>
  <c r="N2362" i="81"/>
  <c r="M2362" i="81"/>
  <c r="H2362" i="81"/>
  <c r="L2362" i="81" s="1"/>
  <c r="F2362" i="81"/>
  <c r="E2362" i="81"/>
  <c r="D2362" i="81"/>
  <c r="N2361" i="81"/>
  <c r="M2361" i="81"/>
  <c r="H2361" i="81"/>
  <c r="K2361" i="81" s="1"/>
  <c r="F2361" i="81"/>
  <c r="E2361" i="81"/>
  <c r="D2361" i="81"/>
  <c r="N2360" i="81"/>
  <c r="M2360" i="81"/>
  <c r="H2360" i="81"/>
  <c r="L2360" i="81" s="1"/>
  <c r="F2360" i="81"/>
  <c r="E2360" i="81"/>
  <c r="D2360" i="81"/>
  <c r="N2359" i="81"/>
  <c r="M2359" i="81"/>
  <c r="H2359" i="81"/>
  <c r="L2359" i="81" s="1"/>
  <c r="F2359" i="81"/>
  <c r="E2359" i="81"/>
  <c r="D2359" i="81"/>
  <c r="N2358" i="81"/>
  <c r="M2358" i="81"/>
  <c r="H2358" i="81"/>
  <c r="K2358" i="81" s="1"/>
  <c r="F2358" i="81"/>
  <c r="E2358" i="81"/>
  <c r="D2358" i="81"/>
  <c r="N2357" i="81"/>
  <c r="M2357" i="81"/>
  <c r="H2357" i="81"/>
  <c r="K2357" i="81" s="1"/>
  <c r="F2357" i="81"/>
  <c r="E2357" i="81"/>
  <c r="D2357" i="81"/>
  <c r="N2356" i="81"/>
  <c r="M2356" i="81"/>
  <c r="H2356" i="81"/>
  <c r="L2356" i="81" s="1"/>
  <c r="F2356" i="81"/>
  <c r="E2356" i="81"/>
  <c r="D2356" i="81"/>
  <c r="M2355" i="81"/>
  <c r="D2355" i="81"/>
  <c r="M2354" i="81"/>
  <c r="D2354" i="81"/>
  <c r="N2348" i="81"/>
  <c r="M2348" i="81"/>
  <c r="H2348" i="81"/>
  <c r="L2348" i="81" s="1"/>
  <c r="F2348" i="81"/>
  <c r="E2348" i="81"/>
  <c r="D2348" i="81"/>
  <c r="B2348" i="81"/>
  <c r="N2347" i="81"/>
  <c r="M2347" i="81"/>
  <c r="H2347" i="81"/>
  <c r="I2347" i="81" s="1"/>
  <c r="F2347" i="81"/>
  <c r="E2347" i="81"/>
  <c r="D2347" i="81"/>
  <c r="B2347" i="81"/>
  <c r="N2346" i="81"/>
  <c r="M2346" i="81"/>
  <c r="H2346" i="81"/>
  <c r="L2346" i="81" s="1"/>
  <c r="F2346" i="81"/>
  <c r="E2346" i="81"/>
  <c r="D2346" i="81"/>
  <c r="B2346" i="81"/>
  <c r="N2345" i="81"/>
  <c r="M2345" i="81"/>
  <c r="H2345" i="81"/>
  <c r="L2345" i="81" s="1"/>
  <c r="F2345" i="81"/>
  <c r="E2345" i="81"/>
  <c r="D2345" i="81"/>
  <c r="B2345" i="81"/>
  <c r="N2344" i="81"/>
  <c r="M2344" i="81"/>
  <c r="H2344" i="81"/>
  <c r="K2344" i="81" s="1"/>
  <c r="F2344" i="81"/>
  <c r="E2344" i="81"/>
  <c r="D2344" i="81"/>
  <c r="B2344" i="81"/>
  <c r="N2343" i="81"/>
  <c r="M2343" i="81"/>
  <c r="H2343" i="81"/>
  <c r="L2343" i="81" s="1"/>
  <c r="F2343" i="81"/>
  <c r="E2343" i="81"/>
  <c r="D2343" i="81"/>
  <c r="B2343" i="81"/>
  <c r="N2342" i="81"/>
  <c r="M2342" i="81"/>
  <c r="H2342" i="81"/>
  <c r="L2342" i="81" s="1"/>
  <c r="F2342" i="81"/>
  <c r="E2342" i="81"/>
  <c r="D2342" i="81"/>
  <c r="B2342" i="81"/>
  <c r="N2341" i="81"/>
  <c r="M2341" i="81"/>
  <c r="H2341" i="81"/>
  <c r="K2341" i="81" s="1"/>
  <c r="F2341" i="81"/>
  <c r="E2341" i="81"/>
  <c r="D2341" i="81"/>
  <c r="B2341" i="81"/>
  <c r="N2340" i="81"/>
  <c r="M2340" i="81"/>
  <c r="H2340" i="81"/>
  <c r="K2340" i="81" s="1"/>
  <c r="F2340" i="81"/>
  <c r="E2340" i="81"/>
  <c r="D2340" i="81"/>
  <c r="B2340" i="81"/>
  <c r="N2339" i="81"/>
  <c r="M2339" i="81"/>
  <c r="H2339" i="81"/>
  <c r="L2339" i="81" s="1"/>
  <c r="F2339" i="81"/>
  <c r="E2339" i="81"/>
  <c r="D2339" i="81"/>
  <c r="B2339" i="81"/>
  <c r="N2338" i="81"/>
  <c r="M2338" i="81"/>
  <c r="H2338" i="81"/>
  <c r="L2338" i="81" s="1"/>
  <c r="F2338" i="81"/>
  <c r="E2338" i="81"/>
  <c r="D2338" i="81"/>
  <c r="B2338" i="81"/>
  <c r="N2337" i="81"/>
  <c r="M2337" i="81"/>
  <c r="H2337" i="81"/>
  <c r="K2337" i="81" s="1"/>
  <c r="F2337" i="81"/>
  <c r="E2337" i="81"/>
  <c r="D2337" i="81"/>
  <c r="B2337" i="81"/>
  <c r="N2336" i="81"/>
  <c r="M2336" i="81"/>
  <c r="H2336" i="81"/>
  <c r="L2336" i="81" s="1"/>
  <c r="F2336" i="81"/>
  <c r="E2336" i="81"/>
  <c r="D2336" i="81"/>
  <c r="B2336" i="81"/>
  <c r="N2335" i="81"/>
  <c r="M2335" i="81"/>
  <c r="H2335" i="81"/>
  <c r="I2335" i="81" s="1"/>
  <c r="F2335" i="81"/>
  <c r="E2335" i="81"/>
  <c r="D2335" i="81"/>
  <c r="B2335" i="81"/>
  <c r="N2334" i="81"/>
  <c r="M2334" i="81"/>
  <c r="H2334" i="81"/>
  <c r="L2334" i="81" s="1"/>
  <c r="F2334" i="81"/>
  <c r="E2334" i="81"/>
  <c r="D2334" i="81"/>
  <c r="B2334" i="81"/>
  <c r="N2333" i="81"/>
  <c r="M2333" i="81"/>
  <c r="H2333" i="81"/>
  <c r="L2333" i="81" s="1"/>
  <c r="F2333" i="81"/>
  <c r="E2333" i="81"/>
  <c r="D2333" i="81"/>
  <c r="B2333" i="81"/>
  <c r="N2332" i="81"/>
  <c r="M2332" i="81"/>
  <c r="H2332" i="81"/>
  <c r="K2332" i="81" s="1"/>
  <c r="F2332" i="81"/>
  <c r="E2332" i="81"/>
  <c r="D2332" i="81"/>
  <c r="B2332" i="81"/>
  <c r="N2331" i="81"/>
  <c r="M2331" i="81"/>
  <c r="H2331" i="81"/>
  <c r="L2331" i="81" s="1"/>
  <c r="F2331" i="81"/>
  <c r="E2331" i="81"/>
  <c r="D2331" i="81"/>
  <c r="N2330" i="81"/>
  <c r="M2330" i="81"/>
  <c r="H2330" i="81"/>
  <c r="L2330" i="81" s="1"/>
  <c r="F2330" i="81"/>
  <c r="E2330" i="81"/>
  <c r="D2330" i="81"/>
  <c r="M2329" i="81"/>
  <c r="H2329" i="81"/>
  <c r="E2329" i="81"/>
  <c r="F2329" i="81" s="1"/>
  <c r="D2329" i="81"/>
  <c r="N2325" i="81"/>
  <c r="M2325" i="81"/>
  <c r="H2325" i="81"/>
  <c r="K2325" i="81" s="1"/>
  <c r="F2325" i="81"/>
  <c r="E2325" i="81"/>
  <c r="D2325" i="81"/>
  <c r="N2324" i="81"/>
  <c r="M2324" i="81"/>
  <c r="H2324" i="81"/>
  <c r="L2324" i="81" s="1"/>
  <c r="F2324" i="81"/>
  <c r="D2324" i="81"/>
  <c r="N2323" i="81"/>
  <c r="M2323" i="81"/>
  <c r="H2323" i="81"/>
  <c r="L2323" i="81" s="1"/>
  <c r="F2323" i="81"/>
  <c r="D2323" i="81"/>
  <c r="N2322" i="81"/>
  <c r="M2322" i="81"/>
  <c r="H2322" i="81"/>
  <c r="L2322" i="81" s="1"/>
  <c r="F2322" i="81"/>
  <c r="E2322" i="81"/>
  <c r="D2322" i="81"/>
  <c r="N2321" i="81"/>
  <c r="M2321" i="81"/>
  <c r="H2321" i="81"/>
  <c r="L2321" i="81" s="1"/>
  <c r="F2321" i="81"/>
  <c r="E2321" i="81"/>
  <c r="D2321" i="81"/>
  <c r="N2320" i="81"/>
  <c r="M2320" i="81"/>
  <c r="H2320" i="81"/>
  <c r="K2320" i="81" s="1"/>
  <c r="F2320" i="81"/>
  <c r="E2320" i="81"/>
  <c r="D2320" i="81"/>
  <c r="N2319" i="81"/>
  <c r="M2319" i="81"/>
  <c r="H2319" i="81"/>
  <c r="L2319" i="81" s="1"/>
  <c r="F2319" i="81"/>
  <c r="E2319" i="81"/>
  <c r="D2319" i="81"/>
  <c r="M2318" i="81"/>
  <c r="H2318" i="81"/>
  <c r="I2318" i="81" s="1"/>
  <c r="F2318" i="81"/>
  <c r="E2318" i="81"/>
  <c r="D2318" i="81"/>
  <c r="N2318" i="81"/>
  <c r="M2317" i="81"/>
  <c r="H2317" i="81"/>
  <c r="D2316" i="81"/>
  <c r="H2316" i="81"/>
  <c r="N2311" i="81"/>
  <c r="M2311" i="81"/>
  <c r="H2311" i="81"/>
  <c r="K2311" i="81" s="1"/>
  <c r="F2311" i="81"/>
  <c r="E2311" i="81"/>
  <c r="D2311" i="81"/>
  <c r="N2310" i="81"/>
  <c r="M2310" i="81"/>
  <c r="H2310" i="81"/>
  <c r="L2310" i="81" s="1"/>
  <c r="F2310" i="81"/>
  <c r="E2310" i="81"/>
  <c r="D2310" i="81"/>
  <c r="N2309" i="81"/>
  <c r="M2309" i="81"/>
  <c r="H2309" i="81"/>
  <c r="L2309" i="81" s="1"/>
  <c r="F2309" i="81"/>
  <c r="E2309" i="81"/>
  <c r="D2309" i="81"/>
  <c r="N2308" i="81"/>
  <c r="M2308" i="81"/>
  <c r="H2308" i="81"/>
  <c r="L2308" i="81" s="1"/>
  <c r="F2308" i="81"/>
  <c r="E2308" i="81"/>
  <c r="D2308" i="81"/>
  <c r="N2307" i="81"/>
  <c r="M2307" i="81"/>
  <c r="H2307" i="81"/>
  <c r="K2307" i="81" s="1"/>
  <c r="F2307" i="81"/>
  <c r="E2307" i="81"/>
  <c r="D2307" i="81"/>
  <c r="N2306" i="81"/>
  <c r="M2306" i="81"/>
  <c r="H2306" i="81"/>
  <c r="L2306" i="81" s="1"/>
  <c r="F2306" i="81"/>
  <c r="E2306" i="81"/>
  <c r="D2306" i="81"/>
  <c r="N2305" i="81"/>
  <c r="M2305" i="81"/>
  <c r="H2305" i="81"/>
  <c r="L2305" i="81" s="1"/>
  <c r="F2305" i="81"/>
  <c r="E2305" i="81"/>
  <c r="D2305" i="81"/>
  <c r="N2304" i="81"/>
  <c r="M2304" i="81"/>
  <c r="H2304" i="81"/>
  <c r="K2304" i="81" s="1"/>
  <c r="F2304" i="81"/>
  <c r="D2304" i="81"/>
  <c r="M2303" i="81"/>
  <c r="D2303" i="81"/>
  <c r="M2302" i="81"/>
  <c r="D2302" i="81"/>
  <c r="N2296" i="81"/>
  <c r="M2296" i="81"/>
  <c r="H2296" i="81"/>
  <c r="L2296" i="81" s="1"/>
  <c r="F2296" i="81"/>
  <c r="E2296" i="81"/>
  <c r="D2296" i="81"/>
  <c r="B2296" i="81"/>
  <c r="N2295" i="81"/>
  <c r="M2295" i="81"/>
  <c r="H2295" i="81"/>
  <c r="L2295" i="81" s="1"/>
  <c r="F2295" i="81"/>
  <c r="E2295" i="81"/>
  <c r="D2295" i="81"/>
  <c r="B2295" i="81"/>
  <c r="N2294" i="81"/>
  <c r="M2294" i="81"/>
  <c r="H2294" i="81"/>
  <c r="K2294" i="81" s="1"/>
  <c r="F2294" i="81"/>
  <c r="E2294" i="81"/>
  <c r="D2294" i="81"/>
  <c r="B2294" i="81"/>
  <c r="N2293" i="81"/>
  <c r="M2293" i="81"/>
  <c r="H2293" i="81"/>
  <c r="L2293" i="81" s="1"/>
  <c r="F2293" i="81"/>
  <c r="E2293" i="81"/>
  <c r="D2293" i="81"/>
  <c r="B2293" i="81"/>
  <c r="N2292" i="81"/>
  <c r="M2292" i="81"/>
  <c r="H2292" i="81"/>
  <c r="L2292" i="81" s="1"/>
  <c r="F2292" i="81"/>
  <c r="E2292" i="81"/>
  <c r="D2292" i="81"/>
  <c r="B2292" i="81"/>
  <c r="N2291" i="81"/>
  <c r="M2291" i="81"/>
  <c r="H2291" i="81"/>
  <c r="K2291" i="81" s="1"/>
  <c r="F2291" i="81"/>
  <c r="E2291" i="81"/>
  <c r="D2291" i="81"/>
  <c r="B2291" i="81"/>
  <c r="N2290" i="81"/>
  <c r="M2290" i="81"/>
  <c r="H2290" i="81"/>
  <c r="K2290" i="81" s="1"/>
  <c r="F2290" i="81"/>
  <c r="E2290" i="81"/>
  <c r="D2290" i="81"/>
  <c r="B2290" i="81"/>
  <c r="N2289" i="81"/>
  <c r="M2289" i="81"/>
  <c r="H2289" i="81"/>
  <c r="L2289" i="81" s="1"/>
  <c r="F2289" i="81"/>
  <c r="E2289" i="81"/>
  <c r="D2289" i="81"/>
  <c r="B2289" i="81"/>
  <c r="N2288" i="81"/>
  <c r="M2288" i="81"/>
  <c r="H2288" i="81"/>
  <c r="L2288" i="81" s="1"/>
  <c r="F2288" i="81"/>
  <c r="E2288" i="81"/>
  <c r="D2288" i="81"/>
  <c r="B2288" i="81"/>
  <c r="N2287" i="81"/>
  <c r="M2287" i="81"/>
  <c r="H2287" i="81"/>
  <c r="K2287" i="81" s="1"/>
  <c r="F2287" i="81"/>
  <c r="E2287" i="81"/>
  <c r="D2287" i="81"/>
  <c r="B2287" i="81"/>
  <c r="N2286" i="81"/>
  <c r="M2286" i="81"/>
  <c r="H2286" i="81"/>
  <c r="L2286" i="81" s="1"/>
  <c r="F2286" i="81"/>
  <c r="E2286" i="81"/>
  <c r="D2286" i="81"/>
  <c r="B2286" i="81"/>
  <c r="N2285" i="81"/>
  <c r="M2285" i="81"/>
  <c r="H2285" i="81"/>
  <c r="I2285" i="81" s="1"/>
  <c r="F2285" i="81"/>
  <c r="E2285" i="81"/>
  <c r="D2285" i="81"/>
  <c r="B2285" i="81"/>
  <c r="N2284" i="81"/>
  <c r="M2284" i="81"/>
  <c r="H2284" i="81"/>
  <c r="L2284" i="81" s="1"/>
  <c r="F2284" i="81"/>
  <c r="E2284" i="81"/>
  <c r="D2284" i="81"/>
  <c r="B2284" i="81"/>
  <c r="N2283" i="81"/>
  <c r="M2283" i="81"/>
  <c r="H2283" i="81"/>
  <c r="L2283" i="81" s="1"/>
  <c r="F2283" i="81"/>
  <c r="E2283" i="81"/>
  <c r="D2283" i="81"/>
  <c r="B2283" i="81"/>
  <c r="N2282" i="81"/>
  <c r="M2282" i="81"/>
  <c r="H2282" i="81"/>
  <c r="K2282" i="81" s="1"/>
  <c r="F2282" i="81"/>
  <c r="E2282" i="81"/>
  <c r="D2282" i="81"/>
  <c r="B2282" i="81"/>
  <c r="N2281" i="81"/>
  <c r="M2281" i="81"/>
  <c r="H2281" i="81"/>
  <c r="L2281" i="81" s="1"/>
  <c r="F2281" i="81"/>
  <c r="E2281" i="81"/>
  <c r="D2281" i="81"/>
  <c r="B2281" i="81"/>
  <c r="N2280" i="81"/>
  <c r="M2280" i="81"/>
  <c r="H2280" i="81"/>
  <c r="L2280" i="81" s="1"/>
  <c r="F2280" i="81"/>
  <c r="E2280" i="81"/>
  <c r="D2280" i="81"/>
  <c r="B2280" i="81"/>
  <c r="N2279" i="81"/>
  <c r="M2279" i="81"/>
  <c r="H2279" i="81"/>
  <c r="J2279" i="81" s="1"/>
  <c r="F2279" i="81"/>
  <c r="E2279" i="81"/>
  <c r="D2279" i="81"/>
  <c r="B2279" i="81"/>
  <c r="M2278" i="81"/>
  <c r="H2278" i="81"/>
  <c r="E2278" i="81"/>
  <c r="F2278" i="81" s="1"/>
  <c r="D2278" i="81"/>
  <c r="B2278" i="81"/>
  <c r="M2277" i="81"/>
  <c r="H2277" i="81"/>
  <c r="E2277" i="81"/>
  <c r="F2277" i="81" s="1"/>
  <c r="D2277" i="81"/>
  <c r="B2277" i="81"/>
  <c r="N2273" i="81"/>
  <c r="M2273" i="81"/>
  <c r="H2273" i="81"/>
  <c r="L2273" i="81" s="1"/>
  <c r="F2273" i="81"/>
  <c r="E2273" i="81"/>
  <c r="D2273" i="81"/>
  <c r="B2273" i="81"/>
  <c r="N2272" i="81"/>
  <c r="M2272" i="81"/>
  <c r="H2272" i="81"/>
  <c r="K2272" i="81" s="1"/>
  <c r="F2272" i="81"/>
  <c r="E2272" i="81"/>
  <c r="D2272" i="81"/>
  <c r="B2272" i="81"/>
  <c r="N2271" i="81"/>
  <c r="M2271" i="81"/>
  <c r="H2271" i="81"/>
  <c r="K2271" i="81" s="1"/>
  <c r="F2271" i="81"/>
  <c r="E2271" i="81"/>
  <c r="D2271" i="81"/>
  <c r="B2271" i="81"/>
  <c r="N2270" i="81"/>
  <c r="M2270" i="81"/>
  <c r="H2270" i="81"/>
  <c r="L2270" i="81" s="1"/>
  <c r="F2270" i="81"/>
  <c r="E2270" i="81"/>
  <c r="D2270" i="81"/>
  <c r="B2270" i="81"/>
  <c r="N2269" i="81"/>
  <c r="M2269" i="81"/>
  <c r="H2269" i="81"/>
  <c r="L2269" i="81" s="1"/>
  <c r="F2269" i="81"/>
  <c r="E2269" i="81"/>
  <c r="D2269" i="81"/>
  <c r="B2269" i="81"/>
  <c r="N2268" i="81"/>
  <c r="M2268" i="81"/>
  <c r="H2268" i="81"/>
  <c r="K2268" i="81" s="1"/>
  <c r="F2268" i="81"/>
  <c r="E2268" i="81"/>
  <c r="D2268" i="81"/>
  <c r="B2268" i="81"/>
  <c r="N2267" i="81"/>
  <c r="M2267" i="81"/>
  <c r="H2267" i="81"/>
  <c r="L2267" i="81" s="1"/>
  <c r="F2267" i="81"/>
  <c r="E2267" i="81"/>
  <c r="D2267" i="81"/>
  <c r="B2267" i="81"/>
  <c r="E2266" i="81"/>
  <c r="F2266" i="81" s="1"/>
  <c r="M2265" i="81"/>
  <c r="H2265" i="81"/>
  <c r="I2265" i="81" s="1"/>
  <c r="F2265" i="81"/>
  <c r="E2265" i="81"/>
  <c r="D2265" i="81"/>
  <c r="B2265" i="81"/>
  <c r="N2265" i="81"/>
  <c r="M2264" i="81"/>
  <c r="H2264" i="81"/>
  <c r="N2259" i="81"/>
  <c r="M2259" i="81"/>
  <c r="H2259" i="81"/>
  <c r="K2259" i="81" s="1"/>
  <c r="F2259" i="81"/>
  <c r="E2259" i="81"/>
  <c r="D2259" i="81"/>
  <c r="B2259" i="81"/>
  <c r="N2258" i="81"/>
  <c r="M2258" i="81"/>
  <c r="H2258" i="81"/>
  <c r="L2258" i="81" s="1"/>
  <c r="F2258" i="81"/>
  <c r="E2258" i="81"/>
  <c r="D2258" i="81"/>
  <c r="B2258" i="81"/>
  <c r="N2257" i="81"/>
  <c r="M2257" i="81"/>
  <c r="H2257" i="81"/>
  <c r="L2257" i="81" s="1"/>
  <c r="F2257" i="81"/>
  <c r="E2257" i="81"/>
  <c r="D2257" i="81"/>
  <c r="B2257" i="81"/>
  <c r="N2256" i="81"/>
  <c r="M2256" i="81"/>
  <c r="H2256" i="81"/>
  <c r="L2256" i="81" s="1"/>
  <c r="F2256" i="81"/>
  <c r="E2256" i="81"/>
  <c r="D2256" i="81"/>
  <c r="B2256" i="81"/>
  <c r="N2255" i="81"/>
  <c r="M2255" i="81"/>
  <c r="H2255" i="81"/>
  <c r="K2255" i="81" s="1"/>
  <c r="F2255" i="81"/>
  <c r="E2255" i="81"/>
  <c r="D2255" i="81"/>
  <c r="B2255" i="81"/>
  <c r="N2254" i="81"/>
  <c r="M2254" i="81"/>
  <c r="H2254" i="81"/>
  <c r="L2254" i="81" s="1"/>
  <c r="F2254" i="81"/>
  <c r="E2254" i="81"/>
  <c r="D2254" i="81"/>
  <c r="B2254" i="81"/>
  <c r="N2253" i="81"/>
  <c r="M2253" i="81"/>
  <c r="H2253" i="81"/>
  <c r="L2253" i="81" s="1"/>
  <c r="F2253" i="81"/>
  <c r="E2253" i="81"/>
  <c r="D2253" i="81"/>
  <c r="B2253" i="81"/>
  <c r="N2252" i="81"/>
  <c r="M2252" i="81"/>
  <c r="H2252" i="81"/>
  <c r="K2252" i="81" s="1"/>
  <c r="F2252" i="81"/>
  <c r="E2252" i="81"/>
  <c r="D2252" i="81"/>
  <c r="B2252" i="81"/>
  <c r="M2251" i="81"/>
  <c r="D2251" i="81"/>
  <c r="B2251" i="81"/>
  <c r="M2250" i="81"/>
  <c r="D2250" i="81"/>
  <c r="B2250" i="81"/>
  <c r="A2040" i="81"/>
  <c r="S54" i="82"/>
  <c r="S84" i="82"/>
  <c r="S83" i="82"/>
  <c r="S82" i="82"/>
  <c r="S81" i="82"/>
  <c r="S80" i="82"/>
  <c r="S79" i="82"/>
  <c r="S76" i="82"/>
  <c r="S75" i="82"/>
  <c r="S74" i="82"/>
  <c r="S73" i="82"/>
  <c r="S45" i="82"/>
  <c r="S71" i="82"/>
  <c r="S72" i="82"/>
  <c r="S70" i="82"/>
  <c r="S68" i="82"/>
  <c r="S67" i="82"/>
  <c r="S66" i="82"/>
  <c r="S65" i="82"/>
  <c r="S64" i="82"/>
  <c r="S44" i="82"/>
  <c r="S63" i="82"/>
  <c r="S62" i="82"/>
  <c r="S61" i="82"/>
  <c r="S60" i="82"/>
  <c r="S59" i="82"/>
  <c r="S58" i="82"/>
  <c r="S57" i="82"/>
  <c r="S56" i="82"/>
  <c r="S51" i="82"/>
  <c r="A2069" i="81"/>
  <c r="A2121" i="81"/>
  <c r="H2121" i="81" s="1"/>
  <c r="A2225" i="81"/>
  <c r="H2225" i="81" s="1"/>
  <c r="A2092" i="81"/>
  <c r="G2092" i="81" s="1"/>
  <c r="A2196" i="81"/>
  <c r="G2196" i="81" s="1"/>
  <c r="N2244" i="81"/>
  <c r="M2244" i="81"/>
  <c r="H2244" i="81"/>
  <c r="L2244" i="81" s="1"/>
  <c r="F2244" i="81"/>
  <c r="E2244" i="81"/>
  <c r="D2244" i="81"/>
  <c r="B2244" i="81"/>
  <c r="N2243" i="81"/>
  <c r="M2243" i="81"/>
  <c r="H2243" i="81"/>
  <c r="L2243" i="81" s="1"/>
  <c r="F2243" i="81"/>
  <c r="E2243" i="81"/>
  <c r="D2243" i="81"/>
  <c r="B2243" i="81"/>
  <c r="N2242" i="81"/>
  <c r="M2242" i="81"/>
  <c r="H2242" i="81"/>
  <c r="L2242" i="81" s="1"/>
  <c r="F2242" i="81"/>
  <c r="E2242" i="81"/>
  <c r="D2242" i="81"/>
  <c r="B2242" i="81"/>
  <c r="N2241" i="81"/>
  <c r="M2241" i="81"/>
  <c r="H2241" i="81"/>
  <c r="L2241" i="81" s="1"/>
  <c r="F2241" i="81"/>
  <c r="E2241" i="81"/>
  <c r="D2241" i="81"/>
  <c r="B2241" i="81"/>
  <c r="N2240" i="81"/>
  <c r="M2240" i="81"/>
  <c r="H2240" i="81"/>
  <c r="K2240" i="81" s="1"/>
  <c r="F2240" i="81"/>
  <c r="E2240" i="81"/>
  <c r="D2240" i="81"/>
  <c r="B2240" i="81"/>
  <c r="N2239" i="81"/>
  <c r="M2239" i="81"/>
  <c r="H2239" i="81"/>
  <c r="J2239" i="81" s="1"/>
  <c r="F2239" i="81"/>
  <c r="E2239" i="81"/>
  <c r="D2239" i="81"/>
  <c r="B2239" i="81"/>
  <c r="N2238" i="81"/>
  <c r="M2238" i="81"/>
  <c r="H2238" i="81"/>
  <c r="L2238" i="81" s="1"/>
  <c r="F2238" i="81"/>
  <c r="E2238" i="81"/>
  <c r="D2238" i="81"/>
  <c r="B2238" i="81"/>
  <c r="N2237" i="81"/>
  <c r="M2237" i="81"/>
  <c r="H2237" i="81"/>
  <c r="J2237" i="81" s="1"/>
  <c r="F2237" i="81"/>
  <c r="E2237" i="81"/>
  <c r="D2237" i="81"/>
  <c r="B2237" i="81"/>
  <c r="N2236" i="81"/>
  <c r="M2236" i="81"/>
  <c r="H2236" i="81"/>
  <c r="J2236" i="81" s="1"/>
  <c r="F2236" i="81"/>
  <c r="E2236" i="81"/>
  <c r="D2236" i="81"/>
  <c r="B2236" i="81"/>
  <c r="N2235" i="81"/>
  <c r="M2235" i="81"/>
  <c r="H2235" i="81"/>
  <c r="I2235" i="81" s="1"/>
  <c r="F2235" i="81"/>
  <c r="E2235" i="81"/>
  <c r="D2235" i="81"/>
  <c r="B2235" i="81"/>
  <c r="N2234" i="81"/>
  <c r="M2234" i="81"/>
  <c r="H2234" i="81"/>
  <c r="I2234" i="81" s="1"/>
  <c r="F2234" i="81"/>
  <c r="E2234" i="81"/>
  <c r="D2234" i="81"/>
  <c r="B2234" i="81"/>
  <c r="N2233" i="81"/>
  <c r="M2233" i="81"/>
  <c r="H2233" i="81"/>
  <c r="L2233" i="81" s="1"/>
  <c r="F2233" i="81"/>
  <c r="E2233" i="81"/>
  <c r="D2233" i="81"/>
  <c r="B2233" i="81"/>
  <c r="N2232" i="81"/>
  <c r="M2232" i="81"/>
  <c r="H2232" i="81"/>
  <c r="L2232" i="81" s="1"/>
  <c r="F2232" i="81"/>
  <c r="E2232" i="81"/>
  <c r="D2232" i="81"/>
  <c r="B2232" i="81"/>
  <c r="N2231" i="81"/>
  <c r="M2231" i="81"/>
  <c r="H2231" i="81"/>
  <c r="L2231" i="81" s="1"/>
  <c r="F2231" i="81"/>
  <c r="E2231" i="81"/>
  <c r="D2231" i="81"/>
  <c r="B2231" i="81"/>
  <c r="N2230" i="81"/>
  <c r="M2230" i="81"/>
  <c r="H2230" i="81"/>
  <c r="L2230" i="81" s="1"/>
  <c r="F2230" i="81"/>
  <c r="E2230" i="81"/>
  <c r="D2230" i="81"/>
  <c r="B2230" i="81"/>
  <c r="N2229" i="81"/>
  <c r="M2229" i="81"/>
  <c r="H2229" i="81"/>
  <c r="L2229" i="81" s="1"/>
  <c r="F2229" i="81"/>
  <c r="E2229" i="81"/>
  <c r="D2229" i="81"/>
  <c r="B2229" i="81"/>
  <c r="N2228" i="81"/>
  <c r="M2228" i="81"/>
  <c r="H2228" i="81"/>
  <c r="K2228" i="81" s="1"/>
  <c r="F2228" i="81"/>
  <c r="E2228" i="81"/>
  <c r="D2228" i="81"/>
  <c r="B2228" i="81"/>
  <c r="N2227" i="81"/>
  <c r="M2227" i="81"/>
  <c r="H2227" i="81"/>
  <c r="J2227" i="81" s="1"/>
  <c r="F2227" i="81"/>
  <c r="E2227" i="81"/>
  <c r="D2227" i="81"/>
  <c r="B2227" i="81"/>
  <c r="N2226" i="81"/>
  <c r="M2226" i="81"/>
  <c r="H2226" i="81"/>
  <c r="L2226" i="81" s="1"/>
  <c r="F2226" i="81"/>
  <c r="E2226" i="81"/>
  <c r="D2226" i="81"/>
  <c r="B2226" i="81"/>
  <c r="N2221" i="81"/>
  <c r="M2221" i="81"/>
  <c r="H2221" i="81"/>
  <c r="L2221" i="81" s="1"/>
  <c r="F2221" i="81"/>
  <c r="E2221" i="81"/>
  <c r="D2221" i="81"/>
  <c r="B2221" i="81"/>
  <c r="N2220" i="81"/>
  <c r="M2220" i="81"/>
  <c r="H2220" i="81"/>
  <c r="K2220" i="81" s="1"/>
  <c r="F2220" i="81"/>
  <c r="E2220" i="81"/>
  <c r="D2220" i="81"/>
  <c r="B2220" i="81"/>
  <c r="N2219" i="81"/>
  <c r="M2219" i="81"/>
  <c r="H2219" i="81"/>
  <c r="J2219" i="81" s="1"/>
  <c r="F2219" i="81"/>
  <c r="E2219" i="81"/>
  <c r="D2219" i="81"/>
  <c r="B2219" i="81"/>
  <c r="N2218" i="81"/>
  <c r="M2218" i="81"/>
  <c r="H2218" i="81"/>
  <c r="I2218" i="81" s="1"/>
  <c r="F2218" i="81"/>
  <c r="E2218" i="81"/>
  <c r="D2218" i="81"/>
  <c r="B2218" i="81"/>
  <c r="N2217" i="81"/>
  <c r="M2217" i="81"/>
  <c r="H2217" i="81"/>
  <c r="L2217" i="81" s="1"/>
  <c r="F2217" i="81"/>
  <c r="E2217" i="81"/>
  <c r="D2217" i="81"/>
  <c r="B2217" i="81"/>
  <c r="N2216" i="81"/>
  <c r="M2216" i="81"/>
  <c r="H2216" i="81"/>
  <c r="J2216" i="81" s="1"/>
  <c r="F2216" i="81"/>
  <c r="E2216" i="81"/>
  <c r="D2216" i="81"/>
  <c r="B2216" i="81"/>
  <c r="N2215" i="81"/>
  <c r="M2215" i="81"/>
  <c r="H2215" i="81"/>
  <c r="I2215" i="81" s="1"/>
  <c r="F2215" i="81"/>
  <c r="E2215" i="81"/>
  <c r="D2215" i="81"/>
  <c r="B2215" i="81"/>
  <c r="N2214" i="81"/>
  <c r="M2214" i="81"/>
  <c r="H2214" i="81"/>
  <c r="I2214" i="81" s="1"/>
  <c r="F2214" i="81"/>
  <c r="E2214" i="81"/>
  <c r="D2214" i="81"/>
  <c r="B2214" i="81"/>
  <c r="N2213" i="81"/>
  <c r="M2213" i="81"/>
  <c r="H2213" i="81"/>
  <c r="L2213" i="81" s="1"/>
  <c r="F2213" i="81"/>
  <c r="E2213" i="81"/>
  <c r="D2213" i="81"/>
  <c r="B2213" i="81"/>
  <c r="N2212" i="81"/>
  <c r="M2212" i="81"/>
  <c r="H2212" i="81"/>
  <c r="L2212" i="81" s="1"/>
  <c r="F2212" i="81"/>
  <c r="E2212" i="81"/>
  <c r="D2212" i="81"/>
  <c r="B2212" i="81"/>
  <c r="N2207" i="81"/>
  <c r="M2207" i="81"/>
  <c r="H2207" i="81"/>
  <c r="I2207" i="81" s="1"/>
  <c r="F2207" i="81"/>
  <c r="E2207" i="81"/>
  <c r="D2207" i="81"/>
  <c r="B2207" i="81"/>
  <c r="N2206" i="81"/>
  <c r="M2206" i="81"/>
  <c r="H2206" i="81"/>
  <c r="J2206" i="81" s="1"/>
  <c r="F2206" i="81"/>
  <c r="E2206" i="81"/>
  <c r="D2206" i="81"/>
  <c r="B2206" i="81"/>
  <c r="N2205" i="81"/>
  <c r="M2205" i="81"/>
  <c r="H2205" i="81"/>
  <c r="J2205" i="81" s="1"/>
  <c r="F2205" i="81"/>
  <c r="E2205" i="81"/>
  <c r="D2205" i="81"/>
  <c r="B2205" i="81"/>
  <c r="N2204" i="81"/>
  <c r="M2204" i="81"/>
  <c r="H2204" i="81"/>
  <c r="I2204" i="81" s="1"/>
  <c r="F2204" i="81"/>
  <c r="E2204" i="81"/>
  <c r="D2204" i="81"/>
  <c r="B2204" i="81"/>
  <c r="N2203" i="81"/>
  <c r="M2203" i="81"/>
  <c r="H2203" i="81"/>
  <c r="L2203" i="81" s="1"/>
  <c r="F2203" i="81"/>
  <c r="E2203" i="81"/>
  <c r="D2203" i="81"/>
  <c r="B2203" i="81"/>
  <c r="N2202" i="81"/>
  <c r="M2202" i="81"/>
  <c r="H2202" i="81"/>
  <c r="L2202" i="81" s="1"/>
  <c r="F2202" i="81"/>
  <c r="E2202" i="81"/>
  <c r="D2202" i="81"/>
  <c r="B2202" i="81"/>
  <c r="N2201" i="81"/>
  <c r="M2201" i="81"/>
  <c r="H2201" i="81"/>
  <c r="L2201" i="81" s="1"/>
  <c r="F2201" i="81"/>
  <c r="E2201" i="81"/>
  <c r="D2201" i="81"/>
  <c r="B2201" i="81"/>
  <c r="N2200" i="81"/>
  <c r="M2200" i="81"/>
  <c r="H2200" i="81"/>
  <c r="L2200" i="81" s="1"/>
  <c r="F2200" i="81"/>
  <c r="E2200" i="81"/>
  <c r="D2200" i="81"/>
  <c r="B2200" i="81"/>
  <c r="A2199" i="81"/>
  <c r="B2199" i="81" s="1"/>
  <c r="A2198" i="81"/>
  <c r="B2198" i="81" s="1"/>
  <c r="N2140" i="81"/>
  <c r="M2140" i="81"/>
  <c r="H2140" i="81"/>
  <c r="L2140" i="81" s="1"/>
  <c r="F2140" i="81"/>
  <c r="E2140" i="81"/>
  <c r="D2140" i="81"/>
  <c r="B2140" i="81"/>
  <c r="N2139" i="81"/>
  <c r="M2139" i="81"/>
  <c r="H2139" i="81"/>
  <c r="L2139" i="81" s="1"/>
  <c r="F2139" i="81"/>
  <c r="E2139" i="81"/>
  <c r="D2139" i="81"/>
  <c r="B2139" i="81"/>
  <c r="N2138" i="81"/>
  <c r="M2138" i="81"/>
  <c r="H2138" i="81"/>
  <c r="L2138" i="81" s="1"/>
  <c r="F2138" i="81"/>
  <c r="E2138" i="81"/>
  <c r="D2138" i="81"/>
  <c r="B2138" i="81"/>
  <c r="N2137" i="81"/>
  <c r="M2137" i="81"/>
  <c r="H2137" i="81"/>
  <c r="I2137" i="81" s="1"/>
  <c r="F2137" i="81"/>
  <c r="E2137" i="81"/>
  <c r="D2137" i="81"/>
  <c r="B2137" i="81"/>
  <c r="N2136" i="81"/>
  <c r="M2136" i="81"/>
  <c r="H2136" i="81"/>
  <c r="L2136" i="81" s="1"/>
  <c r="F2136" i="81"/>
  <c r="E2136" i="81"/>
  <c r="D2136" i="81"/>
  <c r="B2136" i="81"/>
  <c r="N2135" i="81"/>
  <c r="M2135" i="81"/>
  <c r="H2135" i="81"/>
  <c r="L2135" i="81" s="1"/>
  <c r="F2135" i="81"/>
  <c r="E2135" i="81"/>
  <c r="D2135" i="81"/>
  <c r="B2135" i="81"/>
  <c r="N2134" i="81"/>
  <c r="M2134" i="81"/>
  <c r="H2134" i="81"/>
  <c r="L2134" i="81" s="1"/>
  <c r="F2134" i="81"/>
  <c r="E2134" i="81"/>
  <c r="D2134" i="81"/>
  <c r="B2134" i="81"/>
  <c r="N2133" i="81"/>
  <c r="M2133" i="81"/>
  <c r="H2133" i="81"/>
  <c r="K2133" i="81" s="1"/>
  <c r="F2133" i="81"/>
  <c r="E2133" i="81"/>
  <c r="D2133" i="81"/>
  <c r="B2133" i="81"/>
  <c r="N2132" i="81"/>
  <c r="M2132" i="81"/>
  <c r="H2132" i="81"/>
  <c r="J2132" i="81" s="1"/>
  <c r="F2132" i="81"/>
  <c r="E2132" i="81"/>
  <c r="D2132" i="81"/>
  <c r="B2132" i="81"/>
  <c r="N2131" i="81"/>
  <c r="M2131" i="81"/>
  <c r="H2131" i="81"/>
  <c r="I2131" i="81" s="1"/>
  <c r="F2131" i="81"/>
  <c r="E2131" i="81"/>
  <c r="D2131" i="81"/>
  <c r="B2131" i="81"/>
  <c r="N2130" i="81"/>
  <c r="M2130" i="81"/>
  <c r="H2130" i="81"/>
  <c r="J2130" i="81" s="1"/>
  <c r="F2130" i="81"/>
  <c r="E2130" i="81"/>
  <c r="D2130" i="81"/>
  <c r="B2130" i="81"/>
  <c r="N2129" i="81"/>
  <c r="M2129" i="81"/>
  <c r="H2129" i="81"/>
  <c r="L2129" i="81" s="1"/>
  <c r="F2129" i="81"/>
  <c r="E2129" i="81"/>
  <c r="D2129" i="81"/>
  <c r="B2129" i="81"/>
  <c r="N2128" i="81"/>
  <c r="M2128" i="81"/>
  <c r="H2128" i="81"/>
  <c r="L2128" i="81" s="1"/>
  <c r="F2128" i="81"/>
  <c r="E2128" i="81"/>
  <c r="D2128" i="81"/>
  <c r="B2128" i="81"/>
  <c r="N2127" i="81"/>
  <c r="M2127" i="81"/>
  <c r="H2127" i="81"/>
  <c r="L2127" i="81" s="1"/>
  <c r="F2127" i="81"/>
  <c r="E2127" i="81"/>
  <c r="D2127" i="81"/>
  <c r="B2127" i="81"/>
  <c r="N2126" i="81"/>
  <c r="M2126" i="81"/>
  <c r="H2126" i="81"/>
  <c r="L2126" i="81" s="1"/>
  <c r="F2126" i="81"/>
  <c r="E2126" i="81"/>
  <c r="D2126" i="81"/>
  <c r="B2126" i="81"/>
  <c r="N2125" i="81"/>
  <c r="M2125" i="81"/>
  <c r="H2125" i="81"/>
  <c r="K2125" i="81" s="1"/>
  <c r="F2125" i="81"/>
  <c r="E2125" i="81"/>
  <c r="D2125" i="81"/>
  <c r="B2125" i="81"/>
  <c r="N2124" i="81"/>
  <c r="M2124" i="81"/>
  <c r="H2124" i="81"/>
  <c r="L2124" i="81" s="1"/>
  <c r="F2124" i="81"/>
  <c r="E2124" i="81"/>
  <c r="D2124" i="81"/>
  <c r="B2124" i="81"/>
  <c r="N2123" i="81"/>
  <c r="M2123" i="81"/>
  <c r="H2123" i="81"/>
  <c r="L2123" i="81" s="1"/>
  <c r="F2123" i="81"/>
  <c r="E2123" i="81"/>
  <c r="D2123" i="81"/>
  <c r="B2123" i="81"/>
  <c r="N2122" i="81"/>
  <c r="M2122" i="81"/>
  <c r="H2122" i="81"/>
  <c r="L2122" i="81" s="1"/>
  <c r="F2122" i="81"/>
  <c r="E2122" i="81"/>
  <c r="D2122" i="81"/>
  <c r="B2122" i="81"/>
  <c r="N2117" i="81"/>
  <c r="M2117" i="81"/>
  <c r="H2117" i="81"/>
  <c r="L2117" i="81" s="1"/>
  <c r="F2117" i="81"/>
  <c r="E2117" i="81"/>
  <c r="D2117" i="81"/>
  <c r="B2117" i="81"/>
  <c r="N2116" i="81"/>
  <c r="M2116" i="81"/>
  <c r="H2116" i="81"/>
  <c r="L2116" i="81" s="1"/>
  <c r="F2116" i="81"/>
  <c r="E2116" i="81"/>
  <c r="D2116" i="81"/>
  <c r="B2116" i="81"/>
  <c r="N2115" i="81"/>
  <c r="M2115" i="81"/>
  <c r="H2115" i="81"/>
  <c r="L2115" i="81" s="1"/>
  <c r="F2115" i="81"/>
  <c r="E2115" i="81"/>
  <c r="D2115" i="81"/>
  <c r="B2115" i="81"/>
  <c r="N2114" i="81"/>
  <c r="M2114" i="81"/>
  <c r="H2114" i="81"/>
  <c r="L2114" i="81" s="1"/>
  <c r="F2114" i="81"/>
  <c r="E2114" i="81"/>
  <c r="D2114" i="81"/>
  <c r="B2114" i="81"/>
  <c r="N2113" i="81"/>
  <c r="M2113" i="81"/>
  <c r="H2113" i="81"/>
  <c r="K2113" i="81" s="1"/>
  <c r="F2113" i="81"/>
  <c r="E2113" i="81"/>
  <c r="D2113" i="81"/>
  <c r="B2113" i="81"/>
  <c r="N2112" i="81"/>
  <c r="M2112" i="81"/>
  <c r="H2112" i="81"/>
  <c r="J2112" i="81" s="1"/>
  <c r="F2112" i="81"/>
  <c r="E2112" i="81"/>
  <c r="D2112" i="81"/>
  <c r="B2112" i="81"/>
  <c r="N2111" i="81"/>
  <c r="M2111" i="81"/>
  <c r="H2111" i="81"/>
  <c r="I2111" i="81" s="1"/>
  <c r="F2111" i="81"/>
  <c r="E2111" i="81"/>
  <c r="D2111" i="81"/>
  <c r="B2111" i="81"/>
  <c r="N2110" i="81"/>
  <c r="M2110" i="81"/>
  <c r="H2110" i="81"/>
  <c r="L2110" i="81" s="1"/>
  <c r="F2110" i="81"/>
  <c r="E2110" i="81"/>
  <c r="D2110" i="81"/>
  <c r="B2110" i="81"/>
  <c r="N2109" i="81"/>
  <c r="M2109" i="81"/>
  <c r="H2109" i="81"/>
  <c r="L2109" i="81" s="1"/>
  <c r="F2109" i="81"/>
  <c r="E2109" i="81"/>
  <c r="D2109" i="81"/>
  <c r="B2109" i="81"/>
  <c r="N2108" i="81"/>
  <c r="M2108" i="81"/>
  <c r="H2108" i="81"/>
  <c r="L2108" i="81" s="1"/>
  <c r="F2108" i="81"/>
  <c r="E2108" i="81"/>
  <c r="D2108" i="81"/>
  <c r="B2108" i="81"/>
  <c r="N2103" i="81"/>
  <c r="M2103" i="81"/>
  <c r="H2103" i="81"/>
  <c r="L2103" i="81" s="1"/>
  <c r="F2103" i="81"/>
  <c r="E2103" i="81"/>
  <c r="D2103" i="81"/>
  <c r="B2103" i="81"/>
  <c r="N2102" i="81"/>
  <c r="M2102" i="81"/>
  <c r="H2102" i="81"/>
  <c r="K2102" i="81" s="1"/>
  <c r="F2102" i="81"/>
  <c r="E2102" i="81"/>
  <c r="D2102" i="81"/>
  <c r="B2102" i="81"/>
  <c r="N2101" i="81"/>
  <c r="M2101" i="81"/>
  <c r="H2101" i="81"/>
  <c r="J2101" i="81" s="1"/>
  <c r="F2101" i="81"/>
  <c r="E2101" i="81"/>
  <c r="D2101" i="81"/>
  <c r="B2101" i="81"/>
  <c r="N2100" i="81"/>
  <c r="M2100" i="81"/>
  <c r="H2100" i="81"/>
  <c r="I2100" i="81" s="1"/>
  <c r="F2100" i="81"/>
  <c r="E2100" i="81"/>
  <c r="D2100" i="81"/>
  <c r="B2100" i="81"/>
  <c r="N2099" i="81"/>
  <c r="M2099" i="81"/>
  <c r="H2099" i="81"/>
  <c r="L2099" i="81" s="1"/>
  <c r="F2099" i="81"/>
  <c r="E2099" i="81"/>
  <c r="D2099" i="81"/>
  <c r="B2099" i="81"/>
  <c r="N2098" i="81"/>
  <c r="M2098" i="81"/>
  <c r="H2098" i="81"/>
  <c r="L2098" i="81" s="1"/>
  <c r="F2098" i="81"/>
  <c r="E2098" i="81"/>
  <c r="D2098" i="81"/>
  <c r="B2098" i="81"/>
  <c r="N2097" i="81"/>
  <c r="M2097" i="81"/>
  <c r="H2097" i="81"/>
  <c r="L2097" i="81" s="1"/>
  <c r="F2097" i="81"/>
  <c r="E2097" i="81"/>
  <c r="D2097" i="81"/>
  <c r="B2097" i="81"/>
  <c r="N2096" i="81"/>
  <c r="M2096" i="81"/>
  <c r="H2096" i="81"/>
  <c r="L2096" i="81" s="1"/>
  <c r="F2096" i="81"/>
  <c r="E2096" i="81"/>
  <c r="D2096" i="81"/>
  <c r="B2096" i="81"/>
  <c r="A2095" i="81"/>
  <c r="B2095" i="81" s="1"/>
  <c r="A2094" i="81"/>
  <c r="B2094" i="81" s="1"/>
  <c r="S52" i="82"/>
  <c r="S53" i="82"/>
  <c r="A1601" i="81"/>
  <c r="B1601" i="81" s="1"/>
  <c r="B1603" i="81"/>
  <c r="B1602" i="81"/>
  <c r="B1597" i="81"/>
  <c r="B1596" i="81"/>
  <c r="B1595" i="81"/>
  <c r="B1594" i="81"/>
  <c r="B1593" i="81"/>
  <c r="B1592" i="81"/>
  <c r="B1591" i="81"/>
  <c r="B1590" i="81"/>
  <c r="B1589" i="81"/>
  <c r="B1588" i="81"/>
  <c r="B1583" i="81"/>
  <c r="B1582" i="81"/>
  <c r="B1581" i="81"/>
  <c r="B1580" i="81"/>
  <c r="B1579" i="81"/>
  <c r="B1578" i="81"/>
  <c r="B1577" i="81"/>
  <c r="B1576" i="81"/>
  <c r="B1575" i="81"/>
  <c r="A1574" i="81"/>
  <c r="B1574" i="81" s="1"/>
  <c r="A1653" i="81"/>
  <c r="H1653" i="81" s="1"/>
  <c r="A1626" i="81"/>
  <c r="B1865" i="81"/>
  <c r="B1864" i="81"/>
  <c r="B1863" i="81"/>
  <c r="A1862" i="81"/>
  <c r="B1862" i="81" s="1"/>
  <c r="A1861" i="81"/>
  <c r="B1861" i="81" s="1"/>
  <c r="B1857" i="81"/>
  <c r="B1856" i="81"/>
  <c r="B1855" i="81"/>
  <c r="B1854" i="81"/>
  <c r="B1853" i="81"/>
  <c r="B1852" i="81"/>
  <c r="B1851" i="81"/>
  <c r="B1850" i="81"/>
  <c r="B1849" i="81"/>
  <c r="B1848" i="81"/>
  <c r="B1843" i="81"/>
  <c r="B1842" i="81"/>
  <c r="B1841" i="81"/>
  <c r="B1840" i="81"/>
  <c r="B1839" i="81"/>
  <c r="B1838" i="81"/>
  <c r="B1837" i="81"/>
  <c r="B1836" i="81"/>
  <c r="A1835" i="81"/>
  <c r="B1835" i="81" s="1"/>
  <c r="A1834" i="81"/>
  <c r="B1834" i="81" s="1"/>
  <c r="B1969" i="81"/>
  <c r="B1968" i="81"/>
  <c r="B1967" i="81"/>
  <c r="A1966" i="81"/>
  <c r="B1966" i="81" s="1"/>
  <c r="A1965" i="81"/>
  <c r="B1965" i="81" s="1"/>
  <c r="B1961" i="81"/>
  <c r="B1960" i="81"/>
  <c r="B1959" i="81"/>
  <c r="B1958" i="81"/>
  <c r="B1957" i="81"/>
  <c r="B1956" i="81"/>
  <c r="B1955" i="81"/>
  <c r="B1954" i="81"/>
  <c r="B1953" i="81"/>
  <c r="B1952" i="81"/>
  <c r="B1947" i="81"/>
  <c r="B1946" i="81"/>
  <c r="B1945" i="81"/>
  <c r="B1944" i="81"/>
  <c r="B1943" i="81"/>
  <c r="B1942" i="81"/>
  <c r="B1941" i="81"/>
  <c r="B1940" i="81"/>
  <c r="A1939" i="81"/>
  <c r="B1939" i="81" s="1"/>
  <c r="A1938" i="81"/>
  <c r="B1938" i="81" s="1"/>
  <c r="A1913" i="81"/>
  <c r="M1913" i="81" s="1"/>
  <c r="A1624" i="81"/>
  <c r="G1624" i="81" s="1"/>
  <c r="A1884" i="81"/>
  <c r="B1884" i="81" s="1"/>
  <c r="N1932" i="81"/>
  <c r="M1932" i="81"/>
  <c r="H1932" i="81"/>
  <c r="L1932" i="81" s="1"/>
  <c r="F1932" i="81"/>
  <c r="E1932" i="81"/>
  <c r="D1932" i="81"/>
  <c r="B1932" i="81"/>
  <c r="N1931" i="81"/>
  <c r="M1931" i="81"/>
  <c r="H1931" i="81"/>
  <c r="L1931" i="81" s="1"/>
  <c r="F1931" i="81"/>
  <c r="E1931" i="81"/>
  <c r="D1931" i="81"/>
  <c r="B1931" i="81"/>
  <c r="N1930" i="81"/>
  <c r="M1930" i="81"/>
  <c r="H1930" i="81"/>
  <c r="L1930" i="81" s="1"/>
  <c r="F1930" i="81"/>
  <c r="E1930" i="81"/>
  <c r="D1930" i="81"/>
  <c r="B1930" i="81"/>
  <c r="N1929" i="81"/>
  <c r="M1929" i="81"/>
  <c r="H1929" i="81"/>
  <c r="L1929" i="81" s="1"/>
  <c r="F1929" i="81"/>
  <c r="E1929" i="81"/>
  <c r="D1929" i="81"/>
  <c r="B1929" i="81"/>
  <c r="N1928" i="81"/>
  <c r="M1928" i="81"/>
  <c r="H1928" i="81"/>
  <c r="L1928" i="81" s="1"/>
  <c r="F1928" i="81"/>
  <c r="E1928" i="81"/>
  <c r="D1928" i="81"/>
  <c r="B1928" i="81"/>
  <c r="N1927" i="81"/>
  <c r="M1927" i="81"/>
  <c r="H1927" i="81"/>
  <c r="L1927" i="81" s="1"/>
  <c r="F1927" i="81"/>
  <c r="E1927" i="81"/>
  <c r="D1927" i="81"/>
  <c r="B1927" i="81"/>
  <c r="N1926" i="81"/>
  <c r="M1926" i="81"/>
  <c r="H1926" i="81"/>
  <c r="L1926" i="81" s="1"/>
  <c r="F1926" i="81"/>
  <c r="E1926" i="81"/>
  <c r="D1926" i="81"/>
  <c r="B1926" i="81"/>
  <c r="N1925" i="81"/>
  <c r="M1925" i="81"/>
  <c r="H1925" i="81"/>
  <c r="K1925" i="81" s="1"/>
  <c r="F1925" i="81"/>
  <c r="E1925" i="81"/>
  <c r="D1925" i="81"/>
  <c r="B1925" i="81"/>
  <c r="N1924" i="81"/>
  <c r="M1924" i="81"/>
  <c r="H1924" i="81"/>
  <c r="J1924" i="81" s="1"/>
  <c r="F1924" i="81"/>
  <c r="E1924" i="81"/>
  <c r="D1924" i="81"/>
  <c r="B1924" i="81"/>
  <c r="N1923" i="81"/>
  <c r="M1923" i="81"/>
  <c r="H1923" i="81"/>
  <c r="I1923" i="81" s="1"/>
  <c r="F1923" i="81"/>
  <c r="E1923" i="81"/>
  <c r="D1923" i="81"/>
  <c r="B1923" i="81"/>
  <c r="N1922" i="81"/>
  <c r="M1922" i="81"/>
  <c r="H1922" i="81"/>
  <c r="L1922" i="81" s="1"/>
  <c r="F1922" i="81"/>
  <c r="E1922" i="81"/>
  <c r="D1922" i="81"/>
  <c r="B1922" i="81"/>
  <c r="N1921" i="81"/>
  <c r="M1921" i="81"/>
  <c r="H1921" i="81"/>
  <c r="L1921" i="81" s="1"/>
  <c r="F1921" i="81"/>
  <c r="E1921" i="81"/>
  <c r="D1921" i="81"/>
  <c r="B1921" i="81"/>
  <c r="N1920" i="81"/>
  <c r="M1920" i="81"/>
  <c r="H1920" i="81"/>
  <c r="L1920" i="81" s="1"/>
  <c r="F1920" i="81"/>
  <c r="E1920" i="81"/>
  <c r="D1920" i="81"/>
  <c r="B1920" i="81"/>
  <c r="N1919" i="81"/>
  <c r="M1919" i="81"/>
  <c r="H1919" i="81"/>
  <c r="L1919" i="81" s="1"/>
  <c r="F1919" i="81"/>
  <c r="E1919" i="81"/>
  <c r="D1919" i="81"/>
  <c r="B1919" i="81"/>
  <c r="N1918" i="81"/>
  <c r="M1918" i="81"/>
  <c r="H1918" i="81"/>
  <c r="L1918" i="81" s="1"/>
  <c r="F1918" i="81"/>
  <c r="E1918" i="81"/>
  <c r="D1918" i="81"/>
  <c r="B1918" i="81"/>
  <c r="N1917" i="81"/>
  <c r="M1917" i="81"/>
  <c r="H1917" i="81"/>
  <c r="I1917" i="81" s="1"/>
  <c r="F1917" i="81"/>
  <c r="E1917" i="81"/>
  <c r="D1917" i="81"/>
  <c r="B1917" i="81"/>
  <c r="N1916" i="81"/>
  <c r="M1916" i="81"/>
  <c r="H1916" i="81"/>
  <c r="K1916" i="81" s="1"/>
  <c r="F1916" i="81"/>
  <c r="E1916" i="81"/>
  <c r="D1916" i="81"/>
  <c r="B1916" i="81"/>
  <c r="N1915" i="81"/>
  <c r="M1915" i="81"/>
  <c r="H1915" i="81"/>
  <c r="L1915" i="81" s="1"/>
  <c r="F1915" i="81"/>
  <c r="E1915" i="81"/>
  <c r="D1915" i="81"/>
  <c r="B1915" i="81"/>
  <c r="A1914" i="81"/>
  <c r="H1914" i="81" s="1"/>
  <c r="N1909" i="81"/>
  <c r="M1909" i="81"/>
  <c r="H1909" i="81"/>
  <c r="L1909" i="81" s="1"/>
  <c r="F1909" i="81"/>
  <c r="E1909" i="81"/>
  <c r="D1909" i="81"/>
  <c r="B1909" i="81"/>
  <c r="N1908" i="81"/>
  <c r="M1908" i="81"/>
  <c r="H1908" i="81"/>
  <c r="I1908" i="81" s="1"/>
  <c r="F1908" i="81"/>
  <c r="E1908" i="81"/>
  <c r="D1908" i="81"/>
  <c r="B1908" i="81"/>
  <c r="N1907" i="81"/>
  <c r="M1907" i="81"/>
  <c r="H1907" i="81"/>
  <c r="K1907" i="81" s="1"/>
  <c r="F1907" i="81"/>
  <c r="E1907" i="81"/>
  <c r="D1907" i="81"/>
  <c r="B1907" i="81"/>
  <c r="N1906" i="81"/>
  <c r="M1906" i="81"/>
  <c r="H1906" i="81"/>
  <c r="L1906" i="81" s="1"/>
  <c r="F1906" i="81"/>
  <c r="E1906" i="81"/>
  <c r="D1906" i="81"/>
  <c r="B1906" i="81"/>
  <c r="N1905" i="81"/>
  <c r="M1905" i="81"/>
  <c r="H1905" i="81"/>
  <c r="L1905" i="81" s="1"/>
  <c r="F1905" i="81"/>
  <c r="E1905" i="81"/>
  <c r="D1905" i="81"/>
  <c r="B1905" i="81"/>
  <c r="N1904" i="81"/>
  <c r="M1904" i="81"/>
  <c r="H1904" i="81"/>
  <c r="K1904" i="81" s="1"/>
  <c r="F1904" i="81"/>
  <c r="E1904" i="81"/>
  <c r="D1904" i="81"/>
  <c r="B1904" i="81"/>
  <c r="N1903" i="81"/>
  <c r="M1903" i="81"/>
  <c r="H1903" i="81"/>
  <c r="J1903" i="81" s="1"/>
  <c r="F1903" i="81"/>
  <c r="E1903" i="81"/>
  <c r="D1903" i="81"/>
  <c r="B1903" i="81"/>
  <c r="N1902" i="81"/>
  <c r="M1902" i="81"/>
  <c r="H1902" i="81"/>
  <c r="I1902" i="81" s="1"/>
  <c r="F1902" i="81"/>
  <c r="E1902" i="81"/>
  <c r="D1902" i="81"/>
  <c r="B1902" i="81"/>
  <c r="N1901" i="81"/>
  <c r="M1901" i="81"/>
  <c r="H1901" i="81"/>
  <c r="L1901" i="81" s="1"/>
  <c r="F1901" i="81"/>
  <c r="E1901" i="81"/>
  <c r="D1901" i="81"/>
  <c r="B1901" i="81"/>
  <c r="N1900" i="81"/>
  <c r="M1900" i="81"/>
  <c r="H1900" i="81"/>
  <c r="L1900" i="81" s="1"/>
  <c r="F1900" i="81"/>
  <c r="E1900" i="81"/>
  <c r="D1900" i="81"/>
  <c r="B1900" i="81"/>
  <c r="N1895" i="81"/>
  <c r="M1895" i="81"/>
  <c r="H1895" i="81"/>
  <c r="L1895" i="81" s="1"/>
  <c r="F1895" i="81"/>
  <c r="E1895" i="81"/>
  <c r="D1895" i="81"/>
  <c r="B1895" i="81"/>
  <c r="N1894" i="81"/>
  <c r="M1894" i="81"/>
  <c r="H1894" i="81"/>
  <c r="L1894" i="81" s="1"/>
  <c r="F1894" i="81"/>
  <c r="E1894" i="81"/>
  <c r="D1894" i="81"/>
  <c r="B1894" i="81"/>
  <c r="N1893" i="81"/>
  <c r="M1893" i="81"/>
  <c r="H1893" i="81"/>
  <c r="K1893" i="81" s="1"/>
  <c r="F1893" i="81"/>
  <c r="E1893" i="81"/>
  <c r="D1893" i="81"/>
  <c r="B1893" i="81"/>
  <c r="N1892" i="81"/>
  <c r="M1892" i="81"/>
  <c r="H1892" i="81"/>
  <c r="J1892" i="81" s="1"/>
  <c r="F1892" i="81"/>
  <c r="E1892" i="81"/>
  <c r="D1892" i="81"/>
  <c r="B1892" i="81"/>
  <c r="N1891" i="81"/>
  <c r="M1891" i="81"/>
  <c r="H1891" i="81"/>
  <c r="I1891" i="81" s="1"/>
  <c r="F1891" i="81"/>
  <c r="E1891" i="81"/>
  <c r="D1891" i="81"/>
  <c r="B1891" i="81"/>
  <c r="N1890" i="81"/>
  <c r="M1890" i="81"/>
  <c r="H1890" i="81"/>
  <c r="L1890" i="81" s="1"/>
  <c r="F1890" i="81"/>
  <c r="E1890" i="81"/>
  <c r="D1890" i="81"/>
  <c r="B1890" i="81"/>
  <c r="N1889" i="81"/>
  <c r="M1889" i="81"/>
  <c r="H1889" i="81"/>
  <c r="L1889" i="81" s="1"/>
  <c r="F1889" i="81"/>
  <c r="E1889" i="81"/>
  <c r="D1889" i="81"/>
  <c r="B1889" i="81"/>
  <c r="N1888" i="81"/>
  <c r="M1888" i="81"/>
  <c r="H1888" i="81"/>
  <c r="L1888" i="81" s="1"/>
  <c r="F1888" i="81"/>
  <c r="E1888" i="81"/>
  <c r="D1888" i="81"/>
  <c r="B1888" i="81"/>
  <c r="A1887" i="81"/>
  <c r="D1887" i="81" s="1"/>
  <c r="A1886" i="81"/>
  <c r="D1886" i="81" s="1"/>
  <c r="N1672" i="81"/>
  <c r="M1672" i="81"/>
  <c r="H1672" i="81"/>
  <c r="L1672" i="81" s="1"/>
  <c r="F1672" i="81"/>
  <c r="E1672" i="81"/>
  <c r="D1672" i="81"/>
  <c r="B1672" i="81"/>
  <c r="N1671" i="81"/>
  <c r="M1671" i="81"/>
  <c r="H1671" i="81"/>
  <c r="L1671" i="81" s="1"/>
  <c r="F1671" i="81"/>
  <c r="E1671" i="81"/>
  <c r="D1671" i="81"/>
  <c r="B1671" i="81"/>
  <c r="N1670" i="81"/>
  <c r="M1670" i="81"/>
  <c r="H1670" i="81"/>
  <c r="L1670" i="81" s="1"/>
  <c r="F1670" i="81"/>
  <c r="E1670" i="81"/>
  <c r="D1670" i="81"/>
  <c r="B1670" i="81"/>
  <c r="N1669" i="81"/>
  <c r="M1669" i="81"/>
  <c r="H1669" i="81"/>
  <c r="L1669" i="81" s="1"/>
  <c r="F1669" i="81"/>
  <c r="E1669" i="81"/>
  <c r="D1669" i="81"/>
  <c r="B1669" i="81"/>
  <c r="N1668" i="81"/>
  <c r="M1668" i="81"/>
  <c r="H1668" i="81"/>
  <c r="L1668" i="81" s="1"/>
  <c r="F1668" i="81"/>
  <c r="E1668" i="81"/>
  <c r="D1668" i="81"/>
  <c r="B1668" i="81"/>
  <c r="N1667" i="81"/>
  <c r="M1667" i="81"/>
  <c r="H1667" i="81"/>
  <c r="L1667" i="81" s="1"/>
  <c r="F1667" i="81"/>
  <c r="E1667" i="81"/>
  <c r="D1667" i="81"/>
  <c r="B1667" i="81"/>
  <c r="N1666" i="81"/>
  <c r="M1666" i="81"/>
  <c r="H1666" i="81"/>
  <c r="K1666" i="81" s="1"/>
  <c r="F1666" i="81"/>
  <c r="E1666" i="81"/>
  <c r="D1666" i="81"/>
  <c r="B1666" i="81"/>
  <c r="N1665" i="81"/>
  <c r="M1665" i="81"/>
  <c r="H1665" i="81"/>
  <c r="I1665" i="81" s="1"/>
  <c r="F1665" i="81"/>
  <c r="E1665" i="81"/>
  <c r="D1665" i="81"/>
  <c r="B1665" i="81"/>
  <c r="N1664" i="81"/>
  <c r="M1664" i="81"/>
  <c r="H1664" i="81"/>
  <c r="L1664" i="81" s="1"/>
  <c r="F1664" i="81"/>
  <c r="E1664" i="81"/>
  <c r="D1664" i="81"/>
  <c r="B1664" i="81"/>
  <c r="N1663" i="81"/>
  <c r="M1663" i="81"/>
  <c r="H1663" i="81"/>
  <c r="L1663" i="81" s="1"/>
  <c r="F1663" i="81"/>
  <c r="E1663" i="81"/>
  <c r="D1663" i="81"/>
  <c r="B1663" i="81"/>
  <c r="N1662" i="81"/>
  <c r="M1662" i="81"/>
  <c r="H1662" i="81"/>
  <c r="L1662" i="81" s="1"/>
  <c r="F1662" i="81"/>
  <c r="E1662" i="81"/>
  <c r="D1662" i="81"/>
  <c r="B1662" i="81"/>
  <c r="N1661" i="81"/>
  <c r="M1661" i="81"/>
  <c r="H1661" i="81"/>
  <c r="L1661" i="81" s="1"/>
  <c r="F1661" i="81"/>
  <c r="E1661" i="81"/>
  <c r="D1661" i="81"/>
  <c r="B1661" i="81"/>
  <c r="N1660" i="81"/>
  <c r="M1660" i="81"/>
  <c r="H1660" i="81"/>
  <c r="L1660" i="81" s="1"/>
  <c r="F1660" i="81"/>
  <c r="E1660" i="81"/>
  <c r="D1660" i="81"/>
  <c r="B1660" i="81"/>
  <c r="N1659" i="81"/>
  <c r="M1659" i="81"/>
  <c r="H1659" i="81"/>
  <c r="L1659" i="81" s="1"/>
  <c r="F1659" i="81"/>
  <c r="E1659" i="81"/>
  <c r="D1659" i="81"/>
  <c r="B1659" i="81"/>
  <c r="N1658" i="81"/>
  <c r="M1658" i="81"/>
  <c r="H1658" i="81"/>
  <c r="L1658" i="81" s="1"/>
  <c r="F1658" i="81"/>
  <c r="E1658" i="81"/>
  <c r="D1658" i="81"/>
  <c r="B1658" i="81"/>
  <c r="N1657" i="81"/>
  <c r="M1657" i="81"/>
  <c r="H1657" i="81"/>
  <c r="L1657" i="81" s="1"/>
  <c r="F1657" i="81"/>
  <c r="E1657" i="81"/>
  <c r="D1657" i="81"/>
  <c r="B1657" i="81"/>
  <c r="N1656" i="81"/>
  <c r="M1656" i="81"/>
  <c r="H1656" i="81"/>
  <c r="L1656" i="81" s="1"/>
  <c r="F1656" i="81"/>
  <c r="E1656" i="81"/>
  <c r="D1656" i="81"/>
  <c r="B1656" i="81"/>
  <c r="N1655" i="81"/>
  <c r="M1655" i="81"/>
  <c r="H1655" i="81"/>
  <c r="K1655" i="81" s="1"/>
  <c r="F1655" i="81"/>
  <c r="E1655" i="81"/>
  <c r="D1655" i="81"/>
  <c r="B1655" i="81"/>
  <c r="H1654" i="81"/>
  <c r="N1649" i="81"/>
  <c r="M1649" i="81"/>
  <c r="H1649" i="81"/>
  <c r="L1649" i="81" s="1"/>
  <c r="F1649" i="81"/>
  <c r="E1649" i="81"/>
  <c r="D1649" i="81"/>
  <c r="B1649" i="81"/>
  <c r="N1648" i="81"/>
  <c r="M1648" i="81"/>
  <c r="H1648" i="81"/>
  <c r="L1648" i="81" s="1"/>
  <c r="F1648" i="81"/>
  <c r="E1648" i="81"/>
  <c r="D1648" i="81"/>
  <c r="B1648" i="81"/>
  <c r="N1647" i="81"/>
  <c r="M1647" i="81"/>
  <c r="H1647" i="81"/>
  <c r="L1647" i="81" s="1"/>
  <c r="F1647" i="81"/>
  <c r="E1647" i="81"/>
  <c r="D1647" i="81"/>
  <c r="B1647" i="81"/>
  <c r="N1646" i="81"/>
  <c r="M1646" i="81"/>
  <c r="H1646" i="81"/>
  <c r="K1646" i="81" s="1"/>
  <c r="F1646" i="81"/>
  <c r="E1646" i="81"/>
  <c r="D1646" i="81"/>
  <c r="B1646" i="81"/>
  <c r="N1645" i="81"/>
  <c r="M1645" i="81"/>
  <c r="H1645" i="81"/>
  <c r="J1645" i="81" s="1"/>
  <c r="F1645" i="81"/>
  <c r="E1645" i="81"/>
  <c r="D1645" i="81"/>
  <c r="B1645" i="81"/>
  <c r="N1644" i="81"/>
  <c r="M1644" i="81"/>
  <c r="H1644" i="81"/>
  <c r="I1644" i="81" s="1"/>
  <c r="F1644" i="81"/>
  <c r="E1644" i="81"/>
  <c r="D1644" i="81"/>
  <c r="B1644" i="81"/>
  <c r="N1643" i="81"/>
  <c r="M1643" i="81"/>
  <c r="H1643" i="81"/>
  <c r="K1643" i="81" s="1"/>
  <c r="F1643" i="81"/>
  <c r="E1643" i="81"/>
  <c r="D1643" i="81"/>
  <c r="B1643" i="81"/>
  <c r="N1642" i="81"/>
  <c r="M1642" i="81"/>
  <c r="H1642" i="81"/>
  <c r="I1642" i="81" s="1"/>
  <c r="F1642" i="81"/>
  <c r="E1642" i="81"/>
  <c r="D1642" i="81"/>
  <c r="B1642" i="81"/>
  <c r="N1641" i="81"/>
  <c r="M1641" i="81"/>
  <c r="H1641" i="81"/>
  <c r="L1641" i="81" s="1"/>
  <c r="F1641" i="81"/>
  <c r="E1641" i="81"/>
  <c r="D1641" i="81"/>
  <c r="B1641" i="81"/>
  <c r="N1640" i="81"/>
  <c r="M1640" i="81"/>
  <c r="H1640" i="81"/>
  <c r="L1640" i="81" s="1"/>
  <c r="F1640" i="81"/>
  <c r="E1640" i="81"/>
  <c r="D1640" i="81"/>
  <c r="B1640" i="81"/>
  <c r="N1635" i="81"/>
  <c r="M1635" i="81"/>
  <c r="H1635" i="81"/>
  <c r="K1635" i="81" s="1"/>
  <c r="F1635" i="81"/>
  <c r="E1635" i="81"/>
  <c r="D1635" i="81"/>
  <c r="B1635" i="81"/>
  <c r="N1634" i="81"/>
  <c r="M1634" i="81"/>
  <c r="H1634" i="81"/>
  <c r="J1634" i="81" s="1"/>
  <c r="F1634" i="81"/>
  <c r="E1634" i="81"/>
  <c r="D1634" i="81"/>
  <c r="B1634" i="81"/>
  <c r="N1633" i="81"/>
  <c r="M1633" i="81"/>
  <c r="H1633" i="81"/>
  <c r="I1633" i="81" s="1"/>
  <c r="F1633" i="81"/>
  <c r="E1633" i="81"/>
  <c r="D1633" i="81"/>
  <c r="B1633" i="81"/>
  <c r="N1632" i="81"/>
  <c r="M1632" i="81"/>
  <c r="H1632" i="81"/>
  <c r="L1632" i="81" s="1"/>
  <c r="F1632" i="81"/>
  <c r="E1632" i="81"/>
  <c r="D1632" i="81"/>
  <c r="B1632" i="81"/>
  <c r="N1631" i="81"/>
  <c r="M1631" i="81"/>
  <c r="H1631" i="81"/>
  <c r="I1631" i="81" s="1"/>
  <c r="F1631" i="81"/>
  <c r="E1631" i="81"/>
  <c r="D1631" i="81"/>
  <c r="B1631" i="81"/>
  <c r="N1630" i="81"/>
  <c r="M1630" i="81"/>
  <c r="H1630" i="81"/>
  <c r="L1630" i="81" s="1"/>
  <c r="F1630" i="81"/>
  <c r="E1630" i="81"/>
  <c r="D1630" i="81"/>
  <c r="B1630" i="81"/>
  <c r="N1629" i="81"/>
  <c r="M1629" i="81"/>
  <c r="H1629" i="81"/>
  <c r="L1629" i="81" s="1"/>
  <c r="F1629" i="81"/>
  <c r="E1629" i="81"/>
  <c r="D1629" i="81"/>
  <c r="B1629" i="81"/>
  <c r="N1628" i="81"/>
  <c r="M1628" i="81"/>
  <c r="H1628" i="81"/>
  <c r="L1628" i="81" s="1"/>
  <c r="F1628" i="81"/>
  <c r="E1628" i="81"/>
  <c r="D1628" i="81"/>
  <c r="B1628" i="81"/>
  <c r="M1627" i="81"/>
  <c r="S47" i="82"/>
  <c r="S49" i="82"/>
  <c r="A1289" i="81"/>
  <c r="H1289" i="81" s="1"/>
  <c r="A1260" i="81"/>
  <c r="B1260" i="81" s="1"/>
  <c r="N1308" i="81"/>
  <c r="M1308" i="81"/>
  <c r="H1308" i="81"/>
  <c r="L1308" i="81" s="1"/>
  <c r="F1308" i="81"/>
  <c r="E1308" i="81"/>
  <c r="D1308" i="81"/>
  <c r="B1308" i="81"/>
  <c r="N1307" i="81"/>
  <c r="M1307" i="81"/>
  <c r="H1307" i="81"/>
  <c r="L1307" i="81" s="1"/>
  <c r="F1307" i="81"/>
  <c r="E1307" i="81"/>
  <c r="D1307" i="81"/>
  <c r="B1307" i="81"/>
  <c r="N1306" i="81"/>
  <c r="M1306" i="81"/>
  <c r="H1306" i="81"/>
  <c r="L1306" i="81" s="1"/>
  <c r="F1306" i="81"/>
  <c r="E1306" i="81"/>
  <c r="D1306" i="81"/>
  <c r="B1306" i="81"/>
  <c r="N1305" i="81"/>
  <c r="M1305" i="81"/>
  <c r="H1305" i="81"/>
  <c r="K1305" i="81" s="1"/>
  <c r="F1305" i="81"/>
  <c r="E1305" i="81"/>
  <c r="D1305" i="81"/>
  <c r="B1305" i="81"/>
  <c r="N1304" i="81"/>
  <c r="M1304" i="81"/>
  <c r="H1304" i="81"/>
  <c r="L1304" i="81" s="1"/>
  <c r="F1304" i="81"/>
  <c r="E1304" i="81"/>
  <c r="D1304" i="81"/>
  <c r="B1304" i="81"/>
  <c r="N1303" i="81"/>
  <c r="M1303" i="81"/>
  <c r="H1303" i="81"/>
  <c r="I1303" i="81" s="1"/>
  <c r="F1303" i="81"/>
  <c r="E1303" i="81"/>
  <c r="D1303" i="81"/>
  <c r="B1303" i="81"/>
  <c r="N1302" i="81"/>
  <c r="M1302" i="81"/>
  <c r="H1302" i="81"/>
  <c r="L1302" i="81" s="1"/>
  <c r="F1302" i="81"/>
  <c r="E1302" i="81"/>
  <c r="D1302" i="81"/>
  <c r="B1302" i="81"/>
  <c r="N1301" i="81"/>
  <c r="M1301" i="81"/>
  <c r="H1301" i="81"/>
  <c r="K1301" i="81" s="1"/>
  <c r="F1301" i="81"/>
  <c r="E1301" i="81"/>
  <c r="D1301" i="81"/>
  <c r="B1301" i="81"/>
  <c r="N1300" i="81"/>
  <c r="M1300" i="81"/>
  <c r="H1300" i="81"/>
  <c r="J1300" i="81" s="1"/>
  <c r="F1300" i="81"/>
  <c r="E1300" i="81"/>
  <c r="D1300" i="81"/>
  <c r="B1300" i="81"/>
  <c r="N1299" i="81"/>
  <c r="M1299" i="81"/>
  <c r="H1299" i="81"/>
  <c r="I1299" i="81" s="1"/>
  <c r="F1299" i="81"/>
  <c r="E1299" i="81"/>
  <c r="D1299" i="81"/>
  <c r="B1299" i="81"/>
  <c r="N1298" i="81"/>
  <c r="M1298" i="81"/>
  <c r="H1298" i="81"/>
  <c r="I1298" i="81" s="1"/>
  <c r="F1298" i="81"/>
  <c r="E1298" i="81"/>
  <c r="D1298" i="81"/>
  <c r="B1298" i="81"/>
  <c r="N1297" i="81"/>
  <c r="M1297" i="81"/>
  <c r="H1297" i="81"/>
  <c r="L1297" i="81" s="1"/>
  <c r="F1297" i="81"/>
  <c r="E1297" i="81"/>
  <c r="D1297" i="81"/>
  <c r="B1297" i="81"/>
  <c r="N1296" i="81"/>
  <c r="M1296" i="81"/>
  <c r="H1296" i="81"/>
  <c r="L1296" i="81" s="1"/>
  <c r="F1296" i="81"/>
  <c r="E1296" i="81"/>
  <c r="D1296" i="81"/>
  <c r="B1296" i="81"/>
  <c r="N1295" i="81"/>
  <c r="M1295" i="81"/>
  <c r="H1295" i="81"/>
  <c r="L1295" i="81" s="1"/>
  <c r="F1295" i="81"/>
  <c r="E1295" i="81"/>
  <c r="D1295" i="81"/>
  <c r="B1295" i="81"/>
  <c r="N1294" i="81"/>
  <c r="M1294" i="81"/>
  <c r="H1294" i="81"/>
  <c r="K1294" i="81" s="1"/>
  <c r="F1294" i="81"/>
  <c r="E1294" i="81"/>
  <c r="D1294" i="81"/>
  <c r="B1294" i="81"/>
  <c r="N1293" i="81"/>
  <c r="M1293" i="81"/>
  <c r="H1293" i="81"/>
  <c r="K1293" i="81" s="1"/>
  <c r="F1293" i="81"/>
  <c r="E1293" i="81"/>
  <c r="D1293" i="81"/>
  <c r="B1293" i="81"/>
  <c r="N1292" i="81"/>
  <c r="M1292" i="81"/>
  <c r="H1292" i="81"/>
  <c r="L1292" i="81" s="1"/>
  <c r="F1292" i="81"/>
  <c r="E1292" i="81"/>
  <c r="D1292" i="81"/>
  <c r="B1292" i="81"/>
  <c r="N1291" i="81"/>
  <c r="M1291" i="81"/>
  <c r="H1291" i="81"/>
  <c r="L1291" i="81" s="1"/>
  <c r="F1291" i="81"/>
  <c r="E1291" i="81"/>
  <c r="D1291" i="81"/>
  <c r="B1291" i="81"/>
  <c r="M1290" i="81"/>
  <c r="H1290" i="81"/>
  <c r="N1285" i="81"/>
  <c r="M1285" i="81"/>
  <c r="H1285" i="81"/>
  <c r="K1285" i="81" s="1"/>
  <c r="F1285" i="81"/>
  <c r="E1285" i="81"/>
  <c r="D1285" i="81"/>
  <c r="B1285" i="81"/>
  <c r="N1284" i="81"/>
  <c r="M1284" i="81"/>
  <c r="H1284" i="81"/>
  <c r="K1284" i="81" s="1"/>
  <c r="F1284" i="81"/>
  <c r="E1284" i="81"/>
  <c r="D1284" i="81"/>
  <c r="B1284" i="81"/>
  <c r="N1283" i="81"/>
  <c r="M1283" i="81"/>
  <c r="H1283" i="81"/>
  <c r="L1283" i="81" s="1"/>
  <c r="F1283" i="81"/>
  <c r="E1283" i="81"/>
  <c r="D1283" i="81"/>
  <c r="B1283" i="81"/>
  <c r="N1282" i="81"/>
  <c r="M1282" i="81"/>
  <c r="H1282" i="81"/>
  <c r="L1282" i="81" s="1"/>
  <c r="F1282" i="81"/>
  <c r="E1282" i="81"/>
  <c r="D1282" i="81"/>
  <c r="B1282" i="81"/>
  <c r="N1281" i="81"/>
  <c r="M1281" i="81"/>
  <c r="H1281" i="81"/>
  <c r="L1281" i="81" s="1"/>
  <c r="F1281" i="81"/>
  <c r="E1281" i="81"/>
  <c r="D1281" i="81"/>
  <c r="B1281" i="81"/>
  <c r="N1280" i="81"/>
  <c r="M1280" i="81"/>
  <c r="H1280" i="81"/>
  <c r="K1280" i="81" s="1"/>
  <c r="F1280" i="81"/>
  <c r="E1280" i="81"/>
  <c r="D1280" i="81"/>
  <c r="B1280" i="81"/>
  <c r="N1279" i="81"/>
  <c r="M1279" i="81"/>
  <c r="H1279" i="81"/>
  <c r="J1279" i="81" s="1"/>
  <c r="F1279" i="81"/>
  <c r="E1279" i="81"/>
  <c r="D1279" i="81"/>
  <c r="B1279" i="81"/>
  <c r="N1278" i="81"/>
  <c r="M1278" i="81"/>
  <c r="H1278" i="81"/>
  <c r="I1278" i="81" s="1"/>
  <c r="F1278" i="81"/>
  <c r="E1278" i="81"/>
  <c r="D1278" i="81"/>
  <c r="B1278" i="81"/>
  <c r="N1277" i="81"/>
  <c r="M1277" i="81"/>
  <c r="H1277" i="81"/>
  <c r="L1277" i="81" s="1"/>
  <c r="F1277" i="81"/>
  <c r="E1277" i="81"/>
  <c r="D1277" i="81"/>
  <c r="B1277" i="81"/>
  <c r="N1276" i="81"/>
  <c r="M1276" i="81"/>
  <c r="H1276" i="81"/>
  <c r="L1276" i="81" s="1"/>
  <c r="F1276" i="81"/>
  <c r="E1276" i="81"/>
  <c r="D1276" i="81"/>
  <c r="B1276" i="81"/>
  <c r="N1271" i="81"/>
  <c r="M1271" i="81"/>
  <c r="H1271" i="81"/>
  <c r="K1271" i="81" s="1"/>
  <c r="F1271" i="81"/>
  <c r="E1271" i="81"/>
  <c r="D1271" i="81"/>
  <c r="B1271" i="81"/>
  <c r="N1270" i="81"/>
  <c r="M1270" i="81"/>
  <c r="H1270" i="81"/>
  <c r="L1270" i="81" s="1"/>
  <c r="F1270" i="81"/>
  <c r="E1270" i="81"/>
  <c r="D1270" i="81"/>
  <c r="B1270" i="81"/>
  <c r="N1269" i="81"/>
  <c r="M1269" i="81"/>
  <c r="H1269" i="81"/>
  <c r="K1269" i="81" s="1"/>
  <c r="F1269" i="81"/>
  <c r="E1269" i="81"/>
  <c r="D1269" i="81"/>
  <c r="B1269" i="81"/>
  <c r="N1268" i="81"/>
  <c r="M1268" i="81"/>
  <c r="H1268" i="81"/>
  <c r="J1268" i="81" s="1"/>
  <c r="F1268" i="81"/>
  <c r="E1268" i="81"/>
  <c r="D1268" i="81"/>
  <c r="B1268" i="81"/>
  <c r="N1267" i="81"/>
  <c r="M1267" i="81"/>
  <c r="H1267" i="81"/>
  <c r="I1267" i="81" s="1"/>
  <c r="F1267" i="81"/>
  <c r="E1267" i="81"/>
  <c r="D1267" i="81"/>
  <c r="B1267" i="81"/>
  <c r="N1266" i="81"/>
  <c r="M1266" i="81"/>
  <c r="H1266" i="81"/>
  <c r="J1266" i="81" s="1"/>
  <c r="F1266" i="81"/>
  <c r="E1266" i="81"/>
  <c r="D1266" i="81"/>
  <c r="B1266" i="81"/>
  <c r="N1265" i="81"/>
  <c r="M1265" i="81"/>
  <c r="H1265" i="81"/>
  <c r="J1265" i="81" s="1"/>
  <c r="F1265" i="81"/>
  <c r="E1265" i="81"/>
  <c r="D1265" i="81"/>
  <c r="B1265" i="81"/>
  <c r="N1264" i="81"/>
  <c r="M1264" i="81"/>
  <c r="H1264" i="81"/>
  <c r="J1264" i="81" s="1"/>
  <c r="F1264" i="81"/>
  <c r="E1264" i="81"/>
  <c r="D1264" i="81"/>
  <c r="B1264" i="81"/>
  <c r="A1263" i="81"/>
  <c r="D1263" i="81" s="1"/>
  <c r="A1262" i="81"/>
  <c r="D1262" i="81" s="1"/>
  <c r="S42" i="82"/>
  <c r="N3942" i="81" l="1"/>
  <c r="N3878" i="81"/>
  <c r="N3893" i="81"/>
  <c r="N2590" i="81"/>
  <c r="O1416" i="81"/>
  <c r="P1416" i="81" s="1"/>
  <c r="N2381" i="81"/>
  <c r="N2641" i="81"/>
  <c r="N3862" i="81"/>
  <c r="N4018" i="81"/>
  <c r="N3941" i="81"/>
  <c r="N2615" i="81"/>
  <c r="N3864" i="81"/>
  <c r="N3785" i="81"/>
  <c r="N2614" i="81"/>
  <c r="E2664" i="81"/>
  <c r="B1416" i="81"/>
  <c r="B2560" i="81"/>
  <c r="E2976" i="81"/>
  <c r="B2976" i="81"/>
  <c r="B2300" i="81"/>
  <c r="O3912" i="81"/>
  <c r="E2300" i="81"/>
  <c r="E2612" i="81"/>
  <c r="G2872" i="81"/>
  <c r="L2901" i="81" s="1"/>
  <c r="B2248" i="81"/>
  <c r="G2248" i="81"/>
  <c r="L2278" i="81" s="1"/>
  <c r="O2716" i="81"/>
  <c r="B2716" i="81"/>
  <c r="E2716" i="81"/>
  <c r="O3860" i="81"/>
  <c r="B3860" i="81"/>
  <c r="G3600" i="81"/>
  <c r="U3600" i="81" s="1"/>
  <c r="E2924" i="81"/>
  <c r="P2924" i="81" s="1"/>
  <c r="B2508" i="81"/>
  <c r="E2508" i="81"/>
  <c r="O2508" i="81"/>
  <c r="O2456" i="81"/>
  <c r="B2456" i="81"/>
  <c r="E2456" i="81"/>
  <c r="E3964" i="81"/>
  <c r="O2352" i="81"/>
  <c r="B2352" i="81"/>
  <c r="G3444" i="81"/>
  <c r="U3444" i="81" s="1"/>
  <c r="B3444" i="81"/>
  <c r="G2820" i="81"/>
  <c r="U2820" i="81" s="1"/>
  <c r="B2820" i="81"/>
  <c r="E2820" i="81"/>
  <c r="P2820" i="81" s="1"/>
  <c r="N2616" i="81"/>
  <c r="N2303" i="81"/>
  <c r="N2589" i="81"/>
  <c r="N2329" i="81"/>
  <c r="N2382" i="81"/>
  <c r="N4045" i="81"/>
  <c r="N3895" i="81"/>
  <c r="N3994" i="81"/>
  <c r="N2302" i="81"/>
  <c r="N2355" i="81"/>
  <c r="N1367" i="81"/>
  <c r="N3865" i="81"/>
  <c r="N3944" i="81"/>
  <c r="N3896" i="81"/>
  <c r="N2485" i="81"/>
  <c r="N2354" i="81"/>
  <c r="N3788" i="81"/>
  <c r="N3863" i="81"/>
  <c r="N3879" i="81"/>
  <c r="N3894" i="81"/>
  <c r="N3943" i="81"/>
  <c r="N2563" i="81"/>
  <c r="N4019" i="81"/>
  <c r="N3995" i="81"/>
  <c r="N3993" i="81"/>
  <c r="N3786" i="81"/>
  <c r="N3866" i="81"/>
  <c r="N3945" i="81"/>
  <c r="K2381" i="81"/>
  <c r="I1445" i="81"/>
  <c r="L2382" i="81"/>
  <c r="L2329" i="81"/>
  <c r="N4047" i="81"/>
  <c r="N4046" i="81"/>
  <c r="I3994" i="81"/>
  <c r="L3993" i="81"/>
  <c r="N3787" i="81"/>
  <c r="N3867" i="81"/>
  <c r="N3967" i="81"/>
  <c r="N3790" i="81"/>
  <c r="I3944" i="81"/>
  <c r="N3759" i="81"/>
  <c r="L3879" i="81"/>
  <c r="N3876" i="81"/>
  <c r="N3891" i="81"/>
  <c r="I3790" i="81"/>
  <c r="N3890" i="81"/>
  <c r="N3877" i="81"/>
  <c r="N3758" i="81"/>
  <c r="N3525" i="81"/>
  <c r="N3789" i="81"/>
  <c r="N3889" i="81"/>
  <c r="N3892" i="81"/>
  <c r="L3895" i="81"/>
  <c r="L3893" i="81"/>
  <c r="L3876" i="81"/>
  <c r="L3788" i="81"/>
  <c r="I3785" i="81"/>
  <c r="N3109" i="81"/>
  <c r="N2277" i="81"/>
  <c r="N2250" i="81"/>
  <c r="I3525" i="81"/>
  <c r="N2278" i="81"/>
  <c r="I3629" i="81"/>
  <c r="N2251" i="81"/>
  <c r="J3647" i="81"/>
  <c r="J2669" i="81"/>
  <c r="M2225" i="81"/>
  <c r="J3815" i="81"/>
  <c r="K2387" i="81"/>
  <c r="J2392" i="81"/>
  <c r="I2552" i="81"/>
  <c r="L4057" i="81"/>
  <c r="J3639" i="81"/>
  <c r="L4005" i="81"/>
  <c r="L2489" i="81"/>
  <c r="I3519" i="81"/>
  <c r="J2830" i="81"/>
  <c r="K3936" i="81"/>
  <c r="L2879" i="81"/>
  <c r="K3001" i="81"/>
  <c r="J1461" i="81"/>
  <c r="L2459" i="81"/>
  <c r="L2669" i="81"/>
  <c r="K3477" i="81"/>
  <c r="K3796" i="81"/>
  <c r="K3521" i="81"/>
  <c r="I3635" i="81"/>
  <c r="K2254" i="81"/>
  <c r="K1384" i="81"/>
  <c r="L2843" i="81"/>
  <c r="K3635" i="81"/>
  <c r="K3952" i="81"/>
  <c r="J3956" i="81"/>
  <c r="I2270" i="81"/>
  <c r="J2270" i="81"/>
  <c r="K2270" i="81"/>
  <c r="I2608" i="81"/>
  <c r="L3868" i="81"/>
  <c r="L3901" i="81"/>
  <c r="K2578" i="81"/>
  <c r="L3516" i="81"/>
  <c r="J3776" i="81"/>
  <c r="I3923" i="81"/>
  <c r="J3635" i="81"/>
  <c r="K3643" i="81"/>
  <c r="I3868" i="81"/>
  <c r="K3923" i="81"/>
  <c r="I2279" i="81"/>
  <c r="J3111" i="81"/>
  <c r="I3895" i="81"/>
  <c r="L2466" i="81"/>
  <c r="I2503" i="81"/>
  <c r="L2530" i="81"/>
  <c r="L2568" i="81"/>
  <c r="I2606" i="81"/>
  <c r="L2971" i="81"/>
  <c r="J1458" i="81"/>
  <c r="L2503" i="81"/>
  <c r="J2606" i="81"/>
  <c r="J1433" i="81"/>
  <c r="J3519" i="81"/>
  <c r="J3604" i="81"/>
  <c r="K3609" i="81"/>
  <c r="K3631" i="81"/>
  <c r="K3647" i="81"/>
  <c r="J2283" i="81"/>
  <c r="L3647" i="81"/>
  <c r="J3981" i="81"/>
  <c r="J2280" i="81"/>
  <c r="L2290" i="81"/>
  <c r="K3118" i="81"/>
  <c r="J3480" i="81"/>
  <c r="J3620" i="81"/>
  <c r="L3636" i="81"/>
  <c r="K2306" i="81"/>
  <c r="I3527" i="81"/>
  <c r="L3120" i="81"/>
  <c r="I2675" i="81"/>
  <c r="I3122" i="81"/>
  <c r="I1423" i="81"/>
  <c r="J3448" i="81"/>
  <c r="L3818" i="81"/>
  <c r="J3845" i="81"/>
  <c r="J2369" i="81"/>
  <c r="J2649" i="81"/>
  <c r="J2272" i="81"/>
  <c r="J2339" i="81"/>
  <c r="L2546" i="81"/>
  <c r="K2556" i="81"/>
  <c r="J2580" i="81"/>
  <c r="I2896" i="81"/>
  <c r="K1425" i="81"/>
  <c r="J3832" i="81"/>
  <c r="L3955" i="81"/>
  <c r="J4045" i="81"/>
  <c r="K4045" i="81" s="1"/>
  <c r="L2291" i="81"/>
  <c r="L2477" i="81"/>
  <c r="L2495" i="81"/>
  <c r="L2272" i="81"/>
  <c r="K2339" i="81"/>
  <c r="I3464" i="81"/>
  <c r="L2660" i="81"/>
  <c r="J3016" i="81"/>
  <c r="J2498" i="81"/>
  <c r="K2464" i="81"/>
  <c r="I2497" i="81"/>
  <c r="I2500" i="81"/>
  <c r="J2503" i="81"/>
  <c r="K2830" i="81"/>
  <c r="J2971" i="81"/>
  <c r="J3007" i="81"/>
  <c r="K3111" i="81"/>
  <c r="K3464" i="81"/>
  <c r="K4010" i="81"/>
  <c r="K2477" i="81"/>
  <c r="K1464" i="81"/>
  <c r="L2255" i="81"/>
  <c r="J2334" i="81"/>
  <c r="K2375" i="81"/>
  <c r="I2546" i="81"/>
  <c r="K2637" i="81"/>
  <c r="I2959" i="81"/>
  <c r="K2971" i="81"/>
  <c r="L3009" i="81"/>
  <c r="L3089" i="81"/>
  <c r="L4010" i="81"/>
  <c r="L2337" i="81"/>
  <c r="K2363" i="81"/>
  <c r="I2498" i="81"/>
  <c r="K2645" i="81"/>
  <c r="L3100" i="81"/>
  <c r="J2295" i="81"/>
  <c r="K2502" i="81"/>
  <c r="L1370" i="81"/>
  <c r="I2883" i="81"/>
  <c r="I2998" i="81"/>
  <c r="I3019" i="81"/>
  <c r="J3103" i="81"/>
  <c r="K3486" i="81"/>
  <c r="L2294" i="81"/>
  <c r="I2334" i="81"/>
  <c r="K2495" i="81"/>
  <c r="I2463" i="81"/>
  <c r="K2480" i="81"/>
  <c r="J2631" i="81"/>
  <c r="I2654" i="81"/>
  <c r="K2688" i="81"/>
  <c r="K1380" i="81"/>
  <c r="L2825" i="81"/>
  <c r="I2970" i="81"/>
  <c r="I3000" i="81"/>
  <c r="J3019" i="81"/>
  <c r="K3103" i="81"/>
  <c r="I1435" i="81"/>
  <c r="L3453" i="81"/>
  <c r="K3490" i="81"/>
  <c r="K3848" i="81"/>
  <c r="I2269" i="81"/>
  <c r="J2460" i="81"/>
  <c r="J2463" i="81"/>
  <c r="L3103" i="81"/>
  <c r="J1435" i="81"/>
  <c r="I2577" i="81"/>
  <c r="K3764" i="81"/>
  <c r="I3787" i="81"/>
  <c r="J3958" i="81"/>
  <c r="I3973" i="81"/>
  <c r="I2259" i="81"/>
  <c r="I2287" i="81"/>
  <c r="L2304" i="81"/>
  <c r="J2321" i="81"/>
  <c r="L2347" i="81"/>
  <c r="J2359" i="81"/>
  <c r="J2386" i="81"/>
  <c r="J2395" i="81"/>
  <c r="J2479" i="81"/>
  <c r="J2513" i="81"/>
  <c r="I2555" i="81"/>
  <c r="J2567" i="81"/>
  <c r="K2577" i="81"/>
  <c r="J2599" i="81"/>
  <c r="K2606" i="81"/>
  <c r="K2644" i="81"/>
  <c r="K2671" i="81"/>
  <c r="I2827" i="81"/>
  <c r="I2940" i="81"/>
  <c r="I2981" i="81"/>
  <c r="L3111" i="81"/>
  <c r="L3126" i="81"/>
  <c r="J3467" i="81"/>
  <c r="L3486" i="81"/>
  <c r="I3539" i="81"/>
  <c r="J3624" i="81"/>
  <c r="K3779" i="81"/>
  <c r="K3799" i="81"/>
  <c r="L3832" i="81"/>
  <c r="L3843" i="81"/>
  <c r="J3921" i="81"/>
  <c r="I3933" i="81"/>
  <c r="K3973" i="81"/>
  <c r="I3988" i="81"/>
  <c r="J4038" i="81"/>
  <c r="L2265" i="81"/>
  <c r="L2268" i="81"/>
  <c r="I2284" i="81"/>
  <c r="K2323" i="81"/>
  <c r="I2338" i="81"/>
  <c r="I2363" i="81"/>
  <c r="I2392" i="81"/>
  <c r="K2395" i="81"/>
  <c r="K2513" i="81"/>
  <c r="J2539" i="81"/>
  <c r="K2567" i="81"/>
  <c r="L2577" i="81"/>
  <c r="L2599" i="81"/>
  <c r="K2710" i="81"/>
  <c r="K2981" i="81"/>
  <c r="J3101" i="81"/>
  <c r="I3113" i="81"/>
  <c r="L3539" i="81"/>
  <c r="K3933" i="81"/>
  <c r="K3988" i="81"/>
  <c r="I2296" i="81"/>
  <c r="L2335" i="81"/>
  <c r="J2341" i="81"/>
  <c r="J2363" i="81"/>
  <c r="J2389" i="81"/>
  <c r="L2395" i="81"/>
  <c r="L2502" i="81"/>
  <c r="L2513" i="81"/>
  <c r="L2539" i="81"/>
  <c r="I2548" i="81"/>
  <c r="L2552" i="81"/>
  <c r="I2636" i="81"/>
  <c r="I2683" i="81"/>
  <c r="K2701" i="81"/>
  <c r="J1368" i="81"/>
  <c r="J2995" i="81"/>
  <c r="L3477" i="81"/>
  <c r="K3504" i="81"/>
  <c r="I3541" i="81"/>
  <c r="J3623" i="81"/>
  <c r="L3638" i="81"/>
  <c r="I3829" i="81"/>
  <c r="L3988" i="81"/>
  <c r="K2289" i="81"/>
  <c r="L2341" i="81"/>
  <c r="I2346" i="81"/>
  <c r="K2389" i="81"/>
  <c r="K2488" i="81"/>
  <c r="I2495" i="81"/>
  <c r="L2527" i="81"/>
  <c r="I2533" i="81"/>
  <c r="I2590" i="81"/>
  <c r="L2632" i="81"/>
  <c r="J2636" i="81"/>
  <c r="J2683" i="81"/>
  <c r="L2701" i="81"/>
  <c r="I2841" i="81"/>
  <c r="J1424" i="81"/>
  <c r="L3504" i="81"/>
  <c r="J3541" i="81"/>
  <c r="K3623" i="81"/>
  <c r="J3643" i="81"/>
  <c r="J3814" i="81"/>
  <c r="J3829" i="81"/>
  <c r="L3871" i="81"/>
  <c r="I3917" i="81"/>
  <c r="K3937" i="81"/>
  <c r="J3972" i="81"/>
  <c r="L3995" i="81"/>
  <c r="I4027" i="81"/>
  <c r="J2346" i="81"/>
  <c r="I2385" i="81"/>
  <c r="K2533" i="81"/>
  <c r="K2551" i="81"/>
  <c r="K2608" i="81"/>
  <c r="K2636" i="81"/>
  <c r="K2683" i="81"/>
  <c r="L2841" i="81"/>
  <c r="I3453" i="81"/>
  <c r="J3536" i="81"/>
  <c r="L3541" i="81"/>
  <c r="L3623" i="81"/>
  <c r="K3972" i="81"/>
  <c r="K4027" i="81"/>
  <c r="I2397" i="81"/>
  <c r="L2533" i="81"/>
  <c r="L2551" i="81"/>
  <c r="I2594" i="81"/>
  <c r="L2608" i="81"/>
  <c r="I1380" i="81"/>
  <c r="K2826" i="81"/>
  <c r="I2843" i="81"/>
  <c r="J2945" i="81"/>
  <c r="I3100" i="81"/>
  <c r="K3453" i="81"/>
  <c r="L3464" i="81"/>
  <c r="K3516" i="81"/>
  <c r="L3536" i="81"/>
  <c r="J3631" i="81"/>
  <c r="L4034" i="81"/>
  <c r="K2373" i="81"/>
  <c r="L2388" i="81"/>
  <c r="K2494" i="81"/>
  <c r="J2518" i="81"/>
  <c r="I2538" i="81"/>
  <c r="I2550" i="81"/>
  <c r="J2578" i="81"/>
  <c r="I2580" i="81"/>
  <c r="L2658" i="81"/>
  <c r="J1380" i="81"/>
  <c r="K2843" i="81"/>
  <c r="J2273" i="81"/>
  <c r="K2279" i="81"/>
  <c r="I2282" i="81"/>
  <c r="I2291" i="81"/>
  <c r="I2322" i="81"/>
  <c r="I2329" i="81"/>
  <c r="J2375" i="81"/>
  <c r="I2480" i="81"/>
  <c r="L2494" i="81"/>
  <c r="L2498" i="81"/>
  <c r="J2514" i="81"/>
  <c r="J2550" i="81"/>
  <c r="I1456" i="81"/>
  <c r="L3461" i="81"/>
  <c r="J3610" i="81"/>
  <c r="I3789" i="81"/>
  <c r="I3804" i="81"/>
  <c r="J3868" i="81"/>
  <c r="I3974" i="81"/>
  <c r="L2279" i="81"/>
  <c r="J2282" i="81"/>
  <c r="J2291" i="81"/>
  <c r="I2294" i="81"/>
  <c r="I2387" i="81"/>
  <c r="K2399" i="81"/>
  <c r="I2528" i="81"/>
  <c r="K2550" i="81"/>
  <c r="I2556" i="81"/>
  <c r="J2568" i="81"/>
  <c r="I2589" i="81"/>
  <c r="I2602" i="81"/>
  <c r="L2645" i="81"/>
  <c r="K1410" i="81"/>
  <c r="K2920" i="81"/>
  <c r="L3015" i="81"/>
  <c r="I3085" i="81"/>
  <c r="J3114" i="81"/>
  <c r="K1456" i="81"/>
  <c r="K3463" i="81"/>
  <c r="L3610" i="81"/>
  <c r="K3648" i="81"/>
  <c r="K3789" i="81"/>
  <c r="I2254" i="81"/>
  <c r="J2257" i="81"/>
  <c r="L2282" i="81"/>
  <c r="K2285" i="81"/>
  <c r="J2294" i="81"/>
  <c r="I2339" i="81"/>
  <c r="L2375" i="81"/>
  <c r="J2387" i="81"/>
  <c r="J2475" i="81"/>
  <c r="K2528" i="81"/>
  <c r="J2556" i="81"/>
  <c r="K2568" i="81"/>
  <c r="J2660" i="81"/>
  <c r="I2669" i="81"/>
  <c r="J2735" i="81"/>
  <c r="L1369" i="81"/>
  <c r="J2825" i="81"/>
  <c r="L2920" i="81"/>
  <c r="L3648" i="81"/>
  <c r="L3789" i="81"/>
  <c r="J3486" i="81"/>
  <c r="L3515" i="81"/>
  <c r="K3636" i="81"/>
  <c r="I3815" i="81"/>
  <c r="I3832" i="81"/>
  <c r="J3876" i="81"/>
  <c r="K3876" i="81" s="1"/>
  <c r="K3945" i="81"/>
  <c r="I2252" i="81"/>
  <c r="I2256" i="81"/>
  <c r="I2277" i="81"/>
  <c r="I2289" i="81"/>
  <c r="I2323" i="81"/>
  <c r="J2335" i="81"/>
  <c r="J2347" i="81"/>
  <c r="I2358" i="81"/>
  <c r="I2394" i="81"/>
  <c r="I2398" i="81"/>
  <c r="I2517" i="81"/>
  <c r="K2545" i="81"/>
  <c r="I2651" i="81"/>
  <c r="J2658" i="81"/>
  <c r="J1410" i="81"/>
  <c r="J2920" i="81"/>
  <c r="K3000" i="81"/>
  <c r="J3015" i="81"/>
  <c r="L3018" i="81"/>
  <c r="I3089" i="81"/>
  <c r="K3102" i="81"/>
  <c r="J3126" i="81"/>
  <c r="I1446" i="81"/>
  <c r="L3451" i="81"/>
  <c r="I3462" i="81"/>
  <c r="L3519" i="81"/>
  <c r="L3619" i="81"/>
  <c r="L3630" i="81"/>
  <c r="L3642" i="81"/>
  <c r="K3763" i="81"/>
  <c r="L3792" i="81"/>
  <c r="K3817" i="81"/>
  <c r="I3830" i="81"/>
  <c r="I3842" i="81"/>
  <c r="L3891" i="81"/>
  <c r="K3917" i="81"/>
  <c r="I3943" i="81"/>
  <c r="L3948" i="81"/>
  <c r="J3994" i="81"/>
  <c r="K3994" i="81" s="1"/>
  <c r="L3999" i="81"/>
  <c r="K4006" i="81"/>
  <c r="J4023" i="81"/>
  <c r="L4041" i="81"/>
  <c r="K4055" i="81"/>
  <c r="L2252" i="81"/>
  <c r="J2256" i="81"/>
  <c r="J2277" i="81"/>
  <c r="K2277" i="81" s="1"/>
  <c r="J2285" i="81"/>
  <c r="J2289" i="81"/>
  <c r="J2323" i="81"/>
  <c r="K2335" i="81"/>
  <c r="K2347" i="81"/>
  <c r="L2358" i="81"/>
  <c r="I2374" i="81"/>
  <c r="I2386" i="81"/>
  <c r="J2394" i="81"/>
  <c r="J2398" i="81"/>
  <c r="I2501" i="81"/>
  <c r="J2517" i="81"/>
  <c r="I2549" i="81"/>
  <c r="I2601" i="81"/>
  <c r="J2651" i="81"/>
  <c r="K2712" i="81"/>
  <c r="K3126" i="81"/>
  <c r="J1425" i="81"/>
  <c r="J1446" i="81"/>
  <c r="K1446" i="81" s="1"/>
  <c r="J3462" i="81"/>
  <c r="K3503" i="81"/>
  <c r="J3516" i="81"/>
  <c r="I3521" i="81"/>
  <c r="I3638" i="81"/>
  <c r="K3830" i="81"/>
  <c r="L3917" i="81"/>
  <c r="J3943" i="81"/>
  <c r="K3943" i="81" s="1"/>
  <c r="I4008" i="81"/>
  <c r="I4021" i="81"/>
  <c r="K4023" i="81"/>
  <c r="K2256" i="81"/>
  <c r="K2394" i="81"/>
  <c r="J2501" i="81"/>
  <c r="J2549" i="81"/>
  <c r="I2581" i="81"/>
  <c r="I2596" i="81"/>
  <c r="L2646" i="81"/>
  <c r="K2651" i="81"/>
  <c r="J2670" i="81"/>
  <c r="L2697" i="81"/>
  <c r="J2702" i="81"/>
  <c r="I1372" i="81"/>
  <c r="L1410" i="81"/>
  <c r="K2831" i="81"/>
  <c r="I2999" i="81"/>
  <c r="K3462" i="81"/>
  <c r="K4008" i="81"/>
  <c r="K4021" i="81"/>
  <c r="L4023" i="81"/>
  <c r="I4057" i="81"/>
  <c r="J2259" i="81"/>
  <c r="J2269" i="81"/>
  <c r="J2284" i="81"/>
  <c r="L2285" i="81"/>
  <c r="I2288" i="81"/>
  <c r="J2296" i="81"/>
  <c r="J2309" i="81"/>
  <c r="J2318" i="81"/>
  <c r="K2318" i="81" s="1"/>
  <c r="I2320" i="81"/>
  <c r="I2325" i="81"/>
  <c r="K2334" i="81"/>
  <c r="J2338" i="81"/>
  <c r="K2346" i="81"/>
  <c r="K2369" i="81"/>
  <c r="J2393" i="81"/>
  <c r="K2460" i="81"/>
  <c r="J2493" i="81"/>
  <c r="K2497" i="81"/>
  <c r="K2501" i="81"/>
  <c r="K2540" i="81"/>
  <c r="L2549" i="81"/>
  <c r="I2571" i="81"/>
  <c r="J2581" i="81"/>
  <c r="J2596" i="81"/>
  <c r="I2643" i="81"/>
  <c r="L2648" i="81"/>
  <c r="K2670" i="81"/>
  <c r="J2685" i="81"/>
  <c r="I2763" i="81"/>
  <c r="J1372" i="81"/>
  <c r="I1383" i="81"/>
  <c r="J2929" i="81"/>
  <c r="I2933" i="81"/>
  <c r="I2996" i="81"/>
  <c r="J2999" i="81"/>
  <c r="I3008" i="81"/>
  <c r="I3086" i="81"/>
  <c r="J3123" i="81"/>
  <c r="J1427" i="81"/>
  <c r="K1452" i="81"/>
  <c r="L1457" i="81"/>
  <c r="L3542" i="81"/>
  <c r="I3607" i="81"/>
  <c r="I3625" i="81"/>
  <c r="I3633" i="81"/>
  <c r="I3645" i="81"/>
  <c r="J3779" i="81"/>
  <c r="J3904" i="81"/>
  <c r="J4057" i="81"/>
  <c r="L2259" i="81"/>
  <c r="K2284" i="81"/>
  <c r="J2288" i="81"/>
  <c r="K2296" i="81"/>
  <c r="L2320" i="81"/>
  <c r="J2325" i="81"/>
  <c r="J2342" i="81"/>
  <c r="L2369" i="81"/>
  <c r="I2389" i="81"/>
  <c r="K2393" i="81"/>
  <c r="L2460" i="81"/>
  <c r="I2488" i="81"/>
  <c r="L2540" i="81"/>
  <c r="K2581" i="81"/>
  <c r="L2596" i="81"/>
  <c r="L2617" i="81"/>
  <c r="J2643" i="81"/>
  <c r="I2660" i="81"/>
  <c r="L2685" i="81"/>
  <c r="I2699" i="81"/>
  <c r="I2711" i="81"/>
  <c r="J2738" i="81"/>
  <c r="L1372" i="81"/>
  <c r="J1383" i="81"/>
  <c r="J2879" i="81"/>
  <c r="L2933" i="81"/>
  <c r="J2996" i="81"/>
  <c r="J3086" i="81"/>
  <c r="L3123" i="81"/>
  <c r="K1427" i="81"/>
  <c r="L1452" i="81"/>
  <c r="J3477" i="81"/>
  <c r="I3505" i="81"/>
  <c r="K3528" i="81"/>
  <c r="J3607" i="81"/>
  <c r="K3625" i="81"/>
  <c r="J3633" i="81"/>
  <c r="J3645" i="81"/>
  <c r="J2124" i="81"/>
  <c r="I2268" i="81"/>
  <c r="I2272" i="81"/>
  <c r="J2292" i="81"/>
  <c r="I2304" i="81"/>
  <c r="J2333" i="81"/>
  <c r="I2337" i="81"/>
  <c r="I2341" i="81"/>
  <c r="J2345" i="81"/>
  <c r="L2357" i="81"/>
  <c r="J2373" i="81"/>
  <c r="J2488" i="81"/>
  <c r="J2500" i="81"/>
  <c r="I2514" i="81"/>
  <c r="I2516" i="81"/>
  <c r="K2527" i="81"/>
  <c r="I2539" i="81"/>
  <c r="I2578" i="81"/>
  <c r="J2583" i="81"/>
  <c r="I2628" i="81"/>
  <c r="K2650" i="81"/>
  <c r="J2699" i="81"/>
  <c r="J2711" i="81"/>
  <c r="K2738" i="81"/>
  <c r="L1383" i="81"/>
  <c r="K2996" i="81"/>
  <c r="L3086" i="81"/>
  <c r="K3607" i="81"/>
  <c r="L3625" i="81"/>
  <c r="I3632" i="81"/>
  <c r="L3633" i="81"/>
  <c r="K3637" i="81"/>
  <c r="I3644" i="81"/>
  <c r="L3645" i="81"/>
  <c r="I3786" i="81"/>
  <c r="L3996" i="81"/>
  <c r="I4034" i="81"/>
  <c r="I4040" i="81"/>
  <c r="I2935" i="81"/>
  <c r="J2981" i="81"/>
  <c r="I3120" i="81"/>
  <c r="K3632" i="81"/>
  <c r="K3644" i="81"/>
  <c r="L3786" i="81"/>
  <c r="L3854" i="81"/>
  <c r="J3922" i="81"/>
  <c r="J2254" i="81"/>
  <c r="L2287" i="81"/>
  <c r="I2306" i="81"/>
  <c r="I2332" i="81"/>
  <c r="I2344" i="81"/>
  <c r="L2392" i="81"/>
  <c r="L2400" i="81"/>
  <c r="J2464" i="81"/>
  <c r="K2475" i="81"/>
  <c r="J2480" i="81"/>
  <c r="J2547" i="81"/>
  <c r="K2595" i="81"/>
  <c r="J2637" i="81"/>
  <c r="I2735" i="81"/>
  <c r="I1368" i="81"/>
  <c r="I1389" i="81"/>
  <c r="K2855" i="81"/>
  <c r="J1456" i="81"/>
  <c r="K3452" i="81"/>
  <c r="I3536" i="81"/>
  <c r="I3610" i="81"/>
  <c r="K3624" i="81"/>
  <c r="L3632" i="81"/>
  <c r="J3636" i="81"/>
  <c r="L3644" i="81"/>
  <c r="J3648" i="81"/>
  <c r="J3764" i="81"/>
  <c r="I3818" i="81"/>
  <c r="I3901" i="81"/>
  <c r="K3922" i="81"/>
  <c r="L3958" i="81"/>
  <c r="L3968" i="81"/>
  <c r="J3974" i="81"/>
  <c r="J3987" i="81"/>
  <c r="I4002" i="81"/>
  <c r="I4020" i="81"/>
  <c r="I4037" i="81"/>
  <c r="K4056" i="81"/>
  <c r="J2332" i="81"/>
  <c r="J2344" i="81"/>
  <c r="I3955" i="81"/>
  <c r="L3974" i="81"/>
  <c r="K3987" i="81"/>
  <c r="I3995" i="81"/>
  <c r="J4002" i="81"/>
  <c r="J4020" i="81"/>
  <c r="K4037" i="81"/>
  <c r="I4047" i="81"/>
  <c r="I2253" i="81"/>
  <c r="L2271" i="81"/>
  <c r="L2332" i="81"/>
  <c r="L2340" i="81"/>
  <c r="L2344" i="81"/>
  <c r="J2356" i="81"/>
  <c r="J2361" i="81"/>
  <c r="I2399" i="81"/>
  <c r="J2466" i="81"/>
  <c r="I2487" i="81"/>
  <c r="J2546" i="81"/>
  <c r="I2551" i="81"/>
  <c r="J2552" i="81"/>
  <c r="K2590" i="81"/>
  <c r="K2602" i="81"/>
  <c r="J2607" i="81"/>
  <c r="I2618" i="81"/>
  <c r="K2698" i="81"/>
  <c r="K2703" i="81"/>
  <c r="L2735" i="81"/>
  <c r="K1368" i="81"/>
  <c r="J2827" i="81"/>
  <c r="L2836" i="81"/>
  <c r="K2946" i="81"/>
  <c r="J2970" i="81"/>
  <c r="K3016" i="81"/>
  <c r="K3021" i="81"/>
  <c r="I3117" i="81"/>
  <c r="L3476" i="81"/>
  <c r="L3527" i="81"/>
  <c r="I3609" i="81"/>
  <c r="I3630" i="81"/>
  <c r="I3642" i="81"/>
  <c r="J3955" i="81"/>
  <c r="K3995" i="81"/>
  <c r="K4002" i="81"/>
  <c r="L4037" i="81"/>
  <c r="K4047" i="81"/>
  <c r="J2253" i="81"/>
  <c r="K2356" i="81"/>
  <c r="J2399" i="81"/>
  <c r="K2466" i="81"/>
  <c r="I2479" i="81"/>
  <c r="K2607" i="81"/>
  <c r="J2618" i="81"/>
  <c r="K2827" i="81"/>
  <c r="L2946" i="81"/>
  <c r="K2970" i="81"/>
  <c r="I2980" i="81"/>
  <c r="L3016" i="81"/>
  <c r="L3021" i="81"/>
  <c r="L3105" i="81"/>
  <c r="J3117" i="81"/>
  <c r="J3630" i="81"/>
  <c r="J3642" i="81"/>
  <c r="L3780" i="81"/>
  <c r="J3840" i="81"/>
  <c r="K3840" i="81" s="1"/>
  <c r="J3898" i="81"/>
  <c r="K3905" i="81"/>
  <c r="I3921" i="81"/>
  <c r="K2934" i="81"/>
  <c r="J3000" i="81"/>
  <c r="I3015" i="81"/>
  <c r="I3018" i="81"/>
  <c r="I3102" i="81"/>
  <c r="J3506" i="81"/>
  <c r="L3531" i="81"/>
  <c r="L3609" i="81"/>
  <c r="I3619" i="81"/>
  <c r="I3792" i="81"/>
  <c r="I3817" i="81"/>
  <c r="K3851" i="81"/>
  <c r="I3889" i="81"/>
  <c r="K3898" i="81"/>
  <c r="I3907" i="81"/>
  <c r="J4006" i="81"/>
  <c r="J4055" i="81"/>
  <c r="B3808" i="81"/>
  <c r="K4034" i="81"/>
  <c r="I4038" i="81"/>
  <c r="L4048" i="81"/>
  <c r="L4059" i="81"/>
  <c r="K4038" i="81"/>
  <c r="I4054" i="81"/>
  <c r="J4058" i="81"/>
  <c r="I4063" i="81"/>
  <c r="J4054" i="81"/>
  <c r="K4058" i="81"/>
  <c r="K4054" i="81"/>
  <c r="I4025" i="81"/>
  <c r="L4035" i="81"/>
  <c r="K4020" i="81"/>
  <c r="I4022" i="81"/>
  <c r="K4025" i="81"/>
  <c r="K4040" i="81"/>
  <c r="J4046" i="81"/>
  <c r="K4046" i="81" s="1"/>
  <c r="I4051" i="81"/>
  <c r="L4060" i="81"/>
  <c r="L4025" i="81"/>
  <c r="L4040" i="81"/>
  <c r="I4056" i="81"/>
  <c r="J4039" i="81"/>
  <c r="I4045" i="81"/>
  <c r="L4056" i="81"/>
  <c r="I4059" i="81"/>
  <c r="K4024" i="81"/>
  <c r="K4039" i="81"/>
  <c r="K4059" i="81"/>
  <c r="K3968" i="81"/>
  <c r="K3983" i="81"/>
  <c r="L3989" i="81"/>
  <c r="K3996" i="81"/>
  <c r="I4010" i="81"/>
  <c r="I3971" i="81"/>
  <c r="I3998" i="81"/>
  <c r="J3971" i="81"/>
  <c r="I3982" i="81"/>
  <c r="K3998" i="81"/>
  <c r="I4005" i="81"/>
  <c r="K3971" i="81"/>
  <c r="K3982" i="81"/>
  <c r="L3998" i="81"/>
  <c r="J4005" i="81"/>
  <c r="J4009" i="81"/>
  <c r="L3982" i="81"/>
  <c r="K4009" i="81"/>
  <c r="I3986" i="81"/>
  <c r="I3993" i="81"/>
  <c r="J4008" i="81"/>
  <c r="J3986" i="81"/>
  <c r="J3993" i="81"/>
  <c r="K3993" i="81" s="1"/>
  <c r="K3986" i="81"/>
  <c r="I4007" i="81"/>
  <c r="I3968" i="81"/>
  <c r="L3973" i="81"/>
  <c r="K3981" i="81"/>
  <c r="I3983" i="81"/>
  <c r="I3989" i="81"/>
  <c r="I3996" i="81"/>
  <c r="K4007" i="81"/>
  <c r="J3983" i="81"/>
  <c r="J3989" i="81"/>
  <c r="L4007" i="81"/>
  <c r="L3921" i="81"/>
  <c r="K3931" i="81"/>
  <c r="J3936" i="81"/>
  <c r="K3948" i="81"/>
  <c r="J3918" i="81"/>
  <c r="J3933" i="81"/>
  <c r="L3936" i="81"/>
  <c r="K3956" i="81"/>
  <c r="L3918" i="81"/>
  <c r="I3930" i="81"/>
  <c r="J3944" i="81"/>
  <c r="K3944" i="81" s="1"/>
  <c r="K3950" i="81"/>
  <c r="L3923" i="81"/>
  <c r="J3930" i="81"/>
  <c r="I3932" i="81"/>
  <c r="I3952" i="81"/>
  <c r="I3958" i="81"/>
  <c r="K3930" i="81"/>
  <c r="J3932" i="81"/>
  <c r="J3952" i="81"/>
  <c r="K3932" i="81"/>
  <c r="I3946" i="81"/>
  <c r="J3949" i="81"/>
  <c r="I3960" i="81"/>
  <c r="J3937" i="81"/>
  <c r="J3946" i="81"/>
  <c r="L3949" i="81"/>
  <c r="K3957" i="81"/>
  <c r="K3960" i="81"/>
  <c r="L3946" i="81"/>
  <c r="L3957" i="81"/>
  <c r="L3960" i="81"/>
  <c r="J3931" i="81"/>
  <c r="I3948" i="81"/>
  <c r="J3871" i="81"/>
  <c r="L3884" i="81"/>
  <c r="J3883" i="81"/>
  <c r="J3895" i="81"/>
  <c r="K3895" i="81" s="1"/>
  <c r="L3898" i="81"/>
  <c r="J3901" i="81"/>
  <c r="J3907" i="81"/>
  <c r="K3907" i="81"/>
  <c r="L3870" i="81"/>
  <c r="I3882" i="81"/>
  <c r="J3889" i="81"/>
  <c r="K3889" i="81" s="1"/>
  <c r="J3892" i="81"/>
  <c r="K3892" i="81" s="1"/>
  <c r="I3900" i="81"/>
  <c r="L3904" i="81"/>
  <c r="I3879" i="81"/>
  <c r="J3882" i="81"/>
  <c r="L3889" i="81"/>
  <c r="L3892" i="81"/>
  <c r="K3900" i="81"/>
  <c r="I3903" i="81"/>
  <c r="J3879" i="81"/>
  <c r="K3879" i="81" s="1"/>
  <c r="K3882" i="81"/>
  <c r="I3891" i="81"/>
  <c r="L3900" i="81"/>
  <c r="J3903" i="81"/>
  <c r="J3885" i="81"/>
  <c r="J3891" i="81"/>
  <c r="K3891" i="81" s="1"/>
  <c r="K3903" i="81"/>
  <c r="I3876" i="81"/>
  <c r="L3885" i="81"/>
  <c r="I3884" i="81"/>
  <c r="I3871" i="81"/>
  <c r="K3884" i="81"/>
  <c r="K3833" i="81"/>
  <c r="L3847" i="81"/>
  <c r="K3815" i="81"/>
  <c r="J3827" i="81"/>
  <c r="L3833" i="81"/>
  <c r="I3846" i="81"/>
  <c r="I3849" i="81"/>
  <c r="I3852" i="81"/>
  <c r="J3855" i="81"/>
  <c r="L3814" i="81"/>
  <c r="L3817" i="81"/>
  <c r="I3826" i="81"/>
  <c r="L3829" i="81"/>
  <c r="I3840" i="81"/>
  <c r="J3846" i="81"/>
  <c r="J3849" i="81"/>
  <c r="J3852" i="81"/>
  <c r="L3855" i="81"/>
  <c r="J3826" i="81"/>
  <c r="K3846" i="81"/>
  <c r="K3849" i="81"/>
  <c r="L3852" i="81"/>
  <c r="K3826" i="81"/>
  <c r="I3854" i="81"/>
  <c r="I3813" i="81"/>
  <c r="K3819" i="81"/>
  <c r="K3831" i="81"/>
  <c r="I3837" i="81"/>
  <c r="I3848" i="81"/>
  <c r="K3854" i="81"/>
  <c r="J3839" i="81"/>
  <c r="K3839" i="81" s="1"/>
  <c r="K3842" i="81"/>
  <c r="J3763" i="81"/>
  <c r="L3775" i="81"/>
  <c r="L3763" i="81"/>
  <c r="I3766" i="81"/>
  <c r="K3791" i="81"/>
  <c r="J3766" i="81"/>
  <c r="J3760" i="81"/>
  <c r="L3766" i="81"/>
  <c r="I3798" i="81"/>
  <c r="J3801" i="81"/>
  <c r="J3804" i="81"/>
  <c r="I3765" i="81"/>
  <c r="J3787" i="81"/>
  <c r="K3787" i="81" s="1"/>
  <c r="J3790" i="81"/>
  <c r="K3790" i="81" s="1"/>
  <c r="J3793" i="81"/>
  <c r="J3798" i="81"/>
  <c r="I3803" i="81"/>
  <c r="K3804" i="81"/>
  <c r="K3765" i="81"/>
  <c r="L3787" i="81"/>
  <c r="K3798" i="81"/>
  <c r="J3803" i="81"/>
  <c r="L3765" i="81"/>
  <c r="L3790" i="81"/>
  <c r="K3803" i="81"/>
  <c r="I3780" i="81"/>
  <c r="K3786" i="81"/>
  <c r="I3797" i="81"/>
  <c r="I3800" i="81"/>
  <c r="J3780" i="81"/>
  <c r="J3797" i="81"/>
  <c r="L3800" i="81"/>
  <c r="I3775" i="81"/>
  <c r="J3785" i="81"/>
  <c r="K3785" i="81" s="1"/>
  <c r="I3503" i="81"/>
  <c r="J3515" i="81"/>
  <c r="J3521" i="81"/>
  <c r="J3530" i="81"/>
  <c r="J3539" i="81"/>
  <c r="K3530" i="81"/>
  <c r="J3514" i="81"/>
  <c r="I3526" i="81"/>
  <c r="I3529" i="81"/>
  <c r="L3530" i="81"/>
  <c r="J3542" i="81"/>
  <c r="K3514" i="81"/>
  <c r="K3526" i="81"/>
  <c r="J3529" i="81"/>
  <c r="K3538" i="81"/>
  <c r="K3542" i="81"/>
  <c r="J3505" i="81"/>
  <c r="J3517" i="81"/>
  <c r="I3520" i="81"/>
  <c r="K3529" i="81"/>
  <c r="L3538" i="81"/>
  <c r="K3505" i="81"/>
  <c r="K3517" i="81"/>
  <c r="I3532" i="81"/>
  <c r="J3504" i="81"/>
  <c r="L3517" i="81"/>
  <c r="I3528" i="81"/>
  <c r="I3544" i="81"/>
  <c r="L3544" i="81"/>
  <c r="J3534" i="81"/>
  <c r="J3537" i="81"/>
  <c r="J3540" i="81"/>
  <c r="K3534" i="81"/>
  <c r="L3450" i="81"/>
  <c r="K3475" i="81"/>
  <c r="K3484" i="81"/>
  <c r="I3490" i="81"/>
  <c r="I3455" i="81"/>
  <c r="K3468" i="81"/>
  <c r="I3483" i="81"/>
  <c r="I3489" i="81"/>
  <c r="J3468" i="81"/>
  <c r="J3487" i="81"/>
  <c r="I3461" i="81"/>
  <c r="I3467" i="81"/>
  <c r="L3468" i="81"/>
  <c r="I3480" i="81"/>
  <c r="K3483" i="81"/>
  <c r="J3489" i="81"/>
  <c r="L3489" i="81"/>
  <c r="K3467" i="81"/>
  <c r="I3482" i="81"/>
  <c r="J3492" i="81"/>
  <c r="I3451" i="81"/>
  <c r="I3476" i="81"/>
  <c r="J3482" i="81"/>
  <c r="J3485" i="81"/>
  <c r="K3492" i="81"/>
  <c r="J3451" i="81"/>
  <c r="I3466" i="81"/>
  <c r="J3476" i="81"/>
  <c r="I3479" i="81"/>
  <c r="L3482" i="81"/>
  <c r="K3485" i="81"/>
  <c r="I3491" i="81"/>
  <c r="L3492" i="81"/>
  <c r="I3448" i="81"/>
  <c r="K3466" i="81"/>
  <c r="L3479" i="81"/>
  <c r="L3485" i="81"/>
  <c r="J3491" i="81"/>
  <c r="K3491" i="81"/>
  <c r="I3450" i="81"/>
  <c r="I3475" i="81"/>
  <c r="I3484" i="81"/>
  <c r="I1424" i="81"/>
  <c r="I1433" i="81"/>
  <c r="I1458" i="81"/>
  <c r="J1464" i="81"/>
  <c r="K1424" i="81"/>
  <c r="L1433" i="81"/>
  <c r="I1449" i="81"/>
  <c r="K1458" i="81"/>
  <c r="I1463" i="81"/>
  <c r="L1464" i="81"/>
  <c r="I1421" i="81"/>
  <c r="J1437" i="81"/>
  <c r="J1440" i="81"/>
  <c r="J1449" i="81"/>
  <c r="J1452" i="81"/>
  <c r="J1463" i="81"/>
  <c r="J1421" i="81"/>
  <c r="K1437" i="81"/>
  <c r="K1440" i="81"/>
  <c r="L1449" i="81"/>
  <c r="K1463" i="81"/>
  <c r="I1439" i="81"/>
  <c r="L1440" i="81"/>
  <c r="I1451" i="81"/>
  <c r="I1426" i="81"/>
  <c r="J1439" i="81"/>
  <c r="K1448" i="81"/>
  <c r="J1451" i="81"/>
  <c r="I1462" i="81"/>
  <c r="J1426" i="81"/>
  <c r="K1439" i="81"/>
  <c r="L1448" i="81"/>
  <c r="K1451" i="81"/>
  <c r="J1462" i="81"/>
  <c r="I1420" i="81"/>
  <c r="K1426" i="81"/>
  <c r="J1447" i="81"/>
  <c r="K3099" i="81"/>
  <c r="J3102" i="81"/>
  <c r="I3105" i="81"/>
  <c r="I3114" i="81"/>
  <c r="K3123" i="81"/>
  <c r="I3091" i="81"/>
  <c r="I3098" i="81"/>
  <c r="K3114" i="81"/>
  <c r="K3119" i="81"/>
  <c r="J3122" i="81"/>
  <c r="I3125" i="81"/>
  <c r="J3091" i="81"/>
  <c r="J3098" i="81"/>
  <c r="I3101" i="81"/>
  <c r="I3110" i="81"/>
  <c r="K3122" i="81"/>
  <c r="L3125" i="81"/>
  <c r="K3091" i="81"/>
  <c r="K3098" i="81"/>
  <c r="J3110" i="81"/>
  <c r="I3097" i="81"/>
  <c r="K3110" i="81"/>
  <c r="L3113" i="81"/>
  <c r="I3118" i="81"/>
  <c r="I3121" i="81"/>
  <c r="I3087" i="81"/>
  <c r="I3090" i="81"/>
  <c r="J3097" i="81"/>
  <c r="J3118" i="81"/>
  <c r="J3121" i="81"/>
  <c r="J3087" i="81"/>
  <c r="J3090" i="81"/>
  <c r="L3097" i="81"/>
  <c r="K3087" i="81"/>
  <c r="I3109" i="81"/>
  <c r="I3006" i="81"/>
  <c r="I2995" i="81"/>
  <c r="L3006" i="81"/>
  <c r="I3012" i="81"/>
  <c r="I3024" i="81"/>
  <c r="J3009" i="81"/>
  <c r="J3012" i="81"/>
  <c r="J3021" i="81"/>
  <c r="J3024" i="81"/>
  <c r="L2980" i="81"/>
  <c r="I2992" i="81"/>
  <c r="L2995" i="81"/>
  <c r="L2998" i="81"/>
  <c r="J3001" i="81"/>
  <c r="K3009" i="81"/>
  <c r="K3012" i="81"/>
  <c r="K3024" i="81"/>
  <c r="J2992" i="81"/>
  <c r="I3020" i="81"/>
  <c r="I2985" i="81"/>
  <c r="K2992" i="81"/>
  <c r="L3001" i="81"/>
  <c r="J3008" i="81"/>
  <c r="I3011" i="81"/>
  <c r="J3020" i="81"/>
  <c r="I3023" i="81"/>
  <c r="J2985" i="81"/>
  <c r="K3008" i="81"/>
  <c r="L3011" i="81"/>
  <c r="K3020" i="81"/>
  <c r="L3023" i="81"/>
  <c r="K2985" i="81"/>
  <c r="I2984" i="81"/>
  <c r="I3007" i="81"/>
  <c r="J2984" i="81"/>
  <c r="L2984" i="81"/>
  <c r="K2933" i="81"/>
  <c r="L2945" i="81"/>
  <c r="I2947" i="81"/>
  <c r="J2947" i="81"/>
  <c r="K2947" i="81"/>
  <c r="J2946" i="81"/>
  <c r="J2961" i="81"/>
  <c r="K2961" i="81" s="1"/>
  <c r="K2879" i="81"/>
  <c r="I2878" i="81"/>
  <c r="I2881" i="81"/>
  <c r="I2890" i="81"/>
  <c r="K2881" i="81"/>
  <c r="J2890" i="81"/>
  <c r="L2881" i="81"/>
  <c r="K2890" i="81"/>
  <c r="L2895" i="81"/>
  <c r="J2906" i="81"/>
  <c r="I2892" i="81"/>
  <c r="J2897" i="81"/>
  <c r="J2902" i="81"/>
  <c r="K2892" i="81"/>
  <c r="K2897" i="81"/>
  <c r="L2892" i="81"/>
  <c r="I2825" i="81"/>
  <c r="K2836" i="81"/>
  <c r="K2841" i="81"/>
  <c r="L2851" i="81"/>
  <c r="J2828" i="81"/>
  <c r="K2828" i="81"/>
  <c r="J2831" i="81"/>
  <c r="L2828" i="81"/>
  <c r="I2830" i="81"/>
  <c r="I2839" i="81"/>
  <c r="J2842" i="81"/>
  <c r="J2839" i="81"/>
  <c r="K2842" i="81"/>
  <c r="L2842" i="81"/>
  <c r="J2836" i="81"/>
  <c r="J1375" i="81"/>
  <c r="J1386" i="81"/>
  <c r="I1371" i="81"/>
  <c r="K1375" i="81"/>
  <c r="I1382" i="81"/>
  <c r="K1386" i="81"/>
  <c r="K1371" i="81"/>
  <c r="I1374" i="81"/>
  <c r="L1375" i="81"/>
  <c r="K1382" i="81"/>
  <c r="I1385" i="81"/>
  <c r="L1386" i="81"/>
  <c r="L1371" i="81"/>
  <c r="J1374" i="81"/>
  <c r="L1382" i="81"/>
  <c r="J1385" i="81"/>
  <c r="K1374" i="81"/>
  <c r="K1385" i="81"/>
  <c r="I1369" i="81"/>
  <c r="K1373" i="81"/>
  <c r="J1369" i="81"/>
  <c r="I2732" i="81"/>
  <c r="I2741" i="81"/>
  <c r="J2732" i="81"/>
  <c r="K2732" i="81"/>
  <c r="J2727" i="81"/>
  <c r="J2761" i="81"/>
  <c r="K2727" i="81"/>
  <c r="I2734" i="81"/>
  <c r="I2737" i="81"/>
  <c r="L2738" i="81"/>
  <c r="K2761" i="81"/>
  <c r="I2726" i="81"/>
  <c r="L2727" i="81"/>
  <c r="K2734" i="81"/>
  <c r="J2737" i="81"/>
  <c r="L2761" i="81"/>
  <c r="J2726" i="81"/>
  <c r="L2734" i="81"/>
  <c r="K2737" i="81"/>
  <c r="K2726" i="81"/>
  <c r="L2680" i="81"/>
  <c r="L2689" i="81"/>
  <c r="L2708" i="81"/>
  <c r="K2702" i="81"/>
  <c r="I2707" i="81"/>
  <c r="J2688" i="81"/>
  <c r="I2701" i="81"/>
  <c r="L2702" i="81"/>
  <c r="I2672" i="81"/>
  <c r="I2687" i="81"/>
  <c r="J2672" i="81"/>
  <c r="I2681" i="81"/>
  <c r="I2684" i="81"/>
  <c r="J2687" i="81"/>
  <c r="K2709" i="81"/>
  <c r="K2672" i="81"/>
  <c r="K2681" i="81"/>
  <c r="K2684" i="81"/>
  <c r="L2687" i="81"/>
  <c r="K2700" i="81"/>
  <c r="L2709" i="81"/>
  <c r="I2671" i="81"/>
  <c r="L2681" i="81"/>
  <c r="L2684" i="81"/>
  <c r="K2697" i="81"/>
  <c r="I2708" i="81"/>
  <c r="J2708" i="81"/>
  <c r="L2671" i="81"/>
  <c r="K2680" i="81"/>
  <c r="K2689" i="81"/>
  <c r="K2617" i="81"/>
  <c r="K2622" i="81"/>
  <c r="J2644" i="81"/>
  <c r="I2650" i="81"/>
  <c r="K2656" i="81"/>
  <c r="I2621" i="81"/>
  <c r="K2631" i="81"/>
  <c r="I2635" i="81"/>
  <c r="L2650" i="81"/>
  <c r="I2655" i="81"/>
  <c r="J2621" i="81"/>
  <c r="J2655" i="81"/>
  <c r="K2621" i="81"/>
  <c r="K2655" i="81"/>
  <c r="K2643" i="81"/>
  <c r="J2646" i="81"/>
  <c r="K2649" i="81"/>
  <c r="I2620" i="81"/>
  <c r="I2623" i="81"/>
  <c r="I2632" i="81"/>
  <c r="I2648" i="81"/>
  <c r="I2657" i="81"/>
  <c r="K2618" i="81"/>
  <c r="K2623" i="81"/>
  <c r="J2632" i="81"/>
  <c r="I2642" i="81"/>
  <c r="I2645" i="81"/>
  <c r="J2648" i="81"/>
  <c r="J2657" i="81"/>
  <c r="L2623" i="81"/>
  <c r="K2657" i="81"/>
  <c r="I2617" i="81"/>
  <c r="J2622" i="81"/>
  <c r="J2656" i="81"/>
  <c r="I2583" i="81"/>
  <c r="J2589" i="81"/>
  <c r="K2589" i="81" s="1"/>
  <c r="J2602" i="81"/>
  <c r="I2564" i="81"/>
  <c r="I2582" i="81"/>
  <c r="K2583" i="81"/>
  <c r="J2601" i="81"/>
  <c r="J2564" i="81"/>
  <c r="J2582" i="81"/>
  <c r="K2601" i="81"/>
  <c r="K2564" i="81"/>
  <c r="K2582" i="81"/>
  <c r="J2594" i="81"/>
  <c r="I2600" i="81"/>
  <c r="K2594" i="81"/>
  <c r="J2600" i="81"/>
  <c r="K2600" i="81"/>
  <c r="I2567" i="81"/>
  <c r="I2599" i="81"/>
  <c r="L2580" i="81"/>
  <c r="J2527" i="81"/>
  <c r="K2530" i="81"/>
  <c r="J2540" i="81"/>
  <c r="K2529" i="81"/>
  <c r="I2532" i="81"/>
  <c r="L2529" i="81"/>
  <c r="J2532" i="81"/>
  <c r="J2545" i="81"/>
  <c r="K2532" i="81"/>
  <c r="J2526" i="81"/>
  <c r="J2538" i="81"/>
  <c r="L2514" i="81"/>
  <c r="L2519" i="81"/>
  <c r="K2526" i="81"/>
  <c r="K2538" i="81"/>
  <c r="I2544" i="81"/>
  <c r="J2544" i="81"/>
  <c r="I2518" i="81"/>
  <c r="J2528" i="81"/>
  <c r="K2544" i="81"/>
  <c r="K2518" i="81"/>
  <c r="I2530" i="81"/>
  <c r="L2463" i="81"/>
  <c r="L2476" i="81"/>
  <c r="L2479" i="81"/>
  <c r="J2487" i="81"/>
  <c r="I2493" i="81"/>
  <c r="K2493" i="81"/>
  <c r="I2465" i="81"/>
  <c r="I2478" i="81"/>
  <c r="J2465" i="81"/>
  <c r="I2474" i="81"/>
  <c r="I2492" i="81"/>
  <c r="K2465" i="81"/>
  <c r="J2474" i="81"/>
  <c r="I2489" i="81"/>
  <c r="J2492" i="81"/>
  <c r="L2474" i="81"/>
  <c r="J2489" i="81"/>
  <c r="I2476" i="81"/>
  <c r="I2491" i="81"/>
  <c r="J2476" i="81"/>
  <c r="L2485" i="81"/>
  <c r="J2370" i="81"/>
  <c r="I2372" i="81"/>
  <c r="I2356" i="81"/>
  <c r="J2362" i="81"/>
  <c r="J2372" i="81"/>
  <c r="L2372" i="81"/>
  <c r="I2361" i="81"/>
  <c r="J2383" i="81"/>
  <c r="K2383" i="81"/>
  <c r="J2358" i="81"/>
  <c r="L2361" i="81"/>
  <c r="L2368" i="81"/>
  <c r="J2374" i="81"/>
  <c r="I2377" i="81"/>
  <c r="I2382" i="81"/>
  <c r="L2383" i="81"/>
  <c r="K2374" i="81"/>
  <c r="J2382" i="81"/>
  <c r="K2382" i="81" s="1"/>
  <c r="J2306" i="81"/>
  <c r="I2321" i="81"/>
  <c r="I2311" i="81"/>
  <c r="J2330" i="81"/>
  <c r="I2305" i="81"/>
  <c r="I2308" i="81"/>
  <c r="J2311" i="81"/>
  <c r="J2305" i="81"/>
  <c r="J2308" i="81"/>
  <c r="L2311" i="81"/>
  <c r="K2308" i="81"/>
  <c r="J2329" i="81"/>
  <c r="K2329" i="81" s="1"/>
  <c r="L2307" i="81"/>
  <c r="J2322" i="81"/>
  <c r="L2325" i="81"/>
  <c r="K2322" i="81"/>
  <c r="J2265" i="81"/>
  <c r="K2265" i="81" s="1"/>
  <c r="L2381" i="81"/>
  <c r="L2317" i="81"/>
  <c r="L2628" i="81"/>
  <c r="L2264" i="81"/>
  <c r="L2316" i="81"/>
  <c r="J2316" i="81"/>
  <c r="K2316" i="81" s="1"/>
  <c r="E2248" i="81"/>
  <c r="P2248" i="81" s="1"/>
  <c r="J2252" i="81"/>
  <c r="K2253" i="81"/>
  <c r="H2266" i="81"/>
  <c r="I2267" i="81"/>
  <c r="J2268" i="81"/>
  <c r="K2269" i="81"/>
  <c r="I2286" i="81"/>
  <c r="J2287" i="81"/>
  <c r="K2288" i="81"/>
  <c r="O2300" i="81"/>
  <c r="J2304" i="81"/>
  <c r="K2305" i="81"/>
  <c r="I2319" i="81"/>
  <c r="J2320" i="81"/>
  <c r="K2321" i="81"/>
  <c r="I2336" i="81"/>
  <c r="J2337" i="81"/>
  <c r="K2338" i="81"/>
  <c r="I2348" i="81"/>
  <c r="E2352" i="81"/>
  <c r="I2376" i="81"/>
  <c r="J2377" i="81"/>
  <c r="E2381" i="81"/>
  <c r="I2381" i="81" s="1"/>
  <c r="I2384" i="81"/>
  <c r="J2385" i="81"/>
  <c r="K2386" i="81"/>
  <c r="I2396" i="81"/>
  <c r="J2397" i="81"/>
  <c r="K2398" i="81"/>
  <c r="U2456" i="81"/>
  <c r="M2458" i="81"/>
  <c r="N2458" i="81" s="1"/>
  <c r="M2459" i="81"/>
  <c r="N2459" i="81" s="1"/>
  <c r="I2467" i="81"/>
  <c r="K2478" i="81"/>
  <c r="I2490" i="81"/>
  <c r="J2491" i="81"/>
  <c r="K2492" i="81"/>
  <c r="I2499" i="81"/>
  <c r="K2500" i="81"/>
  <c r="F2511" i="81"/>
  <c r="H2512" i="81"/>
  <c r="I2515" i="81"/>
  <c r="J2516" i="81"/>
  <c r="K2517" i="81"/>
  <c r="F2524" i="81"/>
  <c r="F2525" i="81"/>
  <c r="L2526" i="81"/>
  <c r="L2545" i="81"/>
  <c r="I2569" i="81"/>
  <c r="L2569" i="81"/>
  <c r="K2569" i="81"/>
  <c r="J2569" i="81"/>
  <c r="I2579" i="81"/>
  <c r="J2592" i="81"/>
  <c r="L2592" i="81"/>
  <c r="K2592" i="81"/>
  <c r="J2597" i="81"/>
  <c r="J2264" i="81"/>
  <c r="K2264" i="81" s="1"/>
  <c r="J2267" i="81"/>
  <c r="J2286" i="81"/>
  <c r="J2317" i="81"/>
  <c r="J2319" i="81"/>
  <c r="J2336" i="81"/>
  <c r="J2348" i="81"/>
  <c r="J2376" i="81"/>
  <c r="K2377" i="81"/>
  <c r="J2384" i="81"/>
  <c r="K2385" i="81"/>
  <c r="J2396" i="81"/>
  <c r="K2397" i="81"/>
  <c r="J2467" i="81"/>
  <c r="J2477" i="81"/>
  <c r="L2478" i="81"/>
  <c r="J2490" i="81"/>
  <c r="K2491" i="81"/>
  <c r="J2499" i="81"/>
  <c r="H2511" i="81"/>
  <c r="J2515" i="81"/>
  <c r="K2516" i="81"/>
  <c r="H2524" i="81"/>
  <c r="H2525" i="81"/>
  <c r="E2576" i="81"/>
  <c r="F2576" i="81" s="1"/>
  <c r="D2576" i="81"/>
  <c r="K2605" i="81"/>
  <c r="J2605" i="81"/>
  <c r="L2605" i="81"/>
  <c r="J2619" i="81"/>
  <c r="I2619" i="81"/>
  <c r="L2619" i="81"/>
  <c r="K2619" i="81"/>
  <c r="K2267" i="81"/>
  <c r="K2286" i="81"/>
  <c r="K2319" i="81"/>
  <c r="K2336" i="81"/>
  <c r="K2348" i="81"/>
  <c r="K2376" i="81"/>
  <c r="K2384" i="81"/>
  <c r="K2396" i="81"/>
  <c r="K2467" i="81"/>
  <c r="K2490" i="81"/>
  <c r="K2499" i="81"/>
  <c r="K2515" i="81"/>
  <c r="K2543" i="81"/>
  <c r="L2543" i="81"/>
  <c r="J2554" i="81"/>
  <c r="L2554" i="81"/>
  <c r="K2554" i="81"/>
  <c r="K2565" i="81"/>
  <c r="L2565" i="81"/>
  <c r="J2576" i="81"/>
  <c r="K2576" i="81" s="1"/>
  <c r="I2584" i="81"/>
  <c r="L2584" i="81"/>
  <c r="K2584" i="81"/>
  <c r="J2584" i="81"/>
  <c r="I2283" i="81"/>
  <c r="I2295" i="81"/>
  <c r="M2316" i="81"/>
  <c r="I2333" i="81"/>
  <c r="I2345" i="81"/>
  <c r="I2362" i="81"/>
  <c r="I2373" i="81"/>
  <c r="I2393" i="81"/>
  <c r="I2464" i="81"/>
  <c r="I2475" i="81"/>
  <c r="I2543" i="81"/>
  <c r="L2548" i="81"/>
  <c r="J2548" i="81"/>
  <c r="I2554" i="81"/>
  <c r="D2562" i="81"/>
  <c r="M2562" i="81"/>
  <c r="N2562" i="81" s="1"/>
  <c r="I2565" i="81"/>
  <c r="K2571" i="81"/>
  <c r="L2571" i="81"/>
  <c r="I2576" i="81"/>
  <c r="L2595" i="81"/>
  <c r="I2595" i="81"/>
  <c r="J2565" i="81"/>
  <c r="L2318" i="81"/>
  <c r="D2198" i="81"/>
  <c r="I2258" i="81"/>
  <c r="M2266" i="81"/>
  <c r="I2281" i="81"/>
  <c r="K2283" i="81"/>
  <c r="I2293" i="81"/>
  <c r="K2295" i="81"/>
  <c r="I2310" i="81"/>
  <c r="I2324" i="81"/>
  <c r="I2331" i="81"/>
  <c r="K2333" i="81"/>
  <c r="I2343" i="81"/>
  <c r="K2345" i="81"/>
  <c r="I2360" i="81"/>
  <c r="K2362" i="81"/>
  <c r="I2371" i="81"/>
  <c r="I2391" i="81"/>
  <c r="I2462" i="81"/>
  <c r="I2473" i="81"/>
  <c r="I2481" i="81"/>
  <c r="I2537" i="81"/>
  <c r="E2560" i="81"/>
  <c r="P2560" i="81" s="1"/>
  <c r="I2591" i="81"/>
  <c r="L2591" i="81"/>
  <c r="K2591" i="81"/>
  <c r="J2591" i="81"/>
  <c r="J2641" i="81"/>
  <c r="K2641" i="81" s="1"/>
  <c r="I2641" i="81"/>
  <c r="L2641" i="81"/>
  <c r="M2095" i="81"/>
  <c r="N2095" i="81" s="1"/>
  <c r="I2257" i="81"/>
  <c r="J2258" i="81"/>
  <c r="B2264" i="81"/>
  <c r="N2264" i="81" s="1"/>
  <c r="I2273" i="81"/>
  <c r="I2280" i="81"/>
  <c r="J2281" i="81"/>
  <c r="I2292" i="81"/>
  <c r="J2293" i="81"/>
  <c r="I2309" i="81"/>
  <c r="J2310" i="81"/>
  <c r="N2317" i="81"/>
  <c r="J2324" i="81"/>
  <c r="I2330" i="81"/>
  <c r="J2331" i="81"/>
  <c r="I2342" i="81"/>
  <c r="J2343" i="81"/>
  <c r="I2359" i="81"/>
  <c r="J2360" i="81"/>
  <c r="I2370" i="81"/>
  <c r="J2371" i="81"/>
  <c r="I2390" i="81"/>
  <c r="J2391" i="81"/>
  <c r="I2461" i="81"/>
  <c r="J2462" i="81"/>
  <c r="I2472" i="81"/>
  <c r="J2473" i="81"/>
  <c r="J2481" i="81"/>
  <c r="I2486" i="81"/>
  <c r="K2487" i="81"/>
  <c r="J2496" i="81"/>
  <c r="L2497" i="81"/>
  <c r="I2504" i="81"/>
  <c r="M2511" i="81"/>
  <c r="N2511" i="81" s="1"/>
  <c r="N2524" i="81"/>
  <c r="N2525" i="81"/>
  <c r="I2531" i="81"/>
  <c r="J2537" i="81"/>
  <c r="K2537" i="81" s="1"/>
  <c r="J2542" i="81"/>
  <c r="L2542" i="81"/>
  <c r="K2542" i="81"/>
  <c r="K2547" i="81"/>
  <c r="I2547" i="81"/>
  <c r="I2553" i="81"/>
  <c r="K2553" i="81"/>
  <c r="J2553" i="81"/>
  <c r="N2576" i="81"/>
  <c r="J2604" i="81"/>
  <c r="I2604" i="81"/>
  <c r="L2604" i="81"/>
  <c r="K2604" i="81"/>
  <c r="J2634" i="81"/>
  <c r="I2634" i="81"/>
  <c r="L2634" i="81"/>
  <c r="K2634" i="81"/>
  <c r="K2258" i="81"/>
  <c r="K2281" i="81"/>
  <c r="K2293" i="81"/>
  <c r="K2310" i="81"/>
  <c r="K2324" i="81"/>
  <c r="K2331" i="81"/>
  <c r="K2343" i="81"/>
  <c r="K2360" i="81"/>
  <c r="K2371" i="81"/>
  <c r="J2390" i="81"/>
  <c r="K2391" i="81"/>
  <c r="J2461" i="81"/>
  <c r="K2462" i="81"/>
  <c r="J2472" i="81"/>
  <c r="K2473" i="81"/>
  <c r="K2481" i="81"/>
  <c r="J2486" i="81"/>
  <c r="K2496" i="81"/>
  <c r="J2504" i="81"/>
  <c r="M2510" i="81"/>
  <c r="N2510" i="81" s="1"/>
  <c r="J2531" i="81"/>
  <c r="L2537" i="81"/>
  <c r="G2560" i="81"/>
  <c r="L2589" i="81" s="1"/>
  <c r="J2570" i="81"/>
  <c r="L2570" i="81"/>
  <c r="K2570" i="81"/>
  <c r="I2255" i="81"/>
  <c r="K2257" i="81"/>
  <c r="D2264" i="81"/>
  <c r="B2266" i="81"/>
  <c r="N2266" i="81" s="1"/>
  <c r="I2271" i="81"/>
  <c r="K2273" i="81"/>
  <c r="I2278" i="81"/>
  <c r="K2280" i="81"/>
  <c r="I2290" i="81"/>
  <c r="K2292" i="81"/>
  <c r="I2307" i="81"/>
  <c r="K2309" i="81"/>
  <c r="E2316" i="81"/>
  <c r="I2316" i="81" s="1"/>
  <c r="D2317" i="81"/>
  <c r="K2317" i="81" s="1"/>
  <c r="K2330" i="81"/>
  <c r="I2340" i="81"/>
  <c r="K2342" i="81"/>
  <c r="I2357" i="81"/>
  <c r="K2359" i="81"/>
  <c r="I2368" i="81"/>
  <c r="K2370" i="81"/>
  <c r="I2388" i="81"/>
  <c r="K2390" i="81"/>
  <c r="I2400" i="81"/>
  <c r="I2459" i="81"/>
  <c r="K2461" i="81"/>
  <c r="K2472" i="81"/>
  <c r="I2485" i="81"/>
  <c r="L2486" i="81"/>
  <c r="I2494" i="81"/>
  <c r="L2496" i="81"/>
  <c r="I2502" i="81"/>
  <c r="K2504" i="81"/>
  <c r="J2519" i="81"/>
  <c r="I2529" i="81"/>
  <c r="K2531" i="81"/>
  <c r="K2566" i="81"/>
  <c r="I2566" i="81"/>
  <c r="I2570" i="81"/>
  <c r="K2593" i="81"/>
  <c r="L2593" i="81"/>
  <c r="L2598" i="81"/>
  <c r="J2598" i="81"/>
  <c r="J2255" i="81"/>
  <c r="E2264" i="81"/>
  <c r="I2264" i="81" s="1"/>
  <c r="D2266" i="81"/>
  <c r="J2271" i="81"/>
  <c r="J2278" i="81"/>
  <c r="K2278" i="81" s="1"/>
  <c r="J2290" i="81"/>
  <c r="J2307" i="81"/>
  <c r="F2316" i="81"/>
  <c r="E2317" i="81"/>
  <c r="F2317" i="81" s="1"/>
  <c r="J2340" i="81"/>
  <c r="J2357" i="81"/>
  <c r="J2368" i="81"/>
  <c r="J2388" i="81"/>
  <c r="J2400" i="81"/>
  <c r="J2459" i="81"/>
  <c r="K2459" i="81" s="1"/>
  <c r="K2485" i="81"/>
  <c r="N2512" i="81"/>
  <c r="K2519" i="81"/>
  <c r="J2566" i="81"/>
  <c r="J2585" i="81"/>
  <c r="L2585" i="81"/>
  <c r="K2585" i="81"/>
  <c r="I2593" i="81"/>
  <c r="I2598" i="81"/>
  <c r="I2541" i="81"/>
  <c r="K2541" i="81"/>
  <c r="J2541" i="81"/>
  <c r="K2555" i="81"/>
  <c r="L2555" i="81"/>
  <c r="L2647" i="81"/>
  <c r="K2647" i="81"/>
  <c r="J2647" i="81"/>
  <c r="I2647" i="81"/>
  <c r="L2579" i="81"/>
  <c r="J2579" i="81"/>
  <c r="K2597" i="81"/>
  <c r="I2597" i="81"/>
  <c r="U2664" i="81"/>
  <c r="J2603" i="81"/>
  <c r="L2620" i="81"/>
  <c r="E2629" i="81"/>
  <c r="J2630" i="81"/>
  <c r="J2633" i="81"/>
  <c r="L2635" i="81"/>
  <c r="L2642" i="81"/>
  <c r="J2652" i="81"/>
  <c r="K2653" i="81"/>
  <c r="L2654" i="81"/>
  <c r="D2668" i="81"/>
  <c r="J2673" i="81"/>
  <c r="K2674" i="81"/>
  <c r="L2675" i="81"/>
  <c r="L2682" i="81"/>
  <c r="D2694" i="81"/>
  <c r="H2695" i="81"/>
  <c r="J2706" i="81"/>
  <c r="L2707" i="81"/>
  <c r="F2721" i="81"/>
  <c r="E2721" i="81"/>
  <c r="E2724" i="81"/>
  <c r="F2724" i="81" s="1"/>
  <c r="L2733" i="81"/>
  <c r="D2752" i="81"/>
  <c r="H2754" i="81"/>
  <c r="F2754" i="81"/>
  <c r="M2754" i="81"/>
  <c r="J1381" i="81"/>
  <c r="I1381" i="81"/>
  <c r="H1394" i="81"/>
  <c r="F1394" i="81"/>
  <c r="M1394" i="81"/>
  <c r="N1394" i="81" s="1"/>
  <c r="D1396" i="81"/>
  <c r="E2853" i="81"/>
  <c r="F2853" i="81" s="1"/>
  <c r="H2853" i="81"/>
  <c r="D2853" i="81"/>
  <c r="M2853" i="81"/>
  <c r="N2853" i="81" s="1"/>
  <c r="K2603" i="81"/>
  <c r="F2629" i="81"/>
  <c r="K2630" i="81"/>
  <c r="K2633" i="81"/>
  <c r="K2652" i="81"/>
  <c r="L2653" i="81"/>
  <c r="O2664" i="81"/>
  <c r="E2668" i="81"/>
  <c r="K2673" i="81"/>
  <c r="L2674" i="81"/>
  <c r="I2689" i="81"/>
  <c r="D2693" i="81"/>
  <c r="I2700" i="81"/>
  <c r="L2705" i="81"/>
  <c r="K2705" i="81"/>
  <c r="K2706" i="81"/>
  <c r="I2712" i="81"/>
  <c r="H2749" i="81"/>
  <c r="F2749" i="81"/>
  <c r="M2749" i="81"/>
  <c r="E2752" i="81"/>
  <c r="K1381" i="81"/>
  <c r="L1389" i="81"/>
  <c r="K1389" i="81"/>
  <c r="L2603" i="81"/>
  <c r="H2629" i="81"/>
  <c r="L2630" i="81"/>
  <c r="L2633" i="81"/>
  <c r="I2649" i="81"/>
  <c r="L2652" i="81"/>
  <c r="B2664" i="81"/>
  <c r="F2668" i="81"/>
  <c r="I2670" i="81"/>
  <c r="L2673" i="81"/>
  <c r="J2680" i="81"/>
  <c r="I2688" i="81"/>
  <c r="E2693" i="81"/>
  <c r="F2693" i="81" s="1"/>
  <c r="H2694" i="81"/>
  <c r="J2700" i="81"/>
  <c r="I2705" i="81"/>
  <c r="J2712" i="81"/>
  <c r="D2718" i="81"/>
  <c r="D2721" i="81"/>
  <c r="D2724" i="81"/>
  <c r="L2741" i="81"/>
  <c r="K2741" i="81"/>
  <c r="D2754" i="81"/>
  <c r="H2756" i="81"/>
  <c r="M2756" i="81"/>
  <c r="N2756" i="81" s="1"/>
  <c r="L1381" i="81"/>
  <c r="D1394" i="81"/>
  <c r="H2668" i="81"/>
  <c r="L2721" i="81"/>
  <c r="I2721" i="81"/>
  <c r="L2724" i="81"/>
  <c r="I2724" i="81"/>
  <c r="L2736" i="81"/>
  <c r="I2736" i="81"/>
  <c r="H2751" i="81"/>
  <c r="M2751" i="81"/>
  <c r="J2762" i="81"/>
  <c r="I2762" i="81"/>
  <c r="L2762" i="81"/>
  <c r="H1397" i="81"/>
  <c r="N1397" i="81"/>
  <c r="M1397" i="81"/>
  <c r="H1400" i="81"/>
  <c r="M1400" i="81"/>
  <c r="N1400" i="81" s="1"/>
  <c r="H1403" i="81"/>
  <c r="M1403" i="81"/>
  <c r="N1403" i="81" s="1"/>
  <c r="H1406" i="81"/>
  <c r="F1406" i="81"/>
  <c r="M1406" i="81"/>
  <c r="N1406" i="81" s="1"/>
  <c r="H1409" i="81"/>
  <c r="M1409" i="81"/>
  <c r="N1409" i="81" s="1"/>
  <c r="O2612" i="81"/>
  <c r="I2659" i="81"/>
  <c r="I2686" i="81"/>
  <c r="H2693" i="81"/>
  <c r="K2704" i="81"/>
  <c r="J2704" i="81"/>
  <c r="E2720" i="81"/>
  <c r="F2720" i="81" s="1"/>
  <c r="J2721" i="81"/>
  <c r="K2721" i="81" s="1"/>
  <c r="E2723" i="81"/>
  <c r="F2723" i="81" s="1"/>
  <c r="J2724" i="81"/>
  <c r="J2736" i="81"/>
  <c r="H2746" i="81"/>
  <c r="M2746" i="81"/>
  <c r="H2758" i="81"/>
  <c r="M2758" i="81"/>
  <c r="N2758" i="81" s="1"/>
  <c r="K2762" i="81"/>
  <c r="B1364" i="81"/>
  <c r="D1397" i="81"/>
  <c r="D1400" i="81"/>
  <c r="D1403" i="81"/>
  <c r="D1406" i="81"/>
  <c r="D1409" i="81"/>
  <c r="K1412" i="81"/>
  <c r="J1412" i="81"/>
  <c r="L1412" i="81"/>
  <c r="K2838" i="81"/>
  <c r="J2838" i="81"/>
  <c r="I2838" i="81"/>
  <c r="L2838" i="81"/>
  <c r="B2612" i="81"/>
  <c r="I2646" i="81"/>
  <c r="I2658" i="81"/>
  <c r="J2659" i="81"/>
  <c r="I2685" i="81"/>
  <c r="J2686" i="81"/>
  <c r="I2698" i="81"/>
  <c r="L2699" i="81"/>
  <c r="I2704" i="81"/>
  <c r="I2710" i="81"/>
  <c r="L2711" i="81"/>
  <c r="K2724" i="81"/>
  <c r="K2736" i="81"/>
  <c r="K2740" i="81"/>
  <c r="J2740" i="81"/>
  <c r="D2751" i="81"/>
  <c r="H2753" i="81"/>
  <c r="F2753" i="81"/>
  <c r="M2753" i="81"/>
  <c r="E2756" i="81"/>
  <c r="F2756" i="81" s="1"/>
  <c r="E1364" i="81"/>
  <c r="K1388" i="81"/>
  <c r="J1388" i="81"/>
  <c r="L1388" i="81"/>
  <c r="H1395" i="81"/>
  <c r="F1395" i="81"/>
  <c r="M1395" i="81"/>
  <c r="N1395" i="81" s="1"/>
  <c r="E1397" i="81"/>
  <c r="F1397" i="81" s="1"/>
  <c r="E1400" i="81"/>
  <c r="F1400" i="81" s="1"/>
  <c r="E1403" i="81"/>
  <c r="F1403" i="81" s="1"/>
  <c r="E1406" i="81"/>
  <c r="E1409" i="81"/>
  <c r="F1409" i="81" s="1"/>
  <c r="I1412" i="81"/>
  <c r="K2659" i="81"/>
  <c r="K2686" i="81"/>
  <c r="H2748" i="81"/>
  <c r="F2748" i="81"/>
  <c r="M2748" i="81"/>
  <c r="N2748" i="81" s="1"/>
  <c r="E2751" i="81"/>
  <c r="F2751" i="81" s="1"/>
  <c r="H2760" i="81"/>
  <c r="F2760" i="81"/>
  <c r="M2760" i="81"/>
  <c r="N2760" i="81" s="1"/>
  <c r="I2607" i="81"/>
  <c r="I2622" i="81"/>
  <c r="N2628" i="81"/>
  <c r="M2629" i="81"/>
  <c r="I2631" i="81"/>
  <c r="I2637" i="81"/>
  <c r="I2644" i="81"/>
  <c r="I2656" i="81"/>
  <c r="M2666" i="81"/>
  <c r="N2666" i="81" s="1"/>
  <c r="M2667" i="81"/>
  <c r="N2667" i="81" s="1"/>
  <c r="N2696" i="81"/>
  <c r="J2697" i="81"/>
  <c r="L2698" i="81"/>
  <c r="J2703" i="81"/>
  <c r="I2703" i="81"/>
  <c r="J2709" i="81"/>
  <c r="L2710" i="81"/>
  <c r="N2718" i="81"/>
  <c r="H2720" i="81"/>
  <c r="N2721" i="81"/>
  <c r="H2723" i="81"/>
  <c r="N2724" i="81"/>
  <c r="L2740" i="81"/>
  <c r="E2746" i="81"/>
  <c r="F2746" i="81" s="1"/>
  <c r="N2749" i="81"/>
  <c r="D2753" i="81"/>
  <c r="H2755" i="81"/>
  <c r="F2755" i="81"/>
  <c r="M2755" i="81"/>
  <c r="N2755" i="81" s="1"/>
  <c r="E2758" i="81"/>
  <c r="F2758" i="81" s="1"/>
  <c r="H1393" i="81"/>
  <c r="F1393" i="81"/>
  <c r="M1393" i="81"/>
  <c r="N1393" i="81" s="1"/>
  <c r="D1395" i="81"/>
  <c r="H1398" i="81"/>
  <c r="F1398" i="81"/>
  <c r="M1398" i="81"/>
  <c r="N1398" i="81" s="1"/>
  <c r="H1401" i="81"/>
  <c r="F1401" i="81"/>
  <c r="M1401" i="81"/>
  <c r="N1401" i="81" s="1"/>
  <c r="H1404" i="81"/>
  <c r="F1404" i="81"/>
  <c r="M1404" i="81"/>
  <c r="N1404" i="81" s="1"/>
  <c r="H1407" i="81"/>
  <c r="F1407" i="81"/>
  <c r="M1407" i="81"/>
  <c r="N1407" i="81" s="1"/>
  <c r="N2629" i="81"/>
  <c r="M2668" i="81"/>
  <c r="N2668" i="81" s="1"/>
  <c r="M2695" i="81"/>
  <c r="N2695" i="81" s="1"/>
  <c r="E2695" i="81"/>
  <c r="E2722" i="81"/>
  <c r="F2722" i="81" s="1"/>
  <c r="E2725" i="81"/>
  <c r="F2725" i="81" s="1"/>
  <c r="H2750" i="81"/>
  <c r="M2750" i="81"/>
  <c r="N2750" i="81" s="1"/>
  <c r="L2764" i="81"/>
  <c r="K2764" i="81"/>
  <c r="L2840" i="81"/>
  <c r="K2840" i="81"/>
  <c r="J2840" i="81"/>
  <c r="I2840" i="81"/>
  <c r="J2739" i="81"/>
  <c r="I2739" i="81"/>
  <c r="L2739" i="81"/>
  <c r="H2745" i="81"/>
  <c r="F2745" i="81"/>
  <c r="M2745" i="81"/>
  <c r="N2745" i="81" s="1"/>
  <c r="N2751" i="81"/>
  <c r="H2757" i="81"/>
  <c r="F2757" i="81"/>
  <c r="M2757" i="81"/>
  <c r="J1411" i="81"/>
  <c r="I1411" i="81"/>
  <c r="L1411" i="81"/>
  <c r="K1411" i="81"/>
  <c r="J2620" i="81"/>
  <c r="J2635" i="81"/>
  <c r="J2642" i="81"/>
  <c r="I2653" i="81"/>
  <c r="J2654" i="81"/>
  <c r="I2674" i="81"/>
  <c r="J2675" i="81"/>
  <c r="I2682" i="81"/>
  <c r="M2694" i="81"/>
  <c r="N2694" i="81" s="1"/>
  <c r="E2694" i="81"/>
  <c r="F2694" i="81" s="1"/>
  <c r="D2695" i="81"/>
  <c r="F2696" i="81"/>
  <c r="J2707" i="81"/>
  <c r="D2719" i="81"/>
  <c r="D2722" i="81"/>
  <c r="D2725" i="81"/>
  <c r="J2733" i="81"/>
  <c r="K2739" i="81"/>
  <c r="D2750" i="81"/>
  <c r="H2752" i="81"/>
  <c r="F2752" i="81"/>
  <c r="M2752" i="81"/>
  <c r="N2752" i="81" s="1"/>
  <c r="J2764" i="81"/>
  <c r="O1364" i="81"/>
  <c r="J1387" i="81"/>
  <c r="I1387" i="81"/>
  <c r="L1387" i="81"/>
  <c r="K1387" i="81"/>
  <c r="H1396" i="81"/>
  <c r="F1396" i="81"/>
  <c r="M1396" i="81"/>
  <c r="N1396" i="81" s="1"/>
  <c r="L2867" i="81"/>
  <c r="L2864" i="81"/>
  <c r="L2861" i="81"/>
  <c r="L2855" i="81"/>
  <c r="L2856" i="81"/>
  <c r="J2682" i="81"/>
  <c r="N2693" i="81"/>
  <c r="F2695" i="81"/>
  <c r="H2696" i="81"/>
  <c r="I2706" i="81"/>
  <c r="N2720" i="81"/>
  <c r="H2722" i="81"/>
  <c r="N2723" i="81"/>
  <c r="H2725" i="81"/>
  <c r="K2733" i="81"/>
  <c r="D2745" i="81"/>
  <c r="H2747" i="81"/>
  <c r="F2747" i="81"/>
  <c r="M2747" i="81"/>
  <c r="N2747" i="81" s="1"/>
  <c r="E2750" i="81"/>
  <c r="F2750" i="81" s="1"/>
  <c r="N2753" i="81"/>
  <c r="D2757" i="81"/>
  <c r="H2759" i="81"/>
  <c r="F2759" i="81"/>
  <c r="M2759" i="81"/>
  <c r="N2759" i="81" s="1"/>
  <c r="K2763" i="81"/>
  <c r="J2763" i="81"/>
  <c r="J1370" i="81"/>
  <c r="I1370" i="81"/>
  <c r="H1399" i="81"/>
  <c r="F1399" i="81"/>
  <c r="M1399" i="81"/>
  <c r="N1399" i="81" s="1"/>
  <c r="H1402" i="81"/>
  <c r="F1402" i="81"/>
  <c r="M1402" i="81"/>
  <c r="N1402" i="81" s="1"/>
  <c r="H1405" i="81"/>
  <c r="F1405" i="81"/>
  <c r="N1405" i="81"/>
  <c r="M1405" i="81"/>
  <c r="H1408" i="81"/>
  <c r="F1408" i="81"/>
  <c r="N1408" i="81"/>
  <c r="M1408" i="81"/>
  <c r="K2829" i="81"/>
  <c r="K2837" i="81"/>
  <c r="K2844" i="81"/>
  <c r="I2844" i="81"/>
  <c r="M2849" i="81"/>
  <c r="N2849" i="81" s="1"/>
  <c r="H2852" i="81"/>
  <c r="M2854" i="81"/>
  <c r="N2854" i="81" s="1"/>
  <c r="E2859" i="81"/>
  <c r="N2859" i="81"/>
  <c r="E2862" i="81"/>
  <c r="N2862" i="81"/>
  <c r="E2865" i="81"/>
  <c r="N2865" i="81"/>
  <c r="E2868" i="81"/>
  <c r="I2868" i="81" s="1"/>
  <c r="B2868" i="81"/>
  <c r="N2868" i="81" s="1"/>
  <c r="L2918" i="81"/>
  <c r="L2917" i="81"/>
  <c r="D2874" i="81"/>
  <c r="N2874" i="81"/>
  <c r="L2914" i="81"/>
  <c r="N1366" i="81"/>
  <c r="I1373" i="81"/>
  <c r="I1384" i="81"/>
  <c r="I2826" i="81"/>
  <c r="L2829" i="81"/>
  <c r="L2837" i="81"/>
  <c r="J2844" i="81"/>
  <c r="D2859" i="81"/>
  <c r="D2862" i="81"/>
  <c r="D2865" i="81"/>
  <c r="D2868" i="81"/>
  <c r="L2896" i="81"/>
  <c r="K2896" i="81"/>
  <c r="L2905" i="81"/>
  <c r="L2909" i="81"/>
  <c r="H2931" i="81"/>
  <c r="N2931" i="81"/>
  <c r="J1373" i="81"/>
  <c r="J1384" i="81"/>
  <c r="J2826" i="81"/>
  <c r="L2844" i="81"/>
  <c r="H2850" i="81"/>
  <c r="E2850" i="81"/>
  <c r="F2850" i="81" s="1"/>
  <c r="E2855" i="81"/>
  <c r="I2855" i="81" s="1"/>
  <c r="M2857" i="81"/>
  <c r="N2857" i="81" s="1"/>
  <c r="F2859" i="81"/>
  <c r="M2860" i="81"/>
  <c r="N2860" i="81" s="1"/>
  <c r="F2862" i="81"/>
  <c r="M2863" i="81"/>
  <c r="N2863" i="81" s="1"/>
  <c r="F2865" i="81"/>
  <c r="M2866" i="81"/>
  <c r="N2866" i="81" s="1"/>
  <c r="F2868" i="81"/>
  <c r="L2891" i="81"/>
  <c r="I2891" i="81"/>
  <c r="N2901" i="81"/>
  <c r="K2904" i="81"/>
  <c r="N2905" i="81"/>
  <c r="K2908" i="81"/>
  <c r="D2915" i="81"/>
  <c r="N2915" i="81"/>
  <c r="H2915" i="81"/>
  <c r="F2915" i="81"/>
  <c r="E2915" i="81"/>
  <c r="J2943" i="81"/>
  <c r="J2859" i="81"/>
  <c r="I2859" i="81"/>
  <c r="J2862" i="81"/>
  <c r="I2862" i="81"/>
  <c r="J2865" i="81"/>
  <c r="K2865" i="81" s="1"/>
  <c r="I2865" i="81"/>
  <c r="J2868" i="81"/>
  <c r="K2868" i="81" s="1"/>
  <c r="L2880" i="81"/>
  <c r="I2880" i="81"/>
  <c r="I2918" i="81"/>
  <c r="D2927" i="81"/>
  <c r="N2927" i="81"/>
  <c r="D2822" i="81"/>
  <c r="D2850" i="81"/>
  <c r="I2851" i="81"/>
  <c r="M2852" i="81"/>
  <c r="N2852" i="81" s="1"/>
  <c r="F2855" i="81"/>
  <c r="K2856" i="81"/>
  <c r="E2858" i="81"/>
  <c r="F2858" i="81" s="1"/>
  <c r="K2859" i="81"/>
  <c r="E2861" i="81"/>
  <c r="F2861" i="81" s="1"/>
  <c r="K2862" i="81"/>
  <c r="E2864" i="81"/>
  <c r="F2864" i="81" s="1"/>
  <c r="E2867" i="81"/>
  <c r="F2867" i="81" s="1"/>
  <c r="B2867" i="81"/>
  <c r="J2880" i="81"/>
  <c r="K2891" i="81"/>
  <c r="I2895" i="81"/>
  <c r="L2904" i="81"/>
  <c r="L2908" i="81"/>
  <c r="M2915" i="81"/>
  <c r="F2929" i="81"/>
  <c r="E2931" i="81"/>
  <c r="F2931" i="81" s="1"/>
  <c r="H2849" i="81"/>
  <c r="E2849" i="81"/>
  <c r="F2849" i="81" s="1"/>
  <c r="J2851" i="81"/>
  <c r="K2851" i="81" s="1"/>
  <c r="E2854" i="81"/>
  <c r="F2854" i="81" s="1"/>
  <c r="L2859" i="81"/>
  <c r="L2862" i="81"/>
  <c r="L2865" i="81"/>
  <c r="L2868" i="81"/>
  <c r="K2880" i="81"/>
  <c r="J2895" i="81"/>
  <c r="K2903" i="81"/>
  <c r="K2907" i="81"/>
  <c r="E2916" i="81"/>
  <c r="D2916" i="81"/>
  <c r="M2916" i="81"/>
  <c r="N2916" i="81" s="1"/>
  <c r="H2916" i="81"/>
  <c r="F2916" i="81"/>
  <c r="J2944" i="81"/>
  <c r="I2944" i="81"/>
  <c r="L2944" i="81"/>
  <c r="K2944" i="81"/>
  <c r="K2889" i="81"/>
  <c r="J2889" i="81"/>
  <c r="L2894" i="81"/>
  <c r="J2894" i="81"/>
  <c r="I2948" i="81"/>
  <c r="K2948" i="81"/>
  <c r="J2948" i="81"/>
  <c r="J2858" i="81"/>
  <c r="K2858" i="81" s="1"/>
  <c r="I2858" i="81"/>
  <c r="J2861" i="81"/>
  <c r="K2861" i="81" s="1"/>
  <c r="J2864" i="81"/>
  <c r="K2864" i="81" s="1"/>
  <c r="I2864" i="81"/>
  <c r="J2867" i="81"/>
  <c r="K2867" i="81" s="1"/>
  <c r="I2867" i="81"/>
  <c r="K2878" i="81"/>
  <c r="J2878" i="81"/>
  <c r="L2883" i="81"/>
  <c r="J2883" i="81"/>
  <c r="I2889" i="81"/>
  <c r="I2894" i="81"/>
  <c r="L2903" i="81"/>
  <c r="L2907" i="81"/>
  <c r="L2932" i="81"/>
  <c r="I2932" i="81"/>
  <c r="L2948" i="81"/>
  <c r="E2956" i="81"/>
  <c r="F2956" i="81" s="1"/>
  <c r="D2956" i="81"/>
  <c r="M2956" i="81"/>
  <c r="H2956" i="81"/>
  <c r="N2956" i="81"/>
  <c r="E2857" i="81"/>
  <c r="F2857" i="81" s="1"/>
  <c r="E2860" i="81"/>
  <c r="F2860" i="81" s="1"/>
  <c r="E2863" i="81"/>
  <c r="F2863" i="81" s="1"/>
  <c r="E2866" i="81"/>
  <c r="B2866" i="81"/>
  <c r="L2889" i="81"/>
  <c r="K2894" i="81"/>
  <c r="K2918" i="81"/>
  <c r="L2845" i="81"/>
  <c r="J2845" i="81"/>
  <c r="F2852" i="81"/>
  <c r="D2852" i="81"/>
  <c r="D2857" i="81"/>
  <c r="L2858" i="81"/>
  <c r="D2860" i="81"/>
  <c r="D2863" i="81"/>
  <c r="D2866" i="81"/>
  <c r="J2888" i="81"/>
  <c r="I2888" i="81"/>
  <c r="K2893" i="81"/>
  <c r="I2893" i="81"/>
  <c r="F2930" i="81"/>
  <c r="E2930" i="81"/>
  <c r="M2930" i="81"/>
  <c r="N2930" i="81" s="1"/>
  <c r="H2930" i="81"/>
  <c r="K2932" i="81"/>
  <c r="N2823" i="81"/>
  <c r="I2829" i="81"/>
  <c r="L2831" i="81"/>
  <c r="I2837" i="81"/>
  <c r="K2839" i="81"/>
  <c r="I2845" i="81"/>
  <c r="N2850" i="81"/>
  <c r="K2854" i="81"/>
  <c r="N2855" i="81"/>
  <c r="F2866" i="81"/>
  <c r="E2872" i="81"/>
  <c r="P2872" i="81" s="1"/>
  <c r="J2877" i="81"/>
  <c r="I2877" i="81"/>
  <c r="K2882" i="81"/>
  <c r="I2882" i="81"/>
  <c r="K2888" i="81"/>
  <c r="J2893" i="81"/>
  <c r="L2902" i="81"/>
  <c r="L2906" i="81"/>
  <c r="M2926" i="81"/>
  <c r="D2926" i="81"/>
  <c r="M2822" i="81"/>
  <c r="N2822" i="81" s="1"/>
  <c r="K2845" i="81"/>
  <c r="F2851" i="81"/>
  <c r="D2851" i="81"/>
  <c r="E2852" i="81"/>
  <c r="L2854" i="81"/>
  <c r="E2856" i="81"/>
  <c r="N2856" i="81"/>
  <c r="H2857" i="81"/>
  <c r="N2858" i="81"/>
  <c r="H2860" i="81"/>
  <c r="N2861" i="81"/>
  <c r="H2863" i="81"/>
  <c r="N2864" i="81"/>
  <c r="H2866" i="81"/>
  <c r="N2867" i="81"/>
  <c r="B2872" i="81"/>
  <c r="K2877" i="81"/>
  <c r="J2882" i="81"/>
  <c r="L2888" i="81"/>
  <c r="L2893" i="81"/>
  <c r="I2897" i="81"/>
  <c r="K2901" i="81"/>
  <c r="N2902" i="81"/>
  <c r="K2905" i="81"/>
  <c r="K2909" i="81"/>
  <c r="J2914" i="81"/>
  <c r="K2914" i="81" s="1"/>
  <c r="D2930" i="81"/>
  <c r="D2943" i="81"/>
  <c r="K2943" i="81" s="1"/>
  <c r="K2949" i="81"/>
  <c r="E2953" i="81"/>
  <c r="F2953" i="81" s="1"/>
  <c r="K2955" i="81"/>
  <c r="K2983" i="81"/>
  <c r="J2983" i="81"/>
  <c r="M3005" i="81"/>
  <c r="N3005" i="81" s="1"/>
  <c r="E3005" i="81"/>
  <c r="F3005" i="81" s="1"/>
  <c r="D3005" i="81"/>
  <c r="N2912" i="81"/>
  <c r="E2914" i="81"/>
  <c r="F2914" i="81" s="1"/>
  <c r="E2943" i="81"/>
  <c r="F2943" i="81" s="1"/>
  <c r="L2949" i="81"/>
  <c r="N2964" i="81"/>
  <c r="E2965" i="81"/>
  <c r="F2965" i="81" s="1"/>
  <c r="I2983" i="81"/>
  <c r="L2993" i="81"/>
  <c r="J2993" i="81"/>
  <c r="I2993" i="81"/>
  <c r="H3005" i="81"/>
  <c r="L3013" i="81"/>
  <c r="J3013" i="81"/>
  <c r="I3013" i="81"/>
  <c r="D3083" i="81"/>
  <c r="M3083" i="81"/>
  <c r="N3083" i="81" s="1"/>
  <c r="N2940" i="81"/>
  <c r="J2953" i="81"/>
  <c r="U2976" i="81"/>
  <c r="J2965" i="81"/>
  <c r="I2965" i="81"/>
  <c r="L2969" i="81"/>
  <c r="K2969" i="81"/>
  <c r="K2987" i="81"/>
  <c r="J2987" i="81"/>
  <c r="J2997" i="81"/>
  <c r="I2997" i="81"/>
  <c r="J3017" i="81"/>
  <c r="I3017" i="81"/>
  <c r="I3022" i="81"/>
  <c r="L3022" i="81"/>
  <c r="K3022" i="81"/>
  <c r="J3022" i="81"/>
  <c r="G3080" i="81"/>
  <c r="L3109" i="81" s="1"/>
  <c r="E3080" i="81"/>
  <c r="B3080" i="81"/>
  <c r="F2911" i="81"/>
  <c r="F2912" i="81"/>
  <c r="I2913" i="81"/>
  <c r="K2935" i="81"/>
  <c r="F2959" i="81"/>
  <c r="I2960" i="81"/>
  <c r="I2969" i="81"/>
  <c r="L2982" i="81"/>
  <c r="J2982" i="81"/>
  <c r="I2982" i="81"/>
  <c r="I2987" i="81"/>
  <c r="K2997" i="81"/>
  <c r="K3017" i="81"/>
  <c r="I2901" i="81"/>
  <c r="I2902" i="81"/>
  <c r="I2903" i="81"/>
  <c r="I2904" i="81"/>
  <c r="I2905" i="81"/>
  <c r="I2906" i="81"/>
  <c r="I2907" i="81"/>
  <c r="I2908" i="81"/>
  <c r="I2909" i="81"/>
  <c r="H2910" i="81"/>
  <c r="H2911" i="81"/>
  <c r="H2912" i="81"/>
  <c r="J2913" i="81"/>
  <c r="K2913" i="81" s="1"/>
  <c r="H2919" i="81"/>
  <c r="B2919" i="81"/>
  <c r="N2919" i="81" s="1"/>
  <c r="B2924" i="81"/>
  <c r="J2934" i="81"/>
  <c r="L2935" i="81"/>
  <c r="E2941" i="81"/>
  <c r="F2941" i="81" s="1"/>
  <c r="H2942" i="81"/>
  <c r="M2953" i="81"/>
  <c r="N2953" i="81" s="1"/>
  <c r="F2957" i="81"/>
  <c r="H2958" i="81"/>
  <c r="K2960" i="81"/>
  <c r="J2969" i="81"/>
  <c r="K2982" i="81"/>
  <c r="L2987" i="81"/>
  <c r="L2997" i="81"/>
  <c r="L3017" i="81"/>
  <c r="K3085" i="81"/>
  <c r="J3085" i="81"/>
  <c r="M2962" i="81"/>
  <c r="N2962" i="81" s="1"/>
  <c r="H2962" i="81"/>
  <c r="K2964" i="81"/>
  <c r="J2964" i="81"/>
  <c r="K2968" i="81"/>
  <c r="J2968" i="81"/>
  <c r="J2986" i="81"/>
  <c r="I2986" i="81"/>
  <c r="L2913" i="81"/>
  <c r="M2914" i="81"/>
  <c r="N2914" i="81" s="1"/>
  <c r="E2919" i="81"/>
  <c r="F2919" i="81" s="1"/>
  <c r="G2924" i="81"/>
  <c r="D2929" i="81"/>
  <c r="K2929" i="81" s="1"/>
  <c r="M2929" i="81"/>
  <c r="N2929" i="81" s="1"/>
  <c r="L2934" i="81"/>
  <c r="H2941" i="81"/>
  <c r="K2945" i="81"/>
  <c r="H2954" i="81"/>
  <c r="F2954" i="81"/>
  <c r="N2954" i="81"/>
  <c r="F2955" i="81"/>
  <c r="I2957" i="81"/>
  <c r="K2959" i="81"/>
  <c r="E2963" i="81"/>
  <c r="F2963" i="81" s="1"/>
  <c r="I2966" i="81"/>
  <c r="I2968" i="81"/>
  <c r="K2986" i="81"/>
  <c r="O3080" i="81"/>
  <c r="J2957" i="81"/>
  <c r="L2968" i="81"/>
  <c r="L2986" i="81"/>
  <c r="K2957" i="81"/>
  <c r="D2962" i="81"/>
  <c r="I2963" i="81"/>
  <c r="J2967" i="81"/>
  <c r="I2967" i="81"/>
  <c r="I2972" i="81"/>
  <c r="J2972" i="81"/>
  <c r="K2994" i="81"/>
  <c r="J2994" i="81"/>
  <c r="K3014" i="81"/>
  <c r="J3014" i="81"/>
  <c r="D3082" i="81"/>
  <c r="M3082" i="81"/>
  <c r="N3082" i="81" s="1"/>
  <c r="L3084" i="81"/>
  <c r="J3084" i="81"/>
  <c r="I3084" i="81"/>
  <c r="M2911" i="81"/>
  <c r="N2911" i="81" s="1"/>
  <c r="K2940" i="81"/>
  <c r="I2955" i="81"/>
  <c r="E2962" i="81"/>
  <c r="F2962" i="81" s="1"/>
  <c r="J2963" i="81"/>
  <c r="K2963" i="81" s="1"/>
  <c r="M2965" i="81"/>
  <c r="N2965" i="81" s="1"/>
  <c r="D2965" i="81"/>
  <c r="K2965" i="81" s="1"/>
  <c r="K2967" i="81"/>
  <c r="K2972" i="81"/>
  <c r="I2994" i="81"/>
  <c r="I3014" i="81"/>
  <c r="K3084" i="81"/>
  <c r="I2917" i="81"/>
  <c r="L2940" i="81"/>
  <c r="N2941" i="81"/>
  <c r="N2943" i="81"/>
  <c r="J2949" i="81"/>
  <c r="D2953" i="81"/>
  <c r="N2957" i="81"/>
  <c r="N2959" i="81"/>
  <c r="M2963" i="81"/>
  <c r="N2963" i="81" s="1"/>
  <c r="B2965" i="81"/>
  <c r="L2967" i="81"/>
  <c r="L2972" i="81"/>
  <c r="L2994" i="81"/>
  <c r="I3010" i="81"/>
  <c r="L3010" i="81"/>
  <c r="K3010" i="81"/>
  <c r="J3010" i="81"/>
  <c r="L3014" i="81"/>
  <c r="L3088" i="81"/>
  <c r="J3088" i="81"/>
  <c r="I3088" i="81"/>
  <c r="L3096" i="81"/>
  <c r="K3096" i="81"/>
  <c r="J3096" i="81"/>
  <c r="I3096" i="81"/>
  <c r="N2928" i="81"/>
  <c r="N2955" i="81"/>
  <c r="E2964" i="81"/>
  <c r="I2964" i="81" s="1"/>
  <c r="K2980" i="81"/>
  <c r="K3011" i="81"/>
  <c r="K3023" i="81"/>
  <c r="J3104" i="81"/>
  <c r="K3105" i="81"/>
  <c r="J3112" i="81"/>
  <c r="K3113" i="81"/>
  <c r="J3124" i="81"/>
  <c r="K3125" i="81"/>
  <c r="K3104" i="81"/>
  <c r="K3112" i="81"/>
  <c r="K3124" i="81"/>
  <c r="L3104" i="81"/>
  <c r="L3112" i="81"/>
  <c r="L3124" i="81"/>
  <c r="M2961" i="81"/>
  <c r="N2961" i="81" s="1"/>
  <c r="N2978" i="81"/>
  <c r="N2979" i="81"/>
  <c r="J2998" i="81"/>
  <c r="K2999" i="81"/>
  <c r="J3006" i="81"/>
  <c r="K3007" i="81"/>
  <c r="J3018" i="81"/>
  <c r="K3019" i="81"/>
  <c r="J3089" i="81"/>
  <c r="K3090" i="81"/>
  <c r="I3099" i="81"/>
  <c r="J3100" i="81"/>
  <c r="K3101" i="81"/>
  <c r="K3109" i="81"/>
  <c r="I3119" i="81"/>
  <c r="J3120" i="81"/>
  <c r="K3121" i="81"/>
  <c r="J3099" i="81"/>
  <c r="J3119" i="81"/>
  <c r="I3116" i="81"/>
  <c r="I3128" i="81"/>
  <c r="I3115" i="81"/>
  <c r="J3116" i="81"/>
  <c r="K3117" i="81"/>
  <c r="I3127" i="81"/>
  <c r="J3128" i="81"/>
  <c r="O2976" i="81"/>
  <c r="J3115" i="81"/>
  <c r="K3116" i="81"/>
  <c r="J3127" i="81"/>
  <c r="K3128" i="81"/>
  <c r="K3115" i="81"/>
  <c r="K3127" i="81"/>
  <c r="L1420" i="81"/>
  <c r="L1434" i="81"/>
  <c r="K1441" i="81"/>
  <c r="J1445" i="81"/>
  <c r="K1445" i="81" s="1"/>
  <c r="J1457" i="81"/>
  <c r="L1441" i="81"/>
  <c r="K1457" i="81"/>
  <c r="L3474" i="81"/>
  <c r="M1418" i="81"/>
  <c r="N1418" i="81" s="1"/>
  <c r="I1438" i="81"/>
  <c r="I1450" i="81"/>
  <c r="L1455" i="81"/>
  <c r="K1455" i="81"/>
  <c r="G1416" i="81"/>
  <c r="L1432" i="81" s="1"/>
  <c r="I1425" i="81"/>
  <c r="L1427" i="81"/>
  <c r="E1432" i="81"/>
  <c r="F1432" i="81" s="1"/>
  <c r="I1437" i="81"/>
  <c r="J1438" i="81"/>
  <c r="J1450" i="81"/>
  <c r="I1455" i="81"/>
  <c r="I1461" i="81"/>
  <c r="K1462" i="81"/>
  <c r="K1438" i="81"/>
  <c r="K1450" i="81"/>
  <c r="I1436" i="81"/>
  <c r="K1454" i="81"/>
  <c r="J1454" i="81"/>
  <c r="I1460" i="81"/>
  <c r="L1461" i="81"/>
  <c r="I1422" i="81"/>
  <c r="J1423" i="81"/>
  <c r="I1432" i="81"/>
  <c r="J1436" i="81"/>
  <c r="I1448" i="81"/>
  <c r="I1454" i="81"/>
  <c r="K1460" i="81"/>
  <c r="D1418" i="81"/>
  <c r="J1422" i="81"/>
  <c r="K1423" i="81"/>
  <c r="J1432" i="81"/>
  <c r="K1432" i="81" s="1"/>
  <c r="K1436" i="81"/>
  <c r="L1459" i="81"/>
  <c r="I1459" i="81"/>
  <c r="L1460" i="81"/>
  <c r="K1422" i="81"/>
  <c r="J1453" i="81"/>
  <c r="I1453" i="81"/>
  <c r="J1420" i="81"/>
  <c r="K1421" i="81"/>
  <c r="I1434" i="81"/>
  <c r="L1435" i="81"/>
  <c r="K1447" i="81"/>
  <c r="K1453" i="81"/>
  <c r="K1459" i="81"/>
  <c r="M1432" i="81"/>
  <c r="N1432" i="81" s="1"/>
  <c r="K1434" i="81"/>
  <c r="I1441" i="81"/>
  <c r="L1447" i="81"/>
  <c r="L1453" i="81"/>
  <c r="K3469" i="81"/>
  <c r="K3478" i="81"/>
  <c r="L3518" i="81"/>
  <c r="L3469" i="81"/>
  <c r="L3478" i="81"/>
  <c r="L3533" i="81"/>
  <c r="K3533" i="81"/>
  <c r="L3622" i="81"/>
  <c r="K3622" i="81"/>
  <c r="J3622" i="81"/>
  <c r="I3454" i="81"/>
  <c r="J3455" i="81"/>
  <c r="I3465" i="81"/>
  <c r="J3466" i="81"/>
  <c r="I3473" i="81"/>
  <c r="I3474" i="81"/>
  <c r="J3475" i="81"/>
  <c r="J3484" i="81"/>
  <c r="J3503" i="81"/>
  <c r="I3515" i="81"/>
  <c r="J3528" i="81"/>
  <c r="I3533" i="81"/>
  <c r="L3761" i="81"/>
  <c r="K3761" i="81"/>
  <c r="J3761" i="81"/>
  <c r="I3761" i="81"/>
  <c r="J3454" i="81"/>
  <c r="K3455" i="81"/>
  <c r="J3465" i="81"/>
  <c r="J3473" i="81"/>
  <c r="J3474" i="81"/>
  <c r="L3502" i="81"/>
  <c r="K3502" i="81"/>
  <c r="N3446" i="81"/>
  <c r="N3447" i="81"/>
  <c r="I3452" i="81"/>
  <c r="K3454" i="81"/>
  <c r="I3463" i="81"/>
  <c r="K3465" i="81"/>
  <c r="K3474" i="81"/>
  <c r="J3483" i="81"/>
  <c r="J3490" i="81"/>
  <c r="I3502" i="81"/>
  <c r="I3514" i="81"/>
  <c r="J3527" i="81"/>
  <c r="K3532" i="81"/>
  <c r="J3532" i="81"/>
  <c r="I3538" i="81"/>
  <c r="L3605" i="81"/>
  <c r="K3605" i="81"/>
  <c r="J3605" i="81"/>
  <c r="I3605" i="81"/>
  <c r="J3629" i="81"/>
  <c r="K3629" i="81" s="1"/>
  <c r="L3634" i="81"/>
  <c r="K3634" i="81"/>
  <c r="J3634" i="81"/>
  <c r="I3634" i="81"/>
  <c r="L3641" i="81"/>
  <c r="K3641" i="81"/>
  <c r="J3641" i="81"/>
  <c r="D3446" i="81"/>
  <c r="D3447" i="81"/>
  <c r="J3452" i="81"/>
  <c r="J3463" i="81"/>
  <c r="L3543" i="81"/>
  <c r="J3543" i="81"/>
  <c r="I3543" i="81"/>
  <c r="L3778" i="81"/>
  <c r="K3778" i="81"/>
  <c r="J3778" i="81"/>
  <c r="I3778" i="81"/>
  <c r="L3795" i="81"/>
  <c r="K3795" i="81"/>
  <c r="J3795" i="81"/>
  <c r="I3795" i="81"/>
  <c r="K3501" i="81"/>
  <c r="J3501" i="81"/>
  <c r="L3513" i="81"/>
  <c r="K3513" i="81"/>
  <c r="M3602" i="81"/>
  <c r="N3602" i="81" s="1"/>
  <c r="I3608" i="81"/>
  <c r="L3608" i="81"/>
  <c r="L3618" i="81"/>
  <c r="L3621" i="81"/>
  <c r="K3621" i="81"/>
  <c r="J3621" i="81"/>
  <c r="I3621" i="81"/>
  <c r="U3756" i="81"/>
  <c r="O3444" i="81"/>
  <c r="P3444" i="81" s="1"/>
  <c r="I3449" i="81"/>
  <c r="J3450" i="81"/>
  <c r="I3460" i="81"/>
  <c r="J3461" i="81"/>
  <c r="N3473" i="81"/>
  <c r="N3474" i="81"/>
  <c r="I3481" i="81"/>
  <c r="I3488" i="81"/>
  <c r="I3501" i="81"/>
  <c r="I3507" i="81"/>
  <c r="I3513" i="81"/>
  <c r="J3520" i="81"/>
  <c r="J3525" i="81"/>
  <c r="K3525" i="81" s="1"/>
  <c r="L3526" i="81"/>
  <c r="J3531" i="81"/>
  <c r="I3531" i="81"/>
  <c r="K3537" i="81"/>
  <c r="D3602" i="81"/>
  <c r="J3608" i="81"/>
  <c r="J3449" i="81"/>
  <c r="J3460" i="81"/>
  <c r="K3481" i="81"/>
  <c r="K3488" i="81"/>
  <c r="N3499" i="81"/>
  <c r="L3501" i="81"/>
  <c r="K3507" i="81"/>
  <c r="J3513" i="81"/>
  <c r="K3520" i="81"/>
  <c r="L3537" i="81"/>
  <c r="K3608" i="81"/>
  <c r="K3449" i="81"/>
  <c r="K3460" i="81"/>
  <c r="L3481" i="81"/>
  <c r="L3488" i="81"/>
  <c r="E3496" i="81"/>
  <c r="P3496" i="81" s="1"/>
  <c r="B3496" i="81"/>
  <c r="J3500" i="81"/>
  <c r="I3500" i="81"/>
  <c r="L3507" i="81"/>
  <c r="K3512" i="81"/>
  <c r="J3512" i="81"/>
  <c r="I3535" i="81"/>
  <c r="L3640" i="81"/>
  <c r="K3640" i="81"/>
  <c r="J3640" i="81"/>
  <c r="I3640" i="81"/>
  <c r="L3762" i="81"/>
  <c r="K3762" i="81"/>
  <c r="J3762" i="81"/>
  <c r="I3841" i="81"/>
  <c r="J3841" i="81"/>
  <c r="K3841" i="81" s="1"/>
  <c r="K3448" i="81"/>
  <c r="I3469" i="81"/>
  <c r="D3473" i="81"/>
  <c r="D3474" i="81"/>
  <c r="I3478" i="81"/>
  <c r="J3479" i="81"/>
  <c r="K3480" i="81"/>
  <c r="K3487" i="81"/>
  <c r="D3499" i="81"/>
  <c r="K3500" i="81"/>
  <c r="K3506" i="81"/>
  <c r="I3512" i="81"/>
  <c r="I3518" i="81"/>
  <c r="J3535" i="81"/>
  <c r="I3762" i="81"/>
  <c r="L3487" i="81"/>
  <c r="G3496" i="81"/>
  <c r="L3525" i="81" s="1"/>
  <c r="N3498" i="81"/>
  <c r="L3500" i="81"/>
  <c r="L3506" i="81"/>
  <c r="L3512" i="81"/>
  <c r="K3518" i="81"/>
  <c r="I3534" i="81"/>
  <c r="L3535" i="81"/>
  <c r="L3540" i="81"/>
  <c r="I3540" i="81"/>
  <c r="M3603" i="81"/>
  <c r="L3606" i="81"/>
  <c r="K3606" i="81"/>
  <c r="J3606" i="81"/>
  <c r="L3611" i="81"/>
  <c r="J3611" i="81"/>
  <c r="I3611" i="81"/>
  <c r="L3877" i="81"/>
  <c r="I3877" i="81"/>
  <c r="L3919" i="81"/>
  <c r="K3919" i="81"/>
  <c r="I3919" i="81"/>
  <c r="L3985" i="81"/>
  <c r="J3985" i="81"/>
  <c r="I4033" i="81"/>
  <c r="O3600" i="81"/>
  <c r="P3600" i="81" s="1"/>
  <c r="F3616" i="81"/>
  <c r="E3617" i="81"/>
  <c r="L3624" i="81"/>
  <c r="L3631" i="81"/>
  <c r="L3643" i="81"/>
  <c r="L3764" i="81"/>
  <c r="H3772" i="81"/>
  <c r="F3773" i="81"/>
  <c r="E3774" i="81"/>
  <c r="I3777" i="81"/>
  <c r="L3779" i="81"/>
  <c r="L3785" i="81"/>
  <c r="I3794" i="81"/>
  <c r="I3802" i="81"/>
  <c r="J3816" i="81"/>
  <c r="I3828" i="81"/>
  <c r="L3856" i="81"/>
  <c r="J3856" i="81"/>
  <c r="I3856" i="81"/>
  <c r="J3877" i="81"/>
  <c r="K3877" i="81" s="1"/>
  <c r="L3908" i="81"/>
  <c r="K3908" i="81"/>
  <c r="I3908" i="81"/>
  <c r="K3928" i="81"/>
  <c r="D3966" i="81"/>
  <c r="I3985" i="81"/>
  <c r="G4016" i="81"/>
  <c r="L4032" i="81" s="1"/>
  <c r="E4016" i="81"/>
  <c r="B4016" i="81"/>
  <c r="J4033" i="81"/>
  <c r="K4033" i="81" s="1"/>
  <c r="B3600" i="81"/>
  <c r="I3604" i="81"/>
  <c r="H3616" i="81"/>
  <c r="F3617" i="81"/>
  <c r="I3620" i="81"/>
  <c r="I3639" i="81"/>
  <c r="I3760" i="81"/>
  <c r="H3773" i="81"/>
  <c r="F3774" i="81"/>
  <c r="I3776" i="81"/>
  <c r="J3777" i="81"/>
  <c r="I3793" i="81"/>
  <c r="J3794" i="81"/>
  <c r="I3801" i="81"/>
  <c r="J3802" i="81"/>
  <c r="K3816" i="81"/>
  <c r="K3828" i="81"/>
  <c r="I3839" i="81"/>
  <c r="I3845" i="81"/>
  <c r="I3851" i="81"/>
  <c r="K3856" i="81"/>
  <c r="I3881" i="81"/>
  <c r="I3899" i="81"/>
  <c r="L3899" i="81"/>
  <c r="J3908" i="81"/>
  <c r="L3935" i="81"/>
  <c r="J3935" i="81"/>
  <c r="L3951" i="81"/>
  <c r="K3951" i="81"/>
  <c r="J3951" i="81"/>
  <c r="I3951" i="81"/>
  <c r="K3985" i="81"/>
  <c r="H3617" i="81"/>
  <c r="O3756" i="81"/>
  <c r="H3774" i="81"/>
  <c r="K3777" i="81"/>
  <c r="K3794" i="81"/>
  <c r="K3802" i="81"/>
  <c r="L3816" i="81"/>
  <c r="L3828" i="81"/>
  <c r="K3881" i="81"/>
  <c r="L3890" i="81"/>
  <c r="I3890" i="81"/>
  <c r="L3954" i="81"/>
  <c r="J3954" i="81"/>
  <c r="L4001" i="81"/>
  <c r="K4001" i="81"/>
  <c r="J4001" i="81"/>
  <c r="I4001" i="81"/>
  <c r="L4036" i="81"/>
  <c r="K4036" i="81"/>
  <c r="I4036" i="81"/>
  <c r="J3544" i="81"/>
  <c r="K3604" i="81"/>
  <c r="I3618" i="81"/>
  <c r="J3619" i="81"/>
  <c r="K3620" i="81"/>
  <c r="I3637" i="81"/>
  <c r="J3638" i="81"/>
  <c r="K3639" i="81"/>
  <c r="B3756" i="81"/>
  <c r="K3760" i="81"/>
  <c r="J3775" i="81"/>
  <c r="K3776" i="81"/>
  <c r="I3791" i="81"/>
  <c r="J3792" i="81"/>
  <c r="K3793" i="81"/>
  <c r="I3799" i="81"/>
  <c r="J3800" i="81"/>
  <c r="K3801" i="81"/>
  <c r="O3808" i="81"/>
  <c r="P3808" i="81" s="1"/>
  <c r="K3827" i="81"/>
  <c r="I3838" i="81"/>
  <c r="L3844" i="81"/>
  <c r="J3844" i="81"/>
  <c r="L3845" i="81"/>
  <c r="I3850" i="81"/>
  <c r="L3850" i="81"/>
  <c r="L3851" i="81"/>
  <c r="I3870" i="81"/>
  <c r="I3880" i="81"/>
  <c r="L3880" i="81"/>
  <c r="L3881" i="81"/>
  <c r="J3890" i="81"/>
  <c r="K3890" i="81" s="1"/>
  <c r="J3894" i="81"/>
  <c r="K3894" i="81" s="1"/>
  <c r="I3894" i="81"/>
  <c r="K3899" i="81"/>
  <c r="M3929" i="81"/>
  <c r="H3929" i="81"/>
  <c r="E3929" i="81"/>
  <c r="F3929" i="81" s="1"/>
  <c r="K3935" i="81"/>
  <c r="J3942" i="81"/>
  <c r="K3942" i="81" s="1"/>
  <c r="I3954" i="81"/>
  <c r="N3966" i="81"/>
  <c r="L3984" i="81"/>
  <c r="K3984" i="81"/>
  <c r="I3984" i="81"/>
  <c r="L4004" i="81"/>
  <c r="J4004" i="81"/>
  <c r="O4016" i="81"/>
  <c r="J4032" i="81"/>
  <c r="J4036" i="81"/>
  <c r="J3618" i="81"/>
  <c r="K3618" i="81" s="1"/>
  <c r="J3637" i="81"/>
  <c r="E3756" i="81"/>
  <c r="J3791" i="81"/>
  <c r="J3799" i="81"/>
  <c r="I3814" i="81"/>
  <c r="L3827" i="81"/>
  <c r="J3833" i="81"/>
  <c r="K3837" i="81"/>
  <c r="J3838" i="81"/>
  <c r="K3838" i="81" s="1"/>
  <c r="I3844" i="81"/>
  <c r="J3850" i="81"/>
  <c r="K3870" i="81"/>
  <c r="J3880" i="81"/>
  <c r="L3894" i="81"/>
  <c r="G3912" i="81"/>
  <c r="E3912" i="81"/>
  <c r="I3942" i="81"/>
  <c r="K3954" i="81"/>
  <c r="J3984" i="81"/>
  <c r="I4004" i="81"/>
  <c r="I4032" i="81"/>
  <c r="L4062" i="81"/>
  <c r="K4062" i="81"/>
  <c r="J4062" i="81"/>
  <c r="I4062" i="81"/>
  <c r="I3869" i="81"/>
  <c r="L3869" i="81"/>
  <c r="L3897" i="81"/>
  <c r="J3897" i="81"/>
  <c r="L3934" i="81"/>
  <c r="K3934" i="81"/>
  <c r="I3934" i="81"/>
  <c r="K4004" i="81"/>
  <c r="K4032" i="81"/>
  <c r="L4053" i="81"/>
  <c r="J4053" i="81"/>
  <c r="M3616" i="81"/>
  <c r="N3616" i="81" s="1"/>
  <c r="I3646" i="81"/>
  <c r="I3767" i="81"/>
  <c r="N3772" i="81"/>
  <c r="M3773" i="81"/>
  <c r="N3773" i="81" s="1"/>
  <c r="I3781" i="81"/>
  <c r="I3788" i="81"/>
  <c r="L3813" i="81"/>
  <c r="J3813" i="81"/>
  <c r="I3819" i="81"/>
  <c r="I3825" i="81"/>
  <c r="I3831" i="81"/>
  <c r="K3843" i="81"/>
  <c r="I3843" i="81"/>
  <c r="E3860" i="81"/>
  <c r="J3869" i="81"/>
  <c r="I3897" i="81"/>
  <c r="L3902" i="81"/>
  <c r="J3902" i="81"/>
  <c r="I3902" i="81"/>
  <c r="K3906" i="81"/>
  <c r="J3906" i="81"/>
  <c r="I3906" i="81"/>
  <c r="K3916" i="81"/>
  <c r="I3916" i="81"/>
  <c r="D3929" i="81"/>
  <c r="J3934" i="81"/>
  <c r="L3953" i="81"/>
  <c r="K3953" i="81"/>
  <c r="I3953" i="81"/>
  <c r="L4050" i="81"/>
  <c r="K4050" i="81"/>
  <c r="J4050" i="81"/>
  <c r="I4050" i="81"/>
  <c r="I4053" i="81"/>
  <c r="M3617" i="81"/>
  <c r="N3617" i="81" s="1"/>
  <c r="J3646" i="81"/>
  <c r="J3767" i="81"/>
  <c r="M3774" i="81"/>
  <c r="J3781" i="81"/>
  <c r="J3788" i="81"/>
  <c r="K3788" i="81" s="1"/>
  <c r="J3819" i="81"/>
  <c r="J3825" i="81"/>
  <c r="K3825" i="81" s="1"/>
  <c r="J3831" i="81"/>
  <c r="K3869" i="81"/>
  <c r="L3878" i="81"/>
  <c r="J3878" i="81"/>
  <c r="K3878" i="81" s="1"/>
  <c r="K3897" i="81"/>
  <c r="L3920" i="81"/>
  <c r="J3920" i="81"/>
  <c r="I3941" i="81"/>
  <c r="U3964" i="81"/>
  <c r="L4003" i="81"/>
  <c r="K4003" i="81"/>
  <c r="I4003" i="81"/>
  <c r="K4053" i="81"/>
  <c r="L4064" i="81"/>
  <c r="K4064" i="81"/>
  <c r="I4064" i="81"/>
  <c r="K3646" i="81"/>
  <c r="K3767" i="81"/>
  <c r="N3774" i="81"/>
  <c r="K3781" i="81"/>
  <c r="J3824" i="81"/>
  <c r="K3824" i="81" s="1"/>
  <c r="L3853" i="81"/>
  <c r="I3853" i="81"/>
  <c r="I3878" i="81"/>
  <c r="I3920" i="81"/>
  <c r="N3929" i="81"/>
  <c r="J3941" i="81"/>
  <c r="K3941" i="81" s="1"/>
  <c r="J4003" i="81"/>
  <c r="L4022" i="81"/>
  <c r="J4022" i="81"/>
  <c r="J4064" i="81"/>
  <c r="L3796" i="81"/>
  <c r="J3796" i="81"/>
  <c r="L3797" i="81"/>
  <c r="G3808" i="81"/>
  <c r="L3839" i="81" s="1"/>
  <c r="J3818" i="81"/>
  <c r="I3824" i="81"/>
  <c r="J3830" i="81"/>
  <c r="J3847" i="81"/>
  <c r="L3848" i="81"/>
  <c r="J3853" i="81"/>
  <c r="L3883" i="81"/>
  <c r="I3883" i="81"/>
  <c r="L3896" i="81"/>
  <c r="K3896" i="81"/>
  <c r="I3896" i="81"/>
  <c r="K3920" i="81"/>
  <c r="F3928" i="81"/>
  <c r="L3970" i="81"/>
  <c r="K3970" i="81"/>
  <c r="J3970" i="81"/>
  <c r="I3970" i="81"/>
  <c r="L4052" i="81"/>
  <c r="K4052" i="81"/>
  <c r="I4052" i="81"/>
  <c r="K3847" i="81"/>
  <c r="K3853" i="81"/>
  <c r="J4052" i="81"/>
  <c r="L3922" i="81"/>
  <c r="L3931" i="81"/>
  <c r="L3937" i="81"/>
  <c r="L3956" i="81"/>
  <c r="L3972" i="81"/>
  <c r="H3980" i="81"/>
  <c r="L3981" i="81"/>
  <c r="L3987" i="81"/>
  <c r="L3994" i="81"/>
  <c r="L4006" i="81"/>
  <c r="L4055" i="81"/>
  <c r="J4051" i="81"/>
  <c r="J4063" i="81"/>
  <c r="I3893" i="81"/>
  <c r="I3905" i="81"/>
  <c r="I3950" i="81"/>
  <c r="O3964" i="81"/>
  <c r="I4000" i="81"/>
  <c r="I4012" i="81"/>
  <c r="I4049" i="81"/>
  <c r="K4051" i="81"/>
  <c r="I4061" i="81"/>
  <c r="K4063" i="81"/>
  <c r="I3855" i="81"/>
  <c r="I3885" i="81"/>
  <c r="I3892" i="81"/>
  <c r="J3893" i="81"/>
  <c r="K3893" i="81" s="1"/>
  <c r="I3904" i="81"/>
  <c r="J3905" i="81"/>
  <c r="M3914" i="81"/>
  <c r="N3914" i="81" s="1"/>
  <c r="M3915" i="81"/>
  <c r="N3915" i="81" s="1"/>
  <c r="M3916" i="81"/>
  <c r="N3916" i="81" s="1"/>
  <c r="I3918" i="81"/>
  <c r="I3928" i="81"/>
  <c r="I3949" i="81"/>
  <c r="J3950" i="81"/>
  <c r="B3964" i="81"/>
  <c r="I3999" i="81"/>
  <c r="J4000" i="81"/>
  <c r="I4011" i="81"/>
  <c r="J4012" i="81"/>
  <c r="J4021" i="81"/>
  <c r="I4026" i="81"/>
  <c r="J4027" i="81"/>
  <c r="N4032" i="81"/>
  <c r="M4033" i="81"/>
  <c r="N4033" i="81" s="1"/>
  <c r="I4035" i="81"/>
  <c r="I4041" i="81"/>
  <c r="I4048" i="81"/>
  <c r="J4049" i="81"/>
  <c r="I4060" i="81"/>
  <c r="J4061" i="81"/>
  <c r="J3999" i="81"/>
  <c r="K4000" i="81"/>
  <c r="J4011" i="81"/>
  <c r="K4012" i="81"/>
  <c r="J4026" i="81"/>
  <c r="J4035" i="81"/>
  <c r="J4041" i="81"/>
  <c r="J4048" i="81"/>
  <c r="K4049" i="81"/>
  <c r="J4060" i="81"/>
  <c r="K4061" i="81"/>
  <c r="I3947" i="81"/>
  <c r="I3959" i="81"/>
  <c r="I3969" i="81"/>
  <c r="I3975" i="81"/>
  <c r="N3980" i="81"/>
  <c r="I3997" i="81"/>
  <c r="I4009" i="81"/>
  <c r="K4011" i="81"/>
  <c r="I4024" i="81"/>
  <c r="K4026" i="81"/>
  <c r="I4039" i="81"/>
  <c r="I4046" i="81"/>
  <c r="I4058" i="81"/>
  <c r="J3947" i="81"/>
  <c r="J3959" i="81"/>
  <c r="J3969" i="81"/>
  <c r="J3975" i="81"/>
  <c r="J3997" i="81"/>
  <c r="J4024" i="81"/>
  <c r="I3945" i="81"/>
  <c r="K3947" i="81"/>
  <c r="I3957" i="81"/>
  <c r="K3959" i="81"/>
  <c r="K3969" i="81"/>
  <c r="K3975" i="81"/>
  <c r="K3997" i="81"/>
  <c r="G1884" i="81"/>
  <c r="L1914" i="81" s="1"/>
  <c r="J2238" i="81"/>
  <c r="L2205" i="81"/>
  <c r="K2238" i="81"/>
  <c r="L2215" i="81"/>
  <c r="I2205" i="81"/>
  <c r="K2205" i="81"/>
  <c r="K2132" i="81"/>
  <c r="J2137" i="81"/>
  <c r="J2235" i="81"/>
  <c r="K2124" i="81"/>
  <c r="L2130" i="81"/>
  <c r="I2202" i="81"/>
  <c r="J2202" i="81"/>
  <c r="L2235" i="81"/>
  <c r="I2206" i="81"/>
  <c r="J2226" i="81"/>
  <c r="K2206" i="81"/>
  <c r="L2206" i="81"/>
  <c r="K2236" i="81"/>
  <c r="L2236" i="81"/>
  <c r="J2214" i="81"/>
  <c r="I2217" i="81"/>
  <c r="L2214" i="81"/>
  <c r="J2217" i="81"/>
  <c r="K2217" i="81"/>
  <c r="K2234" i="81"/>
  <c r="J2234" i="81"/>
  <c r="I2127" i="81"/>
  <c r="I2213" i="81"/>
  <c r="K2218" i="81"/>
  <c r="J2228" i="81"/>
  <c r="L2234" i="81"/>
  <c r="L2218" i="81"/>
  <c r="L2228" i="81"/>
  <c r="I2233" i="81"/>
  <c r="J2100" i="81"/>
  <c r="I2216" i="81"/>
  <c r="K2216" i="81"/>
  <c r="I2237" i="81"/>
  <c r="J2111" i="81"/>
  <c r="I2123" i="81"/>
  <c r="J2204" i="81"/>
  <c r="L2216" i="81"/>
  <c r="K2237" i="81"/>
  <c r="K2111" i="81"/>
  <c r="L2131" i="81"/>
  <c r="K2215" i="81"/>
  <c r="I2236" i="81"/>
  <c r="L2237" i="81"/>
  <c r="L2113" i="81"/>
  <c r="K2214" i="81"/>
  <c r="K2226" i="81"/>
  <c r="K2235" i="81"/>
  <c r="D2199" i="81"/>
  <c r="J2207" i="81"/>
  <c r="K2207" i="81"/>
  <c r="J2215" i="81"/>
  <c r="L2207" i="81"/>
  <c r="J2240" i="81"/>
  <c r="L2220" i="81"/>
  <c r="L2240" i="81"/>
  <c r="I2239" i="81"/>
  <c r="L2111" i="81"/>
  <c r="K2137" i="81"/>
  <c r="I2203" i="81"/>
  <c r="K2204" i="81"/>
  <c r="J2213" i="81"/>
  <c r="I2219" i="81"/>
  <c r="I2227" i="81"/>
  <c r="J2233" i="81"/>
  <c r="K2239" i="81"/>
  <c r="J2131" i="81"/>
  <c r="L2137" i="81"/>
  <c r="J2203" i="81"/>
  <c r="L2204" i="81"/>
  <c r="K2219" i="81"/>
  <c r="K2227" i="81"/>
  <c r="L2239" i="81"/>
  <c r="I2110" i="81"/>
  <c r="K2131" i="81"/>
  <c r="K2203" i="81"/>
  <c r="J2218" i="81"/>
  <c r="L2219" i="81"/>
  <c r="L2227" i="81"/>
  <c r="L2125" i="81"/>
  <c r="J2225" i="81"/>
  <c r="L2225" i="81"/>
  <c r="U2196" i="81"/>
  <c r="B2092" i="81"/>
  <c r="L2101" i="81"/>
  <c r="K2130" i="81"/>
  <c r="D2094" i="81"/>
  <c r="I2099" i="81"/>
  <c r="K2100" i="81"/>
  <c r="J2110" i="81"/>
  <c r="I2136" i="81"/>
  <c r="O2196" i="81"/>
  <c r="I2201" i="81"/>
  <c r="I2212" i="81"/>
  <c r="I2232" i="81"/>
  <c r="I2244" i="81"/>
  <c r="J2099" i="81"/>
  <c r="L2100" i="81"/>
  <c r="K2110" i="81"/>
  <c r="J2136" i="81"/>
  <c r="B2196" i="81"/>
  <c r="I2200" i="81"/>
  <c r="J2201" i="81"/>
  <c r="K2202" i="81"/>
  <c r="J2212" i="81"/>
  <c r="K2213" i="81"/>
  <c r="I2231" i="81"/>
  <c r="J2232" i="81"/>
  <c r="K2233" i="81"/>
  <c r="I2243" i="81"/>
  <c r="J2244" i="81"/>
  <c r="I2096" i="81"/>
  <c r="K2099" i="81"/>
  <c r="I2117" i="81"/>
  <c r="L2133" i="81"/>
  <c r="K2136" i="81"/>
  <c r="E2196" i="81"/>
  <c r="J2200" i="81"/>
  <c r="K2201" i="81"/>
  <c r="K2212" i="81"/>
  <c r="B2225" i="81"/>
  <c r="I2230" i="81"/>
  <c r="J2231" i="81"/>
  <c r="K2232" i="81"/>
  <c r="I2242" i="81"/>
  <c r="J2243" i="81"/>
  <c r="K2244" i="81"/>
  <c r="M2094" i="81"/>
  <c r="N2094" i="81" s="1"/>
  <c r="J2117" i="81"/>
  <c r="K2200" i="81"/>
  <c r="I2221" i="81"/>
  <c r="D2225" i="81"/>
  <c r="I2229" i="81"/>
  <c r="J2230" i="81"/>
  <c r="K2231" i="81"/>
  <c r="I2241" i="81"/>
  <c r="J2242" i="81"/>
  <c r="K2243" i="81"/>
  <c r="I2116" i="81"/>
  <c r="K2117" i="81"/>
  <c r="I2125" i="81"/>
  <c r="I2220" i="81"/>
  <c r="J2221" i="81"/>
  <c r="E2225" i="81"/>
  <c r="I2225" i="81" s="1"/>
  <c r="I2228" i="81"/>
  <c r="J2229" i="81"/>
  <c r="K2230" i="81"/>
  <c r="I2240" i="81"/>
  <c r="J2241" i="81"/>
  <c r="K2242" i="81"/>
  <c r="D2095" i="81"/>
  <c r="J2116" i="81"/>
  <c r="J2125" i="81"/>
  <c r="J2220" i="81"/>
  <c r="K2221" i="81"/>
  <c r="K2229" i="81"/>
  <c r="K2241" i="81"/>
  <c r="L2102" i="81"/>
  <c r="K2116" i="81"/>
  <c r="I2124" i="81"/>
  <c r="L2132" i="81"/>
  <c r="M2198" i="81"/>
  <c r="N2198" i="81" s="1"/>
  <c r="M2199" i="81"/>
  <c r="N2199" i="81" s="1"/>
  <c r="I2226" i="81"/>
  <c r="I2238" i="81"/>
  <c r="K2112" i="81"/>
  <c r="I2115" i="81"/>
  <c r="I2130" i="81"/>
  <c r="K2101" i="81"/>
  <c r="L2112" i="81"/>
  <c r="M2121" i="81"/>
  <c r="J2121" i="81"/>
  <c r="L2121" i="81"/>
  <c r="U2092" i="81"/>
  <c r="I2098" i="81"/>
  <c r="I2109" i="81"/>
  <c r="I2129" i="81"/>
  <c r="O2092" i="81"/>
  <c r="I2097" i="81"/>
  <c r="J2098" i="81"/>
  <c r="I2108" i="81"/>
  <c r="J2109" i="81"/>
  <c r="I2128" i="81"/>
  <c r="J2129" i="81"/>
  <c r="I2140" i="81"/>
  <c r="J2097" i="81"/>
  <c r="K2098" i="81"/>
  <c r="J2108" i="81"/>
  <c r="K2109" i="81"/>
  <c r="J2128" i="81"/>
  <c r="K2129" i="81"/>
  <c r="I2139" i="81"/>
  <c r="J2140" i="81"/>
  <c r="E2092" i="81"/>
  <c r="J2096" i="81"/>
  <c r="K2097" i="81"/>
  <c r="K2108" i="81"/>
  <c r="B2121" i="81"/>
  <c r="I2126" i="81"/>
  <c r="J2127" i="81"/>
  <c r="K2128" i="81"/>
  <c r="I2138" i="81"/>
  <c r="J2139" i="81"/>
  <c r="K2140" i="81"/>
  <c r="K2096" i="81"/>
  <c r="D2121" i="81"/>
  <c r="J2126" i="81"/>
  <c r="K2127" i="81"/>
  <c r="J2138" i="81"/>
  <c r="K2139" i="81"/>
  <c r="H1913" i="81"/>
  <c r="E2121" i="81"/>
  <c r="F2121" i="81" s="1"/>
  <c r="K2126" i="81"/>
  <c r="K2138" i="81"/>
  <c r="I2135" i="81"/>
  <c r="I2103" i="81"/>
  <c r="I2114" i="81"/>
  <c r="J2115" i="81"/>
  <c r="I2122" i="81"/>
  <c r="J2123" i="81"/>
  <c r="I2134" i="81"/>
  <c r="J2135" i="81"/>
  <c r="I2102" i="81"/>
  <c r="J2103" i="81"/>
  <c r="I2113" i="81"/>
  <c r="J2114" i="81"/>
  <c r="K2115" i="81"/>
  <c r="J2122" i="81"/>
  <c r="K2123" i="81"/>
  <c r="I2133" i="81"/>
  <c r="J2134" i="81"/>
  <c r="K2135" i="81"/>
  <c r="I2101" i="81"/>
  <c r="J2102" i="81"/>
  <c r="K2103" i="81"/>
  <c r="I2112" i="81"/>
  <c r="J2113" i="81"/>
  <c r="K2114" i="81"/>
  <c r="K2122" i="81"/>
  <c r="I2132" i="81"/>
  <c r="J2133" i="81"/>
  <c r="K2134" i="81"/>
  <c r="B1627" i="81"/>
  <c r="D1627" i="81"/>
  <c r="I1662" i="81"/>
  <c r="L1644" i="81"/>
  <c r="J1901" i="81"/>
  <c r="J1923" i="81"/>
  <c r="K1923" i="81"/>
  <c r="K1929" i="81"/>
  <c r="L1903" i="81"/>
  <c r="K1908" i="81"/>
  <c r="L1893" i="81"/>
  <c r="J1633" i="81"/>
  <c r="K1633" i="81"/>
  <c r="L1925" i="81"/>
  <c r="L1633" i="81"/>
  <c r="I1655" i="81"/>
  <c r="L1655" i="81"/>
  <c r="K1665" i="81"/>
  <c r="I1928" i="81"/>
  <c r="L1634" i="81"/>
  <c r="I1905" i="81"/>
  <c r="I1922" i="81"/>
  <c r="J1928" i="81"/>
  <c r="J1905" i="81"/>
  <c r="K1922" i="81"/>
  <c r="K1928" i="81"/>
  <c r="J1641" i="81"/>
  <c r="I1916" i="81"/>
  <c r="L1904" i="81"/>
  <c r="I1907" i="81"/>
  <c r="J1916" i="81"/>
  <c r="K1645" i="81"/>
  <c r="J1907" i="81"/>
  <c r="L1916" i="81"/>
  <c r="L1645" i="81"/>
  <c r="L1907" i="81"/>
  <c r="J1891" i="81"/>
  <c r="I1894" i="81"/>
  <c r="I1635" i="81"/>
  <c r="K1891" i="81"/>
  <c r="I1630" i="81"/>
  <c r="K1658" i="81"/>
  <c r="I1904" i="81"/>
  <c r="J1908" i="81"/>
  <c r="I1643" i="81"/>
  <c r="I1888" i="81"/>
  <c r="K1892" i="81"/>
  <c r="L1908" i="81"/>
  <c r="K1924" i="81"/>
  <c r="K1632" i="81"/>
  <c r="J1643" i="81"/>
  <c r="J1671" i="81"/>
  <c r="L1892" i="81"/>
  <c r="K1903" i="81"/>
  <c r="M1914" i="81"/>
  <c r="J1917" i="81"/>
  <c r="L1924" i="81"/>
  <c r="K1917" i="81"/>
  <c r="L1643" i="81"/>
  <c r="I1890" i="81"/>
  <c r="J1902" i="81"/>
  <c r="L1917" i="81"/>
  <c r="L1646" i="81"/>
  <c r="J1665" i="81"/>
  <c r="J1890" i="81"/>
  <c r="L1891" i="81"/>
  <c r="I1901" i="81"/>
  <c r="K1902" i="81"/>
  <c r="J1922" i="81"/>
  <c r="L1923" i="81"/>
  <c r="K1890" i="81"/>
  <c r="L1902" i="81"/>
  <c r="D1626" i="81"/>
  <c r="J1659" i="81"/>
  <c r="J1662" i="81"/>
  <c r="L1665" i="81"/>
  <c r="J1894" i="81"/>
  <c r="K1901" i="81"/>
  <c r="J1929" i="81"/>
  <c r="K1659" i="81"/>
  <c r="K1634" i="81"/>
  <c r="I1641" i="81"/>
  <c r="L1268" i="81"/>
  <c r="B1624" i="81"/>
  <c r="J1914" i="81"/>
  <c r="J1291" i="81"/>
  <c r="D1654" i="81"/>
  <c r="I1664" i="81"/>
  <c r="O1884" i="81"/>
  <c r="I1889" i="81"/>
  <c r="I1900" i="81"/>
  <c r="I1921" i="81"/>
  <c r="M1654" i="81"/>
  <c r="J1664" i="81"/>
  <c r="J1889" i="81"/>
  <c r="J1900" i="81"/>
  <c r="I1920" i="81"/>
  <c r="J1921" i="81"/>
  <c r="I1932" i="81"/>
  <c r="J1630" i="81"/>
  <c r="L1635" i="81"/>
  <c r="J1642" i="81"/>
  <c r="I1649" i="81"/>
  <c r="K1660" i="81"/>
  <c r="I1663" i="81"/>
  <c r="K1664" i="81"/>
  <c r="I1670" i="81"/>
  <c r="E1884" i="81"/>
  <c r="J1888" i="81"/>
  <c r="K1889" i="81"/>
  <c r="K1900" i="81"/>
  <c r="B1913" i="81"/>
  <c r="N1913" i="81" s="1"/>
  <c r="B1914" i="81"/>
  <c r="I1919" i="81"/>
  <c r="J1920" i="81"/>
  <c r="K1921" i="81"/>
  <c r="I1931" i="81"/>
  <c r="J1932" i="81"/>
  <c r="J1649" i="81"/>
  <c r="J1663" i="81"/>
  <c r="J1670" i="81"/>
  <c r="K1888" i="81"/>
  <c r="I1909" i="81"/>
  <c r="D1913" i="81"/>
  <c r="D1914" i="81"/>
  <c r="I1918" i="81"/>
  <c r="J1919" i="81"/>
  <c r="K1920" i="81"/>
  <c r="I1930" i="81"/>
  <c r="J1931" i="81"/>
  <c r="K1932" i="81"/>
  <c r="B1626" i="81"/>
  <c r="K1649" i="81"/>
  <c r="K1663" i="81"/>
  <c r="K1670" i="81"/>
  <c r="J1909" i="81"/>
  <c r="E1913" i="81"/>
  <c r="E1914" i="81"/>
  <c r="I1914" i="81" s="1"/>
  <c r="J1918" i="81"/>
  <c r="K1919" i="81"/>
  <c r="I1929" i="81"/>
  <c r="J1930" i="81"/>
  <c r="K1931" i="81"/>
  <c r="K1909" i="81"/>
  <c r="K1918" i="81"/>
  <c r="K1930" i="81"/>
  <c r="I1632" i="81"/>
  <c r="I1658" i="81"/>
  <c r="M1886" i="81"/>
  <c r="M1887" i="81"/>
  <c r="I1895" i="81"/>
  <c r="I1906" i="81"/>
  <c r="I1915" i="81"/>
  <c r="I1927" i="81"/>
  <c r="J1632" i="81"/>
  <c r="J1658" i="81"/>
  <c r="J1895" i="81"/>
  <c r="J1906" i="81"/>
  <c r="J1915" i="81"/>
  <c r="I1926" i="81"/>
  <c r="J1927" i="81"/>
  <c r="I1893" i="81"/>
  <c r="K1895" i="81"/>
  <c r="K1906" i="81"/>
  <c r="K1915" i="81"/>
  <c r="I1925" i="81"/>
  <c r="J1926" i="81"/>
  <c r="K1927" i="81"/>
  <c r="L1299" i="81"/>
  <c r="M1626" i="81"/>
  <c r="J1644" i="81"/>
  <c r="D1653" i="81"/>
  <c r="L1666" i="81"/>
  <c r="K1672" i="81"/>
  <c r="B1886" i="81"/>
  <c r="B1887" i="81"/>
  <c r="I1892" i="81"/>
  <c r="J1893" i="81"/>
  <c r="K1894" i="81"/>
  <c r="I1903" i="81"/>
  <c r="J1904" i="81"/>
  <c r="K1905" i="81"/>
  <c r="I1924" i="81"/>
  <c r="J1925" i="81"/>
  <c r="K1926" i="81"/>
  <c r="N1627" i="81"/>
  <c r="K1628" i="81"/>
  <c r="J1631" i="81"/>
  <c r="K1644" i="81"/>
  <c r="M1653" i="81"/>
  <c r="U1624" i="81"/>
  <c r="L1653" i="81"/>
  <c r="J1653" i="81"/>
  <c r="L1654" i="81"/>
  <c r="J1654" i="81"/>
  <c r="K1654" i="81" s="1"/>
  <c r="K1291" i="81"/>
  <c r="O1624" i="81"/>
  <c r="I1629" i="81"/>
  <c r="K1631" i="81"/>
  <c r="I1640" i="81"/>
  <c r="K1642" i="81"/>
  <c r="I1661" i="81"/>
  <c r="I1628" i="81"/>
  <c r="J1629" i="81"/>
  <c r="K1630" i="81"/>
  <c r="L1631" i="81"/>
  <c r="J1640" i="81"/>
  <c r="K1641" i="81"/>
  <c r="L1642" i="81"/>
  <c r="I1660" i="81"/>
  <c r="J1661" i="81"/>
  <c r="K1662" i="81"/>
  <c r="I1672" i="81"/>
  <c r="E1624" i="81"/>
  <c r="J1628" i="81"/>
  <c r="K1629" i="81"/>
  <c r="K1640" i="81"/>
  <c r="B1653" i="81"/>
  <c r="B1654" i="81"/>
  <c r="I1659" i="81"/>
  <c r="J1660" i="81"/>
  <c r="K1661" i="81"/>
  <c r="I1671" i="81"/>
  <c r="J1672" i="81"/>
  <c r="I1648" i="81"/>
  <c r="E1653" i="81"/>
  <c r="F1653" i="81" s="1"/>
  <c r="E1654" i="81"/>
  <c r="F1654" i="81" s="1"/>
  <c r="I1657" i="81"/>
  <c r="I1669" i="81"/>
  <c r="K1671" i="81"/>
  <c r="I1647" i="81"/>
  <c r="J1648" i="81"/>
  <c r="I1656" i="81"/>
  <c r="J1657" i="81"/>
  <c r="I1668" i="81"/>
  <c r="J1669" i="81"/>
  <c r="I1646" i="81"/>
  <c r="J1647" i="81"/>
  <c r="K1648" i="81"/>
  <c r="J1656" i="81"/>
  <c r="K1657" i="81"/>
  <c r="I1667" i="81"/>
  <c r="J1668" i="81"/>
  <c r="K1669" i="81"/>
  <c r="I1634" i="81"/>
  <c r="J1635" i="81"/>
  <c r="I1645" i="81"/>
  <c r="J1646" i="81"/>
  <c r="K1647" i="81"/>
  <c r="J1655" i="81"/>
  <c r="K1656" i="81"/>
  <c r="I1666" i="81"/>
  <c r="J1667" i="81"/>
  <c r="K1668" i="81"/>
  <c r="J1666" i="81"/>
  <c r="K1667" i="81"/>
  <c r="G1260" i="81"/>
  <c r="U1260" i="81" s="1"/>
  <c r="M1289" i="81"/>
  <c r="L1303" i="81"/>
  <c r="J1278" i="81"/>
  <c r="I1285" i="81"/>
  <c r="I1291" i="81"/>
  <c r="K1304" i="81"/>
  <c r="J1303" i="81"/>
  <c r="K1303" i="81"/>
  <c r="I1282" i="81"/>
  <c r="J1282" i="81"/>
  <c r="K1282" i="81"/>
  <c r="L1293" i="81"/>
  <c r="L1271" i="81"/>
  <c r="J1298" i="81"/>
  <c r="I1270" i="81"/>
  <c r="K1298" i="81"/>
  <c r="K1270" i="81"/>
  <c r="L1298" i="81"/>
  <c r="K1279" i="81"/>
  <c r="I1294" i="81"/>
  <c r="I1300" i="81"/>
  <c r="K1266" i="81"/>
  <c r="L1294" i="81"/>
  <c r="L1278" i="81"/>
  <c r="L1266" i="81"/>
  <c r="L1279" i="81"/>
  <c r="K1283" i="81"/>
  <c r="L1301" i="81"/>
  <c r="L1305" i="81"/>
  <c r="I1277" i="81"/>
  <c r="I1296" i="81"/>
  <c r="L1269" i="81"/>
  <c r="J1277" i="81"/>
  <c r="K1300" i="81"/>
  <c r="K1277" i="81"/>
  <c r="I1281" i="81"/>
  <c r="J1299" i="81"/>
  <c r="L1300" i="81"/>
  <c r="B1262" i="81"/>
  <c r="I1264" i="81"/>
  <c r="K1264" i="81"/>
  <c r="I1268" i="81"/>
  <c r="K1281" i="81"/>
  <c r="J1285" i="81"/>
  <c r="K1292" i="81"/>
  <c r="K1299" i="81"/>
  <c r="L1264" i="81"/>
  <c r="K1268" i="81"/>
  <c r="L1285" i="81"/>
  <c r="J1267" i="81"/>
  <c r="I1271" i="81"/>
  <c r="L1280" i="81"/>
  <c r="L1284" i="81"/>
  <c r="I1302" i="81"/>
  <c r="B1263" i="81"/>
  <c r="L1267" i="81"/>
  <c r="J1271" i="81"/>
  <c r="K1302" i="81"/>
  <c r="I1266" i="81"/>
  <c r="I1279" i="81"/>
  <c r="J1294" i="81"/>
  <c r="I1308" i="81"/>
  <c r="J1289" i="81"/>
  <c r="L1290" i="81"/>
  <c r="J1290" i="81"/>
  <c r="K1290" i="81" s="1"/>
  <c r="O1260" i="81"/>
  <c r="I1265" i="81"/>
  <c r="K1267" i="81"/>
  <c r="I1276" i="81"/>
  <c r="K1278" i="81"/>
  <c r="I1297" i="81"/>
  <c r="J1276" i="81"/>
  <c r="J1297" i="81"/>
  <c r="E1260" i="81"/>
  <c r="K1265" i="81"/>
  <c r="K1276" i="81"/>
  <c r="B1289" i="81"/>
  <c r="B1290" i="81"/>
  <c r="N1290" i="81" s="1"/>
  <c r="I1295" i="81"/>
  <c r="J1296" i="81"/>
  <c r="K1297" i="81"/>
  <c r="I1307" i="81"/>
  <c r="J1308" i="81"/>
  <c r="L1265" i="81"/>
  <c r="D1289" i="81"/>
  <c r="D1290" i="81"/>
  <c r="J1295" i="81"/>
  <c r="K1296" i="81"/>
  <c r="I1306" i="81"/>
  <c r="J1307" i="81"/>
  <c r="K1308" i="81"/>
  <c r="I1284" i="81"/>
  <c r="E1289" i="81"/>
  <c r="F1289" i="81" s="1"/>
  <c r="E1290" i="81"/>
  <c r="I1290" i="81" s="1"/>
  <c r="I1293" i="81"/>
  <c r="K1295" i="81"/>
  <c r="I1305" i="81"/>
  <c r="J1306" i="81"/>
  <c r="K1307" i="81"/>
  <c r="I1283" i="81"/>
  <c r="J1284" i="81"/>
  <c r="F1290" i="81"/>
  <c r="I1292" i="81"/>
  <c r="J1293" i="81"/>
  <c r="I1304" i="81"/>
  <c r="J1305" i="81"/>
  <c r="K1306" i="81"/>
  <c r="M1262" i="81"/>
  <c r="M1263" i="81"/>
  <c r="J1283" i="81"/>
  <c r="J1292" i="81"/>
  <c r="J1304" i="81"/>
  <c r="I1269" i="81"/>
  <c r="J1270" i="81"/>
  <c r="I1280" i="81"/>
  <c r="J1281" i="81"/>
  <c r="I1301" i="81"/>
  <c r="J1302" i="81"/>
  <c r="J1269" i="81"/>
  <c r="J1280" i="81"/>
  <c r="J1301" i="81"/>
  <c r="U2872" i="81" l="1"/>
  <c r="P2664" i="81"/>
  <c r="P2976" i="81"/>
  <c r="L3473" i="81"/>
  <c r="P2300" i="81"/>
  <c r="P3912" i="81"/>
  <c r="U2248" i="81"/>
  <c r="P3860" i="81"/>
  <c r="P2612" i="81"/>
  <c r="P2352" i="81"/>
  <c r="P2508" i="81"/>
  <c r="L2277" i="81"/>
  <c r="P2716" i="81"/>
  <c r="L3629" i="81"/>
  <c r="P2456" i="81"/>
  <c r="P3964" i="81"/>
  <c r="K2953" i="81"/>
  <c r="I2953" i="81"/>
  <c r="L2590" i="81"/>
  <c r="N2225" i="81"/>
  <c r="F2381" i="81"/>
  <c r="L1446" i="81"/>
  <c r="L1445" i="81"/>
  <c r="L4047" i="81"/>
  <c r="L4046" i="81"/>
  <c r="L4045" i="81"/>
  <c r="L3945" i="81"/>
  <c r="L3944" i="81"/>
  <c r="L3943" i="81"/>
  <c r="L3942" i="81"/>
  <c r="L3941" i="81"/>
  <c r="L3825" i="81"/>
  <c r="L3824" i="81"/>
  <c r="L3842" i="81"/>
  <c r="L3841" i="81"/>
  <c r="L3840" i="81"/>
  <c r="L3838" i="81"/>
  <c r="K3473" i="81"/>
  <c r="L3928" i="81"/>
  <c r="L3916" i="81"/>
  <c r="P3080" i="81"/>
  <c r="P1364" i="81"/>
  <c r="P3756" i="81"/>
  <c r="L2959" i="81"/>
  <c r="U2924" i="81"/>
  <c r="L2943" i="81"/>
  <c r="J2757" i="81"/>
  <c r="K2757" i="81" s="1"/>
  <c r="L2757" i="81"/>
  <c r="I2757" i="81"/>
  <c r="J1393" i="81"/>
  <c r="K1393" i="81" s="1"/>
  <c r="I1393" i="81"/>
  <c r="L1393" i="81"/>
  <c r="K2748" i="81"/>
  <c r="J2748" i="81"/>
  <c r="L2748" i="81"/>
  <c r="I2748" i="81"/>
  <c r="J1400" i="81"/>
  <c r="K1400" i="81" s="1"/>
  <c r="I1400" i="81"/>
  <c r="L1400" i="81"/>
  <c r="J2853" i="81"/>
  <c r="K2853" i="81" s="1"/>
  <c r="L2853" i="81"/>
  <c r="I2853" i="81"/>
  <c r="L2695" i="81"/>
  <c r="J2695" i="81"/>
  <c r="K2695" i="81" s="1"/>
  <c r="I2695" i="81"/>
  <c r="L3617" i="81"/>
  <c r="J3617" i="81"/>
  <c r="K3617" i="81" s="1"/>
  <c r="I3617" i="81"/>
  <c r="L2962" i="81"/>
  <c r="K2962" i="81"/>
  <c r="J2962" i="81"/>
  <c r="I2962" i="81"/>
  <c r="L2965" i="81"/>
  <c r="J2919" i="81"/>
  <c r="K2919" i="81" s="1"/>
  <c r="L2919" i="81"/>
  <c r="I2919" i="81"/>
  <c r="J2857" i="81"/>
  <c r="I2857" i="81"/>
  <c r="L2857" i="81"/>
  <c r="K2857" i="81"/>
  <c r="N2926" i="81"/>
  <c r="L2953" i="81"/>
  <c r="I2915" i="81"/>
  <c r="L2915" i="81"/>
  <c r="J2915" i="81"/>
  <c r="K2915" i="81" s="1"/>
  <c r="J1399" i="81"/>
  <c r="K1399" i="81" s="1"/>
  <c r="I1399" i="81"/>
  <c r="L1399" i="81"/>
  <c r="L2696" i="81"/>
  <c r="J2696" i="81"/>
  <c r="K2696" i="81" s="1"/>
  <c r="I2696" i="81"/>
  <c r="J1395" i="81"/>
  <c r="K1395" i="81" s="1"/>
  <c r="I1395" i="81"/>
  <c r="L1395" i="81"/>
  <c r="J2754" i="81"/>
  <c r="K2754" i="81" s="1"/>
  <c r="L2754" i="81"/>
  <c r="I2754" i="81"/>
  <c r="K2511" i="81"/>
  <c r="L2511" i="81"/>
  <c r="J2511" i="81"/>
  <c r="I2511" i="81"/>
  <c r="F2264" i="81"/>
  <c r="L2961" i="81"/>
  <c r="I2916" i="81"/>
  <c r="L2916" i="81"/>
  <c r="J2916" i="81"/>
  <c r="K2916" i="81"/>
  <c r="J1401" i="81"/>
  <c r="K1401" i="81" s="1"/>
  <c r="I1401" i="81"/>
  <c r="L1401" i="81"/>
  <c r="J1406" i="81"/>
  <c r="K1406" i="81" s="1"/>
  <c r="I1406" i="81"/>
  <c r="L1406" i="81"/>
  <c r="L2512" i="81"/>
  <c r="J2512" i="81"/>
  <c r="K2512" i="81" s="1"/>
  <c r="I2512" i="81"/>
  <c r="L3773" i="81"/>
  <c r="K3773" i="81"/>
  <c r="J3773" i="81"/>
  <c r="I3773" i="81"/>
  <c r="L2960" i="81"/>
  <c r="I2912" i="81"/>
  <c r="L2912" i="81"/>
  <c r="J2912" i="81"/>
  <c r="K2912" i="81" s="1"/>
  <c r="I2856" i="81"/>
  <c r="F2856" i="81"/>
  <c r="J1405" i="81"/>
  <c r="K1405" i="81" s="1"/>
  <c r="I1405" i="81"/>
  <c r="L1405" i="81"/>
  <c r="L2723" i="81"/>
  <c r="I2723" i="81"/>
  <c r="J2723" i="81"/>
  <c r="K2723" i="81" s="1"/>
  <c r="U3808" i="81"/>
  <c r="L3837" i="81"/>
  <c r="L2957" i="81"/>
  <c r="K2958" i="81"/>
  <c r="L2958" i="81"/>
  <c r="J2958" i="81"/>
  <c r="I2958" i="81"/>
  <c r="J2911" i="81"/>
  <c r="K2911" i="81" s="1"/>
  <c r="L2911" i="81"/>
  <c r="I2911" i="81"/>
  <c r="F2964" i="81"/>
  <c r="J2747" i="81"/>
  <c r="K2747" i="81" s="1"/>
  <c r="L2747" i="81"/>
  <c r="I2747" i="81"/>
  <c r="K2752" i="81"/>
  <c r="J2752" i="81"/>
  <c r="L2752" i="81"/>
  <c r="I2752" i="81"/>
  <c r="J2745" i="81"/>
  <c r="K2745" i="81" s="1"/>
  <c r="L2745" i="81"/>
  <c r="I2745" i="81"/>
  <c r="J1407" i="81"/>
  <c r="K1407" i="81" s="1"/>
  <c r="I1407" i="81"/>
  <c r="L1407" i="81"/>
  <c r="K2756" i="81"/>
  <c r="J2756" i="81"/>
  <c r="L2756" i="81"/>
  <c r="I2756" i="81"/>
  <c r="L2694" i="81"/>
  <c r="J2694" i="81"/>
  <c r="K2694" i="81" s="1"/>
  <c r="I2694" i="81"/>
  <c r="U4016" i="81"/>
  <c r="I2954" i="81"/>
  <c r="L2954" i="81"/>
  <c r="J2954" i="81"/>
  <c r="K2954" i="81" s="1"/>
  <c r="J2910" i="81"/>
  <c r="L2910" i="81"/>
  <c r="K2910" i="81"/>
  <c r="I2910" i="81"/>
  <c r="L2720" i="81"/>
  <c r="I2720" i="81"/>
  <c r="J2720" i="81"/>
  <c r="K2720" i="81" s="1"/>
  <c r="J2758" i="81"/>
  <c r="K2758" i="81" s="1"/>
  <c r="L2758" i="81"/>
  <c r="I2758" i="81"/>
  <c r="K1397" i="81"/>
  <c r="J1397" i="81"/>
  <c r="I1397" i="81"/>
  <c r="L1397" i="81"/>
  <c r="L4033" i="81"/>
  <c r="L2964" i="81"/>
  <c r="I2861" i="81"/>
  <c r="L2849" i="81"/>
  <c r="J2849" i="81"/>
  <c r="K2849" i="81" s="1"/>
  <c r="I2849" i="81"/>
  <c r="J1396" i="81"/>
  <c r="K1396" i="81" s="1"/>
  <c r="I1396" i="81"/>
  <c r="L1396" i="81"/>
  <c r="L2629" i="81"/>
  <c r="J2629" i="81"/>
  <c r="K2629" i="81" s="1"/>
  <c r="I2629" i="81"/>
  <c r="K2749" i="81"/>
  <c r="J2749" i="81"/>
  <c r="L2749" i="81"/>
  <c r="I2749" i="81"/>
  <c r="J1394" i="81"/>
  <c r="K1394" i="81" s="1"/>
  <c r="I1394" i="81"/>
  <c r="L1394" i="81"/>
  <c r="U2560" i="81"/>
  <c r="L2576" i="81"/>
  <c r="I2942" i="81"/>
  <c r="L2942" i="81"/>
  <c r="K2942" i="81"/>
  <c r="J2942" i="81"/>
  <c r="U3080" i="81"/>
  <c r="I2914" i="81"/>
  <c r="J2866" i="81"/>
  <c r="K2866" i="81" s="1"/>
  <c r="I2866" i="81"/>
  <c r="L2866" i="81"/>
  <c r="L2930" i="81"/>
  <c r="J2930" i="81"/>
  <c r="K2930" i="81" s="1"/>
  <c r="I2930" i="81"/>
  <c r="K2931" i="81"/>
  <c r="L2931" i="81"/>
  <c r="J2931" i="81"/>
  <c r="I2931" i="81"/>
  <c r="L2725" i="81"/>
  <c r="I2725" i="81"/>
  <c r="J2725" i="81"/>
  <c r="K2725" i="81" s="1"/>
  <c r="J1398" i="81"/>
  <c r="K1398" i="81" s="1"/>
  <c r="I1398" i="81"/>
  <c r="L1398" i="81"/>
  <c r="N2746" i="81"/>
  <c r="K1403" i="81"/>
  <c r="J1403" i="81"/>
  <c r="I1403" i="81"/>
  <c r="L1403" i="81"/>
  <c r="U3912" i="81"/>
  <c r="P4016" i="81"/>
  <c r="K3616" i="81"/>
  <c r="J3616" i="81"/>
  <c r="I3616" i="81"/>
  <c r="L3616" i="81"/>
  <c r="L3772" i="81"/>
  <c r="J3772" i="81"/>
  <c r="K3772" i="81" s="1"/>
  <c r="I3772" i="81"/>
  <c r="L2963" i="81"/>
  <c r="L2966" i="81"/>
  <c r="I2941" i="81"/>
  <c r="L2941" i="81"/>
  <c r="J2941" i="81"/>
  <c r="K2941" i="81"/>
  <c r="L2955" i="81"/>
  <c r="K1402" i="81"/>
  <c r="J1402" i="81"/>
  <c r="I1402" i="81"/>
  <c r="L1402" i="81"/>
  <c r="J2755" i="81"/>
  <c r="K2755" i="81" s="1"/>
  <c r="I2755" i="81"/>
  <c r="L2755" i="81"/>
  <c r="J2760" i="81"/>
  <c r="K2760" i="81" s="1"/>
  <c r="L2760" i="81"/>
  <c r="I2760" i="81"/>
  <c r="L2668" i="81"/>
  <c r="K2668" i="81"/>
  <c r="J2668" i="81"/>
  <c r="I2668" i="81"/>
  <c r="L3929" i="81"/>
  <c r="J3929" i="81"/>
  <c r="K3929" i="81" s="1"/>
  <c r="I3929" i="81"/>
  <c r="J2863" i="81"/>
  <c r="K2863" i="81" s="1"/>
  <c r="I2863" i="81"/>
  <c r="L2863" i="81"/>
  <c r="K2852" i="81"/>
  <c r="L2852" i="81"/>
  <c r="J2852" i="81"/>
  <c r="I2852" i="81"/>
  <c r="J2759" i="81"/>
  <c r="K2759" i="81" s="1"/>
  <c r="L2759" i="81"/>
  <c r="I2759" i="81"/>
  <c r="L2722" i="81"/>
  <c r="I2722" i="81"/>
  <c r="K2722" i="81"/>
  <c r="J2722" i="81"/>
  <c r="J2750" i="81"/>
  <c r="K2750" i="81" s="1"/>
  <c r="L2750" i="81"/>
  <c r="I2750" i="81"/>
  <c r="J1404" i="81"/>
  <c r="K1404" i="81" s="1"/>
  <c r="I1404" i="81"/>
  <c r="L1404" i="81"/>
  <c r="J2746" i="81"/>
  <c r="K2746" i="81" s="1"/>
  <c r="L2746" i="81"/>
  <c r="I2746" i="81"/>
  <c r="L2693" i="81"/>
  <c r="J2693" i="81"/>
  <c r="K2693" i="81" s="1"/>
  <c r="I2693" i="81"/>
  <c r="J1409" i="81"/>
  <c r="K1409" i="81" s="1"/>
  <c r="I1409" i="81"/>
  <c r="L1409" i="81"/>
  <c r="L2525" i="81"/>
  <c r="J2525" i="81"/>
  <c r="K2525" i="81" s="1"/>
  <c r="I2525" i="81"/>
  <c r="L3980" i="81"/>
  <c r="J3980" i="81"/>
  <c r="K3980" i="81" s="1"/>
  <c r="I3980" i="81"/>
  <c r="N3603" i="81"/>
  <c r="L2956" i="81"/>
  <c r="K2956" i="81"/>
  <c r="J2956" i="81"/>
  <c r="I2956" i="81"/>
  <c r="L2929" i="81"/>
  <c r="I2943" i="81"/>
  <c r="J1408" i="81"/>
  <c r="K1408" i="81" s="1"/>
  <c r="I1408" i="81"/>
  <c r="L1408" i="81"/>
  <c r="N2757" i="81"/>
  <c r="N2316" i="81"/>
  <c r="L2524" i="81"/>
  <c r="J2524" i="81"/>
  <c r="K2524" i="81" s="1"/>
  <c r="I2524" i="81"/>
  <c r="L2266" i="81"/>
  <c r="K2266" i="81"/>
  <c r="J2266" i="81"/>
  <c r="I2266" i="81"/>
  <c r="L3774" i="81"/>
  <c r="J3774" i="81"/>
  <c r="K3774" i="81" s="1"/>
  <c r="I3774" i="81"/>
  <c r="U3496" i="81"/>
  <c r="U1416" i="81"/>
  <c r="J3005" i="81"/>
  <c r="K3005" i="81" s="1"/>
  <c r="I3005" i="81"/>
  <c r="L3005" i="81"/>
  <c r="J2860" i="81"/>
  <c r="I2860" i="81"/>
  <c r="L2860" i="81"/>
  <c r="K2860" i="81"/>
  <c r="I2854" i="81"/>
  <c r="L2850" i="81"/>
  <c r="J2850" i="81"/>
  <c r="K2850" i="81" s="1"/>
  <c r="I2850" i="81"/>
  <c r="J2753" i="81"/>
  <c r="K2753" i="81" s="1"/>
  <c r="L2753" i="81"/>
  <c r="I2753" i="81"/>
  <c r="K2751" i="81"/>
  <c r="J2751" i="81"/>
  <c r="L2751" i="81"/>
  <c r="I2751" i="81"/>
  <c r="N2754" i="81"/>
  <c r="I2317" i="81"/>
  <c r="U1884" i="81"/>
  <c r="L1913" i="81"/>
  <c r="N2121" i="81"/>
  <c r="J1913" i="81"/>
  <c r="K1913" i="81" s="1"/>
  <c r="F2225" i="81"/>
  <c r="I1913" i="81"/>
  <c r="K2225" i="81"/>
  <c r="P2196" i="81"/>
  <c r="K2121" i="81"/>
  <c r="I2121" i="81"/>
  <c r="N1653" i="81"/>
  <c r="P2092" i="81"/>
  <c r="N1289" i="81"/>
  <c r="N1886" i="81"/>
  <c r="N1626" i="81"/>
  <c r="N1887" i="81"/>
  <c r="N1914" i="81"/>
  <c r="N1654" i="81"/>
  <c r="K1653" i="81"/>
  <c r="F1914" i="81"/>
  <c r="K1914" i="81"/>
  <c r="F1913" i="81"/>
  <c r="P1884" i="81"/>
  <c r="P1624" i="81"/>
  <c r="I1653" i="81"/>
  <c r="K1289" i="81"/>
  <c r="N1262" i="81"/>
  <c r="I1654" i="81"/>
  <c r="L1289" i="81"/>
  <c r="N1263" i="81"/>
  <c r="I1289" i="81"/>
  <c r="P1260" i="81"/>
  <c r="A4120" i="81" l="1"/>
  <c r="E4120" i="81" s="1"/>
  <c r="A1780" i="81"/>
  <c r="B1780" i="81" s="1"/>
  <c r="A1728" i="81"/>
  <c r="E1728" i="81" s="1"/>
  <c r="A584" i="81"/>
  <c r="B584" i="81" s="1"/>
  <c r="A532" i="81"/>
  <c r="G532" i="81" s="1"/>
  <c r="A480" i="81"/>
  <c r="G480" i="81" s="1"/>
  <c r="U480" i="81" s="1"/>
  <c r="A428" i="81"/>
  <c r="O428" i="81" s="1"/>
  <c r="N4168" i="81"/>
  <c r="M4168" i="81"/>
  <c r="H4168" i="81"/>
  <c r="K4168" i="81" s="1"/>
  <c r="F4168" i="81"/>
  <c r="E4168" i="81"/>
  <c r="D4168" i="81"/>
  <c r="B4168" i="81"/>
  <c r="N4167" i="81"/>
  <c r="M4167" i="81"/>
  <c r="H4167" i="81"/>
  <c r="I4167" i="81" s="1"/>
  <c r="F4167" i="81"/>
  <c r="E4167" i="81"/>
  <c r="D4167" i="81"/>
  <c r="B4167" i="81"/>
  <c r="N4166" i="81"/>
  <c r="M4166" i="81"/>
  <c r="H4166" i="81"/>
  <c r="K4166" i="81" s="1"/>
  <c r="F4166" i="81"/>
  <c r="E4166" i="81"/>
  <c r="D4166" i="81"/>
  <c r="B4166" i="81"/>
  <c r="N4165" i="81"/>
  <c r="M4165" i="81"/>
  <c r="H4165" i="81"/>
  <c r="K4165" i="81" s="1"/>
  <c r="F4165" i="81"/>
  <c r="E4165" i="81"/>
  <c r="D4165" i="81"/>
  <c r="B4165" i="81"/>
  <c r="N4164" i="81"/>
  <c r="M4164" i="81"/>
  <c r="H4164" i="81"/>
  <c r="L4164" i="81" s="1"/>
  <c r="F4164" i="81"/>
  <c r="E4164" i="81"/>
  <c r="D4164" i="81"/>
  <c r="B4164" i="81"/>
  <c r="N4163" i="81"/>
  <c r="M4163" i="81"/>
  <c r="H4163" i="81"/>
  <c r="F4163" i="81"/>
  <c r="E4163" i="81"/>
  <c r="D4163" i="81"/>
  <c r="B4163" i="81"/>
  <c r="N4162" i="81"/>
  <c r="M4162" i="81"/>
  <c r="H4162" i="81"/>
  <c r="L4162" i="81" s="1"/>
  <c r="F4162" i="81"/>
  <c r="E4162" i="81"/>
  <c r="D4162" i="81"/>
  <c r="B4162" i="81"/>
  <c r="N4161" i="81"/>
  <c r="M4161" i="81"/>
  <c r="H4161" i="81"/>
  <c r="L4161" i="81" s="1"/>
  <c r="F4161" i="81"/>
  <c r="E4161" i="81"/>
  <c r="D4161" i="81"/>
  <c r="B4161" i="81"/>
  <c r="N4160" i="81"/>
  <c r="M4160" i="81"/>
  <c r="H4160" i="81"/>
  <c r="I4160" i="81" s="1"/>
  <c r="F4160" i="81"/>
  <c r="E4160" i="81"/>
  <c r="D4160" i="81"/>
  <c r="B4160" i="81"/>
  <c r="N4159" i="81"/>
  <c r="M4159" i="81"/>
  <c r="H4159" i="81"/>
  <c r="L4159" i="81" s="1"/>
  <c r="F4159" i="81"/>
  <c r="E4159" i="81"/>
  <c r="D4159" i="81"/>
  <c r="B4159" i="81"/>
  <c r="N4158" i="81"/>
  <c r="M4158" i="81"/>
  <c r="H4158" i="81"/>
  <c r="K4158" i="81" s="1"/>
  <c r="F4158" i="81"/>
  <c r="E4158" i="81"/>
  <c r="D4158" i="81"/>
  <c r="B4158" i="81"/>
  <c r="N4157" i="81"/>
  <c r="M4157" i="81"/>
  <c r="H4157" i="81"/>
  <c r="I4157" i="81" s="1"/>
  <c r="F4157" i="81"/>
  <c r="E4157" i="81"/>
  <c r="D4157" i="81"/>
  <c r="B4157" i="81"/>
  <c r="N4156" i="81"/>
  <c r="M4156" i="81"/>
  <c r="H4156" i="81"/>
  <c r="K4156" i="81" s="1"/>
  <c r="F4156" i="81"/>
  <c r="E4156" i="81"/>
  <c r="D4156" i="81"/>
  <c r="B4156" i="81"/>
  <c r="N4155" i="81"/>
  <c r="M4155" i="81"/>
  <c r="H4155" i="81"/>
  <c r="I4155" i="81" s="1"/>
  <c r="F4155" i="81"/>
  <c r="E4155" i="81"/>
  <c r="D4155" i="81"/>
  <c r="B4155" i="81"/>
  <c r="N4154" i="81"/>
  <c r="M4154" i="81"/>
  <c r="H4154" i="81"/>
  <c r="L4154" i="81" s="1"/>
  <c r="F4154" i="81"/>
  <c r="E4154" i="81"/>
  <c r="D4154" i="81"/>
  <c r="B4154" i="81"/>
  <c r="N4153" i="81"/>
  <c r="M4153" i="81"/>
  <c r="H4153" i="81"/>
  <c r="I4153" i="81" s="1"/>
  <c r="F4153" i="81"/>
  <c r="E4153" i="81"/>
  <c r="D4153" i="81"/>
  <c r="B4153" i="81"/>
  <c r="N4152" i="81"/>
  <c r="M4152" i="81"/>
  <c r="H4152" i="81"/>
  <c r="L4152" i="81" s="1"/>
  <c r="F4152" i="81"/>
  <c r="E4152" i="81"/>
  <c r="D4152" i="81"/>
  <c r="B4152" i="81"/>
  <c r="N4151" i="81"/>
  <c r="M4151" i="81"/>
  <c r="H4151" i="81"/>
  <c r="F4151" i="81"/>
  <c r="E4151" i="81"/>
  <c r="D4151" i="81"/>
  <c r="B4151" i="81"/>
  <c r="N4150" i="81"/>
  <c r="M4150" i="81"/>
  <c r="H4150" i="81"/>
  <c r="L4150" i="81" s="1"/>
  <c r="F4150" i="81"/>
  <c r="E4150" i="81"/>
  <c r="D4150" i="81"/>
  <c r="B4150" i="81"/>
  <c r="N4149" i="81"/>
  <c r="M4149" i="81"/>
  <c r="H4149" i="81"/>
  <c r="K4149" i="81" s="1"/>
  <c r="F4149" i="81"/>
  <c r="E4149" i="81"/>
  <c r="D4149" i="81"/>
  <c r="B4149" i="81"/>
  <c r="N4145" i="81"/>
  <c r="M4145" i="81"/>
  <c r="H4145" i="81"/>
  <c r="L4145" i="81" s="1"/>
  <c r="F4145" i="81"/>
  <c r="E4145" i="81"/>
  <c r="D4145" i="81"/>
  <c r="B4145" i="81"/>
  <c r="N4144" i="81"/>
  <c r="M4144" i="81"/>
  <c r="H4144" i="81"/>
  <c r="I4144" i="81" s="1"/>
  <c r="F4144" i="81"/>
  <c r="E4144" i="81"/>
  <c r="D4144" i="81"/>
  <c r="B4144" i="81"/>
  <c r="N4143" i="81"/>
  <c r="M4143" i="81"/>
  <c r="H4143" i="81"/>
  <c r="I4143" i="81" s="1"/>
  <c r="F4143" i="81"/>
  <c r="E4143" i="81"/>
  <c r="D4143" i="81"/>
  <c r="B4143" i="81"/>
  <c r="N4142" i="81"/>
  <c r="M4142" i="81"/>
  <c r="H4142" i="81"/>
  <c r="F4142" i="81"/>
  <c r="E4142" i="81"/>
  <c r="D4142" i="81"/>
  <c r="B4142" i="81"/>
  <c r="N4141" i="81"/>
  <c r="M4141" i="81"/>
  <c r="H4141" i="81"/>
  <c r="I4141" i="81" s="1"/>
  <c r="F4141" i="81"/>
  <c r="E4141" i="81"/>
  <c r="D4141" i="81"/>
  <c r="B4141" i="81"/>
  <c r="N4140" i="81"/>
  <c r="M4140" i="81"/>
  <c r="H4140" i="81"/>
  <c r="K4140" i="81" s="1"/>
  <c r="F4140" i="81"/>
  <c r="E4140" i="81"/>
  <c r="D4140" i="81"/>
  <c r="B4140" i="81"/>
  <c r="N4139" i="81"/>
  <c r="M4139" i="81"/>
  <c r="H4139" i="81"/>
  <c r="K4139" i="81" s="1"/>
  <c r="F4139" i="81"/>
  <c r="E4139" i="81"/>
  <c r="D4139" i="81"/>
  <c r="B4139" i="81"/>
  <c r="A4138" i="81"/>
  <c r="C4137" i="81"/>
  <c r="A4137" i="81"/>
  <c r="B4137" i="81" s="1"/>
  <c r="C4136" i="81"/>
  <c r="A4136" i="81"/>
  <c r="D4136" i="81" s="1"/>
  <c r="N4131" i="81"/>
  <c r="M4131" i="81"/>
  <c r="H4131" i="81"/>
  <c r="I4131" i="81" s="1"/>
  <c r="F4131" i="81"/>
  <c r="E4131" i="81"/>
  <c r="D4131" i="81"/>
  <c r="B4131" i="81"/>
  <c r="N4130" i="81"/>
  <c r="M4130" i="81"/>
  <c r="H4130" i="81"/>
  <c r="L4130" i="81" s="1"/>
  <c r="F4130" i="81"/>
  <c r="E4130" i="81"/>
  <c r="D4130" i="81"/>
  <c r="B4130" i="81"/>
  <c r="N4129" i="81"/>
  <c r="M4129" i="81"/>
  <c r="H4129" i="81"/>
  <c r="L4129" i="81" s="1"/>
  <c r="F4129" i="81"/>
  <c r="E4129" i="81"/>
  <c r="D4129" i="81"/>
  <c r="B4129" i="81"/>
  <c r="N4128" i="81"/>
  <c r="M4128" i="81"/>
  <c r="H4128" i="81"/>
  <c r="F4128" i="81"/>
  <c r="E4128" i="81"/>
  <c r="D4128" i="81"/>
  <c r="B4128" i="81"/>
  <c r="N4127" i="81"/>
  <c r="M4127" i="81"/>
  <c r="H4127" i="81"/>
  <c r="F4127" i="81"/>
  <c r="E4127" i="81"/>
  <c r="D4127" i="81"/>
  <c r="B4127" i="81"/>
  <c r="N4126" i="81"/>
  <c r="M4126" i="81"/>
  <c r="H4126" i="81"/>
  <c r="F4126" i="81"/>
  <c r="E4126" i="81"/>
  <c r="D4126" i="81"/>
  <c r="B4126" i="81"/>
  <c r="N4125" i="81"/>
  <c r="M4125" i="81"/>
  <c r="H4125" i="81"/>
  <c r="I4125" i="81" s="1"/>
  <c r="F4125" i="81"/>
  <c r="E4125" i="81"/>
  <c r="D4125" i="81"/>
  <c r="B4125" i="81"/>
  <c r="N4124" i="81"/>
  <c r="M4124" i="81"/>
  <c r="H4124" i="81"/>
  <c r="F4124" i="81"/>
  <c r="E4124" i="81"/>
  <c r="D4124" i="81"/>
  <c r="B4124" i="81"/>
  <c r="A4123" i="81"/>
  <c r="D4123" i="81" s="1"/>
  <c r="A4122" i="81"/>
  <c r="B4122" i="81" s="1"/>
  <c r="N1828" i="81"/>
  <c r="M1828" i="81"/>
  <c r="H1828" i="81"/>
  <c r="J1828" i="81" s="1"/>
  <c r="F1828" i="81"/>
  <c r="E1828" i="81"/>
  <c r="D1828" i="81"/>
  <c r="B1828" i="81"/>
  <c r="N1827" i="81"/>
  <c r="M1827" i="81"/>
  <c r="H1827" i="81"/>
  <c r="J1827" i="81" s="1"/>
  <c r="F1827" i="81"/>
  <c r="E1827" i="81"/>
  <c r="D1827" i="81"/>
  <c r="B1827" i="81"/>
  <c r="N1826" i="81"/>
  <c r="M1826" i="81"/>
  <c r="H1826" i="81"/>
  <c r="F1826" i="81"/>
  <c r="E1826" i="81"/>
  <c r="D1826" i="81"/>
  <c r="B1826" i="81"/>
  <c r="N1825" i="81"/>
  <c r="M1825" i="81"/>
  <c r="H1825" i="81"/>
  <c r="L1825" i="81" s="1"/>
  <c r="F1825" i="81"/>
  <c r="E1825" i="81"/>
  <c r="D1825" i="81"/>
  <c r="B1825" i="81"/>
  <c r="N1824" i="81"/>
  <c r="M1824" i="81"/>
  <c r="H1824" i="81"/>
  <c r="J1824" i="81" s="1"/>
  <c r="F1824" i="81"/>
  <c r="E1824" i="81"/>
  <c r="D1824" i="81"/>
  <c r="B1824" i="81"/>
  <c r="N1823" i="81"/>
  <c r="M1823" i="81"/>
  <c r="H1823" i="81"/>
  <c r="J1823" i="81" s="1"/>
  <c r="F1823" i="81"/>
  <c r="E1823" i="81"/>
  <c r="D1823" i="81"/>
  <c r="B1823" i="81"/>
  <c r="N1822" i="81"/>
  <c r="M1822" i="81"/>
  <c r="H1822" i="81"/>
  <c r="L1822" i="81" s="1"/>
  <c r="F1822" i="81"/>
  <c r="E1822" i="81"/>
  <c r="D1822" i="81"/>
  <c r="B1822" i="81"/>
  <c r="N1821" i="81"/>
  <c r="M1821" i="81"/>
  <c r="H1821" i="81"/>
  <c r="F1821" i="81"/>
  <c r="E1821" i="81"/>
  <c r="D1821" i="81"/>
  <c r="B1821" i="81"/>
  <c r="N1820" i="81"/>
  <c r="M1820" i="81"/>
  <c r="H1820" i="81"/>
  <c r="F1820" i="81"/>
  <c r="E1820" i="81"/>
  <c r="D1820" i="81"/>
  <c r="B1820" i="81"/>
  <c r="N1819" i="81"/>
  <c r="M1819" i="81"/>
  <c r="H1819" i="81"/>
  <c r="L1819" i="81" s="1"/>
  <c r="F1819" i="81"/>
  <c r="E1819" i="81"/>
  <c r="D1819" i="81"/>
  <c r="B1819" i="81"/>
  <c r="N1818" i="81"/>
  <c r="M1818" i="81"/>
  <c r="H1818" i="81"/>
  <c r="K1818" i="81" s="1"/>
  <c r="F1818" i="81"/>
  <c r="E1818" i="81"/>
  <c r="D1818" i="81"/>
  <c r="B1818" i="81"/>
  <c r="N1817" i="81"/>
  <c r="M1817" i="81"/>
  <c r="H1817" i="81"/>
  <c r="L1817" i="81" s="1"/>
  <c r="F1817" i="81"/>
  <c r="E1817" i="81"/>
  <c r="D1817" i="81"/>
  <c r="B1817" i="81"/>
  <c r="N1816" i="81"/>
  <c r="M1816" i="81"/>
  <c r="H1816" i="81"/>
  <c r="J1816" i="81" s="1"/>
  <c r="F1816" i="81"/>
  <c r="E1816" i="81"/>
  <c r="D1816" i="81"/>
  <c r="B1816" i="81"/>
  <c r="N1815" i="81"/>
  <c r="M1815" i="81"/>
  <c r="H1815" i="81"/>
  <c r="J1815" i="81" s="1"/>
  <c r="F1815" i="81"/>
  <c r="E1815" i="81"/>
  <c r="D1815" i="81"/>
  <c r="B1815" i="81"/>
  <c r="N1814" i="81"/>
  <c r="M1814" i="81"/>
  <c r="H1814" i="81"/>
  <c r="F1814" i="81"/>
  <c r="E1814" i="81"/>
  <c r="D1814" i="81"/>
  <c r="B1814" i="81"/>
  <c r="N1813" i="81"/>
  <c r="M1813" i="81"/>
  <c r="H1813" i="81"/>
  <c r="L1813" i="81" s="1"/>
  <c r="F1813" i="81"/>
  <c r="E1813" i="81"/>
  <c r="D1813" i="81"/>
  <c r="B1813" i="81"/>
  <c r="N1812" i="81"/>
  <c r="M1812" i="81"/>
  <c r="H1812" i="81"/>
  <c r="J1812" i="81" s="1"/>
  <c r="F1812" i="81"/>
  <c r="E1812" i="81"/>
  <c r="D1812" i="81"/>
  <c r="B1812" i="81"/>
  <c r="N1811" i="81"/>
  <c r="M1811" i="81"/>
  <c r="H1811" i="81"/>
  <c r="K1811" i="81" s="1"/>
  <c r="F1811" i="81"/>
  <c r="E1811" i="81"/>
  <c r="D1811" i="81"/>
  <c r="B1811" i="81"/>
  <c r="A1810" i="81"/>
  <c r="A1809" i="81"/>
  <c r="H1809" i="81" s="1"/>
  <c r="J1809" i="81" s="1"/>
  <c r="N1805" i="81"/>
  <c r="M1805" i="81"/>
  <c r="H1805" i="81"/>
  <c r="F1805" i="81"/>
  <c r="E1805" i="81"/>
  <c r="D1805" i="81"/>
  <c r="B1805" i="81"/>
  <c r="N1804" i="81"/>
  <c r="M1804" i="81"/>
  <c r="H1804" i="81"/>
  <c r="L1804" i="81" s="1"/>
  <c r="F1804" i="81"/>
  <c r="E1804" i="81"/>
  <c r="D1804" i="81"/>
  <c r="B1804" i="81"/>
  <c r="N1803" i="81"/>
  <c r="M1803" i="81"/>
  <c r="H1803" i="81"/>
  <c r="J1803" i="81" s="1"/>
  <c r="F1803" i="81"/>
  <c r="E1803" i="81"/>
  <c r="D1803" i="81"/>
  <c r="B1803" i="81"/>
  <c r="N1802" i="81"/>
  <c r="M1802" i="81"/>
  <c r="H1802" i="81"/>
  <c r="F1802" i="81"/>
  <c r="E1802" i="81"/>
  <c r="D1802" i="81"/>
  <c r="B1802" i="81"/>
  <c r="N1801" i="81"/>
  <c r="M1801" i="81"/>
  <c r="H1801" i="81"/>
  <c r="L1801" i="81" s="1"/>
  <c r="F1801" i="81"/>
  <c r="E1801" i="81"/>
  <c r="D1801" i="81"/>
  <c r="B1801" i="81"/>
  <c r="N1800" i="81"/>
  <c r="M1800" i="81"/>
  <c r="H1800" i="81"/>
  <c r="F1800" i="81"/>
  <c r="E1800" i="81"/>
  <c r="D1800" i="81"/>
  <c r="B1800" i="81"/>
  <c r="N1799" i="81"/>
  <c r="M1799" i="81"/>
  <c r="H1799" i="81"/>
  <c r="L1799" i="81" s="1"/>
  <c r="F1799" i="81"/>
  <c r="E1799" i="81"/>
  <c r="D1799" i="81"/>
  <c r="B1799" i="81"/>
  <c r="N1798" i="81"/>
  <c r="M1798" i="81"/>
  <c r="H1798" i="81"/>
  <c r="J1798" i="81" s="1"/>
  <c r="F1798" i="81"/>
  <c r="E1798" i="81"/>
  <c r="D1798" i="81"/>
  <c r="B1798" i="81"/>
  <c r="N1797" i="81"/>
  <c r="M1797" i="81"/>
  <c r="H1797" i="81"/>
  <c r="F1797" i="81"/>
  <c r="E1797" i="81"/>
  <c r="D1797" i="81"/>
  <c r="B1797" i="81"/>
  <c r="N1796" i="81"/>
  <c r="M1796" i="81"/>
  <c r="H1796" i="81"/>
  <c r="L1796" i="81" s="1"/>
  <c r="F1796" i="81"/>
  <c r="E1796" i="81"/>
  <c r="D1796" i="81"/>
  <c r="B1796" i="81"/>
  <c r="N1791" i="81"/>
  <c r="M1791" i="81"/>
  <c r="H1791" i="81"/>
  <c r="J1791" i="81" s="1"/>
  <c r="F1791" i="81"/>
  <c r="E1791" i="81"/>
  <c r="D1791" i="81"/>
  <c r="B1791" i="81"/>
  <c r="N1790" i="81"/>
  <c r="M1790" i="81"/>
  <c r="H1790" i="81"/>
  <c r="L1790" i="81" s="1"/>
  <c r="F1790" i="81"/>
  <c r="E1790" i="81"/>
  <c r="D1790" i="81"/>
  <c r="B1790" i="81"/>
  <c r="N1789" i="81"/>
  <c r="M1789" i="81"/>
  <c r="H1789" i="81"/>
  <c r="K1789" i="81" s="1"/>
  <c r="F1789" i="81"/>
  <c r="E1789" i="81"/>
  <c r="D1789" i="81"/>
  <c r="B1789" i="81"/>
  <c r="N1788" i="81"/>
  <c r="M1788" i="81"/>
  <c r="H1788" i="81"/>
  <c r="J1788" i="81" s="1"/>
  <c r="F1788" i="81"/>
  <c r="E1788" i="81"/>
  <c r="D1788" i="81"/>
  <c r="B1788" i="81"/>
  <c r="N1787" i="81"/>
  <c r="M1787" i="81"/>
  <c r="H1787" i="81"/>
  <c r="L1787" i="81" s="1"/>
  <c r="F1787" i="81"/>
  <c r="E1787" i="81"/>
  <c r="D1787" i="81"/>
  <c r="B1787" i="81"/>
  <c r="N1786" i="81"/>
  <c r="M1786" i="81"/>
  <c r="H1786" i="81"/>
  <c r="F1786" i="81"/>
  <c r="E1786" i="81"/>
  <c r="D1786" i="81"/>
  <c r="B1786" i="81"/>
  <c r="N1785" i="81"/>
  <c r="M1785" i="81"/>
  <c r="H1785" i="81"/>
  <c r="F1785" i="81"/>
  <c r="E1785" i="81"/>
  <c r="D1785" i="81"/>
  <c r="B1785" i="81"/>
  <c r="N1784" i="81"/>
  <c r="M1784" i="81"/>
  <c r="H1784" i="81"/>
  <c r="F1784" i="81"/>
  <c r="E1784" i="81"/>
  <c r="D1784" i="81"/>
  <c r="B1784" i="81"/>
  <c r="A1783" i="81"/>
  <c r="A1782" i="81"/>
  <c r="N1776" i="81"/>
  <c r="M1776" i="81"/>
  <c r="H1776" i="81"/>
  <c r="J1776" i="81" s="1"/>
  <c r="F1776" i="81"/>
  <c r="E1776" i="81"/>
  <c r="D1776" i="81"/>
  <c r="B1776" i="81"/>
  <c r="N1775" i="81"/>
  <c r="M1775" i="81"/>
  <c r="H1775" i="81"/>
  <c r="K1775" i="81" s="1"/>
  <c r="F1775" i="81"/>
  <c r="E1775" i="81"/>
  <c r="D1775" i="81"/>
  <c r="B1775" i="81"/>
  <c r="N1774" i="81"/>
  <c r="M1774" i="81"/>
  <c r="H1774" i="81"/>
  <c r="L1774" i="81" s="1"/>
  <c r="F1774" i="81"/>
  <c r="E1774" i="81"/>
  <c r="D1774" i="81"/>
  <c r="B1774" i="81"/>
  <c r="N1773" i="81"/>
  <c r="M1773" i="81"/>
  <c r="H1773" i="81"/>
  <c r="F1773" i="81"/>
  <c r="E1773" i="81"/>
  <c r="D1773" i="81"/>
  <c r="B1773" i="81"/>
  <c r="N1772" i="81"/>
  <c r="M1772" i="81"/>
  <c r="H1772" i="81"/>
  <c r="J1772" i="81" s="1"/>
  <c r="F1772" i="81"/>
  <c r="E1772" i="81"/>
  <c r="D1772" i="81"/>
  <c r="B1772" i="81"/>
  <c r="N1771" i="81"/>
  <c r="M1771" i="81"/>
  <c r="H1771" i="81"/>
  <c r="L1771" i="81" s="1"/>
  <c r="F1771" i="81"/>
  <c r="E1771" i="81"/>
  <c r="D1771" i="81"/>
  <c r="B1771" i="81"/>
  <c r="N1770" i="81"/>
  <c r="M1770" i="81"/>
  <c r="H1770" i="81"/>
  <c r="K1770" i="81" s="1"/>
  <c r="F1770" i="81"/>
  <c r="E1770" i="81"/>
  <c r="D1770" i="81"/>
  <c r="B1770" i="81"/>
  <c r="N1769" i="81"/>
  <c r="M1769" i="81"/>
  <c r="H1769" i="81"/>
  <c r="F1769" i="81"/>
  <c r="E1769" i="81"/>
  <c r="D1769" i="81"/>
  <c r="B1769" i="81"/>
  <c r="N1768" i="81"/>
  <c r="M1768" i="81"/>
  <c r="H1768" i="81"/>
  <c r="I1768" i="81" s="1"/>
  <c r="F1768" i="81"/>
  <c r="E1768" i="81"/>
  <c r="D1768" i="81"/>
  <c r="B1768" i="81"/>
  <c r="N1767" i="81"/>
  <c r="M1767" i="81"/>
  <c r="H1767" i="81"/>
  <c r="K1767" i="81" s="1"/>
  <c r="F1767" i="81"/>
  <c r="E1767" i="81"/>
  <c r="D1767" i="81"/>
  <c r="B1767" i="81"/>
  <c r="N1766" i="81"/>
  <c r="M1766" i="81"/>
  <c r="H1766" i="81"/>
  <c r="F1766" i="81"/>
  <c r="E1766" i="81"/>
  <c r="D1766" i="81"/>
  <c r="B1766" i="81"/>
  <c r="N1765" i="81"/>
  <c r="M1765" i="81"/>
  <c r="H1765" i="81"/>
  <c r="J1765" i="81" s="1"/>
  <c r="F1765" i="81"/>
  <c r="E1765" i="81"/>
  <c r="D1765" i="81"/>
  <c r="B1765" i="81"/>
  <c r="N1764" i="81"/>
  <c r="M1764" i="81"/>
  <c r="H1764" i="81"/>
  <c r="J1764" i="81" s="1"/>
  <c r="F1764" i="81"/>
  <c r="E1764" i="81"/>
  <c r="D1764" i="81"/>
  <c r="B1764" i="81"/>
  <c r="N1763" i="81"/>
  <c r="M1763" i="81"/>
  <c r="H1763" i="81"/>
  <c r="J1763" i="81" s="1"/>
  <c r="F1763" i="81"/>
  <c r="E1763" i="81"/>
  <c r="D1763" i="81"/>
  <c r="B1763" i="81"/>
  <c r="N1762" i="81"/>
  <c r="M1762" i="81"/>
  <c r="H1762" i="81"/>
  <c r="L1762" i="81" s="1"/>
  <c r="F1762" i="81"/>
  <c r="E1762" i="81"/>
  <c r="D1762" i="81"/>
  <c r="B1762" i="81"/>
  <c r="N1761" i="81"/>
  <c r="M1761" i="81"/>
  <c r="H1761" i="81"/>
  <c r="J1761" i="81" s="1"/>
  <c r="F1761" i="81"/>
  <c r="E1761" i="81"/>
  <c r="D1761" i="81"/>
  <c r="B1761" i="81"/>
  <c r="N1760" i="81"/>
  <c r="M1760" i="81"/>
  <c r="H1760" i="81"/>
  <c r="J1760" i="81" s="1"/>
  <c r="F1760" i="81"/>
  <c r="E1760" i="81"/>
  <c r="D1760" i="81"/>
  <c r="B1760" i="81"/>
  <c r="N1759" i="81"/>
  <c r="M1759" i="81"/>
  <c r="H1759" i="81"/>
  <c r="K1759" i="81" s="1"/>
  <c r="F1759" i="81"/>
  <c r="E1759" i="81"/>
  <c r="D1759" i="81"/>
  <c r="B1759" i="81"/>
  <c r="A1758" i="81"/>
  <c r="A1757" i="81"/>
  <c r="N1753" i="81"/>
  <c r="M1753" i="81"/>
  <c r="H1753" i="81"/>
  <c r="L1753" i="81" s="1"/>
  <c r="F1753" i="81"/>
  <c r="E1753" i="81"/>
  <c r="D1753" i="81"/>
  <c r="B1753" i="81"/>
  <c r="N1752" i="81"/>
  <c r="M1752" i="81"/>
  <c r="H1752" i="81"/>
  <c r="J1752" i="81" s="1"/>
  <c r="F1752" i="81"/>
  <c r="E1752" i="81"/>
  <c r="D1752" i="81"/>
  <c r="B1752" i="81"/>
  <c r="N1751" i="81"/>
  <c r="M1751" i="81"/>
  <c r="H1751" i="81"/>
  <c r="J1751" i="81" s="1"/>
  <c r="F1751" i="81"/>
  <c r="E1751" i="81"/>
  <c r="D1751" i="81"/>
  <c r="B1751" i="81"/>
  <c r="N1750" i="81"/>
  <c r="M1750" i="81"/>
  <c r="H1750" i="81"/>
  <c r="K1750" i="81" s="1"/>
  <c r="F1750" i="81"/>
  <c r="E1750" i="81"/>
  <c r="D1750" i="81"/>
  <c r="B1750" i="81"/>
  <c r="N1749" i="81"/>
  <c r="M1749" i="81"/>
  <c r="H1749" i="81"/>
  <c r="J1749" i="81" s="1"/>
  <c r="F1749" i="81"/>
  <c r="E1749" i="81"/>
  <c r="D1749" i="81"/>
  <c r="B1749" i="81"/>
  <c r="N1748" i="81"/>
  <c r="M1748" i="81"/>
  <c r="H1748" i="81"/>
  <c r="I1748" i="81" s="1"/>
  <c r="F1748" i="81"/>
  <c r="E1748" i="81"/>
  <c r="D1748" i="81"/>
  <c r="B1748" i="81"/>
  <c r="N1747" i="81"/>
  <c r="M1747" i="81"/>
  <c r="H1747" i="81"/>
  <c r="L1747" i="81" s="1"/>
  <c r="F1747" i="81"/>
  <c r="E1747" i="81"/>
  <c r="D1747" i="81"/>
  <c r="B1747" i="81"/>
  <c r="N1746" i="81"/>
  <c r="M1746" i="81"/>
  <c r="H1746" i="81"/>
  <c r="K1746" i="81" s="1"/>
  <c r="F1746" i="81"/>
  <c r="E1746" i="81"/>
  <c r="D1746" i="81"/>
  <c r="B1746" i="81"/>
  <c r="N1745" i="81"/>
  <c r="M1745" i="81"/>
  <c r="H1745" i="81"/>
  <c r="I1745" i="81" s="1"/>
  <c r="F1745" i="81"/>
  <c r="E1745" i="81"/>
  <c r="D1745" i="81"/>
  <c r="B1745" i="81"/>
  <c r="N1744" i="81"/>
  <c r="M1744" i="81"/>
  <c r="H1744" i="81"/>
  <c r="F1744" i="81"/>
  <c r="E1744" i="81"/>
  <c r="D1744" i="81"/>
  <c r="B1744" i="81"/>
  <c r="N1739" i="81"/>
  <c r="M1739" i="81"/>
  <c r="H1739" i="81"/>
  <c r="K1739" i="81" s="1"/>
  <c r="F1739" i="81"/>
  <c r="E1739" i="81"/>
  <c r="D1739" i="81"/>
  <c r="B1739" i="81"/>
  <c r="N1738" i="81"/>
  <c r="M1738" i="81"/>
  <c r="H1738" i="81"/>
  <c r="F1738" i="81"/>
  <c r="E1738" i="81"/>
  <c r="D1738" i="81"/>
  <c r="B1738" i="81"/>
  <c r="N1737" i="81"/>
  <c r="M1737" i="81"/>
  <c r="H1737" i="81"/>
  <c r="I1737" i="81" s="1"/>
  <c r="F1737" i="81"/>
  <c r="E1737" i="81"/>
  <c r="D1737" i="81"/>
  <c r="B1737" i="81"/>
  <c r="N1736" i="81"/>
  <c r="M1736" i="81"/>
  <c r="H1736" i="81"/>
  <c r="L1736" i="81" s="1"/>
  <c r="F1736" i="81"/>
  <c r="E1736" i="81"/>
  <c r="D1736" i="81"/>
  <c r="B1736" i="81"/>
  <c r="N1735" i="81"/>
  <c r="M1735" i="81"/>
  <c r="H1735" i="81"/>
  <c r="L1735" i="81" s="1"/>
  <c r="F1735" i="81"/>
  <c r="E1735" i="81"/>
  <c r="D1735" i="81"/>
  <c r="B1735" i="81"/>
  <c r="N1734" i="81"/>
  <c r="M1734" i="81"/>
  <c r="H1734" i="81"/>
  <c r="L1734" i="81" s="1"/>
  <c r="F1734" i="81"/>
  <c r="E1734" i="81"/>
  <c r="D1734" i="81"/>
  <c r="B1734" i="81"/>
  <c r="N1733" i="81"/>
  <c r="M1733" i="81"/>
  <c r="H1733" i="81"/>
  <c r="K1733" i="81" s="1"/>
  <c r="F1733" i="81"/>
  <c r="E1733" i="81"/>
  <c r="D1733" i="81"/>
  <c r="B1733" i="81"/>
  <c r="N1732" i="81"/>
  <c r="M1732" i="81"/>
  <c r="H1732" i="81"/>
  <c r="K1732" i="81" s="1"/>
  <c r="F1732" i="81"/>
  <c r="E1732" i="81"/>
  <c r="D1732" i="81"/>
  <c r="B1732" i="81"/>
  <c r="A1731" i="81"/>
  <c r="A1730" i="81"/>
  <c r="M632" i="81"/>
  <c r="H632" i="81"/>
  <c r="E632" i="81"/>
  <c r="F632" i="81" s="1"/>
  <c r="D632" i="81"/>
  <c r="B632" i="81"/>
  <c r="A631" i="81"/>
  <c r="B631" i="81" s="1"/>
  <c r="C630" i="81"/>
  <c r="A630" i="81"/>
  <c r="M630" i="81" s="1"/>
  <c r="A629" i="81"/>
  <c r="A628" i="81"/>
  <c r="H628" i="81" s="1"/>
  <c r="A627" i="81"/>
  <c r="D627" i="81" s="1"/>
  <c r="A626" i="81"/>
  <c r="A625" i="81"/>
  <c r="M625" i="81" s="1"/>
  <c r="A624" i="81"/>
  <c r="M624" i="81" s="1"/>
  <c r="A623" i="81"/>
  <c r="M623" i="81" s="1"/>
  <c r="A622" i="81"/>
  <c r="E622" i="81" s="1"/>
  <c r="A621" i="81"/>
  <c r="H621" i="81" s="1"/>
  <c r="A620" i="81"/>
  <c r="B620" i="81" s="1"/>
  <c r="A619" i="81"/>
  <c r="M619" i="81" s="1"/>
  <c r="A618" i="81"/>
  <c r="M618" i="81" s="1"/>
  <c r="A617" i="81"/>
  <c r="M617" i="81" s="1"/>
  <c r="A616" i="81"/>
  <c r="A615" i="81"/>
  <c r="H615" i="81" s="1"/>
  <c r="A614" i="81"/>
  <c r="B614" i="81" s="1"/>
  <c r="A613" i="81"/>
  <c r="M613" i="81" s="1"/>
  <c r="N609" i="81"/>
  <c r="M609" i="81"/>
  <c r="H609" i="81"/>
  <c r="F609" i="81"/>
  <c r="E609" i="81"/>
  <c r="D609" i="81"/>
  <c r="B609" i="81"/>
  <c r="N608" i="81"/>
  <c r="M608" i="81"/>
  <c r="H608" i="81"/>
  <c r="J608" i="81" s="1"/>
  <c r="F608" i="81"/>
  <c r="E608" i="81"/>
  <c r="D608" i="81"/>
  <c r="B608" i="81"/>
  <c r="N607" i="81"/>
  <c r="M607" i="81"/>
  <c r="H607" i="81"/>
  <c r="I607" i="81" s="1"/>
  <c r="F607" i="81"/>
  <c r="E607" i="81"/>
  <c r="D607" i="81"/>
  <c r="B607" i="81"/>
  <c r="N606" i="81"/>
  <c r="M606" i="81"/>
  <c r="H606" i="81"/>
  <c r="K606" i="81" s="1"/>
  <c r="F606" i="81"/>
  <c r="E606" i="81"/>
  <c r="D606" i="81"/>
  <c r="B606" i="81"/>
  <c r="N605" i="81"/>
  <c r="M605" i="81"/>
  <c r="H605" i="81"/>
  <c r="L605" i="81" s="1"/>
  <c r="F605" i="81"/>
  <c r="E605" i="81"/>
  <c r="D605" i="81"/>
  <c r="B605" i="81"/>
  <c r="N604" i="81"/>
  <c r="M604" i="81"/>
  <c r="H604" i="81"/>
  <c r="F604" i="81"/>
  <c r="E604" i="81"/>
  <c r="D604" i="81"/>
  <c r="B604" i="81"/>
  <c r="N603" i="81"/>
  <c r="M603" i="81"/>
  <c r="H603" i="81"/>
  <c r="F603" i="81"/>
  <c r="E603" i="81"/>
  <c r="D603" i="81"/>
  <c r="B603" i="81"/>
  <c r="N602" i="81"/>
  <c r="M602" i="81"/>
  <c r="H602" i="81"/>
  <c r="L602" i="81" s="1"/>
  <c r="F602" i="81"/>
  <c r="E602" i="81"/>
  <c r="D602" i="81"/>
  <c r="B602" i="81"/>
  <c r="N601" i="81"/>
  <c r="M601" i="81"/>
  <c r="H601" i="81"/>
  <c r="F601" i="81"/>
  <c r="E601" i="81"/>
  <c r="D601" i="81"/>
  <c r="B601" i="81"/>
  <c r="N600" i="81"/>
  <c r="M600" i="81"/>
  <c r="H600" i="81"/>
  <c r="F600" i="81"/>
  <c r="E600" i="81"/>
  <c r="D600" i="81"/>
  <c r="B600" i="81"/>
  <c r="N595" i="81"/>
  <c r="M595" i="81"/>
  <c r="H595" i="81"/>
  <c r="F595" i="81"/>
  <c r="E595" i="81"/>
  <c r="D595" i="81"/>
  <c r="B595" i="81"/>
  <c r="N594" i="81"/>
  <c r="M594" i="81"/>
  <c r="H594" i="81"/>
  <c r="K594" i="81" s="1"/>
  <c r="F594" i="81"/>
  <c r="E594" i="81"/>
  <c r="D594" i="81"/>
  <c r="B594" i="81"/>
  <c r="N593" i="81"/>
  <c r="M593" i="81"/>
  <c r="H593" i="81"/>
  <c r="K593" i="81" s="1"/>
  <c r="F593" i="81"/>
  <c r="E593" i="81"/>
  <c r="D593" i="81"/>
  <c r="B593" i="81"/>
  <c r="N592" i="81"/>
  <c r="M592" i="81"/>
  <c r="H592" i="81"/>
  <c r="L592" i="81" s="1"/>
  <c r="F592" i="81"/>
  <c r="E592" i="81"/>
  <c r="D592" i="81"/>
  <c r="B592" i="81"/>
  <c r="N591" i="81"/>
  <c r="M591" i="81"/>
  <c r="H591" i="81"/>
  <c r="F591" i="81"/>
  <c r="E591" i="81"/>
  <c r="D591" i="81"/>
  <c r="B591" i="81"/>
  <c r="N590" i="81"/>
  <c r="M590" i="81"/>
  <c r="H590" i="81"/>
  <c r="F590" i="81"/>
  <c r="E590" i="81"/>
  <c r="D590" i="81"/>
  <c r="B590" i="81"/>
  <c r="N589" i="81"/>
  <c r="M589" i="81"/>
  <c r="H589" i="81"/>
  <c r="K589" i="81" s="1"/>
  <c r="F589" i="81"/>
  <c r="E589" i="81"/>
  <c r="D589" i="81"/>
  <c r="B589" i="81"/>
  <c r="N588" i="81"/>
  <c r="M588" i="81"/>
  <c r="H588" i="81"/>
  <c r="K588" i="81" s="1"/>
  <c r="F588" i="81"/>
  <c r="E588" i="81"/>
  <c r="D588" i="81"/>
  <c r="B588" i="81"/>
  <c r="C587" i="81"/>
  <c r="A587" i="81"/>
  <c r="C586" i="81"/>
  <c r="A586" i="81"/>
  <c r="M586" i="81" s="1"/>
  <c r="A580" i="81"/>
  <c r="M580" i="81" s="1"/>
  <c r="A579" i="81"/>
  <c r="M579" i="81" s="1"/>
  <c r="A578" i="81"/>
  <c r="H578" i="81" s="1"/>
  <c r="A577" i="81"/>
  <c r="A576" i="81"/>
  <c r="B576" i="81" s="1"/>
  <c r="A575" i="81"/>
  <c r="A574" i="81"/>
  <c r="H574" i="81" s="1"/>
  <c r="A573" i="81"/>
  <c r="M573" i="81" s="1"/>
  <c r="A572" i="81"/>
  <c r="D572" i="81" s="1"/>
  <c r="A571" i="81"/>
  <c r="M571" i="81" s="1"/>
  <c r="A570" i="81"/>
  <c r="A569" i="81"/>
  <c r="M569" i="81" s="1"/>
  <c r="A568" i="81"/>
  <c r="A567" i="81"/>
  <c r="E567" i="81" s="1"/>
  <c r="F567" i="81" s="1"/>
  <c r="A566" i="81"/>
  <c r="C565" i="81"/>
  <c r="A565" i="81"/>
  <c r="B565" i="81" s="1"/>
  <c r="A564" i="81"/>
  <c r="C563" i="81"/>
  <c r="A563" i="81"/>
  <c r="M563" i="81" s="1"/>
  <c r="A562" i="81"/>
  <c r="M562" i="81" s="1"/>
  <c r="A561" i="81"/>
  <c r="E561" i="81" s="1"/>
  <c r="F561" i="81" s="1"/>
  <c r="N557" i="81"/>
  <c r="M557" i="81"/>
  <c r="H557" i="81"/>
  <c r="I557" i="81" s="1"/>
  <c r="F557" i="81"/>
  <c r="E557" i="81"/>
  <c r="D557" i="81"/>
  <c r="B557" i="81"/>
  <c r="N556" i="81"/>
  <c r="M556" i="81"/>
  <c r="H556" i="81"/>
  <c r="F556" i="81"/>
  <c r="E556" i="81"/>
  <c r="D556" i="81"/>
  <c r="B556" i="81"/>
  <c r="N555" i="81"/>
  <c r="M555" i="81"/>
  <c r="H555" i="81"/>
  <c r="K555" i="81" s="1"/>
  <c r="F555" i="81"/>
  <c r="E555" i="81"/>
  <c r="D555" i="81"/>
  <c r="B555" i="81"/>
  <c r="N554" i="81"/>
  <c r="M554" i="81"/>
  <c r="H554" i="81"/>
  <c r="J554" i="81" s="1"/>
  <c r="F554" i="81"/>
  <c r="E554" i="81"/>
  <c r="D554" i="81"/>
  <c r="B554" i="81"/>
  <c r="N553" i="81"/>
  <c r="M553" i="81"/>
  <c r="H553" i="81"/>
  <c r="F553" i="81"/>
  <c r="E553" i="81"/>
  <c r="D553" i="81"/>
  <c r="B553" i="81"/>
  <c r="N552" i="81"/>
  <c r="M552" i="81"/>
  <c r="H552" i="81"/>
  <c r="K552" i="81" s="1"/>
  <c r="F552" i="81"/>
  <c r="E552" i="81"/>
  <c r="D552" i="81"/>
  <c r="B552" i="81"/>
  <c r="N551" i="81"/>
  <c r="M551" i="81"/>
  <c r="H551" i="81"/>
  <c r="L551" i="81" s="1"/>
  <c r="F551" i="81"/>
  <c r="E551" i="81"/>
  <c r="D551" i="81"/>
  <c r="B551" i="81"/>
  <c r="N550" i="81"/>
  <c r="M550" i="81"/>
  <c r="H550" i="81"/>
  <c r="F550" i="81"/>
  <c r="E550" i="81"/>
  <c r="D550" i="81"/>
  <c r="B550" i="81"/>
  <c r="N549" i="81"/>
  <c r="M549" i="81"/>
  <c r="H549" i="81"/>
  <c r="L549" i="81" s="1"/>
  <c r="F549" i="81"/>
  <c r="E549" i="81"/>
  <c r="D549" i="81"/>
  <c r="B549" i="81"/>
  <c r="N548" i="81"/>
  <c r="M548" i="81"/>
  <c r="H548" i="81"/>
  <c r="K548" i="81" s="1"/>
  <c r="F548" i="81"/>
  <c r="E548" i="81"/>
  <c r="D548" i="81"/>
  <c r="B548" i="81"/>
  <c r="N543" i="81"/>
  <c r="M543" i="81"/>
  <c r="H543" i="81"/>
  <c r="J543" i="81" s="1"/>
  <c r="F543" i="81"/>
  <c r="E543" i="81"/>
  <c r="D543" i="81"/>
  <c r="B543" i="81"/>
  <c r="N542" i="81"/>
  <c r="M542" i="81"/>
  <c r="H542" i="81"/>
  <c r="I542" i="81" s="1"/>
  <c r="F542" i="81"/>
  <c r="E542" i="81"/>
  <c r="D542" i="81"/>
  <c r="B542" i="81"/>
  <c r="N541" i="81"/>
  <c r="M541" i="81"/>
  <c r="H541" i="81"/>
  <c r="J541" i="81" s="1"/>
  <c r="F541" i="81"/>
  <c r="E541" i="81"/>
  <c r="D541" i="81"/>
  <c r="B541" i="81"/>
  <c r="N540" i="81"/>
  <c r="M540" i="81"/>
  <c r="H540" i="81"/>
  <c r="L540" i="81" s="1"/>
  <c r="F540" i="81"/>
  <c r="E540" i="81"/>
  <c r="D540" i="81"/>
  <c r="B540" i="81"/>
  <c r="N539" i="81"/>
  <c r="M539" i="81"/>
  <c r="H539" i="81"/>
  <c r="L539" i="81" s="1"/>
  <c r="F539" i="81"/>
  <c r="E539" i="81"/>
  <c r="D539" i="81"/>
  <c r="B539" i="81"/>
  <c r="N538" i="81"/>
  <c r="M538" i="81"/>
  <c r="H538" i="81"/>
  <c r="I538" i="81" s="1"/>
  <c r="F538" i="81"/>
  <c r="E538" i="81"/>
  <c r="D538" i="81"/>
  <c r="B538" i="81"/>
  <c r="N537" i="81"/>
  <c r="M537" i="81"/>
  <c r="H537" i="81"/>
  <c r="K537" i="81" s="1"/>
  <c r="F537" i="81"/>
  <c r="E537" i="81"/>
  <c r="D537" i="81"/>
  <c r="B537" i="81"/>
  <c r="N536" i="81"/>
  <c r="M536" i="81"/>
  <c r="H536" i="81"/>
  <c r="J536" i="81" s="1"/>
  <c r="F536" i="81"/>
  <c r="E536" i="81"/>
  <c r="D536" i="81"/>
  <c r="B536" i="81"/>
  <c r="C535" i="81"/>
  <c r="A535" i="81"/>
  <c r="M535" i="81" s="1"/>
  <c r="C534" i="81"/>
  <c r="A534" i="81"/>
  <c r="B534" i="81" s="1"/>
  <c r="N528" i="81"/>
  <c r="M528" i="81"/>
  <c r="H528" i="81"/>
  <c r="K528" i="81" s="1"/>
  <c r="F528" i="81"/>
  <c r="E528" i="81"/>
  <c r="D528" i="81"/>
  <c r="B528" i="81"/>
  <c r="N527" i="81"/>
  <c r="M527" i="81"/>
  <c r="H527" i="81"/>
  <c r="J527" i="81" s="1"/>
  <c r="F527" i="81"/>
  <c r="E527" i="81"/>
  <c r="D527" i="81"/>
  <c r="B527" i="81"/>
  <c r="M526" i="81"/>
  <c r="H526" i="81"/>
  <c r="E526" i="81"/>
  <c r="F526" i="81" s="1"/>
  <c r="D526" i="81"/>
  <c r="B526" i="81"/>
  <c r="A525" i="81"/>
  <c r="E525" i="81" s="1"/>
  <c r="F525" i="81" s="1"/>
  <c r="A524" i="81"/>
  <c r="E524" i="81" s="1"/>
  <c r="F524" i="81" s="1"/>
  <c r="B523" i="81"/>
  <c r="D522" i="81"/>
  <c r="A521" i="81"/>
  <c r="E521" i="81" s="1"/>
  <c r="A520" i="81"/>
  <c r="A519" i="81"/>
  <c r="B519" i="81" s="1"/>
  <c r="A518" i="81"/>
  <c r="B518" i="81" s="1"/>
  <c r="B517" i="81"/>
  <c r="D516" i="81"/>
  <c r="E515" i="81"/>
  <c r="F515" i="81" s="1"/>
  <c r="E514" i="81"/>
  <c r="A513" i="81"/>
  <c r="B513" i="81" s="1"/>
  <c r="A512" i="81"/>
  <c r="D512" i="81" s="1"/>
  <c r="A511" i="81"/>
  <c r="B511" i="81" s="1"/>
  <c r="A510" i="81"/>
  <c r="M510" i="81" s="1"/>
  <c r="A509" i="81"/>
  <c r="M509" i="81" s="1"/>
  <c r="N505" i="81"/>
  <c r="M505" i="81"/>
  <c r="H505" i="81"/>
  <c r="L505" i="81" s="1"/>
  <c r="F505" i="81"/>
  <c r="E505" i="81"/>
  <c r="D505" i="81"/>
  <c r="B505" i="81"/>
  <c r="N504" i="81"/>
  <c r="M504" i="81"/>
  <c r="H504" i="81"/>
  <c r="L504" i="81" s="1"/>
  <c r="F504" i="81"/>
  <c r="E504" i="81"/>
  <c r="D504" i="81"/>
  <c r="B504" i="81"/>
  <c r="N503" i="81"/>
  <c r="M503" i="81"/>
  <c r="H503" i="81"/>
  <c r="L503" i="81" s="1"/>
  <c r="F503" i="81"/>
  <c r="E503" i="81"/>
  <c r="D503" i="81"/>
  <c r="B503" i="81"/>
  <c r="N502" i="81"/>
  <c r="M502" i="81"/>
  <c r="H502" i="81"/>
  <c r="K502" i="81" s="1"/>
  <c r="F502" i="81"/>
  <c r="E502" i="81"/>
  <c r="D502" i="81"/>
  <c r="B502" i="81"/>
  <c r="N501" i="81"/>
  <c r="M501" i="81"/>
  <c r="H501" i="81"/>
  <c r="J501" i="81" s="1"/>
  <c r="F501" i="81"/>
  <c r="E501" i="81"/>
  <c r="D501" i="81"/>
  <c r="B501" i="81"/>
  <c r="N500" i="81"/>
  <c r="M500" i="81"/>
  <c r="H500" i="81"/>
  <c r="F500" i="81"/>
  <c r="E500" i="81"/>
  <c r="D500" i="81"/>
  <c r="B500" i="81"/>
  <c r="N499" i="81"/>
  <c r="M499" i="81"/>
  <c r="H499" i="81"/>
  <c r="L499" i="81" s="1"/>
  <c r="F499" i="81"/>
  <c r="E499" i="81"/>
  <c r="D499" i="81"/>
  <c r="B499" i="81"/>
  <c r="N498" i="81"/>
  <c r="M498" i="81"/>
  <c r="H498" i="81"/>
  <c r="L498" i="81" s="1"/>
  <c r="F498" i="81"/>
  <c r="E498" i="81"/>
  <c r="D498" i="81"/>
  <c r="B498" i="81"/>
  <c r="N497" i="81"/>
  <c r="M497" i="81"/>
  <c r="H497" i="81"/>
  <c r="L497" i="81" s="1"/>
  <c r="F497" i="81"/>
  <c r="E497" i="81"/>
  <c r="D497" i="81"/>
  <c r="B497" i="81"/>
  <c r="N496" i="81"/>
  <c r="M496" i="81"/>
  <c r="H496" i="81"/>
  <c r="L496" i="81" s="1"/>
  <c r="F496" i="81"/>
  <c r="E496" i="81"/>
  <c r="D496" i="81"/>
  <c r="B496" i="81"/>
  <c r="N491" i="81"/>
  <c r="M491" i="81"/>
  <c r="H491" i="81"/>
  <c r="K491" i="81" s="1"/>
  <c r="F491" i="81"/>
  <c r="E491" i="81"/>
  <c r="D491" i="81"/>
  <c r="B491" i="81"/>
  <c r="N490" i="81"/>
  <c r="M490" i="81"/>
  <c r="H490" i="81"/>
  <c r="J490" i="81" s="1"/>
  <c r="F490" i="81"/>
  <c r="E490" i="81"/>
  <c r="D490" i="81"/>
  <c r="B490" i="81"/>
  <c r="N489" i="81"/>
  <c r="M489" i="81"/>
  <c r="H489" i="81"/>
  <c r="I489" i="81" s="1"/>
  <c r="F489" i="81"/>
  <c r="E489" i="81"/>
  <c r="D489" i="81"/>
  <c r="B489" i="81"/>
  <c r="N488" i="81"/>
  <c r="M488" i="81"/>
  <c r="H488" i="81"/>
  <c r="L488" i="81" s="1"/>
  <c r="F488" i="81"/>
  <c r="E488" i="81"/>
  <c r="D488" i="81"/>
  <c r="B488" i="81"/>
  <c r="N487" i="81"/>
  <c r="M487" i="81"/>
  <c r="H487" i="81"/>
  <c r="L487" i="81" s="1"/>
  <c r="F487" i="81"/>
  <c r="E487" i="81"/>
  <c r="D487" i="81"/>
  <c r="B487" i="81"/>
  <c r="N486" i="81"/>
  <c r="M486" i="81"/>
  <c r="H486" i="81"/>
  <c r="L486" i="81" s="1"/>
  <c r="F486" i="81"/>
  <c r="E486" i="81"/>
  <c r="D486" i="81"/>
  <c r="B486" i="81"/>
  <c r="N485" i="81"/>
  <c r="M485" i="81"/>
  <c r="H485" i="81"/>
  <c r="L485" i="81" s="1"/>
  <c r="F485" i="81"/>
  <c r="E485" i="81"/>
  <c r="D485" i="81"/>
  <c r="B485" i="81"/>
  <c r="N484" i="81"/>
  <c r="M484" i="81"/>
  <c r="H484" i="81"/>
  <c r="L484" i="81" s="1"/>
  <c r="F484" i="81"/>
  <c r="E484" i="81"/>
  <c r="D484" i="81"/>
  <c r="B484" i="81"/>
  <c r="N483" i="81"/>
  <c r="M483" i="81"/>
  <c r="H483" i="81"/>
  <c r="K483" i="81" s="1"/>
  <c r="F483" i="81"/>
  <c r="E483" i="81"/>
  <c r="D483" i="81"/>
  <c r="B483" i="81"/>
  <c r="A482" i="81"/>
  <c r="B482" i="81" s="1"/>
  <c r="N476" i="81"/>
  <c r="M476" i="81"/>
  <c r="H476" i="81"/>
  <c r="J476" i="81" s="1"/>
  <c r="F476" i="81"/>
  <c r="E476" i="81"/>
  <c r="D476" i="81"/>
  <c r="B476" i="81"/>
  <c r="N475" i="81"/>
  <c r="M475" i="81"/>
  <c r="H475" i="81"/>
  <c r="K475" i="81" s="1"/>
  <c r="F475" i="81"/>
  <c r="E475" i="81"/>
  <c r="D475" i="81"/>
  <c r="B475" i="81"/>
  <c r="N474" i="81"/>
  <c r="M474" i="81"/>
  <c r="H474" i="81"/>
  <c r="L474" i="81" s="1"/>
  <c r="F474" i="81"/>
  <c r="E474" i="81"/>
  <c r="D474" i="81"/>
  <c r="B474" i="81"/>
  <c r="N473" i="81"/>
  <c r="M473" i="81"/>
  <c r="H473" i="81"/>
  <c r="K473" i="81" s="1"/>
  <c r="F473" i="81"/>
  <c r="E473" i="81"/>
  <c r="D473" i="81"/>
  <c r="B473" i="81"/>
  <c r="A472" i="81"/>
  <c r="H472" i="81" s="1"/>
  <c r="A471" i="81"/>
  <c r="A470" i="81"/>
  <c r="H470" i="81" s="1"/>
  <c r="A469" i="81"/>
  <c r="H469" i="81" s="1"/>
  <c r="A468" i="81"/>
  <c r="H468" i="81" s="1"/>
  <c r="A467" i="81"/>
  <c r="H467" i="81" s="1"/>
  <c r="A466" i="81"/>
  <c r="H466" i="81" s="1"/>
  <c r="A465" i="81"/>
  <c r="H465" i="81" s="1"/>
  <c r="A464" i="81"/>
  <c r="H464" i="81" s="1"/>
  <c r="A463" i="81"/>
  <c r="H463" i="81" s="1"/>
  <c r="A462" i="81"/>
  <c r="H462" i="81" s="1"/>
  <c r="A461" i="81"/>
  <c r="H461" i="81" s="1"/>
  <c r="A460" i="81"/>
  <c r="A459" i="81"/>
  <c r="H459" i="81" s="1"/>
  <c r="A458" i="81"/>
  <c r="H458" i="81" s="1"/>
  <c r="A457" i="81"/>
  <c r="H457" i="81" s="1"/>
  <c r="N453" i="81"/>
  <c r="M453" i="81"/>
  <c r="H453" i="81"/>
  <c r="J453" i="81" s="1"/>
  <c r="F453" i="81"/>
  <c r="E453" i="81"/>
  <c r="D453" i="81"/>
  <c r="B453" i="81"/>
  <c r="N452" i="81"/>
  <c r="M452" i="81"/>
  <c r="H452" i="81"/>
  <c r="I452" i="81" s="1"/>
  <c r="F452" i="81"/>
  <c r="E452" i="81"/>
  <c r="D452" i="81"/>
  <c r="B452" i="81"/>
  <c r="N451" i="81"/>
  <c r="M451" i="81"/>
  <c r="H451" i="81"/>
  <c r="L451" i="81" s="1"/>
  <c r="F451" i="81"/>
  <c r="E451" i="81"/>
  <c r="D451" i="81"/>
  <c r="B451" i="81"/>
  <c r="N450" i="81"/>
  <c r="M450" i="81"/>
  <c r="H450" i="81"/>
  <c r="K450" i="81" s="1"/>
  <c r="F450" i="81"/>
  <c r="E450" i="81"/>
  <c r="D450" i="81"/>
  <c r="B450" i="81"/>
  <c r="N449" i="81"/>
  <c r="M449" i="81"/>
  <c r="H449" i="81"/>
  <c r="L449" i="81" s="1"/>
  <c r="F449" i="81"/>
  <c r="E449" i="81"/>
  <c r="D449" i="81"/>
  <c r="B449" i="81"/>
  <c r="N448" i="81"/>
  <c r="M448" i="81"/>
  <c r="H448" i="81"/>
  <c r="I448" i="81" s="1"/>
  <c r="F448" i="81"/>
  <c r="E448" i="81"/>
  <c r="D448" i="81"/>
  <c r="B448" i="81"/>
  <c r="N447" i="81"/>
  <c r="M447" i="81"/>
  <c r="H447" i="81"/>
  <c r="I447" i="81" s="1"/>
  <c r="F447" i="81"/>
  <c r="E447" i="81"/>
  <c r="D447" i="81"/>
  <c r="B447" i="81"/>
  <c r="N446" i="81"/>
  <c r="M446" i="81"/>
  <c r="H446" i="81"/>
  <c r="L446" i="81" s="1"/>
  <c r="F446" i="81"/>
  <c r="E446" i="81"/>
  <c r="D446" i="81"/>
  <c r="B446" i="81"/>
  <c r="N445" i="81"/>
  <c r="M445" i="81"/>
  <c r="H445" i="81"/>
  <c r="L445" i="81" s="1"/>
  <c r="F445" i="81"/>
  <c r="E445" i="81"/>
  <c r="D445" i="81"/>
  <c r="B445" i="81"/>
  <c r="N444" i="81"/>
  <c r="M444" i="81"/>
  <c r="H444" i="81"/>
  <c r="L444" i="81" s="1"/>
  <c r="F444" i="81"/>
  <c r="E444" i="81"/>
  <c r="D444" i="81"/>
  <c r="B444" i="81"/>
  <c r="N439" i="81"/>
  <c r="M439" i="81"/>
  <c r="H439" i="81"/>
  <c r="K439" i="81" s="1"/>
  <c r="F439" i="81"/>
  <c r="E439" i="81"/>
  <c r="D439" i="81"/>
  <c r="B439" i="81"/>
  <c r="N438" i="81"/>
  <c r="M438" i="81"/>
  <c r="H438" i="81"/>
  <c r="L438" i="81" s="1"/>
  <c r="F438" i="81"/>
  <c r="E438" i="81"/>
  <c r="D438" i="81"/>
  <c r="B438" i="81"/>
  <c r="A437" i="81"/>
  <c r="D437" i="81" s="1"/>
  <c r="A436" i="81"/>
  <c r="D436" i="81" s="1"/>
  <c r="A435" i="81"/>
  <c r="D435" i="81" s="1"/>
  <c r="A434" i="81"/>
  <c r="D434" i="81" s="1"/>
  <c r="A433" i="81"/>
  <c r="D433" i="81" s="1"/>
  <c r="A432" i="81"/>
  <c r="D432" i="81" s="1"/>
  <c r="A431" i="81"/>
  <c r="D431" i="81" s="1"/>
  <c r="A430" i="81"/>
  <c r="D430" i="81" s="1"/>
  <c r="A4086" i="81"/>
  <c r="A4071" i="81"/>
  <c r="A4070" i="81"/>
  <c r="A2043" i="81"/>
  <c r="A2042" i="81"/>
  <c r="A1172" i="81"/>
  <c r="A1158" i="81"/>
  <c r="A1135" i="81"/>
  <c r="A1134" i="81"/>
  <c r="A1133" i="81"/>
  <c r="A1121" i="81"/>
  <c r="A1120" i="81"/>
  <c r="A1109" i="81"/>
  <c r="A1108" i="81"/>
  <c r="A1107" i="81"/>
  <c r="A1106" i="81"/>
  <c r="A1054" i="81"/>
  <c r="A977" i="81"/>
  <c r="A951" i="81"/>
  <c r="A950" i="81"/>
  <c r="A873" i="81"/>
  <c r="A847" i="81"/>
  <c r="A846" i="81"/>
  <c r="A769" i="81"/>
  <c r="A743" i="81"/>
  <c r="A742" i="81"/>
  <c r="A717" i="81"/>
  <c r="A691" i="81"/>
  <c r="A690" i="81"/>
  <c r="A678" i="81"/>
  <c r="A677" i="81"/>
  <c r="A676" i="81"/>
  <c r="A675" i="81"/>
  <c r="A674" i="81"/>
  <c r="A673" i="81"/>
  <c r="A672" i="81"/>
  <c r="A671" i="81"/>
  <c r="A670" i="81"/>
  <c r="A669" i="81"/>
  <c r="A668" i="81"/>
  <c r="A667" i="81"/>
  <c r="A666" i="81"/>
  <c r="A665" i="81"/>
  <c r="A655" i="81"/>
  <c r="A654" i="81"/>
  <c r="A653" i="81"/>
  <c r="A652" i="81"/>
  <c r="A643" i="81"/>
  <c r="A642" i="81"/>
  <c r="A641" i="81"/>
  <c r="A640" i="81"/>
  <c r="A639" i="81"/>
  <c r="A638" i="81"/>
  <c r="A423" i="81"/>
  <c r="A422" i="81"/>
  <c r="A421" i="81"/>
  <c r="A420" i="81"/>
  <c r="A419" i="81"/>
  <c r="A418" i="81"/>
  <c r="A417" i="81"/>
  <c r="A416" i="81"/>
  <c r="A415" i="81"/>
  <c r="A414" i="81"/>
  <c r="A413" i="81"/>
  <c r="A412" i="81"/>
  <c r="A411" i="81"/>
  <c r="A410" i="81"/>
  <c r="A408" i="81"/>
  <c r="A407" i="81"/>
  <c r="A406" i="81"/>
  <c r="A405" i="81"/>
  <c r="A379" i="81"/>
  <c r="A378" i="81"/>
  <c r="A372" i="81"/>
  <c r="A371" i="81"/>
  <c r="A370" i="81"/>
  <c r="A369" i="81"/>
  <c r="A368" i="81"/>
  <c r="A367" i="81"/>
  <c r="A366" i="81"/>
  <c r="A365" i="81"/>
  <c r="A364" i="81"/>
  <c r="A363" i="81"/>
  <c r="A362" i="81"/>
  <c r="A361" i="81"/>
  <c r="A360" i="81"/>
  <c r="A359" i="81"/>
  <c r="A358" i="81"/>
  <c r="A357" i="81"/>
  <c r="A356" i="81"/>
  <c r="A355" i="81"/>
  <c r="A353" i="81"/>
  <c r="A317" i="81"/>
  <c r="A316" i="81"/>
  <c r="A312" i="81"/>
  <c r="A311" i="81"/>
  <c r="A310" i="81"/>
  <c r="A305" i="81"/>
  <c r="A304" i="81"/>
  <c r="A303" i="81"/>
  <c r="A302" i="81"/>
  <c r="A301" i="81"/>
  <c r="A274" i="81"/>
  <c r="A264" i="81"/>
  <c r="A263" i="81"/>
  <c r="A262" i="81"/>
  <c r="A261" i="81"/>
  <c r="A260" i="81"/>
  <c r="A259" i="81"/>
  <c r="A258" i="81"/>
  <c r="A257" i="81"/>
  <c r="A256" i="81"/>
  <c r="A255" i="81"/>
  <c r="A254" i="81"/>
  <c r="A253" i="81"/>
  <c r="A252" i="81"/>
  <c r="A251" i="81"/>
  <c r="A250" i="81"/>
  <c r="A249" i="81"/>
  <c r="A229" i="81"/>
  <c r="A228" i="81"/>
  <c r="A227" i="81"/>
  <c r="A226" i="81"/>
  <c r="A225" i="81"/>
  <c r="A224" i="81"/>
  <c r="A223" i="81"/>
  <c r="A222" i="81"/>
  <c r="A200" i="81"/>
  <c r="A199" i="81"/>
  <c r="A198" i="81"/>
  <c r="A197" i="81"/>
  <c r="A172" i="81"/>
  <c r="A171" i="81"/>
  <c r="A170" i="81"/>
  <c r="N4220" i="81"/>
  <c r="M4220" i="81"/>
  <c r="H4220" i="81"/>
  <c r="K4220" i="81" s="1"/>
  <c r="F4220" i="81"/>
  <c r="E4220" i="81"/>
  <c r="D4220" i="81"/>
  <c r="B4220" i="81"/>
  <c r="N4219" i="81"/>
  <c r="M4219" i="81"/>
  <c r="H4219" i="81"/>
  <c r="L4219" i="81" s="1"/>
  <c r="F4219" i="81"/>
  <c r="E4219" i="81"/>
  <c r="D4219" i="81"/>
  <c r="B4219" i="81"/>
  <c r="N4218" i="81"/>
  <c r="M4218" i="81"/>
  <c r="H4218" i="81"/>
  <c r="L4218" i="81" s="1"/>
  <c r="F4218" i="81"/>
  <c r="E4218" i="81"/>
  <c r="D4218" i="81"/>
  <c r="B4218" i="81"/>
  <c r="N4217" i="81"/>
  <c r="M4217" i="81"/>
  <c r="H4217" i="81"/>
  <c r="F4217" i="81"/>
  <c r="E4217" i="81"/>
  <c r="D4217" i="81"/>
  <c r="B4217" i="81"/>
  <c r="N4216" i="81"/>
  <c r="M4216" i="81"/>
  <c r="H4216" i="81"/>
  <c r="L4216" i="81" s="1"/>
  <c r="F4216" i="81"/>
  <c r="E4216" i="81"/>
  <c r="D4216" i="81"/>
  <c r="B4216" i="81"/>
  <c r="N4215" i="81"/>
  <c r="M4215" i="81"/>
  <c r="H4215" i="81"/>
  <c r="L4215" i="81" s="1"/>
  <c r="F4215" i="81"/>
  <c r="E4215" i="81"/>
  <c r="D4215" i="81"/>
  <c r="B4215" i="81"/>
  <c r="N4214" i="81"/>
  <c r="M4214" i="81"/>
  <c r="H4214" i="81"/>
  <c r="L4214" i="81" s="1"/>
  <c r="F4214" i="81"/>
  <c r="E4214" i="81"/>
  <c r="D4214" i="81"/>
  <c r="B4214" i="81"/>
  <c r="N4213" i="81"/>
  <c r="M4213" i="81"/>
  <c r="H4213" i="81"/>
  <c r="J4213" i="81" s="1"/>
  <c r="F4213" i="81"/>
  <c r="E4213" i="81"/>
  <c r="D4213" i="81"/>
  <c r="B4213" i="81"/>
  <c r="N4212" i="81"/>
  <c r="M4212" i="81"/>
  <c r="H4212" i="81"/>
  <c r="L4212" i="81" s="1"/>
  <c r="F4212" i="81"/>
  <c r="E4212" i="81"/>
  <c r="D4212" i="81"/>
  <c r="B4212" i="81"/>
  <c r="N4211" i="81"/>
  <c r="M4211" i="81"/>
  <c r="H4211" i="81"/>
  <c r="I4211" i="81" s="1"/>
  <c r="F4211" i="81"/>
  <c r="E4211" i="81"/>
  <c r="D4211" i="81"/>
  <c r="B4211" i="81"/>
  <c r="N4210" i="81"/>
  <c r="M4210" i="81"/>
  <c r="H4210" i="81"/>
  <c r="F4210" i="81"/>
  <c r="E4210" i="81"/>
  <c r="D4210" i="81"/>
  <c r="B4210" i="81"/>
  <c r="N4209" i="81"/>
  <c r="M4209" i="81"/>
  <c r="H4209" i="81"/>
  <c r="L4209" i="81" s="1"/>
  <c r="F4209" i="81"/>
  <c r="E4209" i="81"/>
  <c r="D4209" i="81"/>
  <c r="B4209" i="81"/>
  <c r="N4208" i="81"/>
  <c r="M4208" i="81"/>
  <c r="H4208" i="81"/>
  <c r="K4208" i="81" s="1"/>
  <c r="F4208" i="81"/>
  <c r="E4208" i="81"/>
  <c r="D4208" i="81"/>
  <c r="B4208" i="81"/>
  <c r="N4207" i="81"/>
  <c r="M4207" i="81"/>
  <c r="H4207" i="81"/>
  <c r="F4207" i="81"/>
  <c r="E4207" i="81"/>
  <c r="D4207" i="81"/>
  <c r="B4207" i="81"/>
  <c r="N4206" i="81"/>
  <c r="M4206" i="81"/>
  <c r="H4206" i="81"/>
  <c r="K4206" i="81" s="1"/>
  <c r="F4206" i="81"/>
  <c r="E4206" i="81"/>
  <c r="D4206" i="81"/>
  <c r="B4206" i="81"/>
  <c r="N4205" i="81"/>
  <c r="M4205" i="81"/>
  <c r="H4205" i="81"/>
  <c r="I4205" i="81" s="1"/>
  <c r="F4205" i="81"/>
  <c r="E4205" i="81"/>
  <c r="D4205" i="81"/>
  <c r="B4205" i="81"/>
  <c r="N4204" i="81"/>
  <c r="M4204" i="81"/>
  <c r="H4204" i="81"/>
  <c r="L4204" i="81" s="1"/>
  <c r="F4204" i="81"/>
  <c r="E4204" i="81"/>
  <c r="D4204" i="81"/>
  <c r="B4204" i="81"/>
  <c r="N4203" i="81"/>
  <c r="M4203" i="81"/>
  <c r="H4203" i="81"/>
  <c r="L4203" i="81" s="1"/>
  <c r="F4203" i="81"/>
  <c r="E4203" i="81"/>
  <c r="D4203" i="81"/>
  <c r="B4203" i="81"/>
  <c r="N4202" i="81"/>
  <c r="M4202" i="81"/>
  <c r="H4202" i="81"/>
  <c r="K4202" i="81" s="1"/>
  <c r="F4202" i="81"/>
  <c r="E4202" i="81"/>
  <c r="D4202" i="81"/>
  <c r="B4202" i="81"/>
  <c r="N4201" i="81"/>
  <c r="M4201" i="81"/>
  <c r="H4201" i="81"/>
  <c r="J4201" i="81" s="1"/>
  <c r="F4201" i="81"/>
  <c r="E4201" i="81"/>
  <c r="D4201" i="81"/>
  <c r="B4201" i="81"/>
  <c r="N4197" i="81"/>
  <c r="M4197" i="81"/>
  <c r="H4197" i="81"/>
  <c r="L4197" i="81" s="1"/>
  <c r="F4197" i="81"/>
  <c r="E4197" i="81"/>
  <c r="D4197" i="81"/>
  <c r="B4197" i="81"/>
  <c r="N4196" i="81"/>
  <c r="M4196" i="81"/>
  <c r="H4196" i="81"/>
  <c r="L4196" i="81" s="1"/>
  <c r="F4196" i="81"/>
  <c r="E4196" i="81"/>
  <c r="D4196" i="81"/>
  <c r="B4196" i="81"/>
  <c r="N4195" i="81"/>
  <c r="M4195" i="81"/>
  <c r="H4195" i="81"/>
  <c r="K4195" i="81" s="1"/>
  <c r="F4195" i="81"/>
  <c r="E4195" i="81"/>
  <c r="D4195" i="81"/>
  <c r="B4195" i="81"/>
  <c r="N4194" i="81"/>
  <c r="M4194" i="81"/>
  <c r="H4194" i="81"/>
  <c r="J4194" i="81" s="1"/>
  <c r="F4194" i="81"/>
  <c r="E4194" i="81"/>
  <c r="D4194" i="81"/>
  <c r="B4194" i="81"/>
  <c r="N4193" i="81"/>
  <c r="M4193" i="81"/>
  <c r="H4193" i="81"/>
  <c r="L4193" i="81" s="1"/>
  <c r="F4193" i="81"/>
  <c r="E4193" i="81"/>
  <c r="D4193" i="81"/>
  <c r="B4193" i="81"/>
  <c r="N4192" i="81"/>
  <c r="M4192" i="81"/>
  <c r="H4192" i="81"/>
  <c r="L4192" i="81" s="1"/>
  <c r="F4192" i="81"/>
  <c r="E4192" i="81"/>
  <c r="D4192" i="81"/>
  <c r="B4192" i="81"/>
  <c r="N4191" i="81"/>
  <c r="M4191" i="81"/>
  <c r="H4191" i="81"/>
  <c r="L4191" i="81" s="1"/>
  <c r="F4191" i="81"/>
  <c r="E4191" i="81"/>
  <c r="D4191" i="81"/>
  <c r="B4191" i="81"/>
  <c r="N4190" i="81"/>
  <c r="M4190" i="81"/>
  <c r="H4190" i="81"/>
  <c r="L4190" i="81" s="1"/>
  <c r="F4190" i="81"/>
  <c r="E4190" i="81"/>
  <c r="D4190" i="81"/>
  <c r="B4190" i="81"/>
  <c r="N4189" i="81"/>
  <c r="M4189" i="81"/>
  <c r="H4189" i="81"/>
  <c r="K4189" i="81" s="1"/>
  <c r="F4189" i="81"/>
  <c r="E4189" i="81"/>
  <c r="D4189" i="81"/>
  <c r="B4189" i="81"/>
  <c r="N4188" i="81"/>
  <c r="M4188" i="81"/>
  <c r="H4188" i="81"/>
  <c r="L4188" i="81" s="1"/>
  <c r="F4188" i="81"/>
  <c r="E4188" i="81"/>
  <c r="D4188" i="81"/>
  <c r="B4188" i="81"/>
  <c r="N4183" i="81"/>
  <c r="M4183" i="81"/>
  <c r="H4183" i="81"/>
  <c r="F4183" i="81"/>
  <c r="E4183" i="81"/>
  <c r="D4183" i="81"/>
  <c r="B4183" i="81"/>
  <c r="N4182" i="81"/>
  <c r="M4182" i="81"/>
  <c r="H4182" i="81"/>
  <c r="L4182" i="81" s="1"/>
  <c r="F4182" i="81"/>
  <c r="E4182" i="81"/>
  <c r="D4182" i="81"/>
  <c r="B4182" i="81"/>
  <c r="N4181" i="81"/>
  <c r="M4181" i="81"/>
  <c r="H4181" i="81"/>
  <c r="K4181" i="81" s="1"/>
  <c r="F4181" i="81"/>
  <c r="E4181" i="81"/>
  <c r="D4181" i="81"/>
  <c r="B4181" i="81"/>
  <c r="N4180" i="81"/>
  <c r="M4180" i="81"/>
  <c r="H4180" i="81"/>
  <c r="L4180" i="81" s="1"/>
  <c r="F4180" i="81"/>
  <c r="E4180" i="81"/>
  <c r="D4180" i="81"/>
  <c r="B4180" i="81"/>
  <c r="N4179" i="81"/>
  <c r="M4179" i="81"/>
  <c r="H4179" i="81"/>
  <c r="L4179" i="81" s="1"/>
  <c r="F4179" i="81"/>
  <c r="E4179" i="81"/>
  <c r="D4179" i="81"/>
  <c r="B4179" i="81"/>
  <c r="N4178" i="81"/>
  <c r="M4178" i="81"/>
  <c r="H4178" i="81"/>
  <c r="K4178" i="81" s="1"/>
  <c r="F4178" i="81"/>
  <c r="E4178" i="81"/>
  <c r="D4178" i="81"/>
  <c r="B4178" i="81"/>
  <c r="N4177" i="81"/>
  <c r="M4177" i="81"/>
  <c r="H4177" i="81"/>
  <c r="L4177" i="81" s="1"/>
  <c r="F4177" i="81"/>
  <c r="E4177" i="81"/>
  <c r="D4177" i="81"/>
  <c r="B4177" i="81"/>
  <c r="N4176" i="81"/>
  <c r="M4176" i="81"/>
  <c r="H4176" i="81"/>
  <c r="K4176" i="81" s="1"/>
  <c r="F4176" i="81"/>
  <c r="E4176" i="81"/>
  <c r="D4176" i="81"/>
  <c r="B4176" i="81"/>
  <c r="A4175" i="81"/>
  <c r="B4175" i="81" s="1"/>
  <c r="A4174" i="81"/>
  <c r="B4174" i="81" s="1"/>
  <c r="A4172" i="81"/>
  <c r="G4172" i="81" s="1"/>
  <c r="U4172" i="81" s="1"/>
  <c r="N632" i="81" l="1"/>
  <c r="I526" i="81"/>
  <c r="N526" i="81"/>
  <c r="E532" i="81"/>
  <c r="E584" i="81"/>
  <c r="O532" i="81"/>
  <c r="O4120" i="81"/>
  <c r="P4120" i="81" s="1"/>
  <c r="G4120" i="81"/>
  <c r="U4120" i="81" s="1"/>
  <c r="G584" i="81"/>
  <c r="U584" i="81" s="1"/>
  <c r="O584" i="81"/>
  <c r="O480" i="81"/>
  <c r="E1780" i="81"/>
  <c r="G1780" i="81"/>
  <c r="U1780" i="81" s="1"/>
  <c r="G428" i="81"/>
  <c r="U428" i="81" s="1"/>
  <c r="G1728" i="81"/>
  <c r="U1728" i="81" s="1"/>
  <c r="O1780" i="81"/>
  <c r="B428" i="81"/>
  <c r="E428" i="81"/>
  <c r="P428" i="81" s="1"/>
  <c r="O1728" i="81"/>
  <c r="P1728" i="81" s="1"/>
  <c r="B480" i="81"/>
  <c r="D514" i="81"/>
  <c r="B574" i="81"/>
  <c r="E619" i="81"/>
  <c r="F619" i="81" s="1"/>
  <c r="B532" i="81"/>
  <c r="B524" i="81"/>
  <c r="E518" i="81"/>
  <c r="F518" i="81" s="1"/>
  <c r="M567" i="81"/>
  <c r="M472" i="81"/>
  <c r="B522" i="81"/>
  <c r="B514" i="81"/>
  <c r="E480" i="81"/>
  <c r="B4120" i="81"/>
  <c r="I1804" i="81"/>
  <c r="J1804" i="81"/>
  <c r="K1804" i="81"/>
  <c r="L1798" i="81"/>
  <c r="K4141" i="81"/>
  <c r="L4141" i="81"/>
  <c r="I4140" i="81"/>
  <c r="J4156" i="81"/>
  <c r="I1761" i="81"/>
  <c r="K1798" i="81"/>
  <c r="J557" i="81"/>
  <c r="L476" i="81"/>
  <c r="K452" i="81"/>
  <c r="J1759" i="81"/>
  <c r="I1762" i="81"/>
  <c r="K1772" i="81"/>
  <c r="J1801" i="81"/>
  <c r="L1759" i="81"/>
  <c r="J1762" i="81"/>
  <c r="J526" i="81"/>
  <c r="K526" i="81" s="1"/>
  <c r="K474" i="81"/>
  <c r="K1791" i="81"/>
  <c r="J4159" i="81"/>
  <c r="J446" i="81"/>
  <c r="K451" i="81"/>
  <c r="L552" i="81"/>
  <c r="J1811" i="81"/>
  <c r="K4153" i="81"/>
  <c r="L4153" i="81"/>
  <c r="K505" i="81"/>
  <c r="L4181" i="81"/>
  <c r="J552" i="81"/>
  <c r="I1798" i="81"/>
  <c r="I1801" i="81"/>
  <c r="L1818" i="81"/>
  <c r="E573" i="81"/>
  <c r="F573" i="81" s="1"/>
  <c r="J439" i="81"/>
  <c r="J474" i="81"/>
  <c r="D518" i="81"/>
  <c r="I608" i="81"/>
  <c r="K1815" i="81"/>
  <c r="J4153" i="81"/>
  <c r="I4156" i="81"/>
  <c r="K4159" i="81"/>
  <c r="I632" i="81"/>
  <c r="D1730" i="81"/>
  <c r="J4164" i="81"/>
  <c r="E578" i="81"/>
  <c r="F578" i="81" s="1"/>
  <c r="I602" i="81"/>
  <c r="M1730" i="81"/>
  <c r="I1790" i="81"/>
  <c r="I1803" i="81"/>
  <c r="I1817" i="81"/>
  <c r="I1827" i="81"/>
  <c r="M465" i="81"/>
  <c r="E519" i="81"/>
  <c r="F519" i="81" s="1"/>
  <c r="L537" i="81"/>
  <c r="M578" i="81"/>
  <c r="J602" i="81"/>
  <c r="J607" i="81"/>
  <c r="J1790" i="81"/>
  <c r="K1790" i="81"/>
  <c r="J452" i="81"/>
  <c r="I592" i="81"/>
  <c r="K4160" i="81"/>
  <c r="M459" i="81"/>
  <c r="L475" i="81"/>
  <c r="K541" i="81"/>
  <c r="L1737" i="81"/>
  <c r="M4137" i="81"/>
  <c r="N4137" i="81" s="1"/>
  <c r="L4160" i="81"/>
  <c r="L541" i="81"/>
  <c r="H576" i="81"/>
  <c r="J576" i="81" s="1"/>
  <c r="M587" i="81"/>
  <c r="J487" i="81"/>
  <c r="K501" i="81"/>
  <c r="I445" i="81"/>
  <c r="I475" i="81"/>
  <c r="E512" i="81"/>
  <c r="F512" i="81" s="1"/>
  <c r="I552" i="81"/>
  <c r="H562" i="81"/>
  <c r="J562" i="81" s="1"/>
  <c r="B622" i="81"/>
  <c r="M463" i="81"/>
  <c r="K489" i="81"/>
  <c r="I503" i="81"/>
  <c r="I551" i="81"/>
  <c r="I588" i="81"/>
  <c r="K605" i="81"/>
  <c r="L588" i="81"/>
  <c r="M457" i="81"/>
  <c r="L483" i="81"/>
  <c r="I528" i="81"/>
  <c r="K554" i="81"/>
  <c r="K557" i="81"/>
  <c r="E574" i="81"/>
  <c r="F574" i="81" s="1"/>
  <c r="B586" i="81"/>
  <c r="N586" i="81" s="1"/>
  <c r="L452" i="81"/>
  <c r="J473" i="81"/>
  <c r="L554" i="81"/>
  <c r="M574" i="81"/>
  <c r="M1731" i="81"/>
  <c r="K1768" i="81"/>
  <c r="J1774" i="81"/>
  <c r="L4140" i="81"/>
  <c r="L4155" i="81"/>
  <c r="I1759" i="81"/>
  <c r="L1768" i="81"/>
  <c r="K1774" i="81"/>
  <c r="I1815" i="81"/>
  <c r="U532" i="81"/>
  <c r="L1812" i="81"/>
  <c r="J4125" i="81"/>
  <c r="J4145" i="81"/>
  <c r="K4161" i="81"/>
  <c r="I1747" i="81"/>
  <c r="K4125" i="81"/>
  <c r="B1730" i="81"/>
  <c r="J1747" i="81"/>
  <c r="L4125" i="81"/>
  <c r="K1747" i="81"/>
  <c r="J1737" i="81"/>
  <c r="J4144" i="81"/>
  <c r="I4150" i="81"/>
  <c r="I4159" i="81"/>
  <c r="L4166" i="81"/>
  <c r="I1822" i="81"/>
  <c r="B1731" i="81"/>
  <c r="K1749" i="81"/>
  <c r="B1809" i="81"/>
  <c r="I1819" i="81"/>
  <c r="K1827" i="81"/>
  <c r="K4129" i="81"/>
  <c r="J4140" i="81"/>
  <c r="I4152" i="81"/>
  <c r="I4165" i="81"/>
  <c r="I4168" i="81"/>
  <c r="L1739" i="81"/>
  <c r="J1768" i="81"/>
  <c r="I1774" i="81"/>
  <c r="M1809" i="81"/>
  <c r="J1819" i="81"/>
  <c r="L1827" i="81"/>
  <c r="L4165" i="81"/>
  <c r="J4168" i="81"/>
  <c r="O4172" i="81"/>
  <c r="B4172" i="81"/>
  <c r="E4172" i="81"/>
  <c r="B1728" i="81"/>
  <c r="I4181" i="81"/>
  <c r="I4215" i="81"/>
  <c r="K550" i="81"/>
  <c r="L550" i="81"/>
  <c r="J550" i="81"/>
  <c r="I550" i="81"/>
  <c r="I553" i="81"/>
  <c r="L553" i="81"/>
  <c r="L595" i="81"/>
  <c r="K595" i="81"/>
  <c r="J595" i="81"/>
  <c r="J484" i="81"/>
  <c r="M577" i="81"/>
  <c r="H577" i="81"/>
  <c r="J577" i="81" s="1"/>
  <c r="D577" i="81"/>
  <c r="B577" i="81"/>
  <c r="I595" i="81"/>
  <c r="H626" i="81"/>
  <c r="J626" i="81" s="1"/>
  <c r="M626" i="81"/>
  <c r="L1785" i="81"/>
  <c r="K1785" i="81"/>
  <c r="I1785" i="81"/>
  <c r="L556" i="81"/>
  <c r="I556" i="81"/>
  <c r="J449" i="81"/>
  <c r="K449" i="81"/>
  <c r="I449" i="81"/>
  <c r="D520" i="81"/>
  <c r="E520" i="81"/>
  <c r="F520" i="81" s="1"/>
  <c r="J604" i="81"/>
  <c r="L604" i="81"/>
  <c r="K604" i="81"/>
  <c r="I604" i="81"/>
  <c r="I500" i="81"/>
  <c r="L500" i="81"/>
  <c r="K500" i="81"/>
  <c r="L601" i="81"/>
  <c r="I601" i="81"/>
  <c r="L538" i="81"/>
  <c r="J538" i="81"/>
  <c r="H568" i="81"/>
  <c r="J568" i="81" s="1"/>
  <c r="M568" i="81"/>
  <c r="M467" i="81"/>
  <c r="H564" i="81"/>
  <c r="J564" i="81" s="1"/>
  <c r="E564" i="81"/>
  <c r="F564" i="81" s="1"/>
  <c r="M629" i="81"/>
  <c r="D629" i="81"/>
  <c r="E616" i="81"/>
  <c r="F616" i="81" s="1"/>
  <c r="M616" i="81"/>
  <c r="L606" i="81"/>
  <c r="H460" i="81"/>
  <c r="M460" i="81"/>
  <c r="L591" i="81"/>
  <c r="I591" i="81"/>
  <c r="L4208" i="81"/>
  <c r="J438" i="81"/>
  <c r="K438" i="81"/>
  <c r="I438" i="81"/>
  <c r="E566" i="81"/>
  <c r="F566" i="81" s="1"/>
  <c r="M566" i="81"/>
  <c r="H566" i="81"/>
  <c r="L566" i="81" s="1"/>
  <c r="D566" i="81"/>
  <c r="B566" i="81"/>
  <c r="D631" i="81"/>
  <c r="M631" i="81"/>
  <c r="N631" i="81" s="1"/>
  <c r="H631" i="81"/>
  <c r="J631" i="81" s="1"/>
  <c r="E631" i="81"/>
  <c r="F631" i="81" s="1"/>
  <c r="L447" i="81"/>
  <c r="K447" i="81"/>
  <c r="J447" i="81"/>
  <c r="H471" i="81"/>
  <c r="M471" i="81"/>
  <c r="I446" i="81"/>
  <c r="M469" i="81"/>
  <c r="I486" i="81"/>
  <c r="I501" i="81"/>
  <c r="K504" i="81"/>
  <c r="H509" i="81"/>
  <c r="L509" i="81" s="1"/>
  <c r="B516" i="81"/>
  <c r="I537" i="81"/>
  <c r="I543" i="81"/>
  <c r="J588" i="81"/>
  <c r="E513" i="81"/>
  <c r="F513" i="81" s="1"/>
  <c r="L578" i="81"/>
  <c r="H624" i="81"/>
  <c r="J624" i="81" s="1"/>
  <c r="M466" i="81"/>
  <c r="I474" i="81"/>
  <c r="L490" i="81"/>
  <c r="K499" i="81"/>
  <c r="D574" i="81"/>
  <c r="D578" i="81"/>
  <c r="B619" i="81"/>
  <c r="N619" i="81" s="1"/>
  <c r="H630" i="81"/>
  <c r="J1773" i="81"/>
  <c r="L1773" i="81"/>
  <c r="K1773" i="81"/>
  <c r="I1789" i="81"/>
  <c r="H1810" i="81"/>
  <c r="J1810" i="81" s="1"/>
  <c r="M1810" i="81"/>
  <c r="E1810" i="81"/>
  <c r="F1810" i="81" s="1"/>
  <c r="I1773" i="81"/>
  <c r="B1810" i="81"/>
  <c r="L4124" i="81"/>
  <c r="K4124" i="81"/>
  <c r="J4124" i="81"/>
  <c r="I4124" i="81"/>
  <c r="M1757" i="81"/>
  <c r="H1757" i="81"/>
  <c r="J1757" i="81" s="1"/>
  <c r="D1757" i="81"/>
  <c r="K1762" i="81"/>
  <c r="K1801" i="81"/>
  <c r="L1815" i="81"/>
  <c r="K1819" i="81"/>
  <c r="J1822" i="81"/>
  <c r="K4145" i="81"/>
  <c r="K4164" i="81"/>
  <c r="J1733" i="81"/>
  <c r="J1818" i="81"/>
  <c r="K1822" i="81"/>
  <c r="J4141" i="81"/>
  <c r="L4156" i="81"/>
  <c r="J4160" i="81"/>
  <c r="L4168" i="81"/>
  <c r="I1736" i="81"/>
  <c r="I1771" i="81"/>
  <c r="I1825" i="81"/>
  <c r="I4130" i="81"/>
  <c r="I1735" i="81"/>
  <c r="J1736" i="81"/>
  <c r="I1750" i="81"/>
  <c r="J1771" i="81"/>
  <c r="I1776" i="81"/>
  <c r="I1787" i="81"/>
  <c r="I1796" i="81"/>
  <c r="I1813" i="81"/>
  <c r="J1825" i="81"/>
  <c r="J4130" i="81"/>
  <c r="J1735" i="81"/>
  <c r="K1736" i="81"/>
  <c r="J1750" i="81"/>
  <c r="I1753" i="81"/>
  <c r="I1764" i="81"/>
  <c r="K1771" i="81"/>
  <c r="K1776" i="81"/>
  <c r="J1787" i="81"/>
  <c r="K1796" i="81"/>
  <c r="K1803" i="81"/>
  <c r="E1809" i="81"/>
  <c r="I1809" i="81" s="1"/>
  <c r="J1813" i="81"/>
  <c r="K1817" i="81"/>
  <c r="I1824" i="81"/>
  <c r="K1825" i="81"/>
  <c r="K4130" i="81"/>
  <c r="B4136" i="81"/>
  <c r="K4154" i="81"/>
  <c r="D1731" i="81"/>
  <c r="K1735" i="81"/>
  <c r="I1739" i="81"/>
  <c r="L1750" i="81"/>
  <c r="J1753" i="81"/>
  <c r="K1760" i="81"/>
  <c r="K1764" i="81"/>
  <c r="L1776" i="81"/>
  <c r="K1787" i="81"/>
  <c r="L1803" i="81"/>
  <c r="I1812" i="81"/>
  <c r="K1813" i="81"/>
  <c r="K1824" i="81"/>
  <c r="I4129" i="81"/>
  <c r="J1739" i="81"/>
  <c r="K1753" i="81"/>
  <c r="L1764" i="81"/>
  <c r="K1812" i="81"/>
  <c r="L1824" i="81"/>
  <c r="J4152" i="81"/>
  <c r="J4157" i="81"/>
  <c r="J4165" i="81"/>
  <c r="I4145" i="81"/>
  <c r="K4152" i="81"/>
  <c r="K4157" i="81"/>
  <c r="I4164" i="81"/>
  <c r="J450" i="81"/>
  <c r="M458" i="81"/>
  <c r="M464" i="81"/>
  <c r="M470" i="81"/>
  <c r="D482" i="81"/>
  <c r="I488" i="81"/>
  <c r="L489" i="81"/>
  <c r="L501" i="81"/>
  <c r="J528" i="81"/>
  <c r="B535" i="81"/>
  <c r="N535" i="81" s="1"/>
  <c r="I536" i="81"/>
  <c r="J551" i="81"/>
  <c r="J556" i="81"/>
  <c r="L557" i="81"/>
  <c r="D563" i="81"/>
  <c r="B569" i="81"/>
  <c r="N569" i="81" s="1"/>
  <c r="B579" i="81"/>
  <c r="N579" i="81" s="1"/>
  <c r="L589" i="81"/>
  <c r="J592" i="81"/>
  <c r="K608" i="81"/>
  <c r="B613" i="81"/>
  <c r="N613" i="81" s="1"/>
  <c r="E617" i="81"/>
  <c r="F617" i="81" s="1"/>
  <c r="J632" i="81"/>
  <c r="K632" i="81" s="1"/>
  <c r="M482" i="81"/>
  <c r="N482" i="81" s="1"/>
  <c r="J488" i="81"/>
  <c r="L528" i="81"/>
  <c r="K536" i="81"/>
  <c r="K551" i="81"/>
  <c r="K556" i="81"/>
  <c r="E563" i="81"/>
  <c r="F563" i="81" s="1"/>
  <c r="D565" i="81"/>
  <c r="H569" i="81"/>
  <c r="J569" i="81" s="1"/>
  <c r="D579" i="81"/>
  <c r="L608" i="81"/>
  <c r="E613" i="81"/>
  <c r="F613" i="81" s="1"/>
  <c r="H617" i="81"/>
  <c r="K488" i="81"/>
  <c r="I499" i="81"/>
  <c r="I504" i="81"/>
  <c r="B512" i="81"/>
  <c r="I527" i="81"/>
  <c r="D535" i="81"/>
  <c r="L536" i="81"/>
  <c r="E565" i="81"/>
  <c r="F565" i="81" s="1"/>
  <c r="E579" i="81"/>
  <c r="F579" i="81" s="1"/>
  <c r="K476" i="81"/>
  <c r="I484" i="81"/>
  <c r="I487" i="81"/>
  <c r="J499" i="81"/>
  <c r="J504" i="81"/>
  <c r="L527" i="81"/>
  <c r="K543" i="81"/>
  <c r="H565" i="81"/>
  <c r="L565" i="81" s="1"/>
  <c r="B567" i="81"/>
  <c r="B587" i="81"/>
  <c r="I594" i="81"/>
  <c r="I606" i="81"/>
  <c r="J4206" i="81"/>
  <c r="K4193" i="81"/>
  <c r="K453" i="81"/>
  <c r="J475" i="81"/>
  <c r="I498" i="81"/>
  <c r="J503" i="81"/>
  <c r="B509" i="81"/>
  <c r="N509" i="81" s="1"/>
  <c r="B520" i="81"/>
  <c r="D524" i="81"/>
  <c r="K539" i="81"/>
  <c r="B564" i="81"/>
  <c r="M565" i="81"/>
  <c r="N565" i="81" s="1"/>
  <c r="D567" i="81"/>
  <c r="D571" i="81"/>
  <c r="H580" i="81"/>
  <c r="J580" i="81" s="1"/>
  <c r="L594" i="81"/>
  <c r="I605" i="81"/>
  <c r="J606" i="81"/>
  <c r="F622" i="81"/>
  <c r="D626" i="81"/>
  <c r="E630" i="81"/>
  <c r="L448" i="81"/>
  <c r="L453" i="81"/>
  <c r="M461" i="81"/>
  <c r="J491" i="81"/>
  <c r="J498" i="81"/>
  <c r="K503" i="81"/>
  <c r="D509" i="81"/>
  <c r="L526" i="81"/>
  <c r="I554" i="81"/>
  <c r="E562" i="81"/>
  <c r="F562" i="81" s="1"/>
  <c r="D564" i="81"/>
  <c r="B578" i="81"/>
  <c r="J605" i="81"/>
  <c r="H622" i="81"/>
  <c r="I622" i="81" s="1"/>
  <c r="I451" i="81"/>
  <c r="M462" i="81"/>
  <c r="M468" i="81"/>
  <c r="I490" i="81"/>
  <c r="J502" i="81"/>
  <c r="B525" i="81"/>
  <c r="I541" i="81"/>
  <c r="B572" i="81"/>
  <c r="B616" i="81"/>
  <c r="D623" i="81"/>
  <c r="J451" i="81"/>
  <c r="K490" i="81"/>
  <c r="I497" i="81"/>
  <c r="K538" i="81"/>
  <c r="J553" i="81"/>
  <c r="M564" i="81"/>
  <c r="L1814" i="81"/>
  <c r="J1814" i="81"/>
  <c r="I1814" i="81"/>
  <c r="K1814" i="81"/>
  <c r="I1769" i="81"/>
  <c r="L1769" i="81"/>
  <c r="K1769" i="81"/>
  <c r="J1769" i="81"/>
  <c r="K1744" i="81"/>
  <c r="I1744" i="81"/>
  <c r="L1744" i="81"/>
  <c r="J1744" i="81"/>
  <c r="B1758" i="81"/>
  <c r="M1758" i="81"/>
  <c r="H1758" i="81"/>
  <c r="D1758" i="81"/>
  <c r="J1732" i="81"/>
  <c r="L1732" i="81"/>
  <c r="I1732" i="81"/>
  <c r="E1758" i="81"/>
  <c r="F1758" i="81" s="1"/>
  <c r="J1770" i="81"/>
  <c r="L1770" i="81"/>
  <c r="I1770" i="81"/>
  <c r="L1805" i="81"/>
  <c r="J1805" i="81"/>
  <c r="I1805" i="81"/>
  <c r="K1805" i="81"/>
  <c r="J1800" i="81"/>
  <c r="L1800" i="81"/>
  <c r="I1800" i="81"/>
  <c r="J1738" i="81"/>
  <c r="L1738" i="81"/>
  <c r="K1738" i="81"/>
  <c r="I1738" i="81"/>
  <c r="K1784" i="81"/>
  <c r="I1784" i="81"/>
  <c r="L1784" i="81"/>
  <c r="J1784" i="81"/>
  <c r="K1800" i="81"/>
  <c r="I1733" i="81"/>
  <c r="K1734" i="81"/>
  <c r="L1745" i="81"/>
  <c r="J1745" i="81"/>
  <c r="L1746" i="81"/>
  <c r="L1751" i="81"/>
  <c r="I1751" i="81"/>
  <c r="L1752" i="81"/>
  <c r="K1765" i="81"/>
  <c r="I1765" i="81"/>
  <c r="L1733" i="81"/>
  <c r="K1745" i="81"/>
  <c r="K1751" i="81"/>
  <c r="L1765" i="81"/>
  <c r="J1789" i="81"/>
  <c r="L1789" i="81"/>
  <c r="L1775" i="81"/>
  <c r="I1775" i="81"/>
  <c r="B1783" i="81"/>
  <c r="M1783" i="81"/>
  <c r="I1799" i="81"/>
  <c r="K1799" i="81"/>
  <c r="K1821" i="81"/>
  <c r="J1821" i="81"/>
  <c r="L1821" i="81"/>
  <c r="L1826" i="81"/>
  <c r="J1826" i="81"/>
  <c r="I1826" i="81"/>
  <c r="H4138" i="81"/>
  <c r="E4138" i="81"/>
  <c r="F4138" i="81" s="1"/>
  <c r="D4138" i="81"/>
  <c r="M4138" i="81"/>
  <c r="B4138" i="81"/>
  <c r="I1749" i="81"/>
  <c r="B1757" i="81"/>
  <c r="L1763" i="81"/>
  <c r="I1763" i="81"/>
  <c r="J1775" i="81"/>
  <c r="D1783" i="81"/>
  <c r="I1788" i="81"/>
  <c r="K1788" i="81"/>
  <c r="J1799" i="81"/>
  <c r="I1821" i="81"/>
  <c r="K1826" i="81"/>
  <c r="L4151" i="81"/>
  <c r="K4151" i="81"/>
  <c r="I4151" i="81"/>
  <c r="K1737" i="81"/>
  <c r="J1748" i="81"/>
  <c r="L1749" i="81"/>
  <c r="E1757" i="81"/>
  <c r="K1763" i="81"/>
  <c r="I1767" i="81"/>
  <c r="L1788" i="81"/>
  <c r="L1811" i="81"/>
  <c r="I1811" i="81"/>
  <c r="L1816" i="81"/>
  <c r="K1816" i="81"/>
  <c r="I1816" i="81"/>
  <c r="J4151" i="81"/>
  <c r="K1748" i="81"/>
  <c r="J1767" i="81"/>
  <c r="K1797" i="81"/>
  <c r="I1797" i="81"/>
  <c r="J1820" i="81"/>
  <c r="I1820" i="81"/>
  <c r="K1820" i="81"/>
  <c r="L1748" i="81"/>
  <c r="L1766" i="81"/>
  <c r="J1766" i="81"/>
  <c r="L1767" i="81"/>
  <c r="B1782" i="81"/>
  <c r="M1782" i="81"/>
  <c r="K1786" i="81"/>
  <c r="I1786" i="81"/>
  <c r="J1797" i="81"/>
  <c r="L1802" i="81"/>
  <c r="I1802" i="81"/>
  <c r="L1820" i="81"/>
  <c r="I1734" i="81"/>
  <c r="I1746" i="81"/>
  <c r="I1752" i="81"/>
  <c r="K1761" i="81"/>
  <c r="I1766" i="81"/>
  <c r="L1772" i="81"/>
  <c r="I1772" i="81"/>
  <c r="D1782" i="81"/>
  <c r="J1786" i="81"/>
  <c r="L1791" i="81"/>
  <c r="I1791" i="81"/>
  <c r="L1797" i="81"/>
  <c r="J1802" i="81"/>
  <c r="L1828" i="81"/>
  <c r="K1828" i="81"/>
  <c r="I1828" i="81"/>
  <c r="J1734" i="81"/>
  <c r="J1746" i="81"/>
  <c r="K1752" i="81"/>
  <c r="L1760" i="81"/>
  <c r="I1760" i="81"/>
  <c r="L1761" i="81"/>
  <c r="K1766" i="81"/>
  <c r="L1786" i="81"/>
  <c r="K1802" i="81"/>
  <c r="L1823" i="81"/>
  <c r="K1823" i="81"/>
  <c r="I1823" i="81"/>
  <c r="L4128" i="81"/>
  <c r="K4128" i="81"/>
  <c r="J4128" i="81"/>
  <c r="I4128" i="81"/>
  <c r="I1818" i="81"/>
  <c r="B4123" i="81"/>
  <c r="L4131" i="81"/>
  <c r="H4136" i="81"/>
  <c r="J4139" i="81"/>
  <c r="I4139" i="81"/>
  <c r="J1785" i="81"/>
  <c r="J1796" i="81"/>
  <c r="J1817" i="81"/>
  <c r="M4122" i="81"/>
  <c r="N4122" i="81" s="1"/>
  <c r="J4129" i="81"/>
  <c r="L4139" i="81"/>
  <c r="K4143" i="81"/>
  <c r="J4143" i="81"/>
  <c r="D1809" i="81"/>
  <c r="K1809" i="81" s="1"/>
  <c r="D1810" i="81"/>
  <c r="D4122" i="81"/>
  <c r="L4143" i="81"/>
  <c r="K4150" i="81"/>
  <c r="J4150" i="81"/>
  <c r="K4155" i="81"/>
  <c r="J4155" i="81"/>
  <c r="H4137" i="81"/>
  <c r="E4137" i="81"/>
  <c r="F4137" i="81" s="1"/>
  <c r="D4137" i="81"/>
  <c r="K4127" i="81"/>
  <c r="J4127" i="81"/>
  <c r="L4142" i="81"/>
  <c r="J4142" i="81"/>
  <c r="I4142" i="81"/>
  <c r="L4163" i="81"/>
  <c r="K4163" i="81"/>
  <c r="J4163" i="81"/>
  <c r="I4127" i="81"/>
  <c r="K4142" i="81"/>
  <c r="J4154" i="81"/>
  <c r="I4154" i="81"/>
  <c r="I4163" i="81"/>
  <c r="L4127" i="81"/>
  <c r="E4136" i="81"/>
  <c r="F4136" i="81" s="1"/>
  <c r="M4136" i="81"/>
  <c r="L4149" i="81"/>
  <c r="J4149" i="81"/>
  <c r="I4149" i="81"/>
  <c r="J4158" i="81"/>
  <c r="I4158" i="81"/>
  <c r="K4167" i="81"/>
  <c r="J4167" i="81"/>
  <c r="J4126" i="81"/>
  <c r="I4126" i="81"/>
  <c r="K4126" i="81"/>
  <c r="J4131" i="81"/>
  <c r="L4158" i="81"/>
  <c r="K4162" i="81"/>
  <c r="J4162" i="81"/>
  <c r="I4162" i="81"/>
  <c r="L4167" i="81"/>
  <c r="M4123" i="81"/>
  <c r="L4126" i="81"/>
  <c r="K4131" i="81"/>
  <c r="L4144" i="81"/>
  <c r="K4144" i="81"/>
  <c r="J4166" i="81"/>
  <c r="I4166" i="81"/>
  <c r="L4157" i="81"/>
  <c r="I4161" i="81"/>
  <c r="J4161" i="81"/>
  <c r="I4178" i="81"/>
  <c r="L4213" i="81"/>
  <c r="J458" i="81"/>
  <c r="J464" i="81"/>
  <c r="J470" i="81"/>
  <c r="J459" i="81"/>
  <c r="J465" i="81"/>
  <c r="J466" i="81"/>
  <c r="J472" i="81"/>
  <c r="J461" i="81"/>
  <c r="J467" i="81"/>
  <c r="J462" i="81"/>
  <c r="J468" i="81"/>
  <c r="L4211" i="81"/>
  <c r="J457" i="81"/>
  <c r="J463" i="81"/>
  <c r="J469" i="81"/>
  <c r="L439" i="81"/>
  <c r="J448" i="81"/>
  <c r="L450" i="81"/>
  <c r="L473" i="81"/>
  <c r="J489" i="81"/>
  <c r="L491" i="81"/>
  <c r="J500" i="81"/>
  <c r="L502" i="81"/>
  <c r="D561" i="81"/>
  <c r="B561" i="81"/>
  <c r="D573" i="81"/>
  <c r="K448" i="81"/>
  <c r="M511" i="81"/>
  <c r="N511" i="81" s="1"/>
  <c r="H511" i="81"/>
  <c r="M517" i="81"/>
  <c r="N517" i="81" s="1"/>
  <c r="H517" i="81"/>
  <c r="M523" i="81"/>
  <c r="N523" i="81" s="1"/>
  <c r="H523" i="81"/>
  <c r="H570" i="81"/>
  <c r="E570" i="81"/>
  <c r="F570" i="81" s="1"/>
  <c r="B570" i="81"/>
  <c r="B575" i="81"/>
  <c r="M575" i="81"/>
  <c r="M430" i="81"/>
  <c r="M431" i="81"/>
  <c r="M432" i="81"/>
  <c r="M433" i="81"/>
  <c r="M434" i="81"/>
  <c r="M435" i="81"/>
  <c r="M436" i="81"/>
  <c r="M437" i="81"/>
  <c r="I444" i="81"/>
  <c r="J445" i="81"/>
  <c r="K446" i="81"/>
  <c r="I485" i="81"/>
  <c r="J486" i="81"/>
  <c r="K487" i="81"/>
  <c r="I496" i="81"/>
  <c r="J497" i="81"/>
  <c r="K498" i="81"/>
  <c r="B510" i="81"/>
  <c r="N510" i="81" s="1"/>
  <c r="D511" i="81"/>
  <c r="M516" i="81"/>
  <c r="H516" i="81"/>
  <c r="D517" i="81"/>
  <c r="M522" i="81"/>
  <c r="H522" i="81"/>
  <c r="D523" i="81"/>
  <c r="J542" i="81"/>
  <c r="L543" i="81"/>
  <c r="I549" i="81"/>
  <c r="H561" i="81"/>
  <c r="D570" i="81"/>
  <c r="M572" i="81"/>
  <c r="H572" i="81"/>
  <c r="H573" i="81"/>
  <c r="D575" i="81"/>
  <c r="J444" i="81"/>
  <c r="K445" i="81"/>
  <c r="J485" i="81"/>
  <c r="K486" i="81"/>
  <c r="J496" i="81"/>
  <c r="K497" i="81"/>
  <c r="D510" i="81"/>
  <c r="E511" i="81"/>
  <c r="F511" i="81" s="1"/>
  <c r="E517" i="81"/>
  <c r="F517" i="81" s="1"/>
  <c r="E523" i="81"/>
  <c r="F523" i="81" s="1"/>
  <c r="K542" i="81"/>
  <c r="J549" i="81"/>
  <c r="E575" i="81"/>
  <c r="F575" i="81" s="1"/>
  <c r="L590" i="81"/>
  <c r="K590" i="81"/>
  <c r="J590" i="81"/>
  <c r="I590" i="81"/>
  <c r="L593" i="81"/>
  <c r="J593" i="81"/>
  <c r="I593" i="81"/>
  <c r="J621" i="81"/>
  <c r="J628" i="81"/>
  <c r="K444" i="81"/>
  <c r="B457" i="81"/>
  <c r="B458" i="81"/>
  <c r="B459" i="81"/>
  <c r="B460" i="81"/>
  <c r="B461" i="81"/>
  <c r="B462" i="81"/>
  <c r="B463" i="81"/>
  <c r="B464" i="81"/>
  <c r="B465" i="81"/>
  <c r="B466" i="81"/>
  <c r="B467" i="81"/>
  <c r="B468" i="81"/>
  <c r="B469" i="81"/>
  <c r="B470" i="81"/>
  <c r="B471" i="81"/>
  <c r="B472" i="81"/>
  <c r="I483" i="81"/>
  <c r="K485" i="81"/>
  <c r="K496" i="81"/>
  <c r="E510" i="81"/>
  <c r="F510" i="81" s="1"/>
  <c r="M515" i="81"/>
  <c r="H515" i="81"/>
  <c r="M521" i="81"/>
  <c r="H521" i="81"/>
  <c r="I540" i="81"/>
  <c r="L542" i="81"/>
  <c r="I548" i="81"/>
  <c r="K549" i="81"/>
  <c r="B430" i="81"/>
  <c r="B431" i="81"/>
  <c r="B432" i="81"/>
  <c r="B433" i="81"/>
  <c r="B434" i="81"/>
  <c r="B435" i="81"/>
  <c r="B436" i="81"/>
  <c r="B437" i="81"/>
  <c r="I453" i="81"/>
  <c r="D457" i="81"/>
  <c r="D458" i="81"/>
  <c r="D459" i="81"/>
  <c r="D460" i="81"/>
  <c r="D461" i="81"/>
  <c r="D462" i="81"/>
  <c r="D463" i="81"/>
  <c r="D464" i="81"/>
  <c r="D465" i="81"/>
  <c r="D466" i="81"/>
  <c r="D467" i="81"/>
  <c r="D468" i="81"/>
  <c r="D469" i="81"/>
  <c r="D470" i="81"/>
  <c r="D471" i="81"/>
  <c r="D472" i="81"/>
  <c r="I476" i="81"/>
  <c r="J483" i="81"/>
  <c r="K484" i="81"/>
  <c r="I505" i="81"/>
  <c r="E509" i="81"/>
  <c r="F509" i="81" s="1"/>
  <c r="B515" i="81"/>
  <c r="E516" i="81"/>
  <c r="F516" i="81" s="1"/>
  <c r="B521" i="81"/>
  <c r="E522" i="81"/>
  <c r="F522" i="81" s="1"/>
  <c r="M534" i="81"/>
  <c r="N534" i="81" s="1"/>
  <c r="I539" i="81"/>
  <c r="J540" i="81"/>
  <c r="J548" i="81"/>
  <c r="I555" i="81"/>
  <c r="H563" i="81"/>
  <c r="B563" i="81"/>
  <c r="N563" i="81" s="1"/>
  <c r="E569" i="81"/>
  <c r="D569" i="81"/>
  <c r="E572" i="81"/>
  <c r="F572" i="81" s="1"/>
  <c r="H575" i="81"/>
  <c r="J578" i="81"/>
  <c r="E457" i="81"/>
  <c r="F457" i="81" s="1"/>
  <c r="E458" i="81"/>
  <c r="F458" i="81" s="1"/>
  <c r="E459" i="81"/>
  <c r="F459" i="81" s="1"/>
  <c r="E460" i="81"/>
  <c r="F460" i="81" s="1"/>
  <c r="E461" i="81"/>
  <c r="F461" i="81" s="1"/>
  <c r="E462" i="81"/>
  <c r="F462" i="81" s="1"/>
  <c r="E463" i="81"/>
  <c r="F463" i="81" s="1"/>
  <c r="E464" i="81"/>
  <c r="F464" i="81" s="1"/>
  <c r="E465" i="81"/>
  <c r="F465" i="81" s="1"/>
  <c r="E466" i="81"/>
  <c r="F466" i="81" s="1"/>
  <c r="E467" i="81"/>
  <c r="F467" i="81" s="1"/>
  <c r="E468" i="81"/>
  <c r="F468" i="81" s="1"/>
  <c r="E469" i="81"/>
  <c r="F469" i="81" s="1"/>
  <c r="E470" i="81"/>
  <c r="F470" i="81" s="1"/>
  <c r="E471" i="81"/>
  <c r="F471" i="81" s="1"/>
  <c r="E472" i="81"/>
  <c r="F472" i="81" s="1"/>
  <c r="J505" i="81"/>
  <c r="H510" i="81"/>
  <c r="M514" i="81"/>
  <c r="H514" i="81"/>
  <c r="D515" i="81"/>
  <c r="M520" i="81"/>
  <c r="H520" i="81"/>
  <c r="D521" i="81"/>
  <c r="J539" i="81"/>
  <c r="K540" i="81"/>
  <c r="L548" i="81"/>
  <c r="J555" i="81"/>
  <c r="M561" i="81"/>
  <c r="M570" i="81"/>
  <c r="J615" i="81"/>
  <c r="L555" i="81"/>
  <c r="H571" i="81"/>
  <c r="I439" i="81"/>
  <c r="I450" i="81"/>
  <c r="I473" i="81"/>
  <c r="I491" i="81"/>
  <c r="I502" i="81"/>
  <c r="M513" i="81"/>
  <c r="N513" i="81" s="1"/>
  <c r="H513" i="81"/>
  <c r="M519" i="81"/>
  <c r="N519" i="81" s="1"/>
  <c r="H519" i="81"/>
  <c r="F521" i="81"/>
  <c r="M525" i="81"/>
  <c r="H525" i="81"/>
  <c r="D562" i="81"/>
  <c r="B562" i="81"/>
  <c r="N562" i="81" s="1"/>
  <c r="B571" i="81"/>
  <c r="N571" i="81" s="1"/>
  <c r="D576" i="81"/>
  <c r="M576" i="81"/>
  <c r="N576" i="81" s="1"/>
  <c r="L600" i="81"/>
  <c r="K600" i="81"/>
  <c r="J600" i="81"/>
  <c r="I600" i="81"/>
  <c r="L603" i="81"/>
  <c r="K603" i="81"/>
  <c r="J603" i="81"/>
  <c r="I603" i="81"/>
  <c r="M512" i="81"/>
  <c r="H512" i="81"/>
  <c r="D513" i="81"/>
  <c r="F514" i="81"/>
  <c r="M518" i="81"/>
  <c r="N518" i="81" s="1"/>
  <c r="H518" i="81"/>
  <c r="D519" i="81"/>
  <c r="M524" i="81"/>
  <c r="H524" i="81"/>
  <c r="D525" i="81"/>
  <c r="K527" i="81"/>
  <c r="D534" i="81"/>
  <c r="J537" i="81"/>
  <c r="K553" i="81"/>
  <c r="E568" i="81"/>
  <c r="F568" i="81" s="1"/>
  <c r="D568" i="81"/>
  <c r="B568" i="81"/>
  <c r="E571" i="81"/>
  <c r="F571" i="81" s="1"/>
  <c r="B573" i="81"/>
  <c r="N573" i="81" s="1"/>
  <c r="L574" i="81"/>
  <c r="J574" i="81"/>
  <c r="E576" i="81"/>
  <c r="F576" i="81" s="1"/>
  <c r="L607" i="81"/>
  <c r="D614" i="81"/>
  <c r="E615" i="81"/>
  <c r="F615" i="81" s="1"/>
  <c r="D620" i="81"/>
  <c r="E621" i="81"/>
  <c r="I621" i="81" s="1"/>
  <c r="E627" i="81"/>
  <c r="F627" i="81" s="1"/>
  <c r="B627" i="81"/>
  <c r="J594" i="81"/>
  <c r="D613" i="81"/>
  <c r="E614" i="81"/>
  <c r="F614" i="81" s="1"/>
  <c r="D619" i="81"/>
  <c r="E620" i="81"/>
  <c r="F620" i="81" s="1"/>
  <c r="E626" i="81"/>
  <c r="F626" i="81" s="1"/>
  <c r="B626" i="81"/>
  <c r="H614" i="81"/>
  <c r="H620" i="81"/>
  <c r="H627" i="81"/>
  <c r="D618" i="81"/>
  <c r="E625" i="81"/>
  <c r="F625" i="81" s="1"/>
  <c r="B625" i="81"/>
  <c r="N625" i="81" s="1"/>
  <c r="D586" i="81"/>
  <c r="D587" i="81"/>
  <c r="J591" i="81"/>
  <c r="K592" i="81"/>
  <c r="J601" i="81"/>
  <c r="K602" i="81"/>
  <c r="K609" i="81"/>
  <c r="I609" i="81"/>
  <c r="H613" i="81"/>
  <c r="B618" i="81"/>
  <c r="N618" i="81" s="1"/>
  <c r="H619" i="81"/>
  <c r="D625" i="81"/>
  <c r="B580" i="81"/>
  <c r="N580" i="81" s="1"/>
  <c r="I589" i="81"/>
  <c r="K591" i="81"/>
  <c r="K601" i="81"/>
  <c r="J609" i="81"/>
  <c r="M615" i="81"/>
  <c r="D617" i="81"/>
  <c r="E618" i="81"/>
  <c r="F618" i="81" s="1"/>
  <c r="M621" i="81"/>
  <c r="M622" i="81"/>
  <c r="E624" i="81"/>
  <c r="B624" i="81"/>
  <c r="N624" i="81" s="1"/>
  <c r="M628" i="81"/>
  <c r="D630" i="81"/>
  <c r="B630" i="81"/>
  <c r="N630" i="81" s="1"/>
  <c r="D580" i="81"/>
  <c r="J589" i="81"/>
  <c r="L609" i="81"/>
  <c r="B617" i="81"/>
  <c r="N617" i="81" s="1"/>
  <c r="H618" i="81"/>
  <c r="D624" i="81"/>
  <c r="H625" i="81"/>
  <c r="E580" i="81"/>
  <c r="F580" i="81" s="1"/>
  <c r="M614" i="81"/>
  <c r="N614" i="81" s="1"/>
  <c r="D616" i="81"/>
  <c r="M620" i="81"/>
  <c r="N620" i="81" s="1"/>
  <c r="E623" i="81"/>
  <c r="F623" i="81" s="1"/>
  <c r="B623" i="81"/>
  <c r="N623" i="81" s="1"/>
  <c r="M627" i="81"/>
  <c r="E629" i="81"/>
  <c r="F629" i="81" s="1"/>
  <c r="B629" i="81"/>
  <c r="D615" i="81"/>
  <c r="D621" i="81"/>
  <c r="E628" i="81"/>
  <c r="F628" i="81" s="1"/>
  <c r="B628" i="81"/>
  <c r="H567" i="81"/>
  <c r="E577" i="81"/>
  <c r="F577" i="81" s="1"/>
  <c r="H579" i="81"/>
  <c r="K607" i="81"/>
  <c r="B615" i="81"/>
  <c r="H616" i="81"/>
  <c r="B621" i="81"/>
  <c r="D622" i="81"/>
  <c r="H623" i="81"/>
  <c r="D628" i="81"/>
  <c r="H629" i="81"/>
  <c r="K4177" i="81"/>
  <c r="L4194" i="81"/>
  <c r="K4219" i="81"/>
  <c r="K4194" i="81"/>
  <c r="K4213" i="81"/>
  <c r="I4189" i="81"/>
  <c r="I4192" i="81"/>
  <c r="J4218" i="81"/>
  <c r="I4180" i="81"/>
  <c r="L4189" i="81"/>
  <c r="J4192" i="81"/>
  <c r="K4192" i="81"/>
  <c r="L4201" i="81"/>
  <c r="L4178" i="81"/>
  <c r="J4181" i="81"/>
  <c r="K4188" i="81"/>
  <c r="I4191" i="81"/>
  <c r="L4195" i="81"/>
  <c r="J4211" i="81"/>
  <c r="I4203" i="81"/>
  <c r="K4211" i="81"/>
  <c r="I4196" i="81"/>
  <c r="L4202" i="81"/>
  <c r="L4210" i="81"/>
  <c r="I4210" i="81"/>
  <c r="L4207" i="81"/>
  <c r="K4207" i="81"/>
  <c r="K4201" i="81"/>
  <c r="I4212" i="81"/>
  <c r="K4212" i="81"/>
  <c r="J4212" i="81"/>
  <c r="J4183" i="81"/>
  <c r="L4183" i="81"/>
  <c r="J4176" i="81"/>
  <c r="I4183" i="81"/>
  <c r="L4176" i="81"/>
  <c r="K4183" i="81"/>
  <c r="L4217" i="81"/>
  <c r="I4217" i="81"/>
  <c r="K4217" i="81"/>
  <c r="I4193" i="81"/>
  <c r="J4193" i="81"/>
  <c r="I4182" i="81"/>
  <c r="K4182" i="81"/>
  <c r="J4182" i="81"/>
  <c r="L4205" i="81"/>
  <c r="K4205" i="81"/>
  <c r="I4220" i="81"/>
  <c r="L4220" i="81"/>
  <c r="L4206" i="81"/>
  <c r="I4208" i="81"/>
  <c r="D4174" i="81"/>
  <c r="D4175" i="81"/>
  <c r="I4179" i="81"/>
  <c r="J4180" i="81"/>
  <c r="I4190" i="81"/>
  <c r="J4191" i="81"/>
  <c r="I4209" i="81"/>
  <c r="J4210" i="81"/>
  <c r="J4179" i="81"/>
  <c r="K4180" i="81"/>
  <c r="J4190" i="81"/>
  <c r="K4191" i="81"/>
  <c r="J4209" i="81"/>
  <c r="K4210" i="81"/>
  <c r="I4177" i="81"/>
  <c r="J4178" i="81"/>
  <c r="K4179" i="81"/>
  <c r="I4188" i="81"/>
  <c r="J4189" i="81"/>
  <c r="K4190" i="81"/>
  <c r="I4207" i="81"/>
  <c r="J4208" i="81"/>
  <c r="K4209" i="81"/>
  <c r="I4219" i="81"/>
  <c r="J4220" i="81"/>
  <c r="I4176" i="81"/>
  <c r="J4177" i="81"/>
  <c r="J4188" i="81"/>
  <c r="I4206" i="81"/>
  <c r="J4207" i="81"/>
  <c r="I4218" i="81"/>
  <c r="J4219" i="81"/>
  <c r="I4197" i="81"/>
  <c r="I4204" i="81"/>
  <c r="J4205" i="81"/>
  <c r="I4216" i="81"/>
  <c r="J4217" i="81"/>
  <c r="K4218" i="81"/>
  <c r="J4197" i="81"/>
  <c r="J4204" i="81"/>
  <c r="J4216" i="81"/>
  <c r="I4195" i="81"/>
  <c r="J4196" i="81"/>
  <c r="K4197" i="81"/>
  <c r="I4202" i="81"/>
  <c r="J4203" i="81"/>
  <c r="K4204" i="81"/>
  <c r="I4214" i="81"/>
  <c r="J4215" i="81"/>
  <c r="K4216" i="81"/>
  <c r="M4174" i="81"/>
  <c r="N4174" i="81" s="1"/>
  <c r="M4175" i="81"/>
  <c r="N4175" i="81" s="1"/>
  <c r="I4194" i="81"/>
  <c r="J4195" i="81"/>
  <c r="K4196" i="81"/>
  <c r="I4201" i="81"/>
  <c r="J4202" i="81"/>
  <c r="K4203" i="81"/>
  <c r="I4213" i="81"/>
  <c r="J4214" i="81"/>
  <c r="K4215" i="81"/>
  <c r="K4214" i="81"/>
  <c r="L632" i="81" l="1"/>
  <c r="L462" i="81"/>
  <c r="L470" i="81"/>
  <c r="N469" i="81"/>
  <c r="L459" i="81"/>
  <c r="L464" i="81"/>
  <c r="L468" i="81"/>
  <c r="L458" i="81"/>
  <c r="L469" i="81"/>
  <c r="L467" i="81"/>
  <c r="L463" i="81"/>
  <c r="L461" i="81"/>
  <c r="L472" i="81"/>
  <c r="L457" i="81"/>
  <c r="L466" i="81"/>
  <c r="L465" i="81"/>
  <c r="N514" i="81"/>
  <c r="P480" i="81"/>
  <c r="L628" i="81"/>
  <c r="L460" i="81"/>
  <c r="L471" i="81"/>
  <c r="P532" i="81"/>
  <c r="P1780" i="81"/>
  <c r="P584" i="81"/>
  <c r="L630" i="81"/>
  <c r="L621" i="81"/>
  <c r="L615" i="81"/>
  <c r="L624" i="81"/>
  <c r="N465" i="81"/>
  <c r="N1730" i="81"/>
  <c r="N574" i="81"/>
  <c r="N459" i="81"/>
  <c r="I574" i="81"/>
  <c r="N1731" i="81"/>
  <c r="N578" i="81"/>
  <c r="I578" i="81"/>
  <c r="K569" i="81"/>
  <c r="I569" i="81"/>
  <c r="N525" i="81"/>
  <c r="L569" i="81"/>
  <c r="N568" i="81"/>
  <c r="N472" i="81"/>
  <c r="J460" i="81"/>
  <c r="K460" i="81" s="1"/>
  <c r="K577" i="81"/>
  <c r="N524" i="81"/>
  <c r="L577" i="81"/>
  <c r="N462" i="81"/>
  <c r="N522" i="81"/>
  <c r="N460" i="81"/>
  <c r="N457" i="81"/>
  <c r="N466" i="81"/>
  <c r="N463" i="81"/>
  <c r="L568" i="81"/>
  <c r="N587" i="81"/>
  <c r="N470" i="81"/>
  <c r="L626" i="81"/>
  <c r="I1810" i="81"/>
  <c r="L1810" i="81"/>
  <c r="N4136" i="81"/>
  <c r="N467" i="81"/>
  <c r="K470" i="81"/>
  <c r="J566" i="81"/>
  <c r="K566" i="81" s="1"/>
  <c r="L562" i="81"/>
  <c r="K562" i="81"/>
  <c r="N629" i="81"/>
  <c r="N471" i="81"/>
  <c r="I562" i="81"/>
  <c r="N1757" i="81"/>
  <c r="N566" i="81"/>
  <c r="N577" i="81"/>
  <c r="N567" i="81"/>
  <c r="N622" i="81"/>
  <c r="K626" i="81"/>
  <c r="N468" i="81"/>
  <c r="L622" i="81"/>
  <c r="N464" i="81"/>
  <c r="L576" i="81"/>
  <c r="J622" i="81"/>
  <c r="K622" i="81" s="1"/>
  <c r="K1810" i="81"/>
  <c r="N512" i="81"/>
  <c r="N520" i="81"/>
  <c r="N516" i="81"/>
  <c r="I631" i="81"/>
  <c r="J509" i="81"/>
  <c r="K509" i="81" s="1"/>
  <c r="J471" i="81"/>
  <c r="K471" i="81" s="1"/>
  <c r="K624" i="81"/>
  <c r="N458" i="81"/>
  <c r="K578" i="81"/>
  <c r="K458" i="81"/>
  <c r="L631" i="81"/>
  <c r="N570" i="81"/>
  <c r="I564" i="81"/>
  <c r="J630" i="81"/>
  <c r="K630" i="81" s="1"/>
  <c r="K574" i="81"/>
  <c r="K564" i="81"/>
  <c r="N572" i="81"/>
  <c r="L564" i="81"/>
  <c r="N4123" i="81"/>
  <c r="N627" i="81"/>
  <c r="N461" i="81"/>
  <c r="I630" i="81"/>
  <c r="N561" i="81"/>
  <c r="F1809" i="81"/>
  <c r="L580" i="81"/>
  <c r="N616" i="81"/>
  <c r="N1783" i="81"/>
  <c r="K457" i="81"/>
  <c r="I626" i="81"/>
  <c r="K467" i="81"/>
  <c r="N1809" i="81"/>
  <c r="K615" i="81"/>
  <c r="N1782" i="81"/>
  <c r="N4138" i="81"/>
  <c r="N1758" i="81"/>
  <c r="N1810" i="81"/>
  <c r="I566" i="81"/>
  <c r="P4172" i="81"/>
  <c r="I1757" i="81"/>
  <c r="K461" i="81"/>
  <c r="N564" i="81"/>
  <c r="N621" i="81"/>
  <c r="I509" i="81"/>
  <c r="N521" i="81"/>
  <c r="K462" i="81"/>
  <c r="K621" i="81"/>
  <c r="F630" i="81"/>
  <c r="K568" i="81"/>
  <c r="N626" i="81"/>
  <c r="N575" i="81"/>
  <c r="K1757" i="81"/>
  <c r="N628" i="81"/>
  <c r="L1757" i="81"/>
  <c r="K631" i="81"/>
  <c r="K580" i="81"/>
  <c r="K463" i="81"/>
  <c r="J617" i="81"/>
  <c r="K617" i="81" s="1"/>
  <c r="L617" i="81"/>
  <c r="I617" i="81"/>
  <c r="K468" i="81"/>
  <c r="K459" i="81"/>
  <c r="K472" i="81"/>
  <c r="K466" i="81"/>
  <c r="N615" i="81"/>
  <c r="F1757" i="81"/>
  <c r="N435" i="81"/>
  <c r="J565" i="81"/>
  <c r="K565" i="81" s="1"/>
  <c r="I565" i="81"/>
  <c r="F621" i="81"/>
  <c r="K576" i="81"/>
  <c r="K464" i="81"/>
  <c r="I4136" i="81"/>
  <c r="L4136" i="81"/>
  <c r="J4136" i="81"/>
  <c r="K4136" i="81" s="1"/>
  <c r="I4138" i="81"/>
  <c r="L4138" i="81"/>
  <c r="J4138" i="81"/>
  <c r="K4138" i="81" s="1"/>
  <c r="L1809" i="81"/>
  <c r="K465" i="81"/>
  <c r="J1758" i="81"/>
  <c r="K1758" i="81" s="1"/>
  <c r="L1758" i="81"/>
  <c r="I1758" i="81"/>
  <c r="K628" i="81"/>
  <c r="K469" i="81"/>
  <c r="I4137" i="81"/>
  <c r="L4137" i="81"/>
  <c r="J4137" i="81"/>
  <c r="K4137" i="81" s="1"/>
  <c r="L620" i="81"/>
  <c r="J620" i="81"/>
  <c r="K620" i="81" s="1"/>
  <c r="I620" i="81"/>
  <c r="L525" i="81"/>
  <c r="J525" i="81"/>
  <c r="K525" i="81" s="1"/>
  <c r="I525" i="81"/>
  <c r="J521" i="81"/>
  <c r="K521" i="81" s="1"/>
  <c r="I521" i="81"/>
  <c r="L521" i="81"/>
  <c r="J573" i="81"/>
  <c r="K573" i="81" s="1"/>
  <c r="I573" i="81"/>
  <c r="L573" i="81"/>
  <c r="N436" i="81"/>
  <c r="I468" i="81"/>
  <c r="L625" i="81"/>
  <c r="J625" i="81"/>
  <c r="K625" i="81" s="1"/>
  <c r="I625" i="81"/>
  <c r="L613" i="81"/>
  <c r="J613" i="81"/>
  <c r="K613" i="81" s="1"/>
  <c r="I613" i="81"/>
  <c r="L614" i="81"/>
  <c r="J614" i="81"/>
  <c r="K614" i="81" s="1"/>
  <c r="I614" i="81"/>
  <c r="L514" i="81"/>
  <c r="J514" i="81"/>
  <c r="K514" i="81" s="1"/>
  <c r="I514" i="81"/>
  <c r="L575" i="81"/>
  <c r="J575" i="81"/>
  <c r="K575" i="81" s="1"/>
  <c r="I575" i="81"/>
  <c r="J572" i="81"/>
  <c r="K572" i="81" s="1"/>
  <c r="I572" i="81"/>
  <c r="L572" i="81"/>
  <c r="L523" i="81"/>
  <c r="J523" i="81"/>
  <c r="K523" i="81" s="1"/>
  <c r="I523" i="81"/>
  <c r="I461" i="81"/>
  <c r="I466" i="81"/>
  <c r="I464" i="81"/>
  <c r="L616" i="81"/>
  <c r="I616" i="81"/>
  <c r="J616" i="81"/>
  <c r="K616" i="81" s="1"/>
  <c r="L571" i="81"/>
  <c r="I571" i="81"/>
  <c r="J571" i="81"/>
  <c r="K571" i="81" s="1"/>
  <c r="L522" i="81"/>
  <c r="J522" i="81"/>
  <c r="K522" i="81" s="1"/>
  <c r="I522" i="81"/>
  <c r="N434" i="81"/>
  <c r="L518" i="81"/>
  <c r="J518" i="81"/>
  <c r="K518" i="81" s="1"/>
  <c r="I518" i="81"/>
  <c r="L519" i="81"/>
  <c r="J519" i="81"/>
  <c r="K519" i="81" s="1"/>
  <c r="I519" i="81"/>
  <c r="L510" i="81"/>
  <c r="J510" i="81"/>
  <c r="K510" i="81" s="1"/>
  <c r="I510" i="81"/>
  <c r="J515" i="81"/>
  <c r="K515" i="81" s="1"/>
  <c r="I515" i="81"/>
  <c r="L515" i="81"/>
  <c r="I628" i="81"/>
  <c r="N433" i="81"/>
  <c r="L517" i="81"/>
  <c r="J517" i="81"/>
  <c r="K517" i="81" s="1"/>
  <c r="I517" i="81"/>
  <c r="I457" i="81"/>
  <c r="I471" i="81"/>
  <c r="L618" i="81"/>
  <c r="J618" i="81"/>
  <c r="K618" i="81" s="1"/>
  <c r="I618" i="81"/>
  <c r="I577" i="81"/>
  <c r="N515" i="81"/>
  <c r="N432" i="81"/>
  <c r="I462" i="81"/>
  <c r="L513" i="81"/>
  <c r="J513" i="81"/>
  <c r="K513" i="81" s="1"/>
  <c r="I513" i="81"/>
  <c r="F569" i="81"/>
  <c r="L516" i="81"/>
  <c r="J516" i="81"/>
  <c r="K516" i="81" s="1"/>
  <c r="I516" i="81"/>
  <c r="N431" i="81"/>
  <c r="I576" i="81"/>
  <c r="L511" i="81"/>
  <c r="J511" i="81"/>
  <c r="K511" i="81" s="1"/>
  <c r="I511" i="81"/>
  <c r="I460" i="81"/>
  <c r="I458" i="81"/>
  <c r="L579" i="81"/>
  <c r="J579" i="81"/>
  <c r="K579" i="81" s="1"/>
  <c r="I579" i="81"/>
  <c r="I615" i="81"/>
  <c r="N430" i="81"/>
  <c r="L629" i="81"/>
  <c r="I629" i="81"/>
  <c r="J629" i="81"/>
  <c r="K629" i="81" s="1"/>
  <c r="L512" i="81"/>
  <c r="J512" i="81"/>
  <c r="K512" i="81" s="1"/>
  <c r="I512" i="81"/>
  <c r="I580" i="81"/>
  <c r="I561" i="81"/>
  <c r="L561" i="81"/>
  <c r="J561" i="81"/>
  <c r="K561" i="81" s="1"/>
  <c r="I469" i="81"/>
  <c r="I465" i="81"/>
  <c r="I563" i="81"/>
  <c r="L563" i="81"/>
  <c r="J563" i="81"/>
  <c r="K563" i="81" s="1"/>
  <c r="L570" i="81"/>
  <c r="J570" i="81"/>
  <c r="K570" i="81" s="1"/>
  <c r="I570" i="81"/>
  <c r="L520" i="81"/>
  <c r="J520" i="81"/>
  <c r="K520" i="81" s="1"/>
  <c r="I520" i="81"/>
  <c r="I467" i="81"/>
  <c r="I472" i="81"/>
  <c r="I470" i="81"/>
  <c r="L623" i="81"/>
  <c r="I623" i="81"/>
  <c r="J623" i="81"/>
  <c r="K623" i="81" s="1"/>
  <c r="L567" i="81"/>
  <c r="J567" i="81"/>
  <c r="K567" i="81" s="1"/>
  <c r="I567" i="81"/>
  <c r="I568" i="81"/>
  <c r="I624" i="81"/>
  <c r="F624" i="81"/>
  <c r="L619" i="81"/>
  <c r="J619" i="81"/>
  <c r="K619" i="81" s="1"/>
  <c r="I619" i="81"/>
  <c r="L627" i="81"/>
  <c r="J627" i="81"/>
  <c r="K627" i="81" s="1"/>
  <c r="I627" i="81"/>
  <c r="L524" i="81"/>
  <c r="J524" i="81"/>
  <c r="K524" i="81" s="1"/>
  <c r="I524" i="81"/>
  <c r="N437" i="81"/>
  <c r="I463" i="81"/>
  <c r="I459" i="81"/>
  <c r="A247" i="82" l="1"/>
  <c r="A246" i="82"/>
  <c r="A245" i="82"/>
  <c r="S216" i="82"/>
  <c r="S218" i="82"/>
  <c r="S217" i="82"/>
  <c r="S214" i="82"/>
  <c r="D214" i="82"/>
  <c r="S213" i="82"/>
  <c r="D213" i="82"/>
  <c r="S212" i="82"/>
  <c r="D212" i="82"/>
  <c r="S211" i="82"/>
  <c r="S210" i="82"/>
  <c r="S209" i="82"/>
  <c r="S208" i="82"/>
  <c r="S207" i="82"/>
  <c r="D195" i="82"/>
  <c r="D108" i="82"/>
  <c r="D22" i="82" l="1"/>
  <c r="C66" i="81"/>
  <c r="C422" i="81" l="1"/>
  <c r="D40" i="82"/>
  <c r="D41" i="82"/>
  <c r="D39" i="82"/>
  <c r="N243" i="82" l="1"/>
  <c r="H4223" i="81" s="1"/>
  <c r="A4085" i="81"/>
  <c r="D4085" i="81" s="1"/>
  <c r="A4084" i="81"/>
  <c r="E4084" i="81" s="1"/>
  <c r="E4085" i="81" l="1"/>
  <c r="D4084" i="81"/>
  <c r="B4085" i="81"/>
  <c r="B4084" i="81"/>
  <c r="E4086" i="81" l="1"/>
  <c r="B4086" i="81" l="1"/>
  <c r="D4086" i="81"/>
  <c r="C197" i="81" l="1"/>
  <c r="B655" i="81"/>
  <c r="B654" i="81"/>
  <c r="C643" i="81"/>
  <c r="A80" i="81"/>
  <c r="E80" i="81" s="1"/>
  <c r="C133" i="81"/>
  <c r="A133" i="81"/>
  <c r="B133" i="81" s="1"/>
  <c r="C132" i="81"/>
  <c r="A132" i="81"/>
  <c r="E132" i="81" s="1"/>
  <c r="A15" i="81"/>
  <c r="B15" i="81" s="1"/>
  <c r="A14" i="81"/>
  <c r="B14" i="81" s="1"/>
  <c r="A327" i="81"/>
  <c r="A326" i="81"/>
  <c r="C29" i="81"/>
  <c r="C28" i="81"/>
  <c r="A29" i="81"/>
  <c r="D29" i="81" s="1"/>
  <c r="A28" i="81"/>
  <c r="E28" i="81" s="1"/>
  <c r="B10" i="82"/>
  <c r="E655" i="81" l="1"/>
  <c r="D655" i="81"/>
  <c r="E654" i="81"/>
  <c r="D654" i="81"/>
  <c r="D15" i="81"/>
  <c r="B80" i="81"/>
  <c r="D80" i="81"/>
  <c r="D133" i="81"/>
  <c r="B132" i="81"/>
  <c r="E133" i="81"/>
  <c r="D132" i="81"/>
  <c r="D14" i="81"/>
  <c r="B28" i="81"/>
  <c r="D28" i="81"/>
  <c r="E29" i="81"/>
  <c r="B29" i="81"/>
  <c r="C414" i="81" l="1"/>
  <c r="C355" i="81"/>
  <c r="C357" i="81"/>
  <c r="C378" i="81"/>
  <c r="C379" i="81"/>
  <c r="C326" i="81"/>
  <c r="C327" i="81"/>
  <c r="B249" i="81" l="1"/>
  <c r="A220" i="81"/>
  <c r="N268" i="81"/>
  <c r="M268" i="81"/>
  <c r="H268" i="81"/>
  <c r="L268" i="81" s="1"/>
  <c r="F268" i="81"/>
  <c r="E268" i="81"/>
  <c r="D268" i="81"/>
  <c r="B268" i="81"/>
  <c r="N267" i="81"/>
  <c r="M267" i="81"/>
  <c r="H267" i="81"/>
  <c r="L267" i="81" s="1"/>
  <c r="F267" i="81"/>
  <c r="E267" i="81"/>
  <c r="D267" i="81"/>
  <c r="B267" i="81"/>
  <c r="N266" i="81"/>
  <c r="M266" i="81"/>
  <c r="H266" i="81"/>
  <c r="J266" i="81" s="1"/>
  <c r="F266" i="81"/>
  <c r="E266" i="81"/>
  <c r="D266" i="81"/>
  <c r="B266" i="81"/>
  <c r="N265" i="81"/>
  <c r="M265" i="81"/>
  <c r="H265" i="81"/>
  <c r="L265" i="81" s="1"/>
  <c r="F265" i="81"/>
  <c r="E265" i="81"/>
  <c r="D265" i="81"/>
  <c r="B265" i="81"/>
  <c r="M263" i="81"/>
  <c r="H263" i="81"/>
  <c r="E263" i="81"/>
  <c r="F263" i="81" s="1"/>
  <c r="D263" i="81"/>
  <c r="B263" i="81"/>
  <c r="M262" i="81"/>
  <c r="H262" i="81"/>
  <c r="E262" i="81"/>
  <c r="F262" i="81" s="1"/>
  <c r="D262" i="81"/>
  <c r="B262" i="81"/>
  <c r="M260" i="81"/>
  <c r="H260" i="81"/>
  <c r="E260" i="81"/>
  <c r="F260" i="81" s="1"/>
  <c r="D260" i="81"/>
  <c r="B260" i="81"/>
  <c r="M261" i="81"/>
  <c r="H261" i="81"/>
  <c r="E261" i="81"/>
  <c r="F261" i="81" s="1"/>
  <c r="D261" i="81"/>
  <c r="B261" i="81"/>
  <c r="M264" i="81"/>
  <c r="H264" i="81"/>
  <c r="E264" i="81"/>
  <c r="F264" i="81" s="1"/>
  <c r="D264" i="81"/>
  <c r="B264" i="81"/>
  <c r="M253" i="81"/>
  <c r="H253" i="81"/>
  <c r="E253" i="81"/>
  <c r="F253" i="81" s="1"/>
  <c r="D253" i="81"/>
  <c r="B253" i="81"/>
  <c r="M254" i="81"/>
  <c r="H254" i="81"/>
  <c r="E254" i="81"/>
  <c r="F254" i="81" s="1"/>
  <c r="D254" i="81"/>
  <c r="B254" i="81"/>
  <c r="M252" i="81"/>
  <c r="H252" i="81"/>
  <c r="E252" i="81"/>
  <c r="F252" i="81" s="1"/>
  <c r="D252" i="81"/>
  <c r="B252" i="81"/>
  <c r="M256" i="81"/>
  <c r="H256" i="81"/>
  <c r="E256" i="81"/>
  <c r="F256" i="81" s="1"/>
  <c r="D256" i="81"/>
  <c r="B256" i="81"/>
  <c r="M259" i="81"/>
  <c r="H259" i="81"/>
  <c r="E259" i="81"/>
  <c r="F259" i="81" s="1"/>
  <c r="D259" i="81"/>
  <c r="B259" i="81"/>
  <c r="M258" i="81"/>
  <c r="H258" i="81"/>
  <c r="E258" i="81"/>
  <c r="F258" i="81" s="1"/>
  <c r="D258" i="81"/>
  <c r="B258" i="81"/>
  <c r="M250" i="81"/>
  <c r="H250" i="81"/>
  <c r="E250" i="81"/>
  <c r="F250" i="81" s="1"/>
  <c r="D250" i="81"/>
  <c r="B250" i="81"/>
  <c r="M251" i="81"/>
  <c r="H251" i="81"/>
  <c r="E251" i="81"/>
  <c r="F251" i="81" s="1"/>
  <c r="D251" i="81"/>
  <c r="B251" i="81"/>
  <c r="M257" i="81"/>
  <c r="H257" i="81"/>
  <c r="E257" i="81"/>
  <c r="F257" i="81" s="1"/>
  <c r="D257" i="81"/>
  <c r="B257" i="81"/>
  <c r="M255" i="81"/>
  <c r="H255" i="81"/>
  <c r="E255" i="81"/>
  <c r="F255" i="81" s="1"/>
  <c r="D255" i="81"/>
  <c r="B255" i="81"/>
  <c r="N245" i="81"/>
  <c r="M245" i="81"/>
  <c r="H245" i="81"/>
  <c r="L245" i="81" s="1"/>
  <c r="F245" i="81"/>
  <c r="E245" i="81"/>
  <c r="D245" i="81"/>
  <c r="B245" i="81"/>
  <c r="N244" i="81"/>
  <c r="M244" i="81"/>
  <c r="H244" i="81"/>
  <c r="L244" i="81" s="1"/>
  <c r="F244" i="81"/>
  <c r="E244" i="81"/>
  <c r="D244" i="81"/>
  <c r="B244" i="81"/>
  <c r="N243" i="81"/>
  <c r="M243" i="81"/>
  <c r="H243" i="81"/>
  <c r="L243" i="81" s="1"/>
  <c r="F243" i="81"/>
  <c r="E243" i="81"/>
  <c r="D243" i="81"/>
  <c r="B243" i="81"/>
  <c r="N242" i="81"/>
  <c r="M242" i="81"/>
  <c r="H242" i="81"/>
  <c r="K242" i="81" s="1"/>
  <c r="F242" i="81"/>
  <c r="E242" i="81"/>
  <c r="D242" i="81"/>
  <c r="B242" i="81"/>
  <c r="N241" i="81"/>
  <c r="M241" i="81"/>
  <c r="H241" i="81"/>
  <c r="I241" i="81" s="1"/>
  <c r="F241" i="81"/>
  <c r="E241" i="81"/>
  <c r="D241" i="81"/>
  <c r="B241" i="81"/>
  <c r="N240" i="81"/>
  <c r="M240" i="81"/>
  <c r="H240" i="81"/>
  <c r="K240" i="81" s="1"/>
  <c r="F240" i="81"/>
  <c r="E240" i="81"/>
  <c r="D240" i="81"/>
  <c r="B240" i="81"/>
  <c r="N239" i="81"/>
  <c r="M239" i="81"/>
  <c r="H239" i="81"/>
  <c r="L239" i="81" s="1"/>
  <c r="F239" i="81"/>
  <c r="E239" i="81"/>
  <c r="D239" i="81"/>
  <c r="B239" i="81"/>
  <c r="N238" i="81"/>
  <c r="M238" i="81"/>
  <c r="H238" i="81"/>
  <c r="L238" i="81" s="1"/>
  <c r="F238" i="81"/>
  <c r="E238" i="81"/>
  <c r="D238" i="81"/>
  <c r="B238" i="81"/>
  <c r="N237" i="81"/>
  <c r="M237" i="81"/>
  <c r="H237" i="81"/>
  <c r="K237" i="81" s="1"/>
  <c r="F237" i="81"/>
  <c r="E237" i="81"/>
  <c r="D237" i="81"/>
  <c r="B237" i="81"/>
  <c r="N236" i="81"/>
  <c r="M236" i="81"/>
  <c r="H236" i="81"/>
  <c r="L236" i="81" s="1"/>
  <c r="F236" i="81"/>
  <c r="E236" i="81"/>
  <c r="D236" i="81"/>
  <c r="B236" i="81"/>
  <c r="N231" i="81"/>
  <c r="M231" i="81"/>
  <c r="H231" i="81"/>
  <c r="K231" i="81" s="1"/>
  <c r="F231" i="81"/>
  <c r="E231" i="81"/>
  <c r="D231" i="81"/>
  <c r="B231" i="81"/>
  <c r="N230" i="81"/>
  <c r="M230" i="81"/>
  <c r="H230" i="81"/>
  <c r="I230" i="81" s="1"/>
  <c r="F230" i="81"/>
  <c r="E230" i="81"/>
  <c r="D230" i="81"/>
  <c r="B230" i="81"/>
  <c r="M228" i="81"/>
  <c r="D228" i="81"/>
  <c r="B228" i="81"/>
  <c r="M229" i="81"/>
  <c r="D229" i="81"/>
  <c r="B229" i="81"/>
  <c r="M227" i="81"/>
  <c r="D227" i="81"/>
  <c r="B227" i="81"/>
  <c r="M226" i="81"/>
  <c r="D226" i="81"/>
  <c r="B226" i="81"/>
  <c r="M222" i="81"/>
  <c r="D222" i="81"/>
  <c r="B222" i="81"/>
  <c r="M224" i="81"/>
  <c r="D224" i="81"/>
  <c r="B224" i="81"/>
  <c r="M223" i="81"/>
  <c r="D223" i="81"/>
  <c r="B223" i="81"/>
  <c r="M225" i="81"/>
  <c r="D225" i="81"/>
  <c r="B225" i="81"/>
  <c r="A272" i="81"/>
  <c r="N320" i="81"/>
  <c r="M320" i="81"/>
  <c r="H320" i="81"/>
  <c r="L320" i="81" s="1"/>
  <c r="F320" i="81"/>
  <c r="E320" i="81"/>
  <c r="D320" i="81"/>
  <c r="B320" i="81"/>
  <c r="N319" i="81"/>
  <c r="M319" i="81"/>
  <c r="H319" i="81"/>
  <c r="L319" i="81" s="1"/>
  <c r="F319" i="81"/>
  <c r="E319" i="81"/>
  <c r="D319" i="81"/>
  <c r="B319" i="81"/>
  <c r="N318" i="81"/>
  <c r="M318" i="81"/>
  <c r="H318" i="81"/>
  <c r="J318" i="81" s="1"/>
  <c r="F318" i="81"/>
  <c r="E318" i="81"/>
  <c r="D318" i="81"/>
  <c r="B318" i="81"/>
  <c r="M316" i="81"/>
  <c r="H316" i="81"/>
  <c r="E316" i="81"/>
  <c r="F316" i="81" s="1"/>
  <c r="D316" i="81"/>
  <c r="B316" i="81"/>
  <c r="M303" i="81"/>
  <c r="H303" i="81"/>
  <c r="E303" i="81"/>
  <c r="F303" i="81" s="1"/>
  <c r="D303" i="81"/>
  <c r="B303" i="81"/>
  <c r="M302" i="81"/>
  <c r="H302" i="81"/>
  <c r="E302" i="81"/>
  <c r="F302" i="81" s="1"/>
  <c r="D302" i="81"/>
  <c r="B302" i="81"/>
  <c r="M305" i="81"/>
  <c r="H305" i="81"/>
  <c r="E305" i="81"/>
  <c r="F305" i="81" s="1"/>
  <c r="D305" i="81"/>
  <c r="B305" i="81"/>
  <c r="M313" i="81"/>
  <c r="H313" i="81"/>
  <c r="E313" i="81"/>
  <c r="F313" i="81" s="1"/>
  <c r="D313" i="81"/>
  <c r="B313" i="81"/>
  <c r="M312" i="81"/>
  <c r="H312" i="81"/>
  <c r="J312" i="81" s="1"/>
  <c r="E312" i="81"/>
  <c r="F312" i="81" s="1"/>
  <c r="D312" i="81"/>
  <c r="B312" i="81"/>
  <c r="M304" i="81"/>
  <c r="H304" i="81"/>
  <c r="E304" i="81"/>
  <c r="F304" i="81" s="1"/>
  <c r="D304" i="81"/>
  <c r="B304" i="81"/>
  <c r="M309" i="81"/>
  <c r="H309" i="81"/>
  <c r="E309" i="81"/>
  <c r="F309" i="81" s="1"/>
  <c r="D309" i="81"/>
  <c r="B309" i="81"/>
  <c r="M315" i="81"/>
  <c r="H315" i="81"/>
  <c r="E315" i="81"/>
  <c r="F315" i="81" s="1"/>
  <c r="D315" i="81"/>
  <c r="B315" i="81"/>
  <c r="M308" i="81"/>
  <c r="H308" i="81"/>
  <c r="E308" i="81"/>
  <c r="F308" i="81" s="1"/>
  <c r="D308" i="81"/>
  <c r="B308" i="81"/>
  <c r="M306" i="81"/>
  <c r="H306" i="81"/>
  <c r="E306" i="81"/>
  <c r="F306" i="81" s="1"/>
  <c r="D306" i="81"/>
  <c r="B306" i="81"/>
  <c r="M307" i="81"/>
  <c r="H307" i="81"/>
  <c r="J307" i="81" s="1"/>
  <c r="E307" i="81"/>
  <c r="F307" i="81" s="1"/>
  <c r="D307" i="81"/>
  <c r="B307" i="81"/>
  <c r="M314" i="81"/>
  <c r="H314" i="81"/>
  <c r="E314" i="81"/>
  <c r="F314" i="81" s="1"/>
  <c r="D314" i="81"/>
  <c r="B314" i="81"/>
  <c r="M311" i="81"/>
  <c r="H311" i="81"/>
  <c r="E311" i="81"/>
  <c r="F311" i="81" s="1"/>
  <c r="D311" i="81"/>
  <c r="B311" i="81"/>
  <c r="M301" i="81"/>
  <c r="H301" i="81"/>
  <c r="E301" i="81"/>
  <c r="F301" i="81" s="1"/>
  <c r="D301" i="81"/>
  <c r="B301" i="81"/>
  <c r="M317" i="81"/>
  <c r="H317" i="81"/>
  <c r="E317" i="81"/>
  <c r="F317" i="81" s="1"/>
  <c r="D317" i="81"/>
  <c r="B317" i="81"/>
  <c r="M310" i="81"/>
  <c r="H310" i="81"/>
  <c r="E310" i="81"/>
  <c r="F310" i="81" s="1"/>
  <c r="D310" i="81"/>
  <c r="B310" i="81"/>
  <c r="N297" i="81"/>
  <c r="M297" i="81"/>
  <c r="H297" i="81"/>
  <c r="L297" i="81" s="1"/>
  <c r="F297" i="81"/>
  <c r="E297" i="81"/>
  <c r="D297" i="81"/>
  <c r="B297" i="81"/>
  <c r="N296" i="81"/>
  <c r="M296" i="81"/>
  <c r="H296" i="81"/>
  <c r="L296" i="81" s="1"/>
  <c r="F296" i="81"/>
  <c r="E296" i="81"/>
  <c r="D296" i="81"/>
  <c r="B296" i="81"/>
  <c r="N295" i="81"/>
  <c r="M295" i="81"/>
  <c r="H295" i="81"/>
  <c r="L295" i="81" s="1"/>
  <c r="F295" i="81"/>
  <c r="E295" i="81"/>
  <c r="D295" i="81"/>
  <c r="B295" i="81"/>
  <c r="N294" i="81"/>
  <c r="M294" i="81"/>
  <c r="H294" i="81"/>
  <c r="K294" i="81" s="1"/>
  <c r="F294" i="81"/>
  <c r="E294" i="81"/>
  <c r="D294" i="81"/>
  <c r="B294" i="81"/>
  <c r="N293" i="81"/>
  <c r="M293" i="81"/>
  <c r="H293" i="81"/>
  <c r="J293" i="81" s="1"/>
  <c r="F293" i="81"/>
  <c r="E293" i="81"/>
  <c r="D293" i="81"/>
  <c r="B293" i="81"/>
  <c r="N292" i="81"/>
  <c r="M292" i="81"/>
  <c r="H292" i="81"/>
  <c r="I292" i="81" s="1"/>
  <c r="F292" i="81"/>
  <c r="E292" i="81"/>
  <c r="D292" i="81"/>
  <c r="B292" i="81"/>
  <c r="N291" i="81"/>
  <c r="M291" i="81"/>
  <c r="H291" i="81"/>
  <c r="J291" i="81" s="1"/>
  <c r="F291" i="81"/>
  <c r="E291" i="81"/>
  <c r="D291" i="81"/>
  <c r="B291" i="81"/>
  <c r="N290" i="81"/>
  <c r="M290" i="81"/>
  <c r="H290" i="81"/>
  <c r="L290" i="81" s="1"/>
  <c r="F290" i="81"/>
  <c r="E290" i="81"/>
  <c r="D290" i="81"/>
  <c r="B290" i="81"/>
  <c r="N289" i="81"/>
  <c r="M289" i="81"/>
  <c r="H289" i="81"/>
  <c r="L289" i="81" s="1"/>
  <c r="F289" i="81"/>
  <c r="E289" i="81"/>
  <c r="D289" i="81"/>
  <c r="B289" i="81"/>
  <c r="N288" i="81"/>
  <c r="M288" i="81"/>
  <c r="H288" i="81"/>
  <c r="L288" i="81" s="1"/>
  <c r="F288" i="81"/>
  <c r="E288" i="81"/>
  <c r="D288" i="81"/>
  <c r="B288" i="81"/>
  <c r="N283" i="81"/>
  <c r="M283" i="81"/>
  <c r="H283" i="81"/>
  <c r="K283" i="81" s="1"/>
  <c r="F283" i="81"/>
  <c r="E283" i="81"/>
  <c r="D283" i="81"/>
  <c r="B283" i="81"/>
  <c r="N282" i="81"/>
  <c r="M282" i="81"/>
  <c r="H282" i="81"/>
  <c r="J282" i="81" s="1"/>
  <c r="F282" i="81"/>
  <c r="E282" i="81"/>
  <c r="D282" i="81"/>
  <c r="B282" i="81"/>
  <c r="N281" i="81"/>
  <c r="M281" i="81"/>
  <c r="H281" i="81"/>
  <c r="I281" i="81" s="1"/>
  <c r="F281" i="81"/>
  <c r="E281" i="81"/>
  <c r="D281" i="81"/>
  <c r="B281" i="81"/>
  <c r="N280" i="81"/>
  <c r="M280" i="81"/>
  <c r="H280" i="81"/>
  <c r="J280" i="81" s="1"/>
  <c r="F280" i="81"/>
  <c r="E280" i="81"/>
  <c r="D280" i="81"/>
  <c r="B280" i="81"/>
  <c r="N279" i="81"/>
  <c r="M279" i="81"/>
  <c r="H279" i="81"/>
  <c r="L279" i="81" s="1"/>
  <c r="F279" i="81"/>
  <c r="E279" i="81"/>
  <c r="D279" i="81"/>
  <c r="B279" i="81"/>
  <c r="N278" i="81"/>
  <c r="M278" i="81"/>
  <c r="H278" i="81"/>
  <c r="L278" i="81" s="1"/>
  <c r="F278" i="81"/>
  <c r="E278" i="81"/>
  <c r="D278" i="81"/>
  <c r="B278" i="81"/>
  <c r="N277" i="81"/>
  <c r="M277" i="81"/>
  <c r="H277" i="81"/>
  <c r="L277" i="81" s="1"/>
  <c r="F277" i="81"/>
  <c r="E277" i="81"/>
  <c r="D277" i="81"/>
  <c r="B277" i="81"/>
  <c r="N276" i="81"/>
  <c r="M276" i="81"/>
  <c r="H276" i="81"/>
  <c r="J276" i="81" s="1"/>
  <c r="F276" i="81"/>
  <c r="E276" i="81"/>
  <c r="D276" i="81"/>
  <c r="B276" i="81"/>
  <c r="N275" i="81"/>
  <c r="M275" i="81"/>
  <c r="H275" i="81"/>
  <c r="I275" i="81" s="1"/>
  <c r="F275" i="81"/>
  <c r="E275" i="81"/>
  <c r="D275" i="81"/>
  <c r="B275" i="81"/>
  <c r="M274" i="81"/>
  <c r="D274" i="81"/>
  <c r="B274" i="81"/>
  <c r="A324" i="81"/>
  <c r="M353" i="81"/>
  <c r="H353" i="81"/>
  <c r="E353" i="81"/>
  <c r="F353" i="81" s="1"/>
  <c r="D353" i="81"/>
  <c r="B353" i="81"/>
  <c r="M355" i="81"/>
  <c r="H355" i="81"/>
  <c r="E355" i="81"/>
  <c r="F355" i="81" s="1"/>
  <c r="D355" i="81"/>
  <c r="B355" i="81"/>
  <c r="M363" i="81"/>
  <c r="H363" i="81"/>
  <c r="E363" i="81"/>
  <c r="F363" i="81" s="1"/>
  <c r="D363" i="81"/>
  <c r="B363" i="81"/>
  <c r="M362" i="81"/>
  <c r="H362" i="81"/>
  <c r="E362" i="81"/>
  <c r="F362" i="81" s="1"/>
  <c r="D362" i="81"/>
  <c r="B362" i="81"/>
  <c r="M360" i="81"/>
  <c r="H360" i="81"/>
  <c r="E360" i="81"/>
  <c r="F360" i="81" s="1"/>
  <c r="D360" i="81"/>
  <c r="B360" i="81"/>
  <c r="M359" i="81"/>
  <c r="H359" i="81"/>
  <c r="J359" i="81" s="1"/>
  <c r="E359" i="81"/>
  <c r="F359" i="81" s="1"/>
  <c r="D359" i="81"/>
  <c r="B359" i="81"/>
  <c r="M372" i="81"/>
  <c r="H372" i="81"/>
  <c r="E372" i="81"/>
  <c r="F372" i="81" s="1"/>
  <c r="D372" i="81"/>
  <c r="B372" i="81"/>
  <c r="M366" i="81"/>
  <c r="H366" i="81"/>
  <c r="E366" i="81"/>
  <c r="F366" i="81" s="1"/>
  <c r="D366" i="81"/>
  <c r="B366" i="81"/>
  <c r="M371" i="81"/>
  <c r="H371" i="81"/>
  <c r="J371" i="81" s="1"/>
  <c r="E371" i="81"/>
  <c r="F371" i="81" s="1"/>
  <c r="D371" i="81"/>
  <c r="B371" i="81"/>
  <c r="M365" i="81"/>
  <c r="H365" i="81"/>
  <c r="E365" i="81"/>
  <c r="F365" i="81" s="1"/>
  <c r="D365" i="81"/>
  <c r="B365" i="81"/>
  <c r="M368" i="81"/>
  <c r="H368" i="81"/>
  <c r="E368" i="81"/>
  <c r="F368" i="81" s="1"/>
  <c r="D368" i="81"/>
  <c r="B368" i="81"/>
  <c r="M369" i="81"/>
  <c r="H369" i="81"/>
  <c r="E369" i="81"/>
  <c r="F369" i="81" s="1"/>
  <c r="D369" i="81"/>
  <c r="B369" i="81"/>
  <c r="M370" i="81"/>
  <c r="H370" i="81"/>
  <c r="E370" i="81"/>
  <c r="F370" i="81" s="1"/>
  <c r="D370" i="81"/>
  <c r="B370" i="81"/>
  <c r="M358" i="81"/>
  <c r="H358" i="81"/>
  <c r="E358" i="81"/>
  <c r="F358" i="81" s="1"/>
  <c r="D358" i="81"/>
  <c r="B358" i="81"/>
  <c r="M356" i="81"/>
  <c r="H356" i="81"/>
  <c r="E356" i="81"/>
  <c r="F356" i="81" s="1"/>
  <c r="D356" i="81"/>
  <c r="B356" i="81"/>
  <c r="M357" i="81"/>
  <c r="H357" i="81"/>
  <c r="E357" i="81"/>
  <c r="F357" i="81" s="1"/>
  <c r="D357" i="81"/>
  <c r="B357" i="81"/>
  <c r="M361" i="81"/>
  <c r="H361" i="81"/>
  <c r="E361" i="81"/>
  <c r="F361" i="81" s="1"/>
  <c r="D361" i="81"/>
  <c r="B361" i="81"/>
  <c r="M364" i="81"/>
  <c r="H364" i="81"/>
  <c r="J364" i="81" s="1"/>
  <c r="E364" i="81"/>
  <c r="F364" i="81" s="1"/>
  <c r="D364" i="81"/>
  <c r="B364" i="81"/>
  <c r="M367" i="81"/>
  <c r="H367" i="81"/>
  <c r="E367" i="81"/>
  <c r="F367" i="81" s="1"/>
  <c r="D367" i="81"/>
  <c r="B367" i="81"/>
  <c r="M354" i="81"/>
  <c r="H354" i="81"/>
  <c r="E354" i="81"/>
  <c r="F354" i="81" s="1"/>
  <c r="D354" i="81"/>
  <c r="B354" i="81"/>
  <c r="N349" i="81"/>
  <c r="M349" i="81"/>
  <c r="H349" i="81"/>
  <c r="K349" i="81" s="1"/>
  <c r="F349" i="81"/>
  <c r="E349" i="81"/>
  <c r="D349" i="81"/>
  <c r="B349" i="81"/>
  <c r="N348" i="81"/>
  <c r="M348" i="81"/>
  <c r="H348" i="81"/>
  <c r="J348" i="81" s="1"/>
  <c r="F348" i="81"/>
  <c r="E348" i="81"/>
  <c r="D348" i="81"/>
  <c r="B348" i="81"/>
  <c r="N347" i="81"/>
  <c r="M347" i="81"/>
  <c r="H347" i="81"/>
  <c r="I347" i="81" s="1"/>
  <c r="F347" i="81"/>
  <c r="E347" i="81"/>
  <c r="D347" i="81"/>
  <c r="B347" i="81"/>
  <c r="N346" i="81"/>
  <c r="M346" i="81"/>
  <c r="H346" i="81"/>
  <c r="K346" i="81" s="1"/>
  <c r="F346" i="81"/>
  <c r="E346" i="81"/>
  <c r="D346" i="81"/>
  <c r="B346" i="81"/>
  <c r="N345" i="81"/>
  <c r="M345" i="81"/>
  <c r="H345" i="81"/>
  <c r="J345" i="81" s="1"/>
  <c r="F345" i="81"/>
  <c r="E345" i="81"/>
  <c r="D345" i="81"/>
  <c r="B345" i="81"/>
  <c r="N344" i="81"/>
  <c r="M344" i="81"/>
  <c r="H344" i="81"/>
  <c r="I344" i="81" s="1"/>
  <c r="F344" i="81"/>
  <c r="E344" i="81"/>
  <c r="D344" i="81"/>
  <c r="B344" i="81"/>
  <c r="N343" i="81"/>
  <c r="M343" i="81"/>
  <c r="H343" i="81"/>
  <c r="K343" i="81" s="1"/>
  <c r="F343" i="81"/>
  <c r="E343" i="81"/>
  <c r="D343" i="81"/>
  <c r="B343" i="81"/>
  <c r="N342" i="81"/>
  <c r="M342" i="81"/>
  <c r="H342" i="81"/>
  <c r="L342" i="81" s="1"/>
  <c r="F342" i="81"/>
  <c r="E342" i="81"/>
  <c r="D342" i="81"/>
  <c r="B342" i="81"/>
  <c r="N341" i="81"/>
  <c r="M341" i="81"/>
  <c r="H341" i="81"/>
  <c r="J341" i="81" s="1"/>
  <c r="F341" i="81"/>
  <c r="E341" i="81"/>
  <c r="D341" i="81"/>
  <c r="B341" i="81"/>
  <c r="N340" i="81"/>
  <c r="M340" i="81"/>
  <c r="H340" i="81"/>
  <c r="L340" i="81" s="1"/>
  <c r="F340" i="81"/>
  <c r="E340" i="81"/>
  <c r="D340" i="81"/>
  <c r="B340" i="81"/>
  <c r="N335" i="81"/>
  <c r="H335" i="81"/>
  <c r="N334" i="81"/>
  <c r="H334" i="81"/>
  <c r="N333" i="81"/>
  <c r="H333" i="81"/>
  <c r="N332" i="81"/>
  <c r="H332" i="81"/>
  <c r="N331" i="81"/>
  <c r="H331" i="81"/>
  <c r="N330" i="81"/>
  <c r="H330" i="81"/>
  <c r="N329" i="81"/>
  <c r="H329" i="81"/>
  <c r="H328" i="81"/>
  <c r="A23" i="66"/>
  <c r="A20" i="66"/>
  <c r="C653" i="81"/>
  <c r="C652" i="81"/>
  <c r="C667" i="81"/>
  <c r="C673" i="81"/>
  <c r="C666" i="81"/>
  <c r="C640" i="81"/>
  <c r="C638" i="81"/>
  <c r="C669" i="81"/>
  <c r="C678" i="81"/>
  <c r="C677" i="81"/>
  <c r="C642" i="81"/>
  <c r="C641" i="81"/>
  <c r="C639" i="81"/>
  <c r="C670" i="81"/>
  <c r="C676" i="81"/>
  <c r="C675" i="81"/>
  <c r="C674" i="81"/>
  <c r="C671" i="81"/>
  <c r="C665" i="81"/>
  <c r="C668" i="81"/>
  <c r="M1172" i="81"/>
  <c r="M1174" i="81"/>
  <c r="M1173" i="81"/>
  <c r="D1158" i="81"/>
  <c r="B1121" i="81"/>
  <c r="H1120" i="81"/>
  <c r="M1109" i="81"/>
  <c r="D1108" i="81"/>
  <c r="H1134" i="81"/>
  <c r="D1135" i="81"/>
  <c r="M1107" i="81"/>
  <c r="B1054" i="81"/>
  <c r="H977" i="81"/>
  <c r="M951" i="81"/>
  <c r="D950" i="81"/>
  <c r="B847" i="81"/>
  <c r="M846" i="81"/>
  <c r="E873" i="81"/>
  <c r="F873" i="81" s="1"/>
  <c r="C200" i="81"/>
  <c r="C172" i="81"/>
  <c r="M172" i="81"/>
  <c r="A1572" i="81"/>
  <c r="A1832" i="81"/>
  <c r="A1936" i="81"/>
  <c r="A1156" i="81"/>
  <c r="A1104" i="81"/>
  <c r="A1052" i="81"/>
  <c r="A948" i="81"/>
  <c r="A844" i="81"/>
  <c r="A740" i="81"/>
  <c r="N892" i="81"/>
  <c r="M892" i="81"/>
  <c r="H892" i="81"/>
  <c r="L892" i="81" s="1"/>
  <c r="F892" i="81"/>
  <c r="E892" i="81"/>
  <c r="D892" i="81"/>
  <c r="B892" i="81"/>
  <c r="N891" i="81"/>
  <c r="M891" i="81"/>
  <c r="H891" i="81"/>
  <c r="L891" i="81" s="1"/>
  <c r="F891" i="81"/>
  <c r="E891" i="81"/>
  <c r="D891" i="81"/>
  <c r="B891" i="81"/>
  <c r="N890" i="81"/>
  <c r="M890" i="81"/>
  <c r="H890" i="81"/>
  <c r="L890" i="81" s="1"/>
  <c r="F890" i="81"/>
  <c r="E890" i="81"/>
  <c r="D890" i="81"/>
  <c r="B890" i="81"/>
  <c r="N889" i="81"/>
  <c r="M889" i="81"/>
  <c r="H889" i="81"/>
  <c r="K889" i="81" s="1"/>
  <c r="F889" i="81"/>
  <c r="E889" i="81"/>
  <c r="D889" i="81"/>
  <c r="B889" i="81"/>
  <c r="N888" i="81"/>
  <c r="M888" i="81"/>
  <c r="H888" i="81"/>
  <c r="L888" i="81" s="1"/>
  <c r="F888" i="81"/>
  <c r="E888" i="81"/>
  <c r="D888" i="81"/>
  <c r="B888" i="81"/>
  <c r="N887" i="81"/>
  <c r="M887" i="81"/>
  <c r="H887" i="81"/>
  <c r="L887" i="81" s="1"/>
  <c r="F887" i="81"/>
  <c r="E887" i="81"/>
  <c r="D887" i="81"/>
  <c r="B887" i="81"/>
  <c r="N886" i="81"/>
  <c r="M886" i="81"/>
  <c r="H886" i="81"/>
  <c r="L886" i="81" s="1"/>
  <c r="F886" i="81"/>
  <c r="E886" i="81"/>
  <c r="D886" i="81"/>
  <c r="B886" i="81"/>
  <c r="N885" i="81"/>
  <c r="M885" i="81"/>
  <c r="H885" i="81"/>
  <c r="K885" i="81" s="1"/>
  <c r="F885" i="81"/>
  <c r="E885" i="81"/>
  <c r="D885" i="81"/>
  <c r="B885" i="81"/>
  <c r="N884" i="81"/>
  <c r="M884" i="81"/>
  <c r="H884" i="81"/>
  <c r="J884" i="81" s="1"/>
  <c r="F884" i="81"/>
  <c r="E884" i="81"/>
  <c r="D884" i="81"/>
  <c r="B884" i="81"/>
  <c r="N883" i="81"/>
  <c r="M883" i="81"/>
  <c r="H883" i="81"/>
  <c r="L883" i="81" s="1"/>
  <c r="F883" i="81"/>
  <c r="E883" i="81"/>
  <c r="D883" i="81"/>
  <c r="B883" i="81"/>
  <c r="N882" i="81"/>
  <c r="M882" i="81"/>
  <c r="H882" i="81"/>
  <c r="L882" i="81" s="1"/>
  <c r="F882" i="81"/>
  <c r="E882" i="81"/>
  <c r="D882" i="81"/>
  <c r="B882" i="81"/>
  <c r="N881" i="81"/>
  <c r="M881" i="81"/>
  <c r="H881" i="81"/>
  <c r="L881" i="81" s="1"/>
  <c r="F881" i="81"/>
  <c r="E881" i="81"/>
  <c r="D881" i="81"/>
  <c r="B881" i="81"/>
  <c r="N880" i="81"/>
  <c r="M880" i="81"/>
  <c r="H880" i="81"/>
  <c r="L880" i="81" s="1"/>
  <c r="F880" i="81"/>
  <c r="E880" i="81"/>
  <c r="D880" i="81"/>
  <c r="B880" i="81"/>
  <c r="N879" i="81"/>
  <c r="M879" i="81"/>
  <c r="H879" i="81"/>
  <c r="L879" i="81" s="1"/>
  <c r="F879" i="81"/>
  <c r="E879" i="81"/>
  <c r="D879" i="81"/>
  <c r="B879" i="81"/>
  <c r="N878" i="81"/>
  <c r="M878" i="81"/>
  <c r="H878" i="81"/>
  <c r="L878" i="81" s="1"/>
  <c r="F878" i="81"/>
  <c r="E878" i="81"/>
  <c r="D878" i="81"/>
  <c r="B878" i="81"/>
  <c r="N877" i="81"/>
  <c r="M877" i="81"/>
  <c r="H877" i="81"/>
  <c r="K877" i="81" s="1"/>
  <c r="F877" i="81"/>
  <c r="E877" i="81"/>
  <c r="D877" i="81"/>
  <c r="B877" i="81"/>
  <c r="N876" i="81"/>
  <c r="M876" i="81"/>
  <c r="H876" i="81"/>
  <c r="L876" i="81" s="1"/>
  <c r="F876" i="81"/>
  <c r="E876" i="81"/>
  <c r="D876" i="81"/>
  <c r="B876" i="81"/>
  <c r="N875" i="81"/>
  <c r="M875" i="81"/>
  <c r="H875" i="81"/>
  <c r="L875" i="81" s="1"/>
  <c r="F875" i="81"/>
  <c r="E875" i="81"/>
  <c r="D875" i="81"/>
  <c r="B875" i="81"/>
  <c r="N874" i="81"/>
  <c r="M874" i="81"/>
  <c r="H874" i="81"/>
  <c r="L874" i="81" s="1"/>
  <c r="F874" i="81"/>
  <c r="E874" i="81"/>
  <c r="D874" i="81"/>
  <c r="B874" i="81"/>
  <c r="N869" i="81"/>
  <c r="M869" i="81"/>
  <c r="H869" i="81"/>
  <c r="L869" i="81" s="1"/>
  <c r="F869" i="81"/>
  <c r="E869" i="81"/>
  <c r="D869" i="81"/>
  <c r="B869" i="81"/>
  <c r="N868" i="81"/>
  <c r="M868" i="81"/>
  <c r="H868" i="81"/>
  <c r="L868" i="81" s="1"/>
  <c r="F868" i="81"/>
  <c r="E868" i="81"/>
  <c r="D868" i="81"/>
  <c r="B868" i="81"/>
  <c r="N867" i="81"/>
  <c r="M867" i="81"/>
  <c r="H867" i="81"/>
  <c r="L867" i="81" s="1"/>
  <c r="F867" i="81"/>
  <c r="E867" i="81"/>
  <c r="D867" i="81"/>
  <c r="B867" i="81"/>
  <c r="N866" i="81"/>
  <c r="M866" i="81"/>
  <c r="H866" i="81"/>
  <c r="K866" i="81" s="1"/>
  <c r="F866" i="81"/>
  <c r="E866" i="81"/>
  <c r="D866" i="81"/>
  <c r="B866" i="81"/>
  <c r="N865" i="81"/>
  <c r="M865" i="81"/>
  <c r="H865" i="81"/>
  <c r="J865" i="81" s="1"/>
  <c r="F865" i="81"/>
  <c r="E865" i="81"/>
  <c r="D865" i="81"/>
  <c r="B865" i="81"/>
  <c r="N864" i="81"/>
  <c r="M864" i="81"/>
  <c r="H864" i="81"/>
  <c r="I864" i="81" s="1"/>
  <c r="F864" i="81"/>
  <c r="E864" i="81"/>
  <c r="D864" i="81"/>
  <c r="B864" i="81"/>
  <c r="N863" i="81"/>
  <c r="M863" i="81"/>
  <c r="H863" i="81"/>
  <c r="J863" i="81" s="1"/>
  <c r="F863" i="81"/>
  <c r="E863" i="81"/>
  <c r="D863" i="81"/>
  <c r="B863" i="81"/>
  <c r="N862" i="81"/>
  <c r="M862" i="81"/>
  <c r="H862" i="81"/>
  <c r="L862" i="81" s="1"/>
  <c r="F862" i="81"/>
  <c r="E862" i="81"/>
  <c r="D862" i="81"/>
  <c r="B862" i="81"/>
  <c r="N861" i="81"/>
  <c r="M861" i="81"/>
  <c r="H861" i="81"/>
  <c r="L861" i="81" s="1"/>
  <c r="F861" i="81"/>
  <c r="E861" i="81"/>
  <c r="D861" i="81"/>
  <c r="B861" i="81"/>
  <c r="N860" i="81"/>
  <c r="M860" i="81"/>
  <c r="H860" i="81"/>
  <c r="L860" i="81" s="1"/>
  <c r="F860" i="81"/>
  <c r="E860" i="81"/>
  <c r="D860" i="81"/>
  <c r="B860" i="81"/>
  <c r="N855" i="81"/>
  <c r="M855" i="81"/>
  <c r="H855" i="81"/>
  <c r="K855" i="81" s="1"/>
  <c r="F855" i="81"/>
  <c r="E855" i="81"/>
  <c r="D855" i="81"/>
  <c r="B855" i="81"/>
  <c r="N854" i="81"/>
  <c r="M854" i="81"/>
  <c r="H854" i="81"/>
  <c r="J854" i="81" s="1"/>
  <c r="F854" i="81"/>
  <c r="E854" i="81"/>
  <c r="D854" i="81"/>
  <c r="B854" i="81"/>
  <c r="N853" i="81"/>
  <c r="M853" i="81"/>
  <c r="H853" i="81"/>
  <c r="I853" i="81" s="1"/>
  <c r="F853" i="81"/>
  <c r="E853" i="81"/>
  <c r="D853" i="81"/>
  <c r="B853" i="81"/>
  <c r="N852" i="81"/>
  <c r="M852" i="81"/>
  <c r="H852" i="81"/>
  <c r="L852" i="81" s="1"/>
  <c r="F852" i="81"/>
  <c r="E852" i="81"/>
  <c r="D852" i="81"/>
  <c r="B852" i="81"/>
  <c r="N851" i="81"/>
  <c r="M851" i="81"/>
  <c r="H851" i="81"/>
  <c r="L851" i="81" s="1"/>
  <c r="F851" i="81"/>
  <c r="E851" i="81"/>
  <c r="D851" i="81"/>
  <c r="B851" i="81"/>
  <c r="N850" i="81"/>
  <c r="M850" i="81"/>
  <c r="H850" i="81"/>
  <c r="L850" i="81" s="1"/>
  <c r="F850" i="81"/>
  <c r="E850" i="81"/>
  <c r="D850" i="81"/>
  <c r="B850" i="81"/>
  <c r="N849" i="81"/>
  <c r="M849" i="81"/>
  <c r="H849" i="81"/>
  <c r="L849" i="81" s="1"/>
  <c r="F849" i="81"/>
  <c r="E849" i="81"/>
  <c r="D849" i="81"/>
  <c r="B849" i="81"/>
  <c r="N848" i="81"/>
  <c r="M848" i="81"/>
  <c r="H848" i="81"/>
  <c r="L848" i="81" s="1"/>
  <c r="F848" i="81"/>
  <c r="E848" i="81"/>
  <c r="D848" i="81"/>
  <c r="B848" i="81"/>
  <c r="N996" i="81"/>
  <c r="M996" i="81"/>
  <c r="H996" i="81"/>
  <c r="L996" i="81" s="1"/>
  <c r="F996" i="81"/>
  <c r="E996" i="81"/>
  <c r="D996" i="81"/>
  <c r="B996" i="81"/>
  <c r="N995" i="81"/>
  <c r="M995" i="81"/>
  <c r="H995" i="81"/>
  <c r="L995" i="81" s="1"/>
  <c r="F995" i="81"/>
  <c r="E995" i="81"/>
  <c r="D995" i="81"/>
  <c r="B995" i="81"/>
  <c r="N994" i="81"/>
  <c r="M994" i="81"/>
  <c r="H994" i="81"/>
  <c r="L994" i="81" s="1"/>
  <c r="F994" i="81"/>
  <c r="E994" i="81"/>
  <c r="D994" i="81"/>
  <c r="B994" i="81"/>
  <c r="N993" i="81"/>
  <c r="M993" i="81"/>
  <c r="H993" i="81"/>
  <c r="L993" i="81" s="1"/>
  <c r="F993" i="81"/>
  <c r="E993" i="81"/>
  <c r="D993" i="81"/>
  <c r="B993" i="81"/>
  <c r="N992" i="81"/>
  <c r="M992" i="81"/>
  <c r="H992" i="81"/>
  <c r="L992" i="81" s="1"/>
  <c r="F992" i="81"/>
  <c r="E992" i="81"/>
  <c r="D992" i="81"/>
  <c r="B992" i="81"/>
  <c r="N991" i="81"/>
  <c r="M991" i="81"/>
  <c r="H991" i="81"/>
  <c r="K991" i="81" s="1"/>
  <c r="F991" i="81"/>
  <c r="E991" i="81"/>
  <c r="D991" i="81"/>
  <c r="B991" i="81"/>
  <c r="N990" i="81"/>
  <c r="M990" i="81"/>
  <c r="H990" i="81"/>
  <c r="L990" i="81" s="1"/>
  <c r="F990" i="81"/>
  <c r="E990" i="81"/>
  <c r="D990" i="81"/>
  <c r="B990" i="81"/>
  <c r="N989" i="81"/>
  <c r="M989" i="81"/>
  <c r="H989" i="81"/>
  <c r="K989" i="81" s="1"/>
  <c r="F989" i="81"/>
  <c r="E989" i="81"/>
  <c r="D989" i="81"/>
  <c r="B989" i="81"/>
  <c r="N988" i="81"/>
  <c r="M988" i="81"/>
  <c r="H988" i="81"/>
  <c r="J988" i="81" s="1"/>
  <c r="F988" i="81"/>
  <c r="E988" i="81"/>
  <c r="D988" i="81"/>
  <c r="B988" i="81"/>
  <c r="N987" i="81"/>
  <c r="M987" i="81"/>
  <c r="H987" i="81"/>
  <c r="I987" i="81" s="1"/>
  <c r="F987" i="81"/>
  <c r="E987" i="81"/>
  <c r="D987" i="81"/>
  <c r="B987" i="81"/>
  <c r="N986" i="81"/>
  <c r="M986" i="81"/>
  <c r="H986" i="81"/>
  <c r="L986" i="81" s="1"/>
  <c r="F986" i="81"/>
  <c r="E986" i="81"/>
  <c r="D986" i="81"/>
  <c r="B986" i="81"/>
  <c r="N985" i="81"/>
  <c r="M985" i="81"/>
  <c r="H985" i="81"/>
  <c r="L985" i="81" s="1"/>
  <c r="F985" i="81"/>
  <c r="E985" i="81"/>
  <c r="D985" i="81"/>
  <c r="B985" i="81"/>
  <c r="N984" i="81"/>
  <c r="M984" i="81"/>
  <c r="H984" i="81"/>
  <c r="L984" i="81" s="1"/>
  <c r="F984" i="81"/>
  <c r="E984" i="81"/>
  <c r="D984" i="81"/>
  <c r="B984" i="81"/>
  <c r="N983" i="81"/>
  <c r="M983" i="81"/>
  <c r="H983" i="81"/>
  <c r="L983" i="81" s="1"/>
  <c r="F983" i="81"/>
  <c r="E983" i="81"/>
  <c r="D983" i="81"/>
  <c r="B983" i="81"/>
  <c r="N982" i="81"/>
  <c r="M982" i="81"/>
  <c r="H982" i="81"/>
  <c r="L982" i="81" s="1"/>
  <c r="F982" i="81"/>
  <c r="E982" i="81"/>
  <c r="D982" i="81"/>
  <c r="B982" i="81"/>
  <c r="N981" i="81"/>
  <c r="M981" i="81"/>
  <c r="H981" i="81"/>
  <c r="L981" i="81" s="1"/>
  <c r="F981" i="81"/>
  <c r="E981" i="81"/>
  <c r="D981" i="81"/>
  <c r="B981" i="81"/>
  <c r="N980" i="81"/>
  <c r="M980" i="81"/>
  <c r="H980" i="81"/>
  <c r="L980" i="81" s="1"/>
  <c r="F980" i="81"/>
  <c r="E980" i="81"/>
  <c r="D980" i="81"/>
  <c r="B980" i="81"/>
  <c r="N979" i="81"/>
  <c r="M979" i="81"/>
  <c r="H979" i="81"/>
  <c r="K979" i="81" s="1"/>
  <c r="F979" i="81"/>
  <c r="E979" i="81"/>
  <c r="D979" i="81"/>
  <c r="B979" i="81"/>
  <c r="N978" i="81"/>
  <c r="M978" i="81"/>
  <c r="H978" i="81"/>
  <c r="L978" i="81" s="1"/>
  <c r="F978" i="81"/>
  <c r="E978" i="81"/>
  <c r="D978" i="81"/>
  <c r="B978" i="81"/>
  <c r="N973" i="81"/>
  <c r="M973" i="81"/>
  <c r="H973" i="81"/>
  <c r="L973" i="81" s="1"/>
  <c r="F973" i="81"/>
  <c r="E973" i="81"/>
  <c r="D973" i="81"/>
  <c r="B973" i="81"/>
  <c r="N972" i="81"/>
  <c r="M972" i="81"/>
  <c r="H972" i="81"/>
  <c r="K972" i="81" s="1"/>
  <c r="F972" i="81"/>
  <c r="E972" i="81"/>
  <c r="D972" i="81"/>
  <c r="B972" i="81"/>
  <c r="N971" i="81"/>
  <c r="M971" i="81"/>
  <c r="H971" i="81"/>
  <c r="L971" i="81" s="1"/>
  <c r="F971" i="81"/>
  <c r="E971" i="81"/>
  <c r="D971" i="81"/>
  <c r="B971" i="81"/>
  <c r="N970" i="81"/>
  <c r="M970" i="81"/>
  <c r="H970" i="81"/>
  <c r="K970" i="81" s="1"/>
  <c r="F970" i="81"/>
  <c r="E970" i="81"/>
  <c r="D970" i="81"/>
  <c r="B970" i="81"/>
  <c r="N969" i="81"/>
  <c r="M969" i="81"/>
  <c r="H969" i="81"/>
  <c r="L969" i="81" s="1"/>
  <c r="F969" i="81"/>
  <c r="E969" i="81"/>
  <c r="D969" i="81"/>
  <c r="B969" i="81"/>
  <c r="N968" i="81"/>
  <c r="M968" i="81"/>
  <c r="H968" i="81"/>
  <c r="I968" i="81" s="1"/>
  <c r="F968" i="81"/>
  <c r="E968" i="81"/>
  <c r="D968" i="81"/>
  <c r="B968" i="81"/>
  <c r="N967" i="81"/>
  <c r="M967" i="81"/>
  <c r="H967" i="81"/>
  <c r="L967" i="81" s="1"/>
  <c r="F967" i="81"/>
  <c r="E967" i="81"/>
  <c r="D967" i="81"/>
  <c r="B967" i="81"/>
  <c r="N966" i="81"/>
  <c r="M966" i="81"/>
  <c r="H966" i="81"/>
  <c r="K966" i="81" s="1"/>
  <c r="F966" i="81"/>
  <c r="E966" i="81"/>
  <c r="D966" i="81"/>
  <c r="B966" i="81"/>
  <c r="N965" i="81"/>
  <c r="M965" i="81"/>
  <c r="H965" i="81"/>
  <c r="L965" i="81" s="1"/>
  <c r="F965" i="81"/>
  <c r="E965" i="81"/>
  <c r="D965" i="81"/>
  <c r="B965" i="81"/>
  <c r="N959" i="81"/>
  <c r="M959" i="81"/>
  <c r="H959" i="81"/>
  <c r="K959" i="81" s="1"/>
  <c r="F959" i="81"/>
  <c r="E959" i="81"/>
  <c r="D959" i="81"/>
  <c r="B959" i="81"/>
  <c r="N958" i="81"/>
  <c r="M958" i="81"/>
  <c r="H958" i="81"/>
  <c r="I958" i="81" s="1"/>
  <c r="F958" i="81"/>
  <c r="E958" i="81"/>
  <c r="D958" i="81"/>
  <c r="B958" i="81"/>
  <c r="N957" i="81"/>
  <c r="M957" i="81"/>
  <c r="H957" i="81"/>
  <c r="I957" i="81" s="1"/>
  <c r="F957" i="81"/>
  <c r="E957" i="81"/>
  <c r="D957" i="81"/>
  <c r="B957" i="81"/>
  <c r="N956" i="81"/>
  <c r="M956" i="81"/>
  <c r="H956" i="81"/>
  <c r="J956" i="81" s="1"/>
  <c r="F956" i="81"/>
  <c r="E956" i="81"/>
  <c r="D956" i="81"/>
  <c r="B956" i="81"/>
  <c r="N955" i="81"/>
  <c r="M955" i="81"/>
  <c r="H955" i="81"/>
  <c r="I955" i="81" s="1"/>
  <c r="F955" i="81"/>
  <c r="E955" i="81"/>
  <c r="D955" i="81"/>
  <c r="B955" i="81"/>
  <c r="N954" i="81"/>
  <c r="M954" i="81"/>
  <c r="H954" i="81"/>
  <c r="L954" i="81" s="1"/>
  <c r="F954" i="81"/>
  <c r="E954" i="81"/>
  <c r="D954" i="81"/>
  <c r="B954" i="81"/>
  <c r="N953" i="81"/>
  <c r="M953" i="81"/>
  <c r="H953" i="81"/>
  <c r="L953" i="81" s="1"/>
  <c r="F953" i="81"/>
  <c r="E953" i="81"/>
  <c r="D953" i="81"/>
  <c r="B953" i="81"/>
  <c r="N952" i="81"/>
  <c r="M952" i="81"/>
  <c r="H952" i="81"/>
  <c r="L952" i="81" s="1"/>
  <c r="F952" i="81"/>
  <c r="E952" i="81"/>
  <c r="D952" i="81"/>
  <c r="B952" i="81"/>
  <c r="N1100" i="81"/>
  <c r="M1100" i="81"/>
  <c r="H1100" i="81"/>
  <c r="L1100" i="81" s="1"/>
  <c r="F1100" i="81"/>
  <c r="E1100" i="81"/>
  <c r="D1100" i="81"/>
  <c r="B1100" i="81"/>
  <c r="N1099" i="81"/>
  <c r="M1099" i="81"/>
  <c r="H1099" i="81"/>
  <c r="L1099" i="81" s="1"/>
  <c r="F1099" i="81"/>
  <c r="E1099" i="81"/>
  <c r="D1099" i="81"/>
  <c r="B1099" i="81"/>
  <c r="N1098" i="81"/>
  <c r="M1098" i="81"/>
  <c r="H1098" i="81"/>
  <c r="L1098" i="81" s="1"/>
  <c r="F1098" i="81"/>
  <c r="E1098" i="81"/>
  <c r="D1098" i="81"/>
  <c r="B1098" i="81"/>
  <c r="N1097" i="81"/>
  <c r="M1097" i="81"/>
  <c r="H1097" i="81"/>
  <c r="K1097" i="81" s="1"/>
  <c r="F1097" i="81"/>
  <c r="E1097" i="81"/>
  <c r="D1097" i="81"/>
  <c r="B1097" i="81"/>
  <c r="N1096" i="81"/>
  <c r="M1096" i="81"/>
  <c r="H1096" i="81"/>
  <c r="J1096" i="81" s="1"/>
  <c r="F1096" i="81"/>
  <c r="E1096" i="81"/>
  <c r="D1096" i="81"/>
  <c r="B1096" i="81"/>
  <c r="N1095" i="81"/>
  <c r="M1095" i="81"/>
  <c r="H1095" i="81"/>
  <c r="I1095" i="81" s="1"/>
  <c r="F1095" i="81"/>
  <c r="E1095" i="81"/>
  <c r="D1095" i="81"/>
  <c r="B1095" i="81"/>
  <c r="N1094" i="81"/>
  <c r="M1094" i="81"/>
  <c r="H1094" i="81"/>
  <c r="L1094" i="81" s="1"/>
  <c r="F1094" i="81"/>
  <c r="E1094" i="81"/>
  <c r="D1094" i="81"/>
  <c r="B1094" i="81"/>
  <c r="N1093" i="81"/>
  <c r="M1093" i="81"/>
  <c r="H1093" i="81"/>
  <c r="K1093" i="81" s="1"/>
  <c r="F1093" i="81"/>
  <c r="E1093" i="81"/>
  <c r="D1093" i="81"/>
  <c r="B1093" i="81"/>
  <c r="N1092" i="81"/>
  <c r="M1092" i="81"/>
  <c r="H1092" i="81"/>
  <c r="J1092" i="81" s="1"/>
  <c r="F1092" i="81"/>
  <c r="E1092" i="81"/>
  <c r="D1092" i="81"/>
  <c r="B1092" i="81"/>
  <c r="N1091" i="81"/>
  <c r="M1091" i="81"/>
  <c r="H1091" i="81"/>
  <c r="I1091" i="81" s="1"/>
  <c r="F1091" i="81"/>
  <c r="E1091" i="81"/>
  <c r="D1091" i="81"/>
  <c r="B1091" i="81"/>
  <c r="N1090" i="81"/>
  <c r="M1090" i="81"/>
  <c r="H1090" i="81"/>
  <c r="I1090" i="81" s="1"/>
  <c r="F1090" i="81"/>
  <c r="E1090" i="81"/>
  <c r="D1090" i="81"/>
  <c r="B1090" i="81"/>
  <c r="N1089" i="81"/>
  <c r="M1089" i="81"/>
  <c r="H1089" i="81"/>
  <c r="L1089" i="81" s="1"/>
  <c r="F1089" i="81"/>
  <c r="E1089" i="81"/>
  <c r="D1089" i="81"/>
  <c r="B1089" i="81"/>
  <c r="N1088" i="81"/>
  <c r="M1088" i="81"/>
  <c r="H1088" i="81"/>
  <c r="L1088" i="81" s="1"/>
  <c r="F1088" i="81"/>
  <c r="E1088" i="81"/>
  <c r="D1088" i="81"/>
  <c r="B1088" i="81"/>
  <c r="N1087" i="81"/>
  <c r="M1087" i="81"/>
  <c r="H1087" i="81"/>
  <c r="L1087" i="81" s="1"/>
  <c r="F1087" i="81"/>
  <c r="E1087" i="81"/>
  <c r="D1087" i="81"/>
  <c r="B1087" i="81"/>
  <c r="N1086" i="81"/>
  <c r="M1086" i="81"/>
  <c r="H1086" i="81"/>
  <c r="L1086" i="81" s="1"/>
  <c r="F1086" i="81"/>
  <c r="E1086" i="81"/>
  <c r="D1086" i="81"/>
  <c r="B1086" i="81"/>
  <c r="N1085" i="81"/>
  <c r="M1085" i="81"/>
  <c r="H1085" i="81"/>
  <c r="K1085" i="81" s="1"/>
  <c r="F1085" i="81"/>
  <c r="E1085" i="81"/>
  <c r="D1085" i="81"/>
  <c r="B1085" i="81"/>
  <c r="N1084" i="81"/>
  <c r="M1084" i="81"/>
  <c r="H1084" i="81"/>
  <c r="J1084" i="81" s="1"/>
  <c r="F1084" i="81"/>
  <c r="E1084" i="81"/>
  <c r="D1084" i="81"/>
  <c r="B1084" i="81"/>
  <c r="N1083" i="81"/>
  <c r="M1083" i="81"/>
  <c r="H1083" i="81"/>
  <c r="I1083" i="81" s="1"/>
  <c r="F1083" i="81"/>
  <c r="E1083" i="81"/>
  <c r="D1083" i="81"/>
  <c r="B1083" i="81"/>
  <c r="N1082" i="81"/>
  <c r="M1082" i="81"/>
  <c r="H1082" i="81"/>
  <c r="L1082" i="81" s="1"/>
  <c r="F1082" i="81"/>
  <c r="E1082" i="81"/>
  <c r="D1082" i="81"/>
  <c r="B1082" i="81"/>
  <c r="N1081" i="81"/>
  <c r="M1081" i="81"/>
  <c r="H1081" i="81"/>
  <c r="K1081" i="81" s="1"/>
  <c r="F1081" i="81"/>
  <c r="E1081" i="81"/>
  <c r="D1081" i="81"/>
  <c r="B1081" i="81"/>
  <c r="N1077" i="81"/>
  <c r="M1077" i="81"/>
  <c r="H1077" i="81"/>
  <c r="J1077" i="81" s="1"/>
  <c r="F1077" i="81"/>
  <c r="E1077" i="81"/>
  <c r="D1077" i="81"/>
  <c r="B1077" i="81"/>
  <c r="N1076" i="81"/>
  <c r="M1076" i="81"/>
  <c r="H1076" i="81"/>
  <c r="I1076" i="81" s="1"/>
  <c r="F1076" i="81"/>
  <c r="E1076" i="81"/>
  <c r="D1076" i="81"/>
  <c r="B1076" i="81"/>
  <c r="N1075" i="81"/>
  <c r="M1075" i="81"/>
  <c r="H1075" i="81"/>
  <c r="L1075" i="81" s="1"/>
  <c r="F1075" i="81"/>
  <c r="E1075" i="81"/>
  <c r="D1075" i="81"/>
  <c r="B1075" i="81"/>
  <c r="N1074" i="81"/>
  <c r="M1074" i="81"/>
  <c r="H1074" i="81"/>
  <c r="K1074" i="81" s="1"/>
  <c r="F1074" i="81"/>
  <c r="E1074" i="81"/>
  <c r="D1074" i="81"/>
  <c r="B1074" i="81"/>
  <c r="N1073" i="81"/>
  <c r="M1073" i="81"/>
  <c r="H1073" i="81"/>
  <c r="J1073" i="81" s="1"/>
  <c r="F1073" i="81"/>
  <c r="E1073" i="81"/>
  <c r="D1073" i="81"/>
  <c r="B1073" i="81"/>
  <c r="N1072" i="81"/>
  <c r="M1072" i="81"/>
  <c r="H1072" i="81"/>
  <c r="I1072" i="81" s="1"/>
  <c r="F1072" i="81"/>
  <c r="E1072" i="81"/>
  <c r="D1072" i="81"/>
  <c r="B1072" i="81"/>
  <c r="N1071" i="81"/>
  <c r="M1071" i="81"/>
  <c r="H1071" i="81"/>
  <c r="J1071" i="81" s="1"/>
  <c r="F1071" i="81"/>
  <c r="E1071" i="81"/>
  <c r="D1071" i="81"/>
  <c r="B1071" i="81"/>
  <c r="N1070" i="81"/>
  <c r="M1070" i="81"/>
  <c r="H1070" i="81"/>
  <c r="J1070" i="81" s="1"/>
  <c r="F1070" i="81"/>
  <c r="E1070" i="81"/>
  <c r="D1070" i="81"/>
  <c r="B1070" i="81"/>
  <c r="N1069" i="81"/>
  <c r="M1069" i="81"/>
  <c r="H1069" i="81"/>
  <c r="L1069" i="81" s="1"/>
  <c r="F1069" i="81"/>
  <c r="E1069" i="81"/>
  <c r="D1069" i="81"/>
  <c r="B1069" i="81"/>
  <c r="N1068" i="81"/>
  <c r="M1068" i="81"/>
  <c r="H1068" i="81"/>
  <c r="L1068" i="81" s="1"/>
  <c r="F1068" i="81"/>
  <c r="E1068" i="81"/>
  <c r="D1068" i="81"/>
  <c r="B1068" i="81"/>
  <c r="N1063" i="81"/>
  <c r="M1063" i="81"/>
  <c r="H1063" i="81"/>
  <c r="K1063" i="81" s="1"/>
  <c r="F1063" i="81"/>
  <c r="E1063" i="81"/>
  <c r="D1063" i="81"/>
  <c r="B1063" i="81"/>
  <c r="N1062" i="81"/>
  <c r="M1062" i="81"/>
  <c r="H1062" i="81"/>
  <c r="J1062" i="81" s="1"/>
  <c r="F1062" i="81"/>
  <c r="E1062" i="81"/>
  <c r="D1062" i="81"/>
  <c r="B1062" i="81"/>
  <c r="N1061" i="81"/>
  <c r="M1061" i="81"/>
  <c r="H1061" i="81"/>
  <c r="I1061" i="81" s="1"/>
  <c r="F1061" i="81"/>
  <c r="E1061" i="81"/>
  <c r="D1061" i="81"/>
  <c r="B1061" i="81"/>
  <c r="N1060" i="81"/>
  <c r="M1060" i="81"/>
  <c r="H1060" i="81"/>
  <c r="J1060" i="81" s="1"/>
  <c r="F1060" i="81"/>
  <c r="E1060" i="81"/>
  <c r="D1060" i="81"/>
  <c r="B1060" i="81"/>
  <c r="N1059" i="81"/>
  <c r="M1059" i="81"/>
  <c r="H1059" i="81"/>
  <c r="K1059" i="81" s="1"/>
  <c r="F1059" i="81"/>
  <c r="E1059" i="81"/>
  <c r="D1059" i="81"/>
  <c r="B1059" i="81"/>
  <c r="N1058" i="81"/>
  <c r="M1058" i="81"/>
  <c r="H1058" i="81"/>
  <c r="L1058" i="81" s="1"/>
  <c r="F1058" i="81"/>
  <c r="E1058" i="81"/>
  <c r="D1058" i="81"/>
  <c r="B1058" i="81"/>
  <c r="N1057" i="81"/>
  <c r="M1057" i="81"/>
  <c r="H1057" i="81"/>
  <c r="L1057" i="81" s="1"/>
  <c r="F1057" i="81"/>
  <c r="E1057" i="81"/>
  <c r="D1057" i="81"/>
  <c r="B1057" i="81"/>
  <c r="N1056" i="81"/>
  <c r="M1056" i="81"/>
  <c r="H1056" i="81"/>
  <c r="L1056" i="81" s="1"/>
  <c r="F1056" i="81"/>
  <c r="E1056" i="81"/>
  <c r="D1056" i="81"/>
  <c r="B1056" i="81"/>
  <c r="N1055" i="81"/>
  <c r="M1055" i="81"/>
  <c r="H1055" i="81"/>
  <c r="K1055" i="81" s="1"/>
  <c r="F1055" i="81"/>
  <c r="E1055" i="81"/>
  <c r="D1055" i="81"/>
  <c r="B1055" i="81"/>
  <c r="N1152" i="81"/>
  <c r="M1152" i="81"/>
  <c r="H1152" i="81"/>
  <c r="L1152" i="81" s="1"/>
  <c r="F1152" i="81"/>
  <c r="E1152" i="81"/>
  <c r="D1152" i="81"/>
  <c r="B1152" i="81"/>
  <c r="N1151" i="81"/>
  <c r="M1151" i="81"/>
  <c r="H1151" i="81"/>
  <c r="L1151" i="81" s="1"/>
  <c r="F1151" i="81"/>
  <c r="E1151" i="81"/>
  <c r="D1151" i="81"/>
  <c r="B1151" i="81"/>
  <c r="N1150" i="81"/>
  <c r="M1150" i="81"/>
  <c r="H1150" i="81"/>
  <c r="L1150" i="81" s="1"/>
  <c r="F1150" i="81"/>
  <c r="E1150" i="81"/>
  <c r="D1150" i="81"/>
  <c r="B1150" i="81"/>
  <c r="N1149" i="81"/>
  <c r="M1149" i="81"/>
  <c r="H1149" i="81"/>
  <c r="L1149" i="81" s="1"/>
  <c r="F1149" i="81"/>
  <c r="E1149" i="81"/>
  <c r="D1149" i="81"/>
  <c r="B1149" i="81"/>
  <c r="N1148" i="81"/>
  <c r="M1148" i="81"/>
  <c r="H1148" i="81"/>
  <c r="L1148" i="81" s="1"/>
  <c r="F1148" i="81"/>
  <c r="E1148" i="81"/>
  <c r="D1148" i="81"/>
  <c r="B1148" i="81"/>
  <c r="N1147" i="81"/>
  <c r="M1147" i="81"/>
  <c r="H1147" i="81"/>
  <c r="I1147" i="81" s="1"/>
  <c r="F1147" i="81"/>
  <c r="E1147" i="81"/>
  <c r="D1147" i="81"/>
  <c r="B1147" i="81"/>
  <c r="N1146" i="81"/>
  <c r="M1146" i="81"/>
  <c r="H1146" i="81"/>
  <c r="K1146" i="81" s="1"/>
  <c r="F1146" i="81"/>
  <c r="E1146" i="81"/>
  <c r="D1146" i="81"/>
  <c r="B1146" i="81"/>
  <c r="N1145" i="81"/>
  <c r="M1145" i="81"/>
  <c r="H1145" i="81"/>
  <c r="J1145" i="81" s="1"/>
  <c r="F1145" i="81"/>
  <c r="E1145" i="81"/>
  <c r="D1145" i="81"/>
  <c r="B1145" i="81"/>
  <c r="N1144" i="81"/>
  <c r="M1144" i="81"/>
  <c r="H1144" i="81"/>
  <c r="I1144" i="81" s="1"/>
  <c r="F1144" i="81"/>
  <c r="E1144" i="81"/>
  <c r="D1144" i="81"/>
  <c r="B1144" i="81"/>
  <c r="N1143" i="81"/>
  <c r="M1143" i="81"/>
  <c r="H1143" i="81"/>
  <c r="J1143" i="81" s="1"/>
  <c r="F1143" i="81"/>
  <c r="E1143" i="81"/>
  <c r="D1143" i="81"/>
  <c r="B1143" i="81"/>
  <c r="N1142" i="81"/>
  <c r="M1142" i="81"/>
  <c r="H1142" i="81"/>
  <c r="L1142" i="81" s="1"/>
  <c r="F1142" i="81"/>
  <c r="E1142" i="81"/>
  <c r="D1142" i="81"/>
  <c r="B1142" i="81"/>
  <c r="N1141" i="81"/>
  <c r="M1141" i="81"/>
  <c r="H1141" i="81"/>
  <c r="L1141" i="81" s="1"/>
  <c r="F1141" i="81"/>
  <c r="E1141" i="81"/>
  <c r="D1141" i="81"/>
  <c r="B1141" i="81"/>
  <c r="N1140" i="81"/>
  <c r="M1140" i="81"/>
  <c r="H1140" i="81"/>
  <c r="L1140" i="81" s="1"/>
  <c r="F1140" i="81"/>
  <c r="E1140" i="81"/>
  <c r="D1140" i="81"/>
  <c r="B1140" i="81"/>
  <c r="N1139" i="81"/>
  <c r="M1139" i="81"/>
  <c r="H1139" i="81"/>
  <c r="L1139" i="81" s="1"/>
  <c r="F1139" i="81"/>
  <c r="E1139" i="81"/>
  <c r="D1139" i="81"/>
  <c r="B1139" i="81"/>
  <c r="N1138" i="81"/>
  <c r="M1138" i="81"/>
  <c r="H1138" i="81"/>
  <c r="L1138" i="81" s="1"/>
  <c r="F1138" i="81"/>
  <c r="E1138" i="81"/>
  <c r="D1138" i="81"/>
  <c r="B1138" i="81"/>
  <c r="N1137" i="81"/>
  <c r="M1137" i="81"/>
  <c r="H1137" i="81"/>
  <c r="L1137" i="81" s="1"/>
  <c r="F1137" i="81"/>
  <c r="E1137" i="81"/>
  <c r="D1137" i="81"/>
  <c r="B1137" i="81"/>
  <c r="N1136" i="81"/>
  <c r="M1136" i="81"/>
  <c r="H1136" i="81"/>
  <c r="L1136" i="81" s="1"/>
  <c r="F1136" i="81"/>
  <c r="E1136" i="81"/>
  <c r="D1136" i="81"/>
  <c r="B1136" i="81"/>
  <c r="N1129" i="81"/>
  <c r="M1129" i="81"/>
  <c r="H1129" i="81"/>
  <c r="L1129" i="81" s="1"/>
  <c r="F1129" i="81"/>
  <c r="E1129" i="81"/>
  <c r="D1129" i="81"/>
  <c r="B1129" i="81"/>
  <c r="N1128" i="81"/>
  <c r="M1128" i="81"/>
  <c r="H1128" i="81"/>
  <c r="I1128" i="81" s="1"/>
  <c r="F1128" i="81"/>
  <c r="E1128" i="81"/>
  <c r="D1128" i="81"/>
  <c r="B1128" i="81"/>
  <c r="N1127" i="81"/>
  <c r="M1127" i="81"/>
  <c r="H1127" i="81"/>
  <c r="K1127" i="81" s="1"/>
  <c r="F1127" i="81"/>
  <c r="E1127" i="81"/>
  <c r="D1127" i="81"/>
  <c r="B1127" i="81"/>
  <c r="N1126" i="81"/>
  <c r="M1126" i="81"/>
  <c r="H1126" i="81"/>
  <c r="I1126" i="81" s="1"/>
  <c r="F1126" i="81"/>
  <c r="E1126" i="81"/>
  <c r="D1126" i="81"/>
  <c r="B1126" i="81"/>
  <c r="N1125" i="81"/>
  <c r="M1125" i="81"/>
  <c r="H1125" i="81"/>
  <c r="L1125" i="81" s="1"/>
  <c r="F1125" i="81"/>
  <c r="E1125" i="81"/>
  <c r="D1125" i="81"/>
  <c r="B1125" i="81"/>
  <c r="N1124" i="81"/>
  <c r="M1124" i="81"/>
  <c r="H1124" i="81"/>
  <c r="I1124" i="81" s="1"/>
  <c r="F1124" i="81"/>
  <c r="E1124" i="81"/>
  <c r="D1124" i="81"/>
  <c r="B1124" i="81"/>
  <c r="N1123" i="81"/>
  <c r="M1123" i="81"/>
  <c r="H1123" i="81"/>
  <c r="L1123" i="81" s="1"/>
  <c r="F1123" i="81"/>
  <c r="E1123" i="81"/>
  <c r="D1123" i="81"/>
  <c r="B1123" i="81"/>
  <c r="N1122" i="81"/>
  <c r="M1122" i="81"/>
  <c r="H1122" i="81"/>
  <c r="K1122" i="81" s="1"/>
  <c r="F1122" i="81"/>
  <c r="E1122" i="81"/>
  <c r="D1122" i="81"/>
  <c r="B1122" i="81"/>
  <c r="N1115" i="81"/>
  <c r="M1115" i="81"/>
  <c r="H1115" i="81"/>
  <c r="I1115" i="81" s="1"/>
  <c r="F1115" i="81"/>
  <c r="E1115" i="81"/>
  <c r="D1115" i="81"/>
  <c r="B1115" i="81"/>
  <c r="N1114" i="81"/>
  <c r="M1114" i="81"/>
  <c r="H1114" i="81"/>
  <c r="J1114" i="81" s="1"/>
  <c r="F1114" i="81"/>
  <c r="E1114" i="81"/>
  <c r="D1114" i="81"/>
  <c r="B1114" i="81"/>
  <c r="N1113" i="81"/>
  <c r="M1113" i="81"/>
  <c r="H1113" i="81"/>
  <c r="I1113" i="81" s="1"/>
  <c r="F1113" i="81"/>
  <c r="E1113" i="81"/>
  <c r="D1113" i="81"/>
  <c r="B1113" i="81"/>
  <c r="N1112" i="81"/>
  <c r="M1112" i="81"/>
  <c r="H1112" i="81"/>
  <c r="L1112" i="81" s="1"/>
  <c r="F1112" i="81"/>
  <c r="E1112" i="81"/>
  <c r="D1112" i="81"/>
  <c r="B1112" i="81"/>
  <c r="N1111" i="81"/>
  <c r="M1111" i="81"/>
  <c r="H1111" i="81"/>
  <c r="K1111" i="81" s="1"/>
  <c r="F1111" i="81"/>
  <c r="E1111" i="81"/>
  <c r="D1111" i="81"/>
  <c r="B1111" i="81"/>
  <c r="N1110" i="81"/>
  <c r="M1110" i="81"/>
  <c r="H1110" i="81"/>
  <c r="L1110" i="81" s="1"/>
  <c r="F1110" i="81"/>
  <c r="E1110" i="81"/>
  <c r="D1110" i="81"/>
  <c r="B1110" i="81"/>
  <c r="N1204" i="81"/>
  <c r="M1204" i="81"/>
  <c r="H1204" i="81"/>
  <c r="L1204" i="81" s="1"/>
  <c r="F1204" i="81"/>
  <c r="E1204" i="81"/>
  <c r="D1204" i="81"/>
  <c r="B1204" i="81"/>
  <c r="N1203" i="81"/>
  <c r="M1203" i="81"/>
  <c r="H1203" i="81"/>
  <c r="L1203" i="81" s="1"/>
  <c r="F1203" i="81"/>
  <c r="E1203" i="81"/>
  <c r="D1203" i="81"/>
  <c r="B1203" i="81"/>
  <c r="N1202" i="81"/>
  <c r="M1202" i="81"/>
  <c r="H1202" i="81"/>
  <c r="L1202" i="81" s="1"/>
  <c r="F1202" i="81"/>
  <c r="E1202" i="81"/>
  <c r="D1202" i="81"/>
  <c r="B1202" i="81"/>
  <c r="N1201" i="81"/>
  <c r="M1201" i="81"/>
  <c r="H1201" i="81"/>
  <c r="K1201" i="81" s="1"/>
  <c r="F1201" i="81"/>
  <c r="E1201" i="81"/>
  <c r="D1201" i="81"/>
  <c r="B1201" i="81"/>
  <c r="N1200" i="81"/>
  <c r="M1200" i="81"/>
  <c r="H1200" i="81"/>
  <c r="J1200" i="81" s="1"/>
  <c r="F1200" i="81"/>
  <c r="E1200" i="81"/>
  <c r="D1200" i="81"/>
  <c r="B1200" i="81"/>
  <c r="N1199" i="81"/>
  <c r="M1199" i="81"/>
  <c r="H1199" i="81"/>
  <c r="I1199" i="81" s="1"/>
  <c r="F1199" i="81"/>
  <c r="E1199" i="81"/>
  <c r="D1199" i="81"/>
  <c r="B1199" i="81"/>
  <c r="N1198" i="81"/>
  <c r="M1198" i="81"/>
  <c r="H1198" i="81"/>
  <c r="L1198" i="81" s="1"/>
  <c r="F1198" i="81"/>
  <c r="E1198" i="81"/>
  <c r="D1198" i="81"/>
  <c r="B1198" i="81"/>
  <c r="N1197" i="81"/>
  <c r="M1197" i="81"/>
  <c r="H1197" i="81"/>
  <c r="K1197" i="81" s="1"/>
  <c r="F1197" i="81"/>
  <c r="E1197" i="81"/>
  <c r="D1197" i="81"/>
  <c r="B1197" i="81"/>
  <c r="N1196" i="81"/>
  <c r="M1196" i="81"/>
  <c r="H1196" i="81"/>
  <c r="J1196" i="81" s="1"/>
  <c r="F1196" i="81"/>
  <c r="E1196" i="81"/>
  <c r="D1196" i="81"/>
  <c r="B1196" i="81"/>
  <c r="N1195" i="81"/>
  <c r="M1195" i="81"/>
  <c r="H1195" i="81"/>
  <c r="I1195" i="81" s="1"/>
  <c r="F1195" i="81"/>
  <c r="E1195" i="81"/>
  <c r="D1195" i="81"/>
  <c r="B1195" i="81"/>
  <c r="N1194" i="81"/>
  <c r="M1194" i="81"/>
  <c r="H1194" i="81"/>
  <c r="K1194" i="81" s="1"/>
  <c r="F1194" i="81"/>
  <c r="E1194" i="81"/>
  <c r="D1194" i="81"/>
  <c r="B1194" i="81"/>
  <c r="N1193" i="81"/>
  <c r="M1193" i="81"/>
  <c r="H1193" i="81"/>
  <c r="L1193" i="81" s="1"/>
  <c r="F1193" i="81"/>
  <c r="E1193" i="81"/>
  <c r="D1193" i="81"/>
  <c r="B1193" i="81"/>
  <c r="N1192" i="81"/>
  <c r="M1192" i="81"/>
  <c r="H1192" i="81"/>
  <c r="L1192" i="81" s="1"/>
  <c r="F1192" i="81"/>
  <c r="E1192" i="81"/>
  <c r="D1192" i="81"/>
  <c r="B1192" i="81"/>
  <c r="N1191" i="81"/>
  <c r="M1191" i="81"/>
  <c r="H1191" i="81"/>
  <c r="L1191" i="81" s="1"/>
  <c r="F1191" i="81"/>
  <c r="E1191" i="81"/>
  <c r="D1191" i="81"/>
  <c r="B1191" i="81"/>
  <c r="N1190" i="81"/>
  <c r="M1190" i="81"/>
  <c r="H1190" i="81"/>
  <c r="L1190" i="81" s="1"/>
  <c r="F1190" i="81"/>
  <c r="E1190" i="81"/>
  <c r="D1190" i="81"/>
  <c r="B1190" i="81"/>
  <c r="N1189" i="81"/>
  <c r="M1189" i="81"/>
  <c r="H1189" i="81"/>
  <c r="K1189" i="81" s="1"/>
  <c r="F1189" i="81"/>
  <c r="E1189" i="81"/>
  <c r="D1189" i="81"/>
  <c r="B1189" i="81"/>
  <c r="N1188" i="81"/>
  <c r="M1188" i="81"/>
  <c r="H1188" i="81"/>
  <c r="J1188" i="81" s="1"/>
  <c r="F1188" i="81"/>
  <c r="E1188" i="81"/>
  <c r="D1188" i="81"/>
  <c r="B1188" i="81"/>
  <c r="N1187" i="81"/>
  <c r="M1187" i="81"/>
  <c r="H1187" i="81"/>
  <c r="I1187" i="81" s="1"/>
  <c r="F1187" i="81"/>
  <c r="E1187" i="81"/>
  <c r="D1187" i="81"/>
  <c r="B1187" i="81"/>
  <c r="N1186" i="81"/>
  <c r="M1186" i="81"/>
  <c r="H1186" i="81"/>
  <c r="L1186" i="81" s="1"/>
  <c r="F1186" i="81"/>
  <c r="E1186" i="81"/>
  <c r="D1186" i="81"/>
  <c r="B1186" i="81"/>
  <c r="N1181" i="81"/>
  <c r="M1181" i="81"/>
  <c r="H1181" i="81"/>
  <c r="J1181" i="81" s="1"/>
  <c r="F1181" i="81"/>
  <c r="E1181" i="81"/>
  <c r="D1181" i="81"/>
  <c r="B1181" i="81"/>
  <c r="N1180" i="81"/>
  <c r="M1180" i="81"/>
  <c r="H1180" i="81"/>
  <c r="L1180" i="81" s="1"/>
  <c r="F1180" i="81"/>
  <c r="E1180" i="81"/>
  <c r="D1180" i="81"/>
  <c r="B1180" i="81"/>
  <c r="N1179" i="81"/>
  <c r="M1179" i="81"/>
  <c r="H1179" i="81"/>
  <c r="L1179" i="81" s="1"/>
  <c r="F1179" i="81"/>
  <c r="E1179" i="81"/>
  <c r="D1179" i="81"/>
  <c r="B1179" i="81"/>
  <c r="N1178" i="81"/>
  <c r="M1178" i="81"/>
  <c r="H1178" i="81"/>
  <c r="K1178" i="81" s="1"/>
  <c r="F1178" i="81"/>
  <c r="E1178" i="81"/>
  <c r="D1178" i="81"/>
  <c r="B1178" i="81"/>
  <c r="N1177" i="81"/>
  <c r="M1177" i="81"/>
  <c r="H1177" i="81"/>
  <c r="J1177" i="81" s="1"/>
  <c r="F1177" i="81"/>
  <c r="E1177" i="81"/>
  <c r="D1177" i="81"/>
  <c r="B1177" i="81"/>
  <c r="N1176" i="81"/>
  <c r="M1176" i="81"/>
  <c r="H1176" i="81"/>
  <c r="I1176" i="81" s="1"/>
  <c r="F1176" i="81"/>
  <c r="E1176" i="81"/>
  <c r="D1176" i="81"/>
  <c r="B1176" i="81"/>
  <c r="N1175" i="81"/>
  <c r="M1175" i="81"/>
  <c r="H1175" i="81"/>
  <c r="L1175" i="81" s="1"/>
  <c r="F1175" i="81"/>
  <c r="E1175" i="81"/>
  <c r="D1175" i="81"/>
  <c r="B1175" i="81"/>
  <c r="N1167" i="81"/>
  <c r="M1167" i="81"/>
  <c r="H1167" i="81"/>
  <c r="K1167" i="81" s="1"/>
  <c r="F1167" i="81"/>
  <c r="E1167" i="81"/>
  <c r="D1167" i="81"/>
  <c r="B1167" i="81"/>
  <c r="N1166" i="81"/>
  <c r="M1166" i="81"/>
  <c r="H1166" i="81"/>
  <c r="J1166" i="81" s="1"/>
  <c r="F1166" i="81"/>
  <c r="E1166" i="81"/>
  <c r="D1166" i="81"/>
  <c r="B1166" i="81"/>
  <c r="N1165" i="81"/>
  <c r="M1165" i="81"/>
  <c r="H1165" i="81"/>
  <c r="I1165" i="81" s="1"/>
  <c r="F1165" i="81"/>
  <c r="E1165" i="81"/>
  <c r="D1165" i="81"/>
  <c r="B1165" i="81"/>
  <c r="N1164" i="81"/>
  <c r="M1164" i="81"/>
  <c r="H1164" i="81"/>
  <c r="L1164" i="81" s="1"/>
  <c r="F1164" i="81"/>
  <c r="E1164" i="81"/>
  <c r="D1164" i="81"/>
  <c r="B1164" i="81"/>
  <c r="N1163" i="81"/>
  <c r="M1163" i="81"/>
  <c r="H1163" i="81"/>
  <c r="L1163" i="81" s="1"/>
  <c r="F1163" i="81"/>
  <c r="E1163" i="81"/>
  <c r="D1163" i="81"/>
  <c r="B1163" i="81"/>
  <c r="N1162" i="81"/>
  <c r="M1162" i="81"/>
  <c r="H1162" i="81"/>
  <c r="L1162" i="81" s="1"/>
  <c r="F1162" i="81"/>
  <c r="E1162" i="81"/>
  <c r="D1162" i="81"/>
  <c r="B1162" i="81"/>
  <c r="N1161" i="81"/>
  <c r="M1161" i="81"/>
  <c r="H1161" i="81"/>
  <c r="L1161" i="81" s="1"/>
  <c r="F1161" i="81"/>
  <c r="E1161" i="81"/>
  <c r="D1161" i="81"/>
  <c r="B1161" i="81"/>
  <c r="N1160" i="81"/>
  <c r="M1160" i="81"/>
  <c r="H1160" i="81"/>
  <c r="L1160" i="81" s="1"/>
  <c r="F1160" i="81"/>
  <c r="E1160" i="81"/>
  <c r="D1160" i="81"/>
  <c r="B1160" i="81"/>
  <c r="N1159" i="81"/>
  <c r="M1159" i="81"/>
  <c r="H1159" i="81"/>
  <c r="K1159" i="81" s="1"/>
  <c r="F1159" i="81"/>
  <c r="E1159" i="81"/>
  <c r="D1159" i="81"/>
  <c r="B1159" i="81"/>
  <c r="S48" i="82"/>
  <c r="S50" i="82"/>
  <c r="S41" i="82"/>
  <c r="S40" i="82"/>
  <c r="S39" i="82"/>
  <c r="S38" i="82"/>
  <c r="S37" i="82"/>
  <c r="A17" i="66"/>
  <c r="A376" i="81"/>
  <c r="A168" i="81"/>
  <c r="N216" i="81"/>
  <c r="M216" i="81"/>
  <c r="H216" i="81"/>
  <c r="L216" i="81" s="1"/>
  <c r="F216" i="81"/>
  <c r="E216" i="81"/>
  <c r="D216" i="81"/>
  <c r="B216" i="81"/>
  <c r="N215" i="81"/>
  <c r="M215" i="81"/>
  <c r="H215" i="81"/>
  <c r="L215" i="81" s="1"/>
  <c r="F215" i="81"/>
  <c r="E215" i="81"/>
  <c r="D215" i="81"/>
  <c r="B215" i="81"/>
  <c r="N214" i="81"/>
  <c r="M214" i="81"/>
  <c r="H214" i="81"/>
  <c r="L214" i="81" s="1"/>
  <c r="F214" i="81"/>
  <c r="E214" i="81"/>
  <c r="D214" i="81"/>
  <c r="B214" i="81"/>
  <c r="N213" i="81"/>
  <c r="M213" i="81"/>
  <c r="H213" i="81"/>
  <c r="L213" i="81" s="1"/>
  <c r="F213" i="81"/>
  <c r="E213" i="81"/>
  <c r="D213" i="81"/>
  <c r="B213" i="81"/>
  <c r="N212" i="81"/>
  <c r="M212" i="81"/>
  <c r="H212" i="81"/>
  <c r="L212" i="81" s="1"/>
  <c r="F212" i="81"/>
  <c r="E212" i="81"/>
  <c r="D212" i="81"/>
  <c r="B212" i="81"/>
  <c r="N211" i="81"/>
  <c r="M211" i="81"/>
  <c r="H211" i="81"/>
  <c r="I211" i="81" s="1"/>
  <c r="F211" i="81"/>
  <c r="E211" i="81"/>
  <c r="D211" i="81"/>
  <c r="B211" i="81"/>
  <c r="N210" i="81"/>
  <c r="M210" i="81"/>
  <c r="H210" i="81"/>
  <c r="L210" i="81" s="1"/>
  <c r="F210" i="81"/>
  <c r="E210" i="81"/>
  <c r="D210" i="81"/>
  <c r="B210" i="81"/>
  <c r="N209" i="81"/>
  <c r="M209" i="81"/>
  <c r="H209" i="81"/>
  <c r="K209" i="81" s="1"/>
  <c r="F209" i="81"/>
  <c r="E209" i="81"/>
  <c r="D209" i="81"/>
  <c r="B209" i="81"/>
  <c r="N208" i="81"/>
  <c r="M208" i="81"/>
  <c r="H208" i="81"/>
  <c r="J208" i="81" s="1"/>
  <c r="F208" i="81"/>
  <c r="E208" i="81"/>
  <c r="D208" i="81"/>
  <c r="B208" i="81"/>
  <c r="N207" i="81"/>
  <c r="M207" i="81"/>
  <c r="H207" i="81"/>
  <c r="I207" i="81" s="1"/>
  <c r="F207" i="81"/>
  <c r="E207" i="81"/>
  <c r="D207" i="81"/>
  <c r="B207" i="81"/>
  <c r="N206" i="81"/>
  <c r="M206" i="81"/>
  <c r="H206" i="81"/>
  <c r="L206" i="81" s="1"/>
  <c r="F206" i="81"/>
  <c r="E206" i="81"/>
  <c r="D206" i="81"/>
  <c r="B206" i="81"/>
  <c r="N205" i="81"/>
  <c r="M205" i="81"/>
  <c r="H205" i="81"/>
  <c r="L205" i="81" s="1"/>
  <c r="F205" i="81"/>
  <c r="E205" i="81"/>
  <c r="D205" i="81"/>
  <c r="B205" i="81"/>
  <c r="N204" i="81"/>
  <c r="M204" i="81"/>
  <c r="H204" i="81"/>
  <c r="L204" i="81" s="1"/>
  <c r="F204" i="81"/>
  <c r="E204" i="81"/>
  <c r="D204" i="81"/>
  <c r="B204" i="81"/>
  <c r="N203" i="81"/>
  <c r="M203" i="81"/>
  <c r="H203" i="81"/>
  <c r="L203" i="81" s="1"/>
  <c r="F203" i="81"/>
  <c r="E203" i="81"/>
  <c r="D203" i="81"/>
  <c r="B203" i="81"/>
  <c r="N202" i="81"/>
  <c r="M202" i="81"/>
  <c r="H202" i="81"/>
  <c r="L202" i="81" s="1"/>
  <c r="F202" i="81"/>
  <c r="E202" i="81"/>
  <c r="D202" i="81"/>
  <c r="B202" i="81"/>
  <c r="N193" i="81"/>
  <c r="M193" i="81"/>
  <c r="H193" i="81"/>
  <c r="L193" i="81" s="1"/>
  <c r="F193" i="81"/>
  <c r="E193" i="81"/>
  <c r="D193" i="81"/>
  <c r="B193" i="81"/>
  <c r="N192" i="81"/>
  <c r="M192" i="81"/>
  <c r="H192" i="81"/>
  <c r="L192" i="81" s="1"/>
  <c r="F192" i="81"/>
  <c r="E192" i="81"/>
  <c r="D192" i="81"/>
  <c r="B192" i="81"/>
  <c r="N191" i="81"/>
  <c r="M191" i="81"/>
  <c r="H191" i="81"/>
  <c r="L191" i="81" s="1"/>
  <c r="F191" i="81"/>
  <c r="E191" i="81"/>
  <c r="D191" i="81"/>
  <c r="B191" i="81"/>
  <c r="N190" i="81"/>
  <c r="M190" i="81"/>
  <c r="H190" i="81"/>
  <c r="L190" i="81" s="1"/>
  <c r="F190" i="81"/>
  <c r="E190" i="81"/>
  <c r="D190" i="81"/>
  <c r="B190" i="81"/>
  <c r="N189" i="81"/>
  <c r="M189" i="81"/>
  <c r="H189" i="81"/>
  <c r="L189" i="81" s="1"/>
  <c r="F189" i="81"/>
  <c r="E189" i="81"/>
  <c r="D189" i="81"/>
  <c r="B189" i="81"/>
  <c r="N188" i="81"/>
  <c r="M188" i="81"/>
  <c r="H188" i="81"/>
  <c r="J188" i="81" s="1"/>
  <c r="F188" i="81"/>
  <c r="E188" i="81"/>
  <c r="D188" i="81"/>
  <c r="B188" i="81"/>
  <c r="N187" i="81"/>
  <c r="M187" i="81"/>
  <c r="H187" i="81"/>
  <c r="I187" i="81" s="1"/>
  <c r="F187" i="81"/>
  <c r="E187" i="81"/>
  <c r="D187" i="81"/>
  <c r="B187" i="81"/>
  <c r="N186" i="81"/>
  <c r="M186" i="81"/>
  <c r="H186" i="81"/>
  <c r="L186" i="81" s="1"/>
  <c r="F186" i="81"/>
  <c r="E186" i="81"/>
  <c r="D186" i="81"/>
  <c r="B186" i="81"/>
  <c r="M185" i="81"/>
  <c r="N185" i="81" s="1"/>
  <c r="B185" i="81"/>
  <c r="H185" i="81"/>
  <c r="M184" i="81"/>
  <c r="N184" i="81" s="1"/>
  <c r="B184" i="81"/>
  <c r="H184" i="81"/>
  <c r="N179" i="81"/>
  <c r="M179" i="81"/>
  <c r="H179" i="81"/>
  <c r="L179" i="81" s="1"/>
  <c r="F179" i="81"/>
  <c r="E179" i="81"/>
  <c r="D179" i="81"/>
  <c r="B179" i="81"/>
  <c r="N178" i="81"/>
  <c r="M178" i="81"/>
  <c r="H178" i="81"/>
  <c r="L178" i="81" s="1"/>
  <c r="F178" i="81"/>
  <c r="E178" i="81"/>
  <c r="D178" i="81"/>
  <c r="B178" i="81"/>
  <c r="N177" i="81"/>
  <c r="M177" i="81"/>
  <c r="H177" i="81"/>
  <c r="L177" i="81" s="1"/>
  <c r="F177" i="81"/>
  <c r="E177" i="81"/>
  <c r="D177" i="81"/>
  <c r="B177" i="81"/>
  <c r="N176" i="81"/>
  <c r="M176" i="81"/>
  <c r="H176" i="81"/>
  <c r="L176" i="81" s="1"/>
  <c r="F176" i="81"/>
  <c r="E176" i="81"/>
  <c r="D176" i="81"/>
  <c r="B176" i="81"/>
  <c r="N175" i="81"/>
  <c r="M175" i="81"/>
  <c r="H175" i="81"/>
  <c r="J175" i="81" s="1"/>
  <c r="F175" i="81"/>
  <c r="E175" i="81"/>
  <c r="D175" i="81"/>
  <c r="B175" i="81"/>
  <c r="N174" i="81"/>
  <c r="M174" i="81"/>
  <c r="H174" i="81"/>
  <c r="I174" i="81" s="1"/>
  <c r="F174" i="81"/>
  <c r="E174" i="81"/>
  <c r="D174" i="81"/>
  <c r="B174" i="81"/>
  <c r="N173" i="81"/>
  <c r="M173" i="81"/>
  <c r="H173" i="81"/>
  <c r="I173" i="81" s="1"/>
  <c r="F173" i="81"/>
  <c r="E173" i="81"/>
  <c r="D173" i="81"/>
  <c r="B173" i="81"/>
  <c r="B20" i="66" l="1"/>
  <c r="B23" i="66"/>
  <c r="B17" i="66"/>
  <c r="G948" i="81"/>
  <c r="L977" i="81" s="1"/>
  <c r="E948" i="81"/>
  <c r="B948" i="81"/>
  <c r="O948" i="81"/>
  <c r="E1052" i="81"/>
  <c r="B1052" i="81"/>
  <c r="O1052" i="81"/>
  <c r="G1052" i="81"/>
  <c r="G376" i="81"/>
  <c r="E376" i="81"/>
  <c r="B376" i="81"/>
  <c r="O376" i="81"/>
  <c r="O1104" i="81"/>
  <c r="E1104" i="81"/>
  <c r="B1104" i="81"/>
  <c r="G1104" i="81"/>
  <c r="L1120" i="81" s="1"/>
  <c r="E272" i="81"/>
  <c r="B272" i="81"/>
  <c r="O272" i="81"/>
  <c r="G272" i="81"/>
  <c r="O1156" i="81"/>
  <c r="E1156" i="81"/>
  <c r="B1156" i="81"/>
  <c r="G1156" i="81"/>
  <c r="E1936" i="81"/>
  <c r="B1936" i="81"/>
  <c r="O1936" i="81"/>
  <c r="G1936" i="81"/>
  <c r="E168" i="81"/>
  <c r="B168" i="81"/>
  <c r="O168" i="81"/>
  <c r="G168" i="81"/>
  <c r="G1832" i="81"/>
  <c r="E1832" i="81"/>
  <c r="B1832" i="81"/>
  <c r="O1832" i="81"/>
  <c r="G1572" i="81"/>
  <c r="E1572" i="81"/>
  <c r="B1572" i="81"/>
  <c r="O1572" i="81"/>
  <c r="G2040" i="81"/>
  <c r="E2040" i="81"/>
  <c r="B2040" i="81"/>
  <c r="O2040" i="81"/>
  <c r="G740" i="81"/>
  <c r="B740" i="81"/>
  <c r="O740" i="81"/>
  <c r="E740" i="81"/>
  <c r="E220" i="81"/>
  <c r="B220" i="81"/>
  <c r="O220" i="81"/>
  <c r="G220" i="81"/>
  <c r="L263" i="81" s="1"/>
  <c r="G844" i="81"/>
  <c r="E844" i="81"/>
  <c r="B844" i="81"/>
  <c r="O844" i="81"/>
  <c r="E324" i="81"/>
  <c r="B324" i="81"/>
  <c r="O324" i="81"/>
  <c r="G324" i="81"/>
  <c r="L355" i="81" s="1"/>
  <c r="N254" i="81"/>
  <c r="N366" i="81"/>
  <c r="N359" i="81"/>
  <c r="N353" i="81"/>
  <c r="N363" i="81"/>
  <c r="N360" i="81"/>
  <c r="N372" i="81"/>
  <c r="N371" i="81"/>
  <c r="N355" i="81"/>
  <c r="N362" i="81"/>
  <c r="I372" i="81"/>
  <c r="I354" i="81"/>
  <c r="N274" i="81"/>
  <c r="N226" i="81"/>
  <c r="N357" i="81"/>
  <c r="N313" i="81"/>
  <c r="N304" i="81"/>
  <c r="N317" i="81"/>
  <c r="N305" i="81"/>
  <c r="N261" i="81"/>
  <c r="N356" i="81"/>
  <c r="N263" i="81"/>
  <c r="N311" i="81"/>
  <c r="N264" i="81"/>
  <c r="N229" i="81"/>
  <c r="N354" i="81"/>
  <c r="N370" i="81"/>
  <c r="N256" i="81"/>
  <c r="I314" i="81"/>
  <c r="N228" i="81"/>
  <c r="I365" i="81"/>
  <c r="N316" i="81"/>
  <c r="N309" i="81"/>
  <c r="N301" i="81"/>
  <c r="N358" i="81"/>
  <c r="N227" i="81"/>
  <c r="N259" i="81"/>
  <c r="N364" i="81"/>
  <c r="N368" i="81"/>
  <c r="N307" i="81"/>
  <c r="I304" i="81"/>
  <c r="N225" i="81"/>
  <c r="N257" i="81"/>
  <c r="I258" i="81"/>
  <c r="N303" i="81"/>
  <c r="N222" i="81"/>
  <c r="N258" i="81"/>
  <c r="N262" i="81"/>
  <c r="N361" i="81"/>
  <c r="N365" i="81"/>
  <c r="N306" i="81"/>
  <c r="N223" i="81"/>
  <c r="N251" i="81"/>
  <c r="N253" i="81"/>
  <c r="I367" i="81"/>
  <c r="N312" i="81"/>
  <c r="N252" i="81"/>
  <c r="N367" i="81"/>
  <c r="N369" i="81"/>
  <c r="N314" i="81"/>
  <c r="I316" i="81"/>
  <c r="N255" i="81"/>
  <c r="N308" i="81"/>
  <c r="N302" i="81"/>
  <c r="N224" i="81"/>
  <c r="N250" i="81"/>
  <c r="I264" i="81"/>
  <c r="N260" i="81"/>
  <c r="N315" i="81"/>
  <c r="N310" i="81"/>
  <c r="I250" i="81"/>
  <c r="E249" i="81"/>
  <c r="F249" i="81" s="1"/>
  <c r="H249" i="81"/>
  <c r="D249" i="81"/>
  <c r="M249" i="81"/>
  <c r="N249" i="81" s="1"/>
  <c r="J314" i="81"/>
  <c r="K314" i="81" s="1"/>
  <c r="J316" i="81"/>
  <c r="K316" i="81" s="1"/>
  <c r="J230" i="81"/>
  <c r="J292" i="81"/>
  <c r="I297" i="81"/>
  <c r="L230" i="81"/>
  <c r="J297" i="81"/>
  <c r="J289" i="81"/>
  <c r="K241" i="81"/>
  <c r="J296" i="81"/>
  <c r="K364" i="81"/>
  <c r="I295" i="81"/>
  <c r="I243" i="81"/>
  <c r="J250" i="81"/>
  <c r="K250" i="81" s="1"/>
  <c r="I237" i="81"/>
  <c r="J265" i="81"/>
  <c r="J354" i="81"/>
  <c r="K354" i="81" s="1"/>
  <c r="K236" i="81"/>
  <c r="L275" i="81"/>
  <c r="J278" i="81"/>
  <c r="J281" i="81"/>
  <c r="K297" i="81"/>
  <c r="J239" i="81"/>
  <c r="J372" i="81"/>
  <c r="K372" i="81" s="1"/>
  <c r="K278" i="81"/>
  <c r="L281" i="81"/>
  <c r="K239" i="81"/>
  <c r="I254" i="81"/>
  <c r="J254" i="81"/>
  <c r="K254" i="81" s="1"/>
  <c r="J317" i="81"/>
  <c r="K317" i="81" s="1"/>
  <c r="L231" i="81"/>
  <c r="I278" i="81"/>
  <c r="I253" i="81"/>
  <c r="L280" i="81"/>
  <c r="J241" i="81"/>
  <c r="L291" i="81"/>
  <c r="I239" i="81"/>
  <c r="I289" i="81"/>
  <c r="K295" i="81"/>
  <c r="J305" i="81"/>
  <c r="K305" i="81" s="1"/>
  <c r="K276" i="81"/>
  <c r="K289" i="81"/>
  <c r="L237" i="81"/>
  <c r="K265" i="81"/>
  <c r="I303" i="81"/>
  <c r="L240" i="81"/>
  <c r="K230" i="81"/>
  <c r="L242" i="81"/>
  <c r="I255" i="81"/>
  <c r="I240" i="81"/>
  <c r="I256" i="81"/>
  <c r="J303" i="81"/>
  <c r="K303" i="81" s="1"/>
  <c r="J240" i="81"/>
  <c r="L241" i="81"/>
  <c r="J264" i="81"/>
  <c r="K264" i="81" s="1"/>
  <c r="J253" i="81"/>
  <c r="K253" i="81" s="1"/>
  <c r="K266" i="81"/>
  <c r="B1120" i="81"/>
  <c r="J302" i="81"/>
  <c r="K302" i="81" s="1"/>
  <c r="I265" i="81"/>
  <c r="L266" i="81"/>
  <c r="J365" i="81"/>
  <c r="K365" i="81" s="1"/>
  <c r="L276" i="81"/>
  <c r="L292" i="81"/>
  <c r="J258" i="81"/>
  <c r="K258" i="81" s="1"/>
  <c r="I268" i="81"/>
  <c r="K341" i="81"/>
  <c r="J347" i="81"/>
  <c r="L283" i="81"/>
  <c r="I320" i="81"/>
  <c r="I238" i="81"/>
  <c r="I252" i="81"/>
  <c r="N1174" i="81"/>
  <c r="L341" i="81"/>
  <c r="K347" i="81"/>
  <c r="J275" i="81"/>
  <c r="L294" i="81"/>
  <c r="K307" i="81"/>
  <c r="J238" i="81"/>
  <c r="J252" i="81"/>
  <c r="K252" i="81" s="1"/>
  <c r="L347" i="81"/>
  <c r="I353" i="81"/>
  <c r="K275" i="81"/>
  <c r="K312" i="81"/>
  <c r="I236" i="81"/>
  <c r="J237" i="81"/>
  <c r="K238" i="81"/>
  <c r="I259" i="81"/>
  <c r="J256" i="81"/>
  <c r="K256" i="81" s="1"/>
  <c r="I267" i="81"/>
  <c r="J268" i="81"/>
  <c r="F1174" i="81"/>
  <c r="J236" i="81"/>
  <c r="J259" i="81"/>
  <c r="K259" i="81" s="1"/>
  <c r="I266" i="81"/>
  <c r="J267" i="81"/>
  <c r="K268" i="81"/>
  <c r="H1174" i="81"/>
  <c r="J1174" i="81" s="1"/>
  <c r="I343" i="81"/>
  <c r="L346" i="81"/>
  <c r="K282" i="81"/>
  <c r="I293" i="81"/>
  <c r="I311" i="81"/>
  <c r="K267" i="81"/>
  <c r="J343" i="81"/>
  <c r="K293" i="81"/>
  <c r="J311" i="81"/>
  <c r="K311" i="81" s="1"/>
  <c r="I308" i="81"/>
  <c r="J304" i="81"/>
  <c r="K304" i="81" s="1"/>
  <c r="I245" i="81"/>
  <c r="I251" i="81"/>
  <c r="I263" i="81"/>
  <c r="L343" i="81"/>
  <c r="I305" i="81"/>
  <c r="I244" i="81"/>
  <c r="J245" i="81"/>
  <c r="I257" i="81"/>
  <c r="J251" i="81"/>
  <c r="K251" i="81" s="1"/>
  <c r="I262" i="81"/>
  <c r="J263" i="81"/>
  <c r="K263" i="81" s="1"/>
  <c r="J244" i="81"/>
  <c r="K245" i="81"/>
  <c r="J257" i="81"/>
  <c r="K257" i="81" s="1"/>
  <c r="I260" i="81"/>
  <c r="J262" i="81"/>
  <c r="K262" i="81" s="1"/>
  <c r="I370" i="81"/>
  <c r="J301" i="81"/>
  <c r="K301" i="81" s="1"/>
  <c r="I309" i="81"/>
  <c r="K318" i="81"/>
  <c r="I231" i="81"/>
  <c r="I242" i="81"/>
  <c r="J243" i="81"/>
  <c r="K244" i="81"/>
  <c r="J255" i="81"/>
  <c r="K255" i="81" s="1"/>
  <c r="I261" i="81"/>
  <c r="J260" i="81"/>
  <c r="K260" i="81" s="1"/>
  <c r="I280" i="81"/>
  <c r="I291" i="81"/>
  <c r="L318" i="81"/>
  <c r="J231" i="81"/>
  <c r="J242" i="81"/>
  <c r="K243" i="81"/>
  <c r="J261" i="81"/>
  <c r="K261" i="81" s="1"/>
  <c r="K348" i="81"/>
  <c r="K280" i="81"/>
  <c r="K291" i="81"/>
  <c r="J295" i="81"/>
  <c r="I317" i="81"/>
  <c r="L348" i="81"/>
  <c r="J369" i="81"/>
  <c r="K369" i="81" s="1"/>
  <c r="I366" i="81"/>
  <c r="J353" i="81"/>
  <c r="K353" i="81" s="1"/>
  <c r="I279" i="81"/>
  <c r="K281" i="81"/>
  <c r="L282" i="81"/>
  <c r="I290" i="81"/>
  <c r="K292" i="81"/>
  <c r="L293" i="81"/>
  <c r="I315" i="81"/>
  <c r="J309" i="81"/>
  <c r="K309" i="81" s="1"/>
  <c r="J366" i="81"/>
  <c r="K366" i="81" s="1"/>
  <c r="J279" i="81"/>
  <c r="J290" i="81"/>
  <c r="J315" i="81"/>
  <c r="K315" i="81" s="1"/>
  <c r="J342" i="81"/>
  <c r="I346" i="81"/>
  <c r="I277" i="81"/>
  <c r="K279" i="81"/>
  <c r="I288" i="81"/>
  <c r="K290" i="81"/>
  <c r="I306" i="81"/>
  <c r="J308" i="81"/>
  <c r="K308" i="81" s="1"/>
  <c r="I319" i="81"/>
  <c r="J320" i="81"/>
  <c r="I341" i="81"/>
  <c r="J346" i="81"/>
  <c r="J367" i="81"/>
  <c r="K367" i="81" s="1"/>
  <c r="I276" i="81"/>
  <c r="J277" i="81"/>
  <c r="J288" i="81"/>
  <c r="I307" i="81"/>
  <c r="J306" i="81"/>
  <c r="K306" i="81" s="1"/>
  <c r="I318" i="81"/>
  <c r="J319" i="81"/>
  <c r="K320" i="81"/>
  <c r="J370" i="81"/>
  <c r="K370" i="81" s="1"/>
  <c r="K371" i="81"/>
  <c r="K277" i="81"/>
  <c r="K288" i="81"/>
  <c r="K319" i="81"/>
  <c r="K345" i="81"/>
  <c r="I296" i="81"/>
  <c r="I301" i="81"/>
  <c r="I302" i="81"/>
  <c r="L349" i="81"/>
  <c r="I368" i="81"/>
  <c r="I283" i="81"/>
  <c r="I294" i="81"/>
  <c r="K296" i="81"/>
  <c r="I310" i="81"/>
  <c r="I313" i="81"/>
  <c r="J344" i="81"/>
  <c r="J368" i="81"/>
  <c r="K368" i="81" s="1"/>
  <c r="K359" i="81"/>
  <c r="I282" i="81"/>
  <c r="J283" i="81"/>
  <c r="J294" i="81"/>
  <c r="J310" i="81"/>
  <c r="K310" i="81" s="1"/>
  <c r="I312" i="81"/>
  <c r="J313" i="81"/>
  <c r="K313" i="81" s="1"/>
  <c r="L344" i="81"/>
  <c r="K331" i="81"/>
  <c r="J331" i="81"/>
  <c r="I331" i="81"/>
  <c r="L331" i="81"/>
  <c r="K330" i="81"/>
  <c r="J330" i="81"/>
  <c r="I330" i="81"/>
  <c r="L330" i="81"/>
  <c r="K332" i="81"/>
  <c r="J332" i="81"/>
  <c r="I332" i="81"/>
  <c r="L332" i="81"/>
  <c r="K333" i="81"/>
  <c r="J333" i="81"/>
  <c r="I333" i="81"/>
  <c r="L333" i="81"/>
  <c r="K328" i="81"/>
  <c r="J328" i="81"/>
  <c r="I328" i="81"/>
  <c r="L328" i="81"/>
  <c r="K334" i="81"/>
  <c r="J334" i="81"/>
  <c r="I334" i="81"/>
  <c r="L334" i="81"/>
  <c r="K329" i="81"/>
  <c r="J329" i="81"/>
  <c r="I329" i="81"/>
  <c r="L329" i="81"/>
  <c r="K335" i="81"/>
  <c r="J335" i="81"/>
  <c r="I335" i="81"/>
  <c r="L335" i="81"/>
  <c r="M327" i="81"/>
  <c r="M326" i="81"/>
  <c r="M328" i="81"/>
  <c r="M329" i="81"/>
  <c r="M330" i="81"/>
  <c r="M331" i="81"/>
  <c r="M332" i="81"/>
  <c r="M333" i="81"/>
  <c r="M334" i="81"/>
  <c r="M335" i="81"/>
  <c r="I342" i="81"/>
  <c r="K344" i="81"/>
  <c r="L345" i="81"/>
  <c r="I369" i="81"/>
  <c r="N328" i="81"/>
  <c r="B327" i="81"/>
  <c r="B326" i="81"/>
  <c r="B328" i="81"/>
  <c r="I340" i="81"/>
  <c r="K342" i="81"/>
  <c r="I358" i="81"/>
  <c r="I355" i="81"/>
  <c r="D327" i="81"/>
  <c r="D326" i="81"/>
  <c r="B329" i="81"/>
  <c r="B330" i="81"/>
  <c r="B331" i="81"/>
  <c r="B332" i="81"/>
  <c r="B333" i="81"/>
  <c r="B334" i="81"/>
  <c r="B335" i="81"/>
  <c r="J340" i="81"/>
  <c r="I356" i="81"/>
  <c r="J358" i="81"/>
  <c r="K358" i="81" s="1"/>
  <c r="I363" i="81"/>
  <c r="J355" i="81"/>
  <c r="K355" i="81" s="1"/>
  <c r="D328" i="81"/>
  <c r="D329" i="81"/>
  <c r="D330" i="81"/>
  <c r="D331" i="81"/>
  <c r="D332" i="81"/>
  <c r="D333" i="81"/>
  <c r="D334" i="81"/>
  <c r="D335" i="81"/>
  <c r="K340" i="81"/>
  <c r="I357" i="81"/>
  <c r="J356" i="81"/>
  <c r="K356" i="81" s="1"/>
  <c r="I362" i="81"/>
  <c r="J363" i="81"/>
  <c r="K363" i="81" s="1"/>
  <c r="E328" i="81"/>
  <c r="E329" i="81"/>
  <c r="E330" i="81"/>
  <c r="E331" i="81"/>
  <c r="E332" i="81"/>
  <c r="E333" i="81"/>
  <c r="E334" i="81"/>
  <c r="E335" i="81"/>
  <c r="I349" i="81"/>
  <c r="I361" i="81"/>
  <c r="J357" i="81"/>
  <c r="K357" i="81" s="1"/>
  <c r="I360" i="81"/>
  <c r="J362" i="81"/>
  <c r="K362" i="81" s="1"/>
  <c r="F328" i="81"/>
  <c r="F329" i="81"/>
  <c r="F330" i="81"/>
  <c r="F331" i="81"/>
  <c r="F332" i="81"/>
  <c r="F333" i="81"/>
  <c r="F334" i="81"/>
  <c r="F335" i="81"/>
  <c r="I348" i="81"/>
  <c r="J349" i="81"/>
  <c r="I364" i="81"/>
  <c r="J361" i="81"/>
  <c r="K361" i="81" s="1"/>
  <c r="I359" i="81"/>
  <c r="J360" i="81"/>
  <c r="K360" i="81" s="1"/>
  <c r="I345" i="81"/>
  <c r="I371" i="81"/>
  <c r="B1172" i="81"/>
  <c r="N1172" i="81" s="1"/>
  <c r="B1134" i="81"/>
  <c r="N1173" i="81"/>
  <c r="F1173" i="81"/>
  <c r="H1173" i="81"/>
  <c r="J1173" i="81" s="1"/>
  <c r="B1158" i="81"/>
  <c r="M1158" i="81"/>
  <c r="D1121" i="81"/>
  <c r="M1054" i="81"/>
  <c r="N1054" i="81" s="1"/>
  <c r="D1172" i="81"/>
  <c r="E1172" i="81"/>
  <c r="F1172" i="81" s="1"/>
  <c r="H1172" i="81"/>
  <c r="J1172" i="81" s="1"/>
  <c r="B873" i="81"/>
  <c r="B1107" i="81"/>
  <c r="N1107" i="81" s="1"/>
  <c r="B950" i="81"/>
  <c r="B846" i="81"/>
  <c r="N846" i="81" s="1"/>
  <c r="D847" i="81"/>
  <c r="M847" i="81"/>
  <c r="N847" i="81" s="1"/>
  <c r="D846" i="81"/>
  <c r="D873" i="81"/>
  <c r="H873" i="81"/>
  <c r="M873" i="81"/>
  <c r="E1121" i="81"/>
  <c r="F1121" i="81" s="1"/>
  <c r="D1134" i="81"/>
  <c r="B1108" i="81"/>
  <c r="M1108" i="81"/>
  <c r="M1134" i="81"/>
  <c r="H1121" i="81"/>
  <c r="E1134" i="81"/>
  <c r="F1134" i="81" s="1"/>
  <c r="M1121" i="81"/>
  <c r="N1121" i="81" s="1"/>
  <c r="D1054" i="81"/>
  <c r="M977" i="81"/>
  <c r="D1107" i="81"/>
  <c r="D1120" i="81"/>
  <c r="M950" i="81"/>
  <c r="D977" i="81"/>
  <c r="D1109" i="81"/>
  <c r="M1120" i="81"/>
  <c r="E977" i="81"/>
  <c r="F977" i="81" s="1"/>
  <c r="E1120" i="81"/>
  <c r="F1120" i="81" s="1"/>
  <c r="B977" i="81"/>
  <c r="B1109" i="81"/>
  <c r="N1109" i="81" s="1"/>
  <c r="B951" i="81"/>
  <c r="N951" i="81" s="1"/>
  <c r="D951" i="81"/>
  <c r="E1135" i="81"/>
  <c r="F1135" i="81" s="1"/>
  <c r="M1135" i="81"/>
  <c r="H1135" i="81"/>
  <c r="B1135" i="81"/>
  <c r="B1106" i="81"/>
  <c r="D1106" i="81"/>
  <c r="M1106" i="81"/>
  <c r="B172" i="81"/>
  <c r="N172" i="81" s="1"/>
  <c r="D172" i="81"/>
  <c r="K1083" i="81"/>
  <c r="L1083" i="81"/>
  <c r="K863" i="81"/>
  <c r="L863" i="81"/>
  <c r="L1092" i="81"/>
  <c r="K987" i="81"/>
  <c r="I969" i="81"/>
  <c r="L987" i="81"/>
  <c r="I1146" i="81"/>
  <c r="J968" i="81"/>
  <c r="K971" i="81"/>
  <c r="J877" i="81"/>
  <c r="L968" i="81"/>
  <c r="L877" i="81"/>
  <c r="K1077" i="81"/>
  <c r="I863" i="81"/>
  <c r="L1146" i="81"/>
  <c r="I966" i="81"/>
  <c r="L972" i="81"/>
  <c r="I985" i="81"/>
  <c r="J853" i="81"/>
  <c r="L866" i="81"/>
  <c r="I874" i="81"/>
  <c r="L966" i="81"/>
  <c r="K853" i="81"/>
  <c r="I1094" i="81"/>
  <c r="I849" i="81"/>
  <c r="I852" i="81"/>
  <c r="L853" i="81"/>
  <c r="K884" i="81"/>
  <c r="J1094" i="81"/>
  <c r="K849" i="81"/>
  <c r="J852" i="81"/>
  <c r="L884" i="81"/>
  <c r="I889" i="81"/>
  <c r="L1061" i="81"/>
  <c r="L1070" i="81"/>
  <c r="K1094" i="81"/>
  <c r="K852" i="81"/>
  <c r="L889" i="81"/>
  <c r="I851" i="81"/>
  <c r="L1077" i="81"/>
  <c r="J955" i="81"/>
  <c r="L958" i="81"/>
  <c r="K955" i="81"/>
  <c r="I986" i="81"/>
  <c r="K864" i="81"/>
  <c r="L955" i="81"/>
  <c r="L864" i="81"/>
  <c r="I1092" i="81"/>
  <c r="I978" i="81"/>
  <c r="I877" i="81"/>
  <c r="L1060" i="81"/>
  <c r="K958" i="81"/>
  <c r="K860" i="81"/>
  <c r="J864" i="81"/>
  <c r="I883" i="81"/>
  <c r="J887" i="81"/>
  <c r="K1198" i="81"/>
  <c r="J1074" i="81"/>
  <c r="J1090" i="81"/>
  <c r="J957" i="81"/>
  <c r="L855" i="81"/>
  <c r="I862" i="81"/>
  <c r="I867" i="81"/>
  <c r="I879" i="81"/>
  <c r="I882" i="81"/>
  <c r="J883" i="81"/>
  <c r="I1138" i="81"/>
  <c r="K1090" i="81"/>
  <c r="J967" i="81"/>
  <c r="K973" i="81"/>
  <c r="K862" i="81"/>
  <c r="J882" i="81"/>
  <c r="K883" i="81"/>
  <c r="L1071" i="81"/>
  <c r="L1090" i="81"/>
  <c r="J953" i="81"/>
  <c r="K882" i="81"/>
  <c r="I1127" i="81"/>
  <c r="K1096" i="81"/>
  <c r="K956" i="81"/>
  <c r="J986" i="81"/>
  <c r="K992" i="81"/>
  <c r="K854" i="81"/>
  <c r="J875" i="81"/>
  <c r="I881" i="81"/>
  <c r="I886" i="81"/>
  <c r="J889" i="81"/>
  <c r="K1113" i="81"/>
  <c r="L1127" i="81"/>
  <c r="L956" i="81"/>
  <c r="K986" i="81"/>
  <c r="L854" i="81"/>
  <c r="K881" i="81"/>
  <c r="L1095" i="81"/>
  <c r="L991" i="81"/>
  <c r="K865" i="81"/>
  <c r="L885" i="81"/>
  <c r="K1060" i="81"/>
  <c r="J1063" i="81"/>
  <c r="J958" i="81"/>
  <c r="I860" i="81"/>
  <c r="L865" i="81"/>
  <c r="J868" i="81"/>
  <c r="J969" i="81"/>
  <c r="J979" i="81"/>
  <c r="J985" i="81"/>
  <c r="I990" i="81"/>
  <c r="I850" i="81"/>
  <c r="J851" i="81"/>
  <c r="I861" i="81"/>
  <c r="J862" i="81"/>
  <c r="I880" i="81"/>
  <c r="J881" i="81"/>
  <c r="I892" i="81"/>
  <c r="K969" i="81"/>
  <c r="L979" i="81"/>
  <c r="K985" i="81"/>
  <c r="K990" i="81"/>
  <c r="J850" i="81"/>
  <c r="K851" i="81"/>
  <c r="J861" i="81"/>
  <c r="J880" i="81"/>
  <c r="I891" i="81"/>
  <c r="J892" i="81"/>
  <c r="J1175" i="81"/>
  <c r="L1128" i="81"/>
  <c r="K1072" i="81"/>
  <c r="J1075" i="81"/>
  <c r="I1089" i="81"/>
  <c r="I967" i="81"/>
  <c r="K968" i="81"/>
  <c r="J972" i="81"/>
  <c r="I848" i="81"/>
  <c r="J849" i="81"/>
  <c r="K850" i="81"/>
  <c r="J860" i="81"/>
  <c r="K861" i="81"/>
  <c r="I878" i="81"/>
  <c r="J879" i="81"/>
  <c r="K880" i="81"/>
  <c r="I890" i="81"/>
  <c r="J891" i="81"/>
  <c r="K892" i="81"/>
  <c r="K1075" i="81"/>
  <c r="J1089" i="81"/>
  <c r="J848" i="81"/>
  <c r="J878" i="81"/>
  <c r="K879" i="81"/>
  <c r="J890" i="81"/>
  <c r="K891" i="81"/>
  <c r="L1113" i="81"/>
  <c r="J1127" i="81"/>
  <c r="K1089" i="81"/>
  <c r="J966" i="81"/>
  <c r="K967" i="81"/>
  <c r="K978" i="81"/>
  <c r="I995" i="81"/>
  <c r="K848" i="81"/>
  <c r="I869" i="81"/>
  <c r="I876" i="81"/>
  <c r="K878" i="81"/>
  <c r="I888" i="81"/>
  <c r="K890" i="81"/>
  <c r="I1074" i="81"/>
  <c r="J1083" i="81"/>
  <c r="I953" i="81"/>
  <c r="I971" i="81"/>
  <c r="J995" i="81"/>
  <c r="I868" i="81"/>
  <c r="J869" i="81"/>
  <c r="I875" i="81"/>
  <c r="J876" i="81"/>
  <c r="I887" i="81"/>
  <c r="J888" i="81"/>
  <c r="K869" i="81"/>
  <c r="K876" i="81"/>
  <c r="K888" i="81"/>
  <c r="I983" i="81"/>
  <c r="I988" i="81"/>
  <c r="I855" i="81"/>
  <c r="I866" i="81"/>
  <c r="J867" i="81"/>
  <c r="K868" i="81"/>
  <c r="J874" i="81"/>
  <c r="K875" i="81"/>
  <c r="I885" i="81"/>
  <c r="J886" i="81"/>
  <c r="K887" i="81"/>
  <c r="J1134" i="81"/>
  <c r="J1138" i="81"/>
  <c r="K1143" i="81"/>
  <c r="J1146" i="81"/>
  <c r="I1060" i="81"/>
  <c r="I1070" i="81"/>
  <c r="J1095" i="81"/>
  <c r="I956" i="81"/>
  <c r="K957" i="81"/>
  <c r="J983" i="81"/>
  <c r="K988" i="81"/>
  <c r="I854" i="81"/>
  <c r="J855" i="81"/>
  <c r="I865" i="81"/>
  <c r="J866" i="81"/>
  <c r="K867" i="81"/>
  <c r="K874" i="81"/>
  <c r="I884" i="81"/>
  <c r="J885" i="81"/>
  <c r="K886" i="81"/>
  <c r="L1143" i="81"/>
  <c r="K1070" i="81"/>
  <c r="K1095" i="81"/>
  <c r="L957" i="81"/>
  <c r="K980" i="81"/>
  <c r="J987" i="81"/>
  <c r="L988" i="81"/>
  <c r="J991" i="81"/>
  <c r="L1059" i="81"/>
  <c r="I1063" i="81"/>
  <c r="K1071" i="81"/>
  <c r="I1075" i="81"/>
  <c r="L1076" i="81"/>
  <c r="L959" i="81"/>
  <c r="L970" i="81"/>
  <c r="L989" i="81"/>
  <c r="K1188" i="81"/>
  <c r="I1142" i="81"/>
  <c r="I1082" i="81"/>
  <c r="I954" i="81"/>
  <c r="I965" i="81"/>
  <c r="I984" i="81"/>
  <c r="I996" i="81"/>
  <c r="J1142" i="81"/>
  <c r="J1082" i="81"/>
  <c r="J954" i="81"/>
  <c r="J965" i="81"/>
  <c r="J984" i="81"/>
  <c r="J996" i="81"/>
  <c r="K1142" i="81"/>
  <c r="L1055" i="81"/>
  <c r="L1062" i="81"/>
  <c r="K1082" i="81"/>
  <c r="J1093" i="81"/>
  <c r="I952" i="81"/>
  <c r="K954" i="81"/>
  <c r="K965" i="81"/>
  <c r="I982" i="81"/>
  <c r="K984" i="81"/>
  <c r="I994" i="81"/>
  <c r="K996" i="81"/>
  <c r="L1195" i="81"/>
  <c r="L1114" i="81"/>
  <c r="I1123" i="81"/>
  <c r="I1081" i="81"/>
  <c r="L1097" i="81"/>
  <c r="J952" i="81"/>
  <c r="K953" i="81"/>
  <c r="I981" i="81"/>
  <c r="J982" i="81"/>
  <c r="K983" i="81"/>
  <c r="I993" i="81"/>
  <c r="J994" i="81"/>
  <c r="K995" i="81"/>
  <c r="L1188" i="81"/>
  <c r="K1165" i="81"/>
  <c r="J1123" i="81"/>
  <c r="I1073" i="81"/>
  <c r="J1081" i="81"/>
  <c r="K952" i="81"/>
  <c r="I973" i="81"/>
  <c r="I980" i="81"/>
  <c r="J981" i="81"/>
  <c r="K982" i="81"/>
  <c r="I992" i="81"/>
  <c r="J993" i="81"/>
  <c r="K994" i="81"/>
  <c r="K1123" i="81"/>
  <c r="K1061" i="81"/>
  <c r="L1073" i="81"/>
  <c r="L1085" i="81"/>
  <c r="I972" i="81"/>
  <c r="J973" i="81"/>
  <c r="I979" i="81"/>
  <c r="J980" i="81"/>
  <c r="K981" i="81"/>
  <c r="I991" i="81"/>
  <c r="J992" i="81"/>
  <c r="K993" i="81"/>
  <c r="K1181" i="81"/>
  <c r="L1181" i="81"/>
  <c r="I1059" i="81"/>
  <c r="L1096" i="81"/>
  <c r="I959" i="81"/>
  <c r="I970" i="81"/>
  <c r="J971" i="81"/>
  <c r="J978" i="81"/>
  <c r="I989" i="81"/>
  <c r="J990" i="81"/>
  <c r="L1147" i="81"/>
  <c r="J1059" i="81"/>
  <c r="I1071" i="81"/>
  <c r="L1072" i="81"/>
  <c r="J1076" i="81"/>
  <c r="K1084" i="81"/>
  <c r="K1091" i="81"/>
  <c r="J959" i="81"/>
  <c r="J970" i="81"/>
  <c r="J977" i="81"/>
  <c r="J989" i="81"/>
  <c r="L1159" i="81"/>
  <c r="J1199" i="81"/>
  <c r="K1076" i="81"/>
  <c r="L1084" i="81"/>
  <c r="L1091" i="81"/>
  <c r="L1177" i="81"/>
  <c r="L1194" i="81"/>
  <c r="K1114" i="81"/>
  <c r="K1128" i="81"/>
  <c r="J1141" i="81"/>
  <c r="K1147" i="81"/>
  <c r="J1150" i="81"/>
  <c r="J1061" i="81"/>
  <c r="K1062" i="81"/>
  <c r="L1063" i="81"/>
  <c r="J1072" i="81"/>
  <c r="K1073" i="81"/>
  <c r="L1074" i="81"/>
  <c r="L1081" i="81"/>
  <c r="J1091" i="81"/>
  <c r="K1092" i="81"/>
  <c r="L1093" i="81"/>
  <c r="K1200" i="81"/>
  <c r="J1126" i="81"/>
  <c r="I1058" i="81"/>
  <c r="I1069" i="81"/>
  <c r="I1088" i="81"/>
  <c r="I1100" i="81"/>
  <c r="I1179" i="81"/>
  <c r="L1200" i="81"/>
  <c r="I1112" i="81"/>
  <c r="I1125" i="81"/>
  <c r="K1126" i="81"/>
  <c r="K1145" i="81"/>
  <c r="I1057" i="81"/>
  <c r="J1058" i="81"/>
  <c r="I1068" i="81"/>
  <c r="J1069" i="81"/>
  <c r="I1087" i="81"/>
  <c r="J1088" i="81"/>
  <c r="I1099" i="81"/>
  <c r="J1100" i="81"/>
  <c r="J1179" i="81"/>
  <c r="J1112" i="81"/>
  <c r="J1125" i="81"/>
  <c r="L1126" i="81"/>
  <c r="L1145" i="81"/>
  <c r="I1056" i="81"/>
  <c r="J1057" i="81"/>
  <c r="K1058" i="81"/>
  <c r="J1068" i="81"/>
  <c r="K1069" i="81"/>
  <c r="I1086" i="81"/>
  <c r="J1087" i="81"/>
  <c r="K1088" i="81"/>
  <c r="I1098" i="81"/>
  <c r="J1099" i="81"/>
  <c r="K1100" i="81"/>
  <c r="K1199" i="81"/>
  <c r="I1111" i="81"/>
  <c r="K1112" i="81"/>
  <c r="J1124" i="81"/>
  <c r="K1125" i="81"/>
  <c r="J1144" i="81"/>
  <c r="I1055" i="81"/>
  <c r="J1056" i="81"/>
  <c r="K1057" i="81"/>
  <c r="K1068" i="81"/>
  <c r="I1085" i="81"/>
  <c r="J1086" i="81"/>
  <c r="K1087" i="81"/>
  <c r="I1097" i="81"/>
  <c r="J1098" i="81"/>
  <c r="K1099" i="81"/>
  <c r="K1163" i="81"/>
  <c r="L1166" i="81"/>
  <c r="I1198" i="81"/>
  <c r="L1199" i="81"/>
  <c r="J1111" i="81"/>
  <c r="K1124" i="81"/>
  <c r="I1143" i="81"/>
  <c r="K1144" i="81"/>
  <c r="J1055" i="81"/>
  <c r="K1056" i="81"/>
  <c r="I1077" i="81"/>
  <c r="I1084" i="81"/>
  <c r="J1085" i="81"/>
  <c r="K1086" i="81"/>
  <c r="I1096" i="81"/>
  <c r="J1097" i="81"/>
  <c r="K1098" i="81"/>
  <c r="K174" i="81"/>
  <c r="I1175" i="81"/>
  <c r="J1198" i="81"/>
  <c r="L1111" i="81"/>
  <c r="L1124" i="81"/>
  <c r="L1144" i="81"/>
  <c r="J1115" i="81"/>
  <c r="I1122" i="81"/>
  <c r="I1093" i="81"/>
  <c r="L1165" i="81"/>
  <c r="L1189" i="81"/>
  <c r="I1194" i="81"/>
  <c r="I1114" i="81"/>
  <c r="K1115" i="81"/>
  <c r="J1122" i="81"/>
  <c r="I1062" i="81"/>
  <c r="I1177" i="81"/>
  <c r="J1194" i="81"/>
  <c r="L1115" i="81"/>
  <c r="L1122" i="81"/>
  <c r="J1128" i="81"/>
  <c r="I1141" i="81"/>
  <c r="J1147" i="81"/>
  <c r="I1150" i="81"/>
  <c r="K1195" i="81"/>
  <c r="J1113" i="81"/>
  <c r="I1180" i="81"/>
  <c r="I1110" i="81"/>
  <c r="I1140" i="81"/>
  <c r="I1152" i="81"/>
  <c r="K1176" i="81"/>
  <c r="J1180" i="81"/>
  <c r="J1187" i="81"/>
  <c r="I1193" i="81"/>
  <c r="J1110" i="81"/>
  <c r="I1139" i="81"/>
  <c r="J1140" i="81"/>
  <c r="K1141" i="81"/>
  <c r="I1151" i="81"/>
  <c r="J1152" i="81"/>
  <c r="L1176" i="81"/>
  <c r="K1180" i="81"/>
  <c r="K1187" i="81"/>
  <c r="J1193" i="81"/>
  <c r="K1110" i="81"/>
  <c r="J1120" i="81"/>
  <c r="J1139" i="81"/>
  <c r="K1140" i="81"/>
  <c r="J1151" i="81"/>
  <c r="K1152" i="81"/>
  <c r="I1164" i="81"/>
  <c r="I1186" i="81"/>
  <c r="L1187" i="81"/>
  <c r="K1193" i="81"/>
  <c r="L1201" i="81"/>
  <c r="I1137" i="81"/>
  <c r="K1139" i="81"/>
  <c r="I1149" i="81"/>
  <c r="K1151" i="81"/>
  <c r="I1163" i="81"/>
  <c r="J1164" i="81"/>
  <c r="K1175" i="81"/>
  <c r="K1179" i="81"/>
  <c r="J1186" i="81"/>
  <c r="I1129" i="81"/>
  <c r="I1136" i="81"/>
  <c r="J1137" i="81"/>
  <c r="K1138" i="81"/>
  <c r="I1148" i="81"/>
  <c r="J1149" i="81"/>
  <c r="K1150" i="81"/>
  <c r="L188" i="81"/>
  <c r="J1163" i="81"/>
  <c r="K1164" i="81"/>
  <c r="K1186" i="81"/>
  <c r="J1129" i="81"/>
  <c r="J1136" i="81"/>
  <c r="K1137" i="81"/>
  <c r="J1148" i="81"/>
  <c r="K1149" i="81"/>
  <c r="K1129" i="81"/>
  <c r="K1136" i="81"/>
  <c r="K1148" i="81"/>
  <c r="L1196" i="81"/>
  <c r="I1145" i="81"/>
  <c r="L174" i="81"/>
  <c r="J1165" i="81"/>
  <c r="K1166" i="81"/>
  <c r="L1167" i="81"/>
  <c r="J1176" i="81"/>
  <c r="K1177" i="81"/>
  <c r="L1178" i="81"/>
  <c r="J1195" i="81"/>
  <c r="K1196" i="81"/>
  <c r="L1197" i="81"/>
  <c r="I1162" i="81"/>
  <c r="I1192" i="81"/>
  <c r="I1204" i="81"/>
  <c r="I1161" i="81"/>
  <c r="J1162" i="81"/>
  <c r="I1191" i="81"/>
  <c r="J1192" i="81"/>
  <c r="I1203" i="81"/>
  <c r="J1204" i="81"/>
  <c r="I1160" i="81"/>
  <c r="J1161" i="81"/>
  <c r="K1162" i="81"/>
  <c r="I1190" i="81"/>
  <c r="J1191" i="81"/>
  <c r="K1192" i="81"/>
  <c r="I1202" i="81"/>
  <c r="J1203" i="81"/>
  <c r="K1204" i="81"/>
  <c r="I190" i="81"/>
  <c r="I1159" i="81"/>
  <c r="J1160" i="81"/>
  <c r="K1161" i="81"/>
  <c r="I1189" i="81"/>
  <c r="J1190" i="81"/>
  <c r="K1191" i="81"/>
  <c r="I1201" i="81"/>
  <c r="J1202" i="81"/>
  <c r="K1203" i="81"/>
  <c r="J1159" i="81"/>
  <c r="K1160" i="81"/>
  <c r="I1181" i="81"/>
  <c r="I1188" i="81"/>
  <c r="J1189" i="81"/>
  <c r="K1190" i="81"/>
  <c r="I1200" i="81"/>
  <c r="J1201" i="81"/>
  <c r="K1202" i="81"/>
  <c r="I1167" i="81"/>
  <c r="I1178" i="81"/>
  <c r="I1197" i="81"/>
  <c r="I1166" i="81"/>
  <c r="J1167" i="81"/>
  <c r="J1178" i="81"/>
  <c r="I1196" i="81"/>
  <c r="J1197" i="81"/>
  <c r="K207" i="81"/>
  <c r="J173" i="81"/>
  <c r="I206" i="81"/>
  <c r="L209" i="81"/>
  <c r="J211" i="81"/>
  <c r="K208" i="81"/>
  <c r="J174" i="81"/>
  <c r="I177" i="81"/>
  <c r="L208" i="81"/>
  <c r="K211" i="81"/>
  <c r="K173" i="81"/>
  <c r="L173" i="81"/>
  <c r="K188" i="81"/>
  <c r="J215" i="81"/>
  <c r="J187" i="81"/>
  <c r="I186" i="81"/>
  <c r="K187" i="81"/>
  <c r="J207" i="81"/>
  <c r="L187" i="81"/>
  <c r="J186" i="81"/>
  <c r="K186" i="81"/>
  <c r="I203" i="81"/>
  <c r="J206" i="81"/>
  <c r="L207" i="81"/>
  <c r="K175" i="81"/>
  <c r="J178" i="81"/>
  <c r="J203" i="81"/>
  <c r="K206" i="81"/>
  <c r="I210" i="81"/>
  <c r="L211" i="81"/>
  <c r="L175" i="81"/>
  <c r="J210" i="81"/>
  <c r="K210" i="81"/>
  <c r="J216" i="81"/>
  <c r="I215" i="81"/>
  <c r="J184" i="81"/>
  <c r="K184" i="81" s="1"/>
  <c r="I184" i="81"/>
  <c r="L184" i="81"/>
  <c r="J185" i="81"/>
  <c r="K185" i="81" s="1"/>
  <c r="L185" i="81"/>
  <c r="I193" i="81"/>
  <c r="I205" i="81"/>
  <c r="M170" i="81"/>
  <c r="M171" i="81"/>
  <c r="I179" i="81"/>
  <c r="I192" i="81"/>
  <c r="J193" i="81"/>
  <c r="I204" i="81"/>
  <c r="J205" i="81"/>
  <c r="I216" i="81"/>
  <c r="I178" i="81"/>
  <c r="J179" i="81"/>
  <c r="I191" i="81"/>
  <c r="J192" i="81"/>
  <c r="K193" i="81"/>
  <c r="J204" i="81"/>
  <c r="K205" i="81"/>
  <c r="K179" i="81"/>
  <c r="J191" i="81"/>
  <c r="K192" i="81"/>
  <c r="I202" i="81"/>
  <c r="K204" i="81"/>
  <c r="I214" i="81"/>
  <c r="K216" i="81"/>
  <c r="B170" i="81"/>
  <c r="B171" i="81"/>
  <c r="I176" i="81"/>
  <c r="J177" i="81"/>
  <c r="K178" i="81"/>
  <c r="D184" i="81"/>
  <c r="D185" i="81"/>
  <c r="I189" i="81"/>
  <c r="J190" i="81"/>
  <c r="K191" i="81"/>
  <c r="J202" i="81"/>
  <c r="K203" i="81"/>
  <c r="I213" i="81"/>
  <c r="J214" i="81"/>
  <c r="K215" i="81"/>
  <c r="D170" i="81"/>
  <c r="D171" i="81"/>
  <c r="I175" i="81"/>
  <c r="J176" i="81"/>
  <c r="K177" i="81"/>
  <c r="E184" i="81"/>
  <c r="E185" i="81"/>
  <c r="I185" i="81" s="1"/>
  <c r="I188" i="81"/>
  <c r="J189" i="81"/>
  <c r="K190" i="81"/>
  <c r="K202" i="81"/>
  <c r="I212" i="81"/>
  <c r="J213" i="81"/>
  <c r="K214" i="81"/>
  <c r="K176" i="81"/>
  <c r="F184" i="81"/>
  <c r="F185" i="81"/>
  <c r="K189" i="81"/>
  <c r="J212" i="81"/>
  <c r="K213" i="81"/>
  <c r="K212" i="81"/>
  <c r="I209" i="81"/>
  <c r="I208" i="81"/>
  <c r="J209" i="81"/>
  <c r="L1134" i="81" l="1"/>
  <c r="L1121" i="81"/>
  <c r="L1135" i="81"/>
  <c r="L254" i="81"/>
  <c r="L257" i="81"/>
  <c r="L258" i="81"/>
  <c r="L250" i="81"/>
  <c r="L261" i="81"/>
  <c r="L264" i="81"/>
  <c r="P324" i="81"/>
  <c r="L873" i="81"/>
  <c r="L249" i="81"/>
  <c r="P168" i="81"/>
  <c r="P272" i="81"/>
  <c r="P1052" i="81"/>
  <c r="P1832" i="81"/>
  <c r="P844" i="81"/>
  <c r="P1572" i="81"/>
  <c r="P2040" i="81"/>
  <c r="L252" i="81"/>
  <c r="L251" i="81"/>
  <c r="L262" i="81"/>
  <c r="L259" i="81"/>
  <c r="P948" i="81"/>
  <c r="L255" i="81"/>
  <c r="L253" i="81"/>
  <c r="P1156" i="81"/>
  <c r="P1936" i="81"/>
  <c r="L372" i="81"/>
  <c r="L360" i="81"/>
  <c r="L359" i="81"/>
  <c r="L353" i="81"/>
  <c r="L371" i="81"/>
  <c r="L361" i="81"/>
  <c r="L365" i="81"/>
  <c r="P740" i="81"/>
  <c r="U324" i="81"/>
  <c r="U2040" i="81"/>
  <c r="U272" i="81"/>
  <c r="U376" i="81"/>
  <c r="U1052" i="81"/>
  <c r="U1936" i="81"/>
  <c r="L354" i="81"/>
  <c r="L367" i="81"/>
  <c r="U1572" i="81"/>
  <c r="L357" i="81"/>
  <c r="U1104" i="81"/>
  <c r="L356" i="81"/>
  <c r="U740" i="81"/>
  <c r="L358" i="81"/>
  <c r="L366" i="81"/>
  <c r="L368" i="81"/>
  <c r="L364" i="81"/>
  <c r="L370" i="81"/>
  <c r="U844" i="81"/>
  <c r="U1156" i="81"/>
  <c r="P1104" i="81"/>
  <c r="L369" i="81"/>
  <c r="L362" i="81"/>
  <c r="U220" i="81"/>
  <c r="U1832" i="81"/>
  <c r="P376" i="81"/>
  <c r="L256" i="81"/>
  <c r="L260" i="81"/>
  <c r="L363" i="81"/>
  <c r="P220" i="81"/>
  <c r="U168" i="81"/>
  <c r="U948" i="81"/>
  <c r="L303" i="81"/>
  <c r="L314" i="81"/>
  <c r="L313" i="81"/>
  <c r="L310" i="81"/>
  <c r="L317" i="81"/>
  <c r="L315" i="81"/>
  <c r="L307" i="81"/>
  <c r="L308" i="81"/>
  <c r="L309" i="81"/>
  <c r="L312" i="81"/>
  <c r="L316" i="81"/>
  <c r="L301" i="81"/>
  <c r="L305" i="81"/>
  <c r="L311" i="81"/>
  <c r="L302" i="81"/>
  <c r="L304" i="81"/>
  <c r="L306" i="81"/>
  <c r="N327" i="81"/>
  <c r="N326" i="81"/>
  <c r="I249" i="81"/>
  <c r="J249" i="81"/>
  <c r="K249" i="81" s="1"/>
  <c r="N1120" i="81"/>
  <c r="K1174" i="81"/>
  <c r="I1173" i="81"/>
  <c r="K1173" i="81"/>
  <c r="I1174" i="81"/>
  <c r="N1134" i="81"/>
  <c r="K1172" i="81"/>
  <c r="I1172" i="81"/>
  <c r="N1158" i="81"/>
  <c r="N950" i="81"/>
  <c r="I1120" i="81"/>
  <c r="N873" i="81"/>
  <c r="J1121" i="81"/>
  <c r="K1121" i="81" s="1"/>
  <c r="I977" i="81"/>
  <c r="I873" i="81"/>
  <c r="J873" i="81"/>
  <c r="K873" i="81" s="1"/>
  <c r="K1120" i="81"/>
  <c r="I1121" i="81"/>
  <c r="K977" i="81"/>
  <c r="N977" i="81"/>
  <c r="K1134" i="81"/>
  <c r="N1108" i="81"/>
  <c r="L1172" i="81"/>
  <c r="L1174" i="81"/>
  <c r="L1173" i="81"/>
  <c r="I1134" i="81"/>
  <c r="J1135" i="81"/>
  <c r="K1135" i="81" s="1"/>
  <c r="N1135" i="81"/>
  <c r="N1106" i="81"/>
  <c r="I1135" i="81"/>
  <c r="N171" i="81"/>
  <c r="N170" i="81"/>
  <c r="F4116" i="81" l="1"/>
  <c r="E4116" i="81"/>
  <c r="D4116" i="81"/>
  <c r="F4115" i="81"/>
  <c r="E4115" i="81"/>
  <c r="D4115" i="81"/>
  <c r="F4114" i="81"/>
  <c r="E4114" i="81"/>
  <c r="D4114" i="81"/>
  <c r="F4113" i="81"/>
  <c r="E4113" i="81"/>
  <c r="D4113" i="81"/>
  <c r="F4112" i="81"/>
  <c r="E4112" i="81"/>
  <c r="D4112" i="81"/>
  <c r="F4111" i="81"/>
  <c r="E4111" i="81"/>
  <c r="D4111" i="81"/>
  <c r="F4110" i="81"/>
  <c r="E4110" i="81"/>
  <c r="D4110" i="81"/>
  <c r="F4109" i="81"/>
  <c r="E4109" i="81"/>
  <c r="D4109" i="81"/>
  <c r="F4108" i="81"/>
  <c r="E4108" i="81"/>
  <c r="D4108" i="81"/>
  <c r="F4107" i="81"/>
  <c r="E4107" i="81"/>
  <c r="D4107" i="81"/>
  <c r="F4106" i="81"/>
  <c r="E4106" i="81"/>
  <c r="D4106" i="81"/>
  <c r="F4105" i="81"/>
  <c r="E4105" i="81"/>
  <c r="D4105" i="81"/>
  <c r="F4104" i="81"/>
  <c r="E4104" i="81"/>
  <c r="D4104" i="81"/>
  <c r="F4103" i="81"/>
  <c r="E4103" i="81"/>
  <c r="D4103" i="81"/>
  <c r="F4102" i="81"/>
  <c r="E4102" i="81"/>
  <c r="D4102" i="81"/>
  <c r="F4101" i="81"/>
  <c r="E4101" i="81"/>
  <c r="D4101" i="81"/>
  <c r="F4100" i="81"/>
  <c r="E4100" i="81"/>
  <c r="D4100" i="81"/>
  <c r="F4099" i="81"/>
  <c r="E4099" i="81"/>
  <c r="D4099" i="81"/>
  <c r="F4098" i="81"/>
  <c r="E4098" i="81"/>
  <c r="D4098" i="81"/>
  <c r="F4093" i="81"/>
  <c r="E4093" i="81"/>
  <c r="D4093" i="81"/>
  <c r="F4092" i="81"/>
  <c r="E4092" i="81"/>
  <c r="D4092" i="81"/>
  <c r="F4091" i="81"/>
  <c r="E4091" i="81"/>
  <c r="D4091" i="81"/>
  <c r="F4090" i="81"/>
  <c r="E4090" i="81"/>
  <c r="D4090" i="81"/>
  <c r="F4089" i="81"/>
  <c r="E4089" i="81"/>
  <c r="D4089" i="81"/>
  <c r="F4088" i="81"/>
  <c r="E4088" i="81"/>
  <c r="D4088" i="81"/>
  <c r="F4087" i="81"/>
  <c r="E4087" i="81"/>
  <c r="D4087" i="81"/>
  <c r="F4085" i="81"/>
  <c r="F4079" i="81"/>
  <c r="E4079" i="81"/>
  <c r="D4079" i="81"/>
  <c r="F4078" i="81"/>
  <c r="E4078" i="81"/>
  <c r="D4078" i="81"/>
  <c r="F4077" i="81"/>
  <c r="E4077" i="81"/>
  <c r="D4077" i="81"/>
  <c r="F4076" i="81"/>
  <c r="E4076" i="81"/>
  <c r="D4076" i="81"/>
  <c r="F4075" i="81"/>
  <c r="E4075" i="81"/>
  <c r="D4075" i="81"/>
  <c r="F4074" i="81"/>
  <c r="E4074" i="81"/>
  <c r="D4074" i="81"/>
  <c r="F4073" i="81"/>
  <c r="E4073" i="81"/>
  <c r="D4073" i="81"/>
  <c r="F4072" i="81"/>
  <c r="E4072" i="81"/>
  <c r="D4072" i="81"/>
  <c r="D4070" i="81"/>
  <c r="D4071" i="81"/>
  <c r="F2088" i="81"/>
  <c r="E2088" i="81"/>
  <c r="D2088" i="81"/>
  <c r="F2087" i="81"/>
  <c r="E2087" i="81"/>
  <c r="D2087" i="81"/>
  <c r="F2086" i="81"/>
  <c r="E2086" i="81"/>
  <c r="D2086" i="81"/>
  <c r="F2085" i="81"/>
  <c r="E2085" i="81"/>
  <c r="D2085" i="81"/>
  <c r="F2084" i="81"/>
  <c r="E2084" i="81"/>
  <c r="D2084" i="81"/>
  <c r="F2083" i="81"/>
  <c r="E2083" i="81"/>
  <c r="D2083" i="81"/>
  <c r="F2082" i="81"/>
  <c r="E2082" i="81"/>
  <c r="D2082" i="81"/>
  <c r="F2081" i="81"/>
  <c r="E2081" i="81"/>
  <c r="D2081" i="81"/>
  <c r="F2080" i="81"/>
  <c r="E2080" i="81"/>
  <c r="D2080" i="81"/>
  <c r="F2079" i="81"/>
  <c r="E2079" i="81"/>
  <c r="D2079" i="81"/>
  <c r="F2078" i="81"/>
  <c r="E2078" i="81"/>
  <c r="D2078" i="81"/>
  <c r="F2077" i="81"/>
  <c r="E2077" i="81"/>
  <c r="D2077" i="81"/>
  <c r="F2076" i="81"/>
  <c r="E2076" i="81"/>
  <c r="D2076" i="81"/>
  <c r="F2075" i="81"/>
  <c r="E2075" i="81"/>
  <c r="D2075" i="81"/>
  <c r="F2074" i="81"/>
  <c r="E2074" i="81"/>
  <c r="D2074" i="81"/>
  <c r="F2073" i="81"/>
  <c r="E2073" i="81"/>
  <c r="D2073" i="81"/>
  <c r="F2072" i="81"/>
  <c r="E2072" i="81"/>
  <c r="D2072" i="81"/>
  <c r="F2071" i="81"/>
  <c r="E2071" i="81"/>
  <c r="D2071" i="81"/>
  <c r="F2070" i="81"/>
  <c r="E2070" i="81"/>
  <c r="D2070" i="81"/>
  <c r="E2069" i="81"/>
  <c r="F2069" i="81" s="1"/>
  <c r="D2069" i="81"/>
  <c r="F2065" i="81"/>
  <c r="E2065" i="81"/>
  <c r="D2065" i="81"/>
  <c r="F2064" i="81"/>
  <c r="E2064" i="81"/>
  <c r="D2064" i="81"/>
  <c r="F2063" i="81"/>
  <c r="E2063" i="81"/>
  <c r="D2063" i="81"/>
  <c r="F2062" i="81"/>
  <c r="E2062" i="81"/>
  <c r="D2062" i="81"/>
  <c r="F2061" i="81"/>
  <c r="E2061" i="81"/>
  <c r="D2061" i="81"/>
  <c r="F2060" i="81"/>
  <c r="E2060" i="81"/>
  <c r="D2060" i="81"/>
  <c r="F2059" i="81"/>
  <c r="E2059" i="81"/>
  <c r="D2059" i="81"/>
  <c r="F2058" i="81"/>
  <c r="E2058" i="81"/>
  <c r="D2058" i="81"/>
  <c r="F2057" i="81"/>
  <c r="E2057" i="81"/>
  <c r="D2057" i="81"/>
  <c r="F2051" i="81"/>
  <c r="E2051" i="81"/>
  <c r="D2051" i="81"/>
  <c r="F2050" i="81"/>
  <c r="E2050" i="81"/>
  <c r="D2050" i="81"/>
  <c r="F2049" i="81"/>
  <c r="E2049" i="81"/>
  <c r="D2049" i="81"/>
  <c r="F2048" i="81"/>
  <c r="E2048" i="81"/>
  <c r="D2048" i="81"/>
  <c r="F2047" i="81"/>
  <c r="E2047" i="81"/>
  <c r="D2047" i="81"/>
  <c r="F2046" i="81"/>
  <c r="E2046" i="81"/>
  <c r="D2046" i="81"/>
  <c r="F2045" i="81"/>
  <c r="E2045" i="81"/>
  <c r="D2045" i="81"/>
  <c r="F2044" i="81"/>
  <c r="E2044" i="81"/>
  <c r="D2044" i="81"/>
  <c r="D2042" i="81"/>
  <c r="D2043" i="81"/>
  <c r="F1620" i="81"/>
  <c r="E1620" i="81"/>
  <c r="D1620" i="81"/>
  <c r="F1619" i="81"/>
  <c r="E1619" i="81"/>
  <c r="D1619" i="81"/>
  <c r="F1618" i="81"/>
  <c r="E1618" i="81"/>
  <c r="D1618" i="81"/>
  <c r="F1617" i="81"/>
  <c r="E1617" i="81"/>
  <c r="D1617" i="81"/>
  <c r="F1616" i="81"/>
  <c r="E1616" i="81"/>
  <c r="D1616" i="81"/>
  <c r="F1615" i="81"/>
  <c r="E1615" i="81"/>
  <c r="D1615" i="81"/>
  <c r="F1614" i="81"/>
  <c r="E1614" i="81"/>
  <c r="D1614" i="81"/>
  <c r="F1613" i="81"/>
  <c r="E1613" i="81"/>
  <c r="D1613" i="81"/>
  <c r="F1612" i="81"/>
  <c r="E1612" i="81"/>
  <c r="D1612" i="81"/>
  <c r="F1611" i="81"/>
  <c r="E1611" i="81"/>
  <c r="D1611" i="81"/>
  <c r="F1610" i="81"/>
  <c r="E1610" i="81"/>
  <c r="D1610" i="81"/>
  <c r="F1609" i="81"/>
  <c r="E1609" i="81"/>
  <c r="D1609" i="81"/>
  <c r="F1608" i="81"/>
  <c r="E1608" i="81"/>
  <c r="D1608" i="81"/>
  <c r="F1607" i="81"/>
  <c r="E1607" i="81"/>
  <c r="D1607" i="81"/>
  <c r="F1606" i="81"/>
  <c r="E1606" i="81"/>
  <c r="D1606" i="81"/>
  <c r="F1605" i="81"/>
  <c r="E1605" i="81"/>
  <c r="D1605" i="81"/>
  <c r="F1604" i="81"/>
  <c r="E1604" i="81"/>
  <c r="D1604" i="81"/>
  <c r="F1603" i="81"/>
  <c r="E1603" i="81"/>
  <c r="D1603" i="81"/>
  <c r="E1602" i="81"/>
  <c r="F1602" i="81" s="1"/>
  <c r="D1602" i="81"/>
  <c r="E1601" i="81"/>
  <c r="F1601" i="81" s="1"/>
  <c r="D1601" i="81"/>
  <c r="F1597" i="81"/>
  <c r="E1597" i="81"/>
  <c r="D1597" i="81"/>
  <c r="F1596" i="81"/>
  <c r="E1596" i="81"/>
  <c r="D1596" i="81"/>
  <c r="F1595" i="81"/>
  <c r="E1595" i="81"/>
  <c r="D1595" i="81"/>
  <c r="F1594" i="81"/>
  <c r="E1594" i="81"/>
  <c r="D1594" i="81"/>
  <c r="F1593" i="81"/>
  <c r="E1593" i="81"/>
  <c r="D1593" i="81"/>
  <c r="F1592" i="81"/>
  <c r="E1592" i="81"/>
  <c r="D1592" i="81"/>
  <c r="F1591" i="81"/>
  <c r="E1591" i="81"/>
  <c r="D1591" i="81"/>
  <c r="F1590" i="81"/>
  <c r="E1590" i="81"/>
  <c r="D1590" i="81"/>
  <c r="F1583" i="81"/>
  <c r="E1583" i="81"/>
  <c r="D1583" i="81"/>
  <c r="F1582" i="81"/>
  <c r="E1582" i="81"/>
  <c r="D1582" i="81"/>
  <c r="F1581" i="81"/>
  <c r="E1581" i="81"/>
  <c r="D1581" i="81"/>
  <c r="F1580" i="81"/>
  <c r="E1580" i="81"/>
  <c r="D1580" i="81"/>
  <c r="F1579" i="81"/>
  <c r="E1579" i="81"/>
  <c r="D1579" i="81"/>
  <c r="F1578" i="81"/>
  <c r="E1578" i="81"/>
  <c r="D1578" i="81"/>
  <c r="F1577" i="81"/>
  <c r="E1577" i="81"/>
  <c r="D1577" i="81"/>
  <c r="F1576" i="81"/>
  <c r="E1576" i="81"/>
  <c r="D1576" i="81"/>
  <c r="D1575" i="81"/>
  <c r="D1574" i="81"/>
  <c r="F1880" i="81"/>
  <c r="E1880" i="81"/>
  <c r="D1880" i="81"/>
  <c r="F1879" i="81"/>
  <c r="E1879" i="81"/>
  <c r="D1879" i="81"/>
  <c r="F1878" i="81"/>
  <c r="E1878" i="81"/>
  <c r="D1878" i="81"/>
  <c r="F1877" i="81"/>
  <c r="E1877" i="81"/>
  <c r="D1877" i="81"/>
  <c r="F1876" i="81"/>
  <c r="E1876" i="81"/>
  <c r="D1876" i="81"/>
  <c r="F1875" i="81"/>
  <c r="E1875" i="81"/>
  <c r="D1875" i="81"/>
  <c r="F1874" i="81"/>
  <c r="E1874" i="81"/>
  <c r="D1874" i="81"/>
  <c r="F1873" i="81"/>
  <c r="E1873" i="81"/>
  <c r="D1873" i="81"/>
  <c r="F1872" i="81"/>
  <c r="E1872" i="81"/>
  <c r="D1872" i="81"/>
  <c r="F1871" i="81"/>
  <c r="E1871" i="81"/>
  <c r="D1871" i="81"/>
  <c r="F1870" i="81"/>
  <c r="E1870" i="81"/>
  <c r="D1870" i="81"/>
  <c r="F1869" i="81"/>
  <c r="E1869" i="81"/>
  <c r="D1869" i="81"/>
  <c r="F1868" i="81"/>
  <c r="E1868" i="81"/>
  <c r="D1868" i="81"/>
  <c r="F1867" i="81"/>
  <c r="E1867" i="81"/>
  <c r="D1867" i="81"/>
  <c r="F1866" i="81"/>
  <c r="E1866" i="81"/>
  <c r="D1866" i="81"/>
  <c r="F1865" i="81"/>
  <c r="E1865" i="81"/>
  <c r="D1865" i="81"/>
  <c r="F1864" i="81"/>
  <c r="E1864" i="81"/>
  <c r="D1864" i="81"/>
  <c r="F1863" i="81"/>
  <c r="E1863" i="81"/>
  <c r="D1863" i="81"/>
  <c r="E1862" i="81"/>
  <c r="F1862" i="81" s="1"/>
  <c r="D1862" i="81"/>
  <c r="E1861" i="81"/>
  <c r="F1861" i="81" s="1"/>
  <c r="D1861" i="81"/>
  <c r="F1857" i="81"/>
  <c r="E1857" i="81"/>
  <c r="D1857" i="81"/>
  <c r="F1856" i="81"/>
  <c r="E1856" i="81"/>
  <c r="D1856" i="81"/>
  <c r="F1855" i="81"/>
  <c r="E1855" i="81"/>
  <c r="D1855" i="81"/>
  <c r="F1854" i="81"/>
  <c r="E1854" i="81"/>
  <c r="D1854" i="81"/>
  <c r="F1853" i="81"/>
  <c r="E1853" i="81"/>
  <c r="D1853" i="81"/>
  <c r="F1852" i="81"/>
  <c r="E1852" i="81"/>
  <c r="D1852" i="81"/>
  <c r="F1851" i="81"/>
  <c r="E1851" i="81"/>
  <c r="D1851" i="81"/>
  <c r="F1850" i="81"/>
  <c r="E1850" i="81"/>
  <c r="D1850" i="81"/>
  <c r="F1849" i="81"/>
  <c r="E1849" i="81"/>
  <c r="D1849" i="81"/>
  <c r="F1843" i="81"/>
  <c r="E1843" i="81"/>
  <c r="D1843" i="81"/>
  <c r="F1842" i="81"/>
  <c r="E1842" i="81"/>
  <c r="D1842" i="81"/>
  <c r="F1841" i="81"/>
  <c r="E1841" i="81"/>
  <c r="D1841" i="81"/>
  <c r="F1840" i="81"/>
  <c r="E1840" i="81"/>
  <c r="D1840" i="81"/>
  <c r="F1839" i="81"/>
  <c r="E1839" i="81"/>
  <c r="D1839" i="81"/>
  <c r="F1838" i="81"/>
  <c r="E1838" i="81"/>
  <c r="D1838" i="81"/>
  <c r="F1837" i="81"/>
  <c r="E1837" i="81"/>
  <c r="D1837" i="81"/>
  <c r="F1836" i="81"/>
  <c r="E1836" i="81"/>
  <c r="D1836" i="81"/>
  <c r="D1835" i="81"/>
  <c r="F1984" i="81"/>
  <c r="E1984" i="81"/>
  <c r="D1984" i="81"/>
  <c r="F1983" i="81"/>
  <c r="E1983" i="81"/>
  <c r="D1983" i="81"/>
  <c r="F1982" i="81"/>
  <c r="E1982" i="81"/>
  <c r="D1982" i="81"/>
  <c r="F1981" i="81"/>
  <c r="E1981" i="81"/>
  <c r="D1981" i="81"/>
  <c r="F1980" i="81"/>
  <c r="E1980" i="81"/>
  <c r="D1980" i="81"/>
  <c r="F1979" i="81"/>
  <c r="E1979" i="81"/>
  <c r="D1979" i="81"/>
  <c r="F1978" i="81"/>
  <c r="E1978" i="81"/>
  <c r="D1978" i="81"/>
  <c r="F1977" i="81"/>
  <c r="E1977" i="81"/>
  <c r="D1977" i="81"/>
  <c r="F1976" i="81"/>
  <c r="E1976" i="81"/>
  <c r="D1976" i="81"/>
  <c r="F1975" i="81"/>
  <c r="E1975" i="81"/>
  <c r="D1975" i="81"/>
  <c r="F1974" i="81"/>
  <c r="E1974" i="81"/>
  <c r="D1974" i="81"/>
  <c r="F1973" i="81"/>
  <c r="E1973" i="81"/>
  <c r="D1973" i="81"/>
  <c r="F1972" i="81"/>
  <c r="E1972" i="81"/>
  <c r="D1972" i="81"/>
  <c r="F1971" i="81"/>
  <c r="E1971" i="81"/>
  <c r="D1971" i="81"/>
  <c r="F1970" i="81"/>
  <c r="E1970" i="81"/>
  <c r="D1970" i="81"/>
  <c r="F1969" i="81"/>
  <c r="E1969" i="81"/>
  <c r="D1969" i="81"/>
  <c r="F1968" i="81"/>
  <c r="E1968" i="81"/>
  <c r="D1968" i="81"/>
  <c r="F1967" i="81"/>
  <c r="E1967" i="81"/>
  <c r="D1967" i="81"/>
  <c r="E1966" i="81"/>
  <c r="F1966" i="81" s="1"/>
  <c r="D1966" i="81"/>
  <c r="E1965" i="81"/>
  <c r="F1965" i="81" s="1"/>
  <c r="D1965" i="81"/>
  <c r="F1961" i="81"/>
  <c r="E1961" i="81"/>
  <c r="D1961" i="81"/>
  <c r="F1960" i="81"/>
  <c r="E1960" i="81"/>
  <c r="D1960" i="81"/>
  <c r="F1959" i="81"/>
  <c r="E1959" i="81"/>
  <c r="D1959" i="81"/>
  <c r="F1958" i="81"/>
  <c r="E1958" i="81"/>
  <c r="D1958" i="81"/>
  <c r="F1957" i="81"/>
  <c r="E1957" i="81"/>
  <c r="D1957" i="81"/>
  <c r="F1956" i="81"/>
  <c r="E1956" i="81"/>
  <c r="D1956" i="81"/>
  <c r="F1955" i="81"/>
  <c r="E1955" i="81"/>
  <c r="D1955" i="81"/>
  <c r="F1947" i="81"/>
  <c r="E1947" i="81"/>
  <c r="D1947" i="81"/>
  <c r="F1946" i="81"/>
  <c r="E1946" i="81"/>
  <c r="D1946" i="81"/>
  <c r="F1945" i="81"/>
  <c r="E1945" i="81"/>
  <c r="D1945" i="81"/>
  <c r="F1944" i="81"/>
  <c r="E1944" i="81"/>
  <c r="D1944" i="81"/>
  <c r="F1943" i="81"/>
  <c r="E1943" i="81"/>
  <c r="D1943" i="81"/>
  <c r="F1942" i="81"/>
  <c r="E1942" i="81"/>
  <c r="D1942" i="81"/>
  <c r="F1941" i="81"/>
  <c r="E1941" i="81"/>
  <c r="D1941" i="81"/>
  <c r="F1940" i="81"/>
  <c r="E1940" i="81"/>
  <c r="D1940" i="81"/>
  <c r="D1939" i="81"/>
  <c r="F788" i="81"/>
  <c r="E788" i="81"/>
  <c r="D788" i="81"/>
  <c r="F787" i="81"/>
  <c r="E787" i="81"/>
  <c r="D787" i="81"/>
  <c r="F786" i="81"/>
  <c r="E786" i="81"/>
  <c r="D786" i="81"/>
  <c r="F785" i="81"/>
  <c r="E785" i="81"/>
  <c r="D785" i="81"/>
  <c r="F784" i="81"/>
  <c r="E784" i="81"/>
  <c r="D784" i="81"/>
  <c r="F783" i="81"/>
  <c r="E783" i="81"/>
  <c r="D783" i="81"/>
  <c r="F782" i="81"/>
  <c r="E782" i="81"/>
  <c r="D782" i="81"/>
  <c r="F781" i="81"/>
  <c r="E781" i="81"/>
  <c r="D781" i="81"/>
  <c r="F780" i="81"/>
  <c r="E780" i="81"/>
  <c r="D780" i="81"/>
  <c r="F779" i="81"/>
  <c r="E779" i="81"/>
  <c r="D779" i="81"/>
  <c r="F778" i="81"/>
  <c r="E778" i="81"/>
  <c r="D778" i="81"/>
  <c r="F777" i="81"/>
  <c r="E777" i="81"/>
  <c r="D777" i="81"/>
  <c r="F776" i="81"/>
  <c r="E776" i="81"/>
  <c r="D776" i="81"/>
  <c r="F775" i="81"/>
  <c r="E775" i="81"/>
  <c r="D775" i="81"/>
  <c r="F774" i="81"/>
  <c r="E774" i="81"/>
  <c r="D774" i="81"/>
  <c r="F773" i="81"/>
  <c r="E773" i="81"/>
  <c r="D773" i="81"/>
  <c r="F772" i="81"/>
  <c r="E772" i="81"/>
  <c r="D772" i="81"/>
  <c r="F771" i="81"/>
  <c r="E771" i="81"/>
  <c r="D771" i="81"/>
  <c r="F770" i="81"/>
  <c r="E770" i="81"/>
  <c r="D770" i="81"/>
  <c r="E769" i="81"/>
  <c r="F769" i="81" s="1"/>
  <c r="D769" i="81"/>
  <c r="F765" i="81"/>
  <c r="E765" i="81"/>
  <c r="D765" i="81"/>
  <c r="F764" i="81"/>
  <c r="E764" i="81"/>
  <c r="D764" i="81"/>
  <c r="F763" i="81"/>
  <c r="E763" i="81"/>
  <c r="D763" i="81"/>
  <c r="F762" i="81"/>
  <c r="E762" i="81"/>
  <c r="D762" i="81"/>
  <c r="F761" i="81"/>
  <c r="E761" i="81"/>
  <c r="D761" i="81"/>
  <c r="F760" i="81"/>
  <c r="E760" i="81"/>
  <c r="D760" i="81"/>
  <c r="F759" i="81"/>
  <c r="E759" i="81"/>
  <c r="D759" i="81"/>
  <c r="F758" i="81"/>
  <c r="E758" i="81"/>
  <c r="D758" i="81"/>
  <c r="F757" i="81"/>
  <c r="E757" i="81"/>
  <c r="D757" i="81"/>
  <c r="F756" i="81"/>
  <c r="E756" i="81"/>
  <c r="D756" i="81"/>
  <c r="F751" i="81"/>
  <c r="E751" i="81"/>
  <c r="D751" i="81"/>
  <c r="F750" i="81"/>
  <c r="E750" i="81"/>
  <c r="D750" i="81"/>
  <c r="F749" i="81"/>
  <c r="E749" i="81"/>
  <c r="D749" i="81"/>
  <c r="F748" i="81"/>
  <c r="E748" i="81"/>
  <c r="D748" i="81"/>
  <c r="F747" i="81"/>
  <c r="E747" i="81"/>
  <c r="D747" i="81"/>
  <c r="F746" i="81"/>
  <c r="E746" i="81"/>
  <c r="D746" i="81"/>
  <c r="F745" i="81"/>
  <c r="E745" i="81"/>
  <c r="D745" i="81"/>
  <c r="F744" i="81"/>
  <c r="E744" i="81"/>
  <c r="D744" i="81"/>
  <c r="F736" i="81"/>
  <c r="E736" i="81"/>
  <c r="D736" i="81"/>
  <c r="F735" i="81"/>
  <c r="E735" i="81"/>
  <c r="D735" i="81"/>
  <c r="F734" i="81"/>
  <c r="E734" i="81"/>
  <c r="D734" i="81"/>
  <c r="F733" i="81"/>
  <c r="E733" i="81"/>
  <c r="D733" i="81"/>
  <c r="F732" i="81"/>
  <c r="E732" i="81"/>
  <c r="D732" i="81"/>
  <c r="F731" i="81"/>
  <c r="E731" i="81"/>
  <c r="D731" i="81"/>
  <c r="F730" i="81"/>
  <c r="E730" i="81"/>
  <c r="D730" i="81"/>
  <c r="F729" i="81"/>
  <c r="E729" i="81"/>
  <c r="D729" i="81"/>
  <c r="F728" i="81"/>
  <c r="E728" i="81"/>
  <c r="D728" i="81"/>
  <c r="F727" i="81"/>
  <c r="E727" i="81"/>
  <c r="D727" i="81"/>
  <c r="F726" i="81"/>
  <c r="E726" i="81"/>
  <c r="D726" i="81"/>
  <c r="F725" i="81"/>
  <c r="E725" i="81"/>
  <c r="D725" i="81"/>
  <c r="F724" i="81"/>
  <c r="E724" i="81"/>
  <c r="D724" i="81"/>
  <c r="F723" i="81"/>
  <c r="E723" i="81"/>
  <c r="D723" i="81"/>
  <c r="F722" i="81"/>
  <c r="E722" i="81"/>
  <c r="D722" i="81"/>
  <c r="F721" i="81"/>
  <c r="E721" i="81"/>
  <c r="D721" i="81"/>
  <c r="F720" i="81"/>
  <c r="E720" i="81"/>
  <c r="D720" i="81"/>
  <c r="F719" i="81"/>
  <c r="E719" i="81"/>
  <c r="D719" i="81"/>
  <c r="F718" i="81"/>
  <c r="E718" i="81"/>
  <c r="D718" i="81"/>
  <c r="E717" i="81"/>
  <c r="F717" i="81" s="1"/>
  <c r="D717" i="81"/>
  <c r="F713" i="81"/>
  <c r="E713" i="81"/>
  <c r="D713" i="81"/>
  <c r="F712" i="81"/>
  <c r="E712" i="81"/>
  <c r="D712" i="81"/>
  <c r="F711" i="81"/>
  <c r="E711" i="81"/>
  <c r="D711" i="81"/>
  <c r="F710" i="81"/>
  <c r="E710" i="81"/>
  <c r="D710" i="81"/>
  <c r="F709" i="81"/>
  <c r="E709" i="81"/>
  <c r="D709" i="81"/>
  <c r="F708" i="81"/>
  <c r="E708" i="81"/>
  <c r="D708" i="81"/>
  <c r="F707" i="81"/>
  <c r="E707" i="81"/>
  <c r="D707" i="81"/>
  <c r="F706" i="81"/>
  <c r="E706" i="81"/>
  <c r="D706" i="81"/>
  <c r="F705" i="81"/>
  <c r="E705" i="81"/>
  <c r="D705" i="81"/>
  <c r="F699" i="81"/>
  <c r="E699" i="81"/>
  <c r="D699" i="81"/>
  <c r="F698" i="81"/>
  <c r="E698" i="81"/>
  <c r="D698" i="81"/>
  <c r="F697" i="81"/>
  <c r="E697" i="81"/>
  <c r="D697" i="81"/>
  <c r="F696" i="81"/>
  <c r="E696" i="81"/>
  <c r="D696" i="81"/>
  <c r="F695" i="81"/>
  <c r="E695" i="81"/>
  <c r="D695" i="81"/>
  <c r="F694" i="81"/>
  <c r="E694" i="81"/>
  <c r="D694" i="81"/>
  <c r="F693" i="81"/>
  <c r="E693" i="81"/>
  <c r="D693" i="81"/>
  <c r="F692" i="81"/>
  <c r="E692" i="81"/>
  <c r="D692" i="81"/>
  <c r="D691" i="81"/>
  <c r="F684" i="81"/>
  <c r="E684" i="81"/>
  <c r="D684" i="81"/>
  <c r="F683" i="81"/>
  <c r="E683" i="81"/>
  <c r="D683" i="81"/>
  <c r="F682" i="81"/>
  <c r="E682" i="81"/>
  <c r="D682" i="81"/>
  <c r="F681" i="81"/>
  <c r="E681" i="81"/>
  <c r="D681" i="81"/>
  <c r="F680" i="81"/>
  <c r="E680" i="81"/>
  <c r="D680" i="81"/>
  <c r="F679" i="81"/>
  <c r="E679" i="81"/>
  <c r="D679" i="81"/>
  <c r="E667" i="81"/>
  <c r="F667" i="81" s="1"/>
  <c r="D667" i="81"/>
  <c r="E669" i="81"/>
  <c r="F669" i="81" s="1"/>
  <c r="D669" i="81"/>
  <c r="E678" i="81"/>
  <c r="F678" i="81" s="1"/>
  <c r="D678" i="81"/>
  <c r="E677" i="81"/>
  <c r="F677" i="81" s="1"/>
  <c r="D677" i="81"/>
  <c r="E670" i="81"/>
  <c r="F670" i="81" s="1"/>
  <c r="D670" i="81"/>
  <c r="E676" i="81"/>
  <c r="F676" i="81" s="1"/>
  <c r="D676" i="81"/>
  <c r="E675" i="81"/>
  <c r="F675" i="81" s="1"/>
  <c r="D675" i="81"/>
  <c r="E674" i="81"/>
  <c r="F674" i="81" s="1"/>
  <c r="D674" i="81"/>
  <c r="E666" i="81"/>
  <c r="F666" i="81" s="1"/>
  <c r="D666" i="81"/>
  <c r="E671" i="81"/>
  <c r="F671" i="81" s="1"/>
  <c r="D671" i="81"/>
  <c r="E673" i="81"/>
  <c r="F673" i="81" s="1"/>
  <c r="D673" i="81"/>
  <c r="E665" i="81"/>
  <c r="F665" i="81" s="1"/>
  <c r="D665" i="81"/>
  <c r="E668" i="81"/>
  <c r="F668" i="81" s="1"/>
  <c r="D668" i="81"/>
  <c r="F661" i="81"/>
  <c r="F660" i="81"/>
  <c r="F655" i="81"/>
  <c r="F654" i="81"/>
  <c r="E653" i="81"/>
  <c r="F653" i="81" s="1"/>
  <c r="D653" i="81"/>
  <c r="E652" i="81"/>
  <c r="F652" i="81" s="1"/>
  <c r="D652" i="81"/>
  <c r="F657" i="81"/>
  <c r="F656" i="81"/>
  <c r="F647" i="81"/>
  <c r="E647" i="81"/>
  <c r="D647" i="81"/>
  <c r="F646" i="81"/>
  <c r="E646" i="81"/>
  <c r="D646" i="81"/>
  <c r="F645" i="81"/>
  <c r="E645" i="81"/>
  <c r="D645" i="81"/>
  <c r="D640" i="81"/>
  <c r="D638" i="81"/>
  <c r="D641" i="81"/>
  <c r="D639" i="81"/>
  <c r="D643" i="81"/>
  <c r="E422" i="81"/>
  <c r="F422" i="81" s="1"/>
  <c r="D422" i="81"/>
  <c r="E410" i="81"/>
  <c r="F410" i="81" s="1"/>
  <c r="D410" i="81"/>
  <c r="E421" i="81"/>
  <c r="F421" i="81" s="1"/>
  <c r="D421" i="81"/>
  <c r="E415" i="81"/>
  <c r="F415" i="81" s="1"/>
  <c r="D415" i="81"/>
  <c r="E413" i="81"/>
  <c r="F413" i="81" s="1"/>
  <c r="D413" i="81"/>
  <c r="E407" i="81"/>
  <c r="F407" i="81" s="1"/>
  <c r="D407" i="81"/>
  <c r="E419" i="81"/>
  <c r="F419" i="81" s="1"/>
  <c r="D419" i="81"/>
  <c r="E420" i="81"/>
  <c r="F420" i="81" s="1"/>
  <c r="D420" i="81"/>
  <c r="E405" i="81"/>
  <c r="F405" i="81" s="1"/>
  <c r="D405" i="81"/>
  <c r="E414" i="81"/>
  <c r="F414" i="81" s="1"/>
  <c r="D414" i="81"/>
  <c r="E411" i="81"/>
  <c r="F411" i="81" s="1"/>
  <c r="D411" i="81"/>
  <c r="E406" i="81"/>
  <c r="F406" i="81" s="1"/>
  <c r="D406" i="81"/>
  <c r="E418" i="81"/>
  <c r="F418" i="81" s="1"/>
  <c r="D418" i="81"/>
  <c r="E417" i="81"/>
  <c r="F417" i="81" s="1"/>
  <c r="D417" i="81"/>
  <c r="E416" i="81"/>
  <c r="F416" i="81" s="1"/>
  <c r="D416" i="81"/>
  <c r="F424" i="81"/>
  <c r="E424" i="81"/>
  <c r="D424" i="81"/>
  <c r="E412" i="81"/>
  <c r="F412" i="81" s="1"/>
  <c r="D412" i="81"/>
  <c r="E409" i="81"/>
  <c r="F409" i="81" s="1"/>
  <c r="D409" i="81"/>
  <c r="E408" i="81"/>
  <c r="F408" i="81" s="1"/>
  <c r="D408" i="81"/>
  <c r="E423" i="81"/>
  <c r="F423" i="81" s="1"/>
  <c r="D423" i="81"/>
  <c r="F401" i="81"/>
  <c r="E401" i="81"/>
  <c r="D401" i="81"/>
  <c r="F400" i="81"/>
  <c r="E400" i="81"/>
  <c r="D400" i="81"/>
  <c r="F399" i="81"/>
  <c r="E399" i="81"/>
  <c r="D399" i="81"/>
  <c r="F398" i="81"/>
  <c r="E398" i="81"/>
  <c r="D398" i="81"/>
  <c r="F397" i="81"/>
  <c r="E397" i="81"/>
  <c r="D397" i="81"/>
  <c r="F396" i="81"/>
  <c r="E396" i="81"/>
  <c r="D396" i="81"/>
  <c r="F395" i="81"/>
  <c r="E395" i="81"/>
  <c r="D395" i="81"/>
  <c r="F394" i="81"/>
  <c r="E394" i="81"/>
  <c r="D394" i="81"/>
  <c r="F393" i="81"/>
  <c r="E393" i="81"/>
  <c r="D393" i="81"/>
  <c r="D387" i="81"/>
  <c r="D386" i="81"/>
  <c r="D385" i="81"/>
  <c r="D384" i="81"/>
  <c r="D383" i="81"/>
  <c r="D382" i="81"/>
  <c r="D381" i="81"/>
  <c r="D380" i="81"/>
  <c r="D378" i="81"/>
  <c r="F164" i="81"/>
  <c r="E164" i="81"/>
  <c r="D164" i="81"/>
  <c r="F163" i="81"/>
  <c r="E163" i="81"/>
  <c r="D163" i="81"/>
  <c r="F162" i="81"/>
  <c r="E162" i="81"/>
  <c r="D162" i="81"/>
  <c r="F161" i="81"/>
  <c r="E161" i="81"/>
  <c r="D161" i="81"/>
  <c r="F160" i="81"/>
  <c r="E160" i="81"/>
  <c r="D160" i="81"/>
  <c r="F159" i="81"/>
  <c r="E159" i="81"/>
  <c r="D159" i="81"/>
  <c r="F158" i="81"/>
  <c r="E158" i="81"/>
  <c r="D158" i="81"/>
  <c r="F157" i="81"/>
  <c r="E157" i="81"/>
  <c r="D157" i="81"/>
  <c r="F156" i="81"/>
  <c r="E156" i="81"/>
  <c r="D156" i="81"/>
  <c r="F155" i="81"/>
  <c r="E155" i="81"/>
  <c r="D155" i="81"/>
  <c r="F154" i="81"/>
  <c r="E154" i="81"/>
  <c r="D154" i="81"/>
  <c r="F153" i="81"/>
  <c r="E153" i="81"/>
  <c r="D153" i="81"/>
  <c r="F152" i="81"/>
  <c r="E152" i="81"/>
  <c r="D152" i="81"/>
  <c r="F151" i="81"/>
  <c r="E151" i="81"/>
  <c r="D151" i="81"/>
  <c r="F150" i="81"/>
  <c r="E150" i="81"/>
  <c r="D150" i="81"/>
  <c r="F149" i="81"/>
  <c r="E149" i="81"/>
  <c r="D149" i="81"/>
  <c r="F148" i="81"/>
  <c r="E148" i="81"/>
  <c r="D148" i="81"/>
  <c r="F147" i="81"/>
  <c r="E147" i="81"/>
  <c r="D147" i="81"/>
  <c r="F146" i="81"/>
  <c r="E146" i="81"/>
  <c r="D146" i="81"/>
  <c r="F145" i="81"/>
  <c r="E145" i="81"/>
  <c r="D145" i="81"/>
  <c r="F141" i="81"/>
  <c r="E141" i="81"/>
  <c r="D141" i="81"/>
  <c r="F140" i="81"/>
  <c r="E140" i="81"/>
  <c r="D140" i="81"/>
  <c r="F139" i="81"/>
  <c r="E139" i="81"/>
  <c r="D139" i="81"/>
  <c r="F138" i="81"/>
  <c r="E138" i="81"/>
  <c r="D138" i="81"/>
  <c r="F127" i="81"/>
  <c r="E127" i="81"/>
  <c r="D127" i="81"/>
  <c r="F126" i="81"/>
  <c r="E126" i="81"/>
  <c r="D126" i="81"/>
  <c r="F125" i="81"/>
  <c r="E125" i="81"/>
  <c r="D125" i="81"/>
  <c r="F124" i="81"/>
  <c r="E124" i="81"/>
  <c r="D124" i="81"/>
  <c r="F123" i="81"/>
  <c r="F122" i="81"/>
  <c r="F121" i="81"/>
  <c r="F112" i="81"/>
  <c r="E112" i="81"/>
  <c r="D112" i="81"/>
  <c r="F111" i="81"/>
  <c r="E111" i="81"/>
  <c r="D111" i="81"/>
  <c r="F110" i="81"/>
  <c r="E110" i="81"/>
  <c r="D110" i="81"/>
  <c r="F109" i="81"/>
  <c r="E109" i="81"/>
  <c r="D109" i="81"/>
  <c r="F108" i="81"/>
  <c r="E108" i="81"/>
  <c r="D108" i="81"/>
  <c r="F107" i="81"/>
  <c r="E107" i="81"/>
  <c r="D107" i="81"/>
  <c r="F106" i="81"/>
  <c r="E106" i="81"/>
  <c r="D106" i="81"/>
  <c r="F105" i="81"/>
  <c r="E105" i="81"/>
  <c r="D105" i="81"/>
  <c r="F104" i="81"/>
  <c r="E104" i="81"/>
  <c r="D104" i="81"/>
  <c r="F103" i="81"/>
  <c r="E103" i="81"/>
  <c r="D103" i="81"/>
  <c r="F102" i="81"/>
  <c r="E102" i="81"/>
  <c r="D102" i="81"/>
  <c r="F101" i="81"/>
  <c r="E101" i="81"/>
  <c r="D101" i="81"/>
  <c r="F100" i="81"/>
  <c r="E100" i="81"/>
  <c r="D100" i="81"/>
  <c r="F99" i="81"/>
  <c r="E99" i="81"/>
  <c r="D99" i="81"/>
  <c r="F98" i="81"/>
  <c r="E98" i="81"/>
  <c r="D98" i="81"/>
  <c r="F97" i="81"/>
  <c r="E97" i="81"/>
  <c r="D97" i="81"/>
  <c r="F96" i="81"/>
  <c r="E96" i="81"/>
  <c r="D96" i="81"/>
  <c r="F95" i="81"/>
  <c r="E95" i="81"/>
  <c r="D95" i="81"/>
  <c r="F94" i="81"/>
  <c r="E94" i="81"/>
  <c r="D94" i="81"/>
  <c r="F93" i="81"/>
  <c r="E93" i="81"/>
  <c r="D93" i="81"/>
  <c r="F89" i="81"/>
  <c r="E89" i="81"/>
  <c r="D89" i="81"/>
  <c r="F88" i="81"/>
  <c r="E88" i="81"/>
  <c r="D88" i="81"/>
  <c r="F87" i="81"/>
  <c r="E87" i="81"/>
  <c r="D87" i="81"/>
  <c r="F86" i="81"/>
  <c r="E86" i="81"/>
  <c r="D86" i="81"/>
  <c r="F85" i="81"/>
  <c r="E85" i="81"/>
  <c r="D85" i="81"/>
  <c r="F84" i="81"/>
  <c r="E84" i="81"/>
  <c r="D84" i="81"/>
  <c r="F75" i="81"/>
  <c r="E75" i="81"/>
  <c r="D75" i="81"/>
  <c r="F74" i="81"/>
  <c r="E74" i="81"/>
  <c r="D74" i="81"/>
  <c r="F73" i="81"/>
  <c r="E73" i="81"/>
  <c r="D73" i="81"/>
  <c r="F72" i="81"/>
  <c r="E72" i="81"/>
  <c r="D72" i="81"/>
  <c r="F60" i="81"/>
  <c r="E60" i="81"/>
  <c r="D60" i="81"/>
  <c r="F59" i="81"/>
  <c r="E59" i="81"/>
  <c r="D59" i="81"/>
  <c r="F58" i="81"/>
  <c r="E58" i="81"/>
  <c r="D58" i="81"/>
  <c r="F57" i="81"/>
  <c r="E57" i="81"/>
  <c r="D57" i="81"/>
  <c r="F56" i="81"/>
  <c r="E56" i="81"/>
  <c r="D56" i="81"/>
  <c r="F55" i="81"/>
  <c r="E55" i="81"/>
  <c r="D55" i="81"/>
  <c r="F54" i="81"/>
  <c r="E54" i="81"/>
  <c r="D54" i="81"/>
  <c r="F53" i="81"/>
  <c r="E53" i="81"/>
  <c r="D53" i="81"/>
  <c r="F52" i="81"/>
  <c r="E52" i="81"/>
  <c r="D52" i="81"/>
  <c r="F51" i="81"/>
  <c r="E51" i="81"/>
  <c r="D51" i="81"/>
  <c r="F50" i="81"/>
  <c r="E50" i="81"/>
  <c r="D50" i="81"/>
  <c r="F49" i="81"/>
  <c r="E49" i="81"/>
  <c r="D49" i="81"/>
  <c r="F48" i="81"/>
  <c r="E48" i="81"/>
  <c r="D48" i="81"/>
  <c r="F47" i="81"/>
  <c r="E47" i="81"/>
  <c r="D47" i="81"/>
  <c r="F46" i="81"/>
  <c r="E46" i="81"/>
  <c r="D46" i="81"/>
  <c r="F45" i="81"/>
  <c r="E45" i="81"/>
  <c r="D45" i="81"/>
  <c r="F44" i="81"/>
  <c r="E44" i="81"/>
  <c r="D44" i="81"/>
  <c r="F43" i="81"/>
  <c r="E43" i="81"/>
  <c r="D43" i="81"/>
  <c r="F42" i="81"/>
  <c r="E42" i="81"/>
  <c r="D42" i="81"/>
  <c r="F41" i="81"/>
  <c r="E41" i="81"/>
  <c r="D41" i="81"/>
  <c r="F37" i="81"/>
  <c r="E37" i="81"/>
  <c r="D37" i="81"/>
  <c r="F36" i="81"/>
  <c r="E36" i="81"/>
  <c r="D36" i="81"/>
  <c r="F35" i="81"/>
  <c r="E35" i="81"/>
  <c r="D35" i="81"/>
  <c r="F34" i="81"/>
  <c r="E34" i="81"/>
  <c r="D34" i="81"/>
  <c r="F23" i="81"/>
  <c r="E23" i="81"/>
  <c r="D23" i="81"/>
  <c r="F22" i="81"/>
  <c r="E22" i="81"/>
  <c r="D22" i="81"/>
  <c r="F21" i="81"/>
  <c r="E21" i="81"/>
  <c r="D21" i="81"/>
  <c r="F20" i="81"/>
  <c r="E20" i="81"/>
  <c r="D20" i="81"/>
  <c r="F19" i="81"/>
  <c r="B4116" i="81"/>
  <c r="B4115" i="81"/>
  <c r="B4114" i="81"/>
  <c r="B4113" i="81"/>
  <c r="B4112" i="81"/>
  <c r="B4111" i="81"/>
  <c r="B4110" i="81"/>
  <c r="B4109" i="81"/>
  <c r="B4108" i="81"/>
  <c r="B4107" i="81"/>
  <c r="B4106" i="81"/>
  <c r="B4105" i="81"/>
  <c r="B4104" i="81"/>
  <c r="B4103" i="81"/>
  <c r="B4102" i="81"/>
  <c r="B4101" i="81"/>
  <c r="B4100" i="81"/>
  <c r="B4099" i="81"/>
  <c r="B4098" i="81"/>
  <c r="B4093" i="81"/>
  <c r="B4092" i="81"/>
  <c r="B4091" i="81"/>
  <c r="B4090" i="81"/>
  <c r="B4089" i="81"/>
  <c r="B4088" i="81"/>
  <c r="B4087" i="81"/>
  <c r="B4079" i="81"/>
  <c r="B4078" i="81"/>
  <c r="B4077" i="81"/>
  <c r="B4076" i="81"/>
  <c r="B4075" i="81"/>
  <c r="B4074" i="81"/>
  <c r="B4073" i="81"/>
  <c r="B4072" i="81"/>
  <c r="B4070" i="81"/>
  <c r="B4071" i="81"/>
  <c r="B2088" i="81"/>
  <c r="B2087" i="81"/>
  <c r="B2086" i="81"/>
  <c r="B2085" i="81"/>
  <c r="B2084" i="81"/>
  <c r="B2083" i="81"/>
  <c r="B2082" i="81"/>
  <c r="B2081" i="81"/>
  <c r="B2080" i="81"/>
  <c r="B2079" i="81"/>
  <c r="B2078" i="81"/>
  <c r="B2077" i="81"/>
  <c r="B2076" i="81"/>
  <c r="B2075" i="81"/>
  <c r="B2074" i="81"/>
  <c r="B2073" i="81"/>
  <c r="B2072" i="81"/>
  <c r="B2071" i="81"/>
  <c r="B2070" i="81"/>
  <c r="B2069" i="81"/>
  <c r="B2065" i="81"/>
  <c r="B2064" i="81"/>
  <c r="B2063" i="81"/>
  <c r="B2062" i="81"/>
  <c r="B2061" i="81"/>
  <c r="B2060" i="81"/>
  <c r="B2059" i="81"/>
  <c r="B2058" i="81"/>
  <c r="B2057" i="81"/>
  <c r="B2051" i="81"/>
  <c r="B2050" i="81"/>
  <c r="B2049" i="81"/>
  <c r="B2048" i="81"/>
  <c r="B2047" i="81"/>
  <c r="B2046" i="81"/>
  <c r="B2045" i="81"/>
  <c r="B2044" i="81"/>
  <c r="B2042" i="81"/>
  <c r="B2043" i="81"/>
  <c r="B1620" i="81"/>
  <c r="B1619" i="81"/>
  <c r="B1618" i="81"/>
  <c r="B1617" i="81"/>
  <c r="B1616" i="81"/>
  <c r="B1615" i="81"/>
  <c r="B1614" i="81"/>
  <c r="B1613" i="81"/>
  <c r="B1612" i="81"/>
  <c r="B1611" i="81"/>
  <c r="B1610" i="81"/>
  <c r="B1609" i="81"/>
  <c r="B1608" i="81"/>
  <c r="B1607" i="81"/>
  <c r="B1606" i="81"/>
  <c r="B1605" i="81"/>
  <c r="B1604" i="81"/>
  <c r="B1880" i="81"/>
  <c r="B1879" i="81"/>
  <c r="B1878" i="81"/>
  <c r="B1877" i="81"/>
  <c r="B1876" i="81"/>
  <c r="B1875" i="81"/>
  <c r="B1874" i="81"/>
  <c r="B1873" i="81"/>
  <c r="B1872" i="81"/>
  <c r="B1871" i="81"/>
  <c r="B1870" i="81"/>
  <c r="B1869" i="81"/>
  <c r="B1868" i="81"/>
  <c r="B1867" i="81"/>
  <c r="B1866" i="81"/>
  <c r="B1984" i="81"/>
  <c r="B1983" i="81"/>
  <c r="B1982" i="81"/>
  <c r="B1981" i="81"/>
  <c r="B1980" i="81"/>
  <c r="B1979" i="81"/>
  <c r="B1978" i="81"/>
  <c r="B1977" i="81"/>
  <c r="B1976" i="81"/>
  <c r="B1975" i="81"/>
  <c r="B1974" i="81"/>
  <c r="B1973" i="81"/>
  <c r="B1972" i="81"/>
  <c r="B1971" i="81"/>
  <c r="B1970" i="81"/>
  <c r="B788" i="81"/>
  <c r="B787" i="81"/>
  <c r="B786" i="81"/>
  <c r="B785" i="81"/>
  <c r="B784" i="81"/>
  <c r="B783" i="81"/>
  <c r="B782" i="81"/>
  <c r="B781" i="81"/>
  <c r="B780" i="81"/>
  <c r="B779" i="81"/>
  <c r="B778" i="81"/>
  <c r="B777" i="81"/>
  <c r="B776" i="81"/>
  <c r="B775" i="81"/>
  <c r="B774" i="81"/>
  <c r="B773" i="81"/>
  <c r="B772" i="81"/>
  <c r="B771" i="81"/>
  <c r="B770" i="81"/>
  <c r="B769" i="81"/>
  <c r="B765" i="81"/>
  <c r="B764" i="81"/>
  <c r="B763" i="81"/>
  <c r="B762" i="81"/>
  <c r="B761" i="81"/>
  <c r="B760" i="81"/>
  <c r="B759" i="81"/>
  <c r="B758" i="81"/>
  <c r="B757" i="81"/>
  <c r="B756" i="81"/>
  <c r="B751" i="81"/>
  <c r="B750" i="81"/>
  <c r="B749" i="81"/>
  <c r="B748" i="81"/>
  <c r="B747" i="81"/>
  <c r="B746" i="81"/>
  <c r="B745" i="81"/>
  <c r="B744" i="81"/>
  <c r="B736" i="81"/>
  <c r="B735" i="81"/>
  <c r="B734" i="81"/>
  <c r="B733" i="81"/>
  <c r="B732" i="81"/>
  <c r="B731" i="81"/>
  <c r="B730" i="81"/>
  <c r="B729" i="81"/>
  <c r="B728" i="81"/>
  <c r="B727" i="81"/>
  <c r="B726" i="81"/>
  <c r="B725" i="81"/>
  <c r="B724" i="81"/>
  <c r="B723" i="81"/>
  <c r="B722" i="81"/>
  <c r="B721" i="81"/>
  <c r="B720" i="81"/>
  <c r="B719" i="81"/>
  <c r="B718" i="81"/>
  <c r="B717" i="81"/>
  <c r="B713" i="81"/>
  <c r="B712" i="81"/>
  <c r="B711" i="81"/>
  <c r="B710" i="81"/>
  <c r="B709" i="81"/>
  <c r="B708" i="81"/>
  <c r="B707" i="81"/>
  <c r="B706" i="81"/>
  <c r="B705" i="81"/>
  <c r="B699" i="81"/>
  <c r="B698" i="81"/>
  <c r="B697" i="81"/>
  <c r="B696" i="81"/>
  <c r="B695" i="81"/>
  <c r="B694" i="81"/>
  <c r="B693" i="81"/>
  <c r="B692" i="81"/>
  <c r="B691" i="81"/>
  <c r="B684" i="81"/>
  <c r="B683" i="81"/>
  <c r="B682" i="81"/>
  <c r="B681" i="81"/>
  <c r="B680" i="81"/>
  <c r="B679" i="81"/>
  <c r="B667" i="81"/>
  <c r="B669" i="81"/>
  <c r="B678" i="81"/>
  <c r="B677" i="81"/>
  <c r="B670" i="81"/>
  <c r="B676" i="81"/>
  <c r="B675" i="81"/>
  <c r="B674" i="81"/>
  <c r="B666" i="81"/>
  <c r="B671" i="81"/>
  <c r="B673" i="81"/>
  <c r="B665" i="81"/>
  <c r="B668" i="81"/>
  <c r="B653" i="81"/>
  <c r="B652" i="81"/>
  <c r="B647" i="81"/>
  <c r="B646" i="81"/>
  <c r="B645" i="81"/>
  <c r="B640" i="81"/>
  <c r="B638" i="81"/>
  <c r="B641" i="81"/>
  <c r="B639" i="81"/>
  <c r="B643" i="81"/>
  <c r="B422" i="81"/>
  <c r="B410" i="81"/>
  <c r="B421" i="81"/>
  <c r="B415" i="81"/>
  <c r="B413" i="81"/>
  <c r="B407" i="81"/>
  <c r="B419" i="81"/>
  <c r="B420" i="81"/>
  <c r="B405" i="81"/>
  <c r="B414" i="81"/>
  <c r="B411" i="81"/>
  <c r="B406" i="81"/>
  <c r="B418" i="81"/>
  <c r="B417" i="81"/>
  <c r="B416" i="81"/>
  <c r="B424" i="81"/>
  <c r="B412" i="81"/>
  <c r="B409" i="81"/>
  <c r="B408" i="81"/>
  <c r="B423" i="81"/>
  <c r="B401" i="81"/>
  <c r="B400" i="81"/>
  <c r="B399" i="81"/>
  <c r="B398" i="81"/>
  <c r="B397" i="81"/>
  <c r="B396" i="81"/>
  <c r="B395" i="81"/>
  <c r="B394" i="81"/>
  <c r="B393" i="81"/>
  <c r="B387" i="81"/>
  <c r="B386" i="81"/>
  <c r="B385" i="81"/>
  <c r="B384" i="81"/>
  <c r="B383" i="81"/>
  <c r="B382" i="81"/>
  <c r="B381" i="81"/>
  <c r="B380" i="81"/>
  <c r="B378" i="81"/>
  <c r="B164" i="81"/>
  <c r="B163" i="81"/>
  <c r="B162" i="81"/>
  <c r="B161" i="81"/>
  <c r="B160" i="81"/>
  <c r="B159" i="81"/>
  <c r="B158" i="81"/>
  <c r="B157" i="81"/>
  <c r="B156" i="81"/>
  <c r="B155" i="81"/>
  <c r="B154" i="81"/>
  <c r="B153" i="81"/>
  <c r="B152" i="81"/>
  <c r="B151" i="81"/>
  <c r="B150" i="81"/>
  <c r="B149" i="81"/>
  <c r="B148" i="81"/>
  <c r="B147" i="81"/>
  <c r="B146" i="81"/>
  <c r="B145" i="81"/>
  <c r="B141" i="81"/>
  <c r="B140" i="81"/>
  <c r="B139" i="81"/>
  <c r="B138" i="81"/>
  <c r="B127" i="81"/>
  <c r="B126" i="81"/>
  <c r="B125" i="81"/>
  <c r="B124" i="81"/>
  <c r="B112" i="81"/>
  <c r="B111" i="81"/>
  <c r="B110" i="81"/>
  <c r="B109" i="81"/>
  <c r="B108" i="81"/>
  <c r="B107" i="81"/>
  <c r="B106" i="81"/>
  <c r="B105" i="81"/>
  <c r="B104" i="81"/>
  <c r="B103" i="81"/>
  <c r="B102" i="81"/>
  <c r="B101" i="81"/>
  <c r="B100" i="81"/>
  <c r="B99" i="81"/>
  <c r="B98" i="81"/>
  <c r="B97" i="81"/>
  <c r="B96" i="81"/>
  <c r="B95" i="81"/>
  <c r="B94" i="81"/>
  <c r="B93" i="81"/>
  <c r="B89" i="81"/>
  <c r="B88" i="81"/>
  <c r="B87" i="81"/>
  <c r="B86" i="81"/>
  <c r="B85" i="81"/>
  <c r="B84" i="81"/>
  <c r="B75" i="81"/>
  <c r="B74" i="81"/>
  <c r="B73" i="81"/>
  <c r="B72" i="81"/>
  <c r="B60" i="81"/>
  <c r="B59" i="81"/>
  <c r="B58" i="81"/>
  <c r="B57" i="81"/>
  <c r="B56" i="81"/>
  <c r="B55" i="81"/>
  <c r="B54" i="81"/>
  <c r="B53" i="81"/>
  <c r="B52" i="81"/>
  <c r="B51" i="81"/>
  <c r="B50" i="81"/>
  <c r="B49" i="81"/>
  <c r="B48" i="81"/>
  <c r="B47" i="81"/>
  <c r="B46" i="81"/>
  <c r="B45" i="81"/>
  <c r="B44" i="81"/>
  <c r="B43" i="81"/>
  <c r="B42" i="81"/>
  <c r="B41" i="81"/>
  <c r="B37" i="81"/>
  <c r="B36" i="81"/>
  <c r="B35" i="81"/>
  <c r="B34" i="81"/>
  <c r="B23" i="81"/>
  <c r="B22" i="81"/>
  <c r="B21" i="81"/>
  <c r="B20" i="81"/>
  <c r="M18" i="81"/>
  <c r="N18" i="81" s="1"/>
  <c r="D642" i="81" l="1"/>
  <c r="B642" i="81"/>
  <c r="B690" i="81"/>
  <c r="D690" i="81"/>
  <c r="D379" i="81"/>
  <c r="B379" i="81"/>
  <c r="D1938" i="81"/>
  <c r="D1834" i="81"/>
  <c r="N2088" i="81" l="1"/>
  <c r="M2088" i="81"/>
  <c r="H2088" i="81"/>
  <c r="J2088" i="81" s="1"/>
  <c r="N2087" i="81"/>
  <c r="M2087" i="81"/>
  <c r="H2087" i="81"/>
  <c r="J2087" i="81" s="1"/>
  <c r="N2086" i="81"/>
  <c r="M2086" i="81"/>
  <c r="H2086" i="81"/>
  <c r="J2086" i="81" s="1"/>
  <c r="N2085" i="81"/>
  <c r="M2085" i="81"/>
  <c r="H2085" i="81"/>
  <c r="J2085" i="81" s="1"/>
  <c r="N2084" i="81"/>
  <c r="M2084" i="81"/>
  <c r="H2084" i="81"/>
  <c r="J2084" i="81" s="1"/>
  <c r="N2083" i="81"/>
  <c r="M2083" i="81"/>
  <c r="H2083" i="81"/>
  <c r="J2083" i="81" s="1"/>
  <c r="N2082" i="81"/>
  <c r="M2082" i="81"/>
  <c r="H2082" i="81"/>
  <c r="J2082" i="81" s="1"/>
  <c r="N2081" i="81"/>
  <c r="M2081" i="81"/>
  <c r="H2081" i="81"/>
  <c r="J2081" i="81" s="1"/>
  <c r="N2080" i="81"/>
  <c r="M2080" i="81"/>
  <c r="H2080" i="81"/>
  <c r="J2080" i="81" s="1"/>
  <c r="N2079" i="81"/>
  <c r="M2079" i="81"/>
  <c r="H2079" i="81"/>
  <c r="J2079" i="81" s="1"/>
  <c r="N2078" i="81"/>
  <c r="M2078" i="81"/>
  <c r="H2078" i="81"/>
  <c r="J2078" i="81" s="1"/>
  <c r="N2077" i="81"/>
  <c r="M2077" i="81"/>
  <c r="H2077" i="81"/>
  <c r="J2077" i="81" s="1"/>
  <c r="N2076" i="81"/>
  <c r="M2076" i="81"/>
  <c r="H2076" i="81"/>
  <c r="J2076" i="81" s="1"/>
  <c r="N2075" i="81"/>
  <c r="M2075" i="81"/>
  <c r="H2075" i="81"/>
  <c r="J2075" i="81" s="1"/>
  <c r="N2074" i="81"/>
  <c r="M2074" i="81"/>
  <c r="H2074" i="81"/>
  <c r="J2074" i="81" s="1"/>
  <c r="N2073" i="81"/>
  <c r="M2073" i="81"/>
  <c r="H2073" i="81"/>
  <c r="J2073" i="81" s="1"/>
  <c r="N2072" i="81"/>
  <c r="M2072" i="81"/>
  <c r="H2072" i="81"/>
  <c r="J2072" i="81" s="1"/>
  <c r="N2071" i="81"/>
  <c r="M2071" i="81"/>
  <c r="H2071" i="81"/>
  <c r="J2071" i="81" s="1"/>
  <c r="N2070" i="81"/>
  <c r="M2070" i="81"/>
  <c r="H2070" i="81"/>
  <c r="J2070" i="81" s="1"/>
  <c r="M2069" i="81"/>
  <c r="N2069" i="81" s="1"/>
  <c r="H2069" i="81"/>
  <c r="J2069" i="81" s="1"/>
  <c r="N2065" i="81"/>
  <c r="M2065" i="81"/>
  <c r="H2065" i="81"/>
  <c r="L2065" i="81" s="1"/>
  <c r="N2064" i="81"/>
  <c r="M2064" i="81"/>
  <c r="H2064" i="81"/>
  <c r="L2064" i="81" s="1"/>
  <c r="N2063" i="81"/>
  <c r="M2063" i="81"/>
  <c r="H2063" i="81"/>
  <c r="L2063" i="81" s="1"/>
  <c r="N2062" i="81"/>
  <c r="M2062" i="81"/>
  <c r="H2062" i="81"/>
  <c r="L2062" i="81" s="1"/>
  <c r="N2061" i="81"/>
  <c r="M2061" i="81"/>
  <c r="H2061" i="81"/>
  <c r="L2061" i="81" s="1"/>
  <c r="N2060" i="81"/>
  <c r="M2060" i="81"/>
  <c r="H2060" i="81"/>
  <c r="L2060" i="81" s="1"/>
  <c r="N2059" i="81"/>
  <c r="M2059" i="81"/>
  <c r="H2059" i="81"/>
  <c r="L2059" i="81" s="1"/>
  <c r="N2058" i="81"/>
  <c r="M2058" i="81"/>
  <c r="H2058" i="81"/>
  <c r="L2058" i="81" s="1"/>
  <c r="N2057" i="81"/>
  <c r="M2057" i="81"/>
  <c r="H2057" i="81"/>
  <c r="L2057" i="81" s="1"/>
  <c r="N2051" i="81"/>
  <c r="M2051" i="81"/>
  <c r="H2051" i="81"/>
  <c r="L2051" i="81" s="1"/>
  <c r="N2050" i="81"/>
  <c r="M2050" i="81"/>
  <c r="H2050" i="81"/>
  <c r="L2050" i="81" s="1"/>
  <c r="N2049" i="81"/>
  <c r="M2049" i="81"/>
  <c r="H2049" i="81"/>
  <c r="L2049" i="81" s="1"/>
  <c r="N2048" i="81"/>
  <c r="M2048" i="81"/>
  <c r="H2048" i="81"/>
  <c r="L2048" i="81" s="1"/>
  <c r="N2047" i="81"/>
  <c r="M2047" i="81"/>
  <c r="H2047" i="81"/>
  <c r="L2047" i="81" s="1"/>
  <c r="N2046" i="81"/>
  <c r="M2046" i="81"/>
  <c r="H2046" i="81"/>
  <c r="L2046" i="81" s="1"/>
  <c r="N2045" i="81"/>
  <c r="M2045" i="81"/>
  <c r="H2045" i="81"/>
  <c r="L2045" i="81" s="1"/>
  <c r="N2044" i="81"/>
  <c r="M2044" i="81"/>
  <c r="H2044" i="81"/>
  <c r="L2044" i="81" s="1"/>
  <c r="M2042" i="81"/>
  <c r="N1620" i="81"/>
  <c r="M1620" i="81"/>
  <c r="H1620" i="81"/>
  <c r="J1620" i="81" s="1"/>
  <c r="N1619" i="81"/>
  <c r="M1619" i="81"/>
  <c r="H1619" i="81"/>
  <c r="J1619" i="81" s="1"/>
  <c r="N1618" i="81"/>
  <c r="M1618" i="81"/>
  <c r="H1618" i="81"/>
  <c r="J1618" i="81" s="1"/>
  <c r="N1617" i="81"/>
  <c r="M1617" i="81"/>
  <c r="H1617" i="81"/>
  <c r="J1617" i="81" s="1"/>
  <c r="N1616" i="81"/>
  <c r="M1616" i="81"/>
  <c r="H1616" i="81"/>
  <c r="J1616" i="81" s="1"/>
  <c r="N1615" i="81"/>
  <c r="M1615" i="81"/>
  <c r="H1615" i="81"/>
  <c r="J1615" i="81" s="1"/>
  <c r="N1614" i="81"/>
  <c r="M1614" i="81"/>
  <c r="H1614" i="81"/>
  <c r="J1614" i="81" s="1"/>
  <c r="N1613" i="81"/>
  <c r="M1613" i="81"/>
  <c r="H1613" i="81"/>
  <c r="J1613" i="81" s="1"/>
  <c r="N1612" i="81"/>
  <c r="M1612" i="81"/>
  <c r="H1612" i="81"/>
  <c r="J1612" i="81" s="1"/>
  <c r="N1611" i="81"/>
  <c r="M1611" i="81"/>
  <c r="H1611" i="81"/>
  <c r="J1611" i="81" s="1"/>
  <c r="N1610" i="81"/>
  <c r="M1610" i="81"/>
  <c r="H1610" i="81"/>
  <c r="J1610" i="81" s="1"/>
  <c r="N1609" i="81"/>
  <c r="M1609" i="81"/>
  <c r="H1609" i="81"/>
  <c r="J1609" i="81" s="1"/>
  <c r="N1608" i="81"/>
  <c r="M1608" i="81"/>
  <c r="H1608" i="81"/>
  <c r="J1608" i="81" s="1"/>
  <c r="N1607" i="81"/>
  <c r="M1607" i="81"/>
  <c r="H1607" i="81"/>
  <c r="J1607" i="81" s="1"/>
  <c r="N1606" i="81"/>
  <c r="M1606" i="81"/>
  <c r="H1606" i="81"/>
  <c r="J1606" i="81" s="1"/>
  <c r="N1605" i="81"/>
  <c r="M1605" i="81"/>
  <c r="H1605" i="81"/>
  <c r="J1605" i="81" s="1"/>
  <c r="N1604" i="81"/>
  <c r="M1604" i="81"/>
  <c r="H1604" i="81"/>
  <c r="J1604" i="81" s="1"/>
  <c r="N1603" i="81"/>
  <c r="M1603" i="81"/>
  <c r="H1603" i="81"/>
  <c r="J1603" i="81" s="1"/>
  <c r="M1602" i="81"/>
  <c r="N1602" i="81" s="1"/>
  <c r="H1602" i="81"/>
  <c r="J1602" i="81" s="1"/>
  <c r="M1601" i="81"/>
  <c r="N1601" i="81" s="1"/>
  <c r="H1601" i="81"/>
  <c r="J1601" i="81" s="1"/>
  <c r="N1597" i="81"/>
  <c r="M1597" i="81"/>
  <c r="H1597" i="81"/>
  <c r="J1597" i="81" s="1"/>
  <c r="N1596" i="81"/>
  <c r="M1596" i="81"/>
  <c r="H1596" i="81"/>
  <c r="J1596" i="81" s="1"/>
  <c r="N1595" i="81"/>
  <c r="M1595" i="81"/>
  <c r="H1595" i="81"/>
  <c r="J1595" i="81" s="1"/>
  <c r="N1594" i="81"/>
  <c r="M1594" i="81"/>
  <c r="H1594" i="81"/>
  <c r="J1594" i="81" s="1"/>
  <c r="N1593" i="81"/>
  <c r="M1593" i="81"/>
  <c r="H1593" i="81"/>
  <c r="J1593" i="81" s="1"/>
  <c r="N1592" i="81"/>
  <c r="M1592" i="81"/>
  <c r="H1592" i="81"/>
  <c r="J1592" i="81" s="1"/>
  <c r="N1591" i="81"/>
  <c r="M1591" i="81"/>
  <c r="H1591" i="81"/>
  <c r="J1591" i="81" s="1"/>
  <c r="N1590" i="81"/>
  <c r="M1590" i="81"/>
  <c r="H1590" i="81"/>
  <c r="J1590" i="81" s="1"/>
  <c r="N1583" i="81"/>
  <c r="M1583" i="81"/>
  <c r="H1583" i="81"/>
  <c r="L1583" i="81" s="1"/>
  <c r="N1582" i="81"/>
  <c r="M1582" i="81"/>
  <c r="H1582" i="81"/>
  <c r="L1582" i="81" s="1"/>
  <c r="N1581" i="81"/>
  <c r="M1581" i="81"/>
  <c r="H1581" i="81"/>
  <c r="L1581" i="81" s="1"/>
  <c r="N1580" i="81"/>
  <c r="M1580" i="81"/>
  <c r="H1580" i="81"/>
  <c r="L1580" i="81" s="1"/>
  <c r="N1579" i="81"/>
  <c r="M1579" i="81"/>
  <c r="H1579" i="81"/>
  <c r="L1579" i="81" s="1"/>
  <c r="N1578" i="81"/>
  <c r="M1578" i="81"/>
  <c r="H1578" i="81"/>
  <c r="L1578" i="81" s="1"/>
  <c r="N1577" i="81"/>
  <c r="M1577" i="81"/>
  <c r="H1577" i="81"/>
  <c r="L1577" i="81" s="1"/>
  <c r="N1576" i="81"/>
  <c r="M1576" i="81"/>
  <c r="H1576" i="81"/>
  <c r="M1575" i="81"/>
  <c r="N1880" i="81"/>
  <c r="M1880" i="81"/>
  <c r="H1880" i="81"/>
  <c r="K1880" i="81" s="1"/>
  <c r="N1879" i="81"/>
  <c r="M1879" i="81"/>
  <c r="H1879" i="81"/>
  <c r="K1879" i="81" s="1"/>
  <c r="N1878" i="81"/>
  <c r="M1878" i="81"/>
  <c r="H1878" i="81"/>
  <c r="K1878" i="81" s="1"/>
  <c r="N1877" i="81"/>
  <c r="M1877" i="81"/>
  <c r="H1877" i="81"/>
  <c r="K1877" i="81" s="1"/>
  <c r="N1876" i="81"/>
  <c r="M1876" i="81"/>
  <c r="H1876" i="81"/>
  <c r="K1876" i="81" s="1"/>
  <c r="N1875" i="81"/>
  <c r="M1875" i="81"/>
  <c r="H1875" i="81"/>
  <c r="K1875" i="81" s="1"/>
  <c r="N1874" i="81"/>
  <c r="M1874" i="81"/>
  <c r="H1874" i="81"/>
  <c r="K1874" i="81" s="1"/>
  <c r="N1873" i="81"/>
  <c r="M1873" i="81"/>
  <c r="H1873" i="81"/>
  <c r="K1873" i="81" s="1"/>
  <c r="N1872" i="81"/>
  <c r="M1872" i="81"/>
  <c r="H1872" i="81"/>
  <c r="K1872" i="81" s="1"/>
  <c r="N1871" i="81"/>
  <c r="M1871" i="81"/>
  <c r="H1871" i="81"/>
  <c r="K1871" i="81" s="1"/>
  <c r="N1870" i="81"/>
  <c r="M1870" i="81"/>
  <c r="H1870" i="81"/>
  <c r="K1870" i="81" s="1"/>
  <c r="N1869" i="81"/>
  <c r="M1869" i="81"/>
  <c r="H1869" i="81"/>
  <c r="K1869" i="81" s="1"/>
  <c r="N1868" i="81"/>
  <c r="M1868" i="81"/>
  <c r="H1868" i="81"/>
  <c r="K1868" i="81" s="1"/>
  <c r="N1867" i="81"/>
  <c r="M1867" i="81"/>
  <c r="H1867" i="81"/>
  <c r="K1867" i="81" s="1"/>
  <c r="N1866" i="81"/>
  <c r="M1866" i="81"/>
  <c r="H1866" i="81"/>
  <c r="K1866" i="81" s="1"/>
  <c r="N1865" i="81"/>
  <c r="M1865" i="81"/>
  <c r="H1865" i="81"/>
  <c r="K1865" i="81" s="1"/>
  <c r="N1864" i="81"/>
  <c r="M1864" i="81"/>
  <c r="H1864" i="81"/>
  <c r="K1864" i="81" s="1"/>
  <c r="N1863" i="81"/>
  <c r="M1863" i="81"/>
  <c r="H1863" i="81"/>
  <c r="K1863" i="81" s="1"/>
  <c r="M1862" i="81"/>
  <c r="N1862" i="81" s="1"/>
  <c r="H1862" i="81"/>
  <c r="M1861" i="81"/>
  <c r="N1861" i="81" s="1"/>
  <c r="H1861" i="81"/>
  <c r="N1857" i="81"/>
  <c r="M1857" i="81"/>
  <c r="H1857" i="81"/>
  <c r="L1857" i="81" s="1"/>
  <c r="N1856" i="81"/>
  <c r="M1856" i="81"/>
  <c r="H1856" i="81"/>
  <c r="L1856" i="81" s="1"/>
  <c r="N1855" i="81"/>
  <c r="M1855" i="81"/>
  <c r="H1855" i="81"/>
  <c r="L1855" i="81" s="1"/>
  <c r="N1854" i="81"/>
  <c r="M1854" i="81"/>
  <c r="H1854" i="81"/>
  <c r="L1854" i="81" s="1"/>
  <c r="N1853" i="81"/>
  <c r="M1853" i="81"/>
  <c r="H1853" i="81"/>
  <c r="L1853" i="81" s="1"/>
  <c r="N1852" i="81"/>
  <c r="M1852" i="81"/>
  <c r="H1852" i="81"/>
  <c r="L1852" i="81" s="1"/>
  <c r="N1851" i="81"/>
  <c r="M1851" i="81"/>
  <c r="H1851" i="81"/>
  <c r="L1851" i="81" s="1"/>
  <c r="N1850" i="81"/>
  <c r="M1850" i="81"/>
  <c r="H1850" i="81"/>
  <c r="L1850" i="81" s="1"/>
  <c r="N1849" i="81"/>
  <c r="M1849" i="81"/>
  <c r="H1849" i="81"/>
  <c r="L1849" i="81" s="1"/>
  <c r="N1843" i="81"/>
  <c r="M1843" i="81"/>
  <c r="H1843" i="81"/>
  <c r="K1843" i="81" s="1"/>
  <c r="N1842" i="81"/>
  <c r="M1842" i="81"/>
  <c r="H1842" i="81"/>
  <c r="K1842" i="81" s="1"/>
  <c r="N1841" i="81"/>
  <c r="M1841" i="81"/>
  <c r="H1841" i="81"/>
  <c r="K1841" i="81" s="1"/>
  <c r="N1840" i="81"/>
  <c r="M1840" i="81"/>
  <c r="H1840" i="81"/>
  <c r="K1840" i="81" s="1"/>
  <c r="N1839" i="81"/>
  <c r="M1839" i="81"/>
  <c r="H1839" i="81"/>
  <c r="K1839" i="81" s="1"/>
  <c r="N1838" i="81"/>
  <c r="M1838" i="81"/>
  <c r="H1838" i="81"/>
  <c r="N1837" i="81"/>
  <c r="M1837" i="81"/>
  <c r="H1837" i="81"/>
  <c r="K1837" i="81" s="1"/>
  <c r="N1836" i="81"/>
  <c r="M1836" i="81"/>
  <c r="H1836" i="81"/>
  <c r="K1836" i="81" s="1"/>
  <c r="N1984" i="81"/>
  <c r="M1984" i="81"/>
  <c r="H1984" i="81"/>
  <c r="N1983" i="81"/>
  <c r="M1983" i="81"/>
  <c r="H1983" i="81"/>
  <c r="J1983" i="81" s="1"/>
  <c r="N1982" i="81"/>
  <c r="M1982" i="81"/>
  <c r="H1982" i="81"/>
  <c r="J1982" i="81" s="1"/>
  <c r="N1981" i="81"/>
  <c r="M1981" i="81"/>
  <c r="H1981" i="81"/>
  <c r="J1981" i="81" s="1"/>
  <c r="N1980" i="81"/>
  <c r="M1980" i="81"/>
  <c r="H1980" i="81"/>
  <c r="J1980" i="81" s="1"/>
  <c r="N1979" i="81"/>
  <c r="M1979" i="81"/>
  <c r="H1979" i="81"/>
  <c r="J1979" i="81" s="1"/>
  <c r="N1978" i="81"/>
  <c r="M1978" i="81"/>
  <c r="H1978" i="81"/>
  <c r="J1978" i="81" s="1"/>
  <c r="N1977" i="81"/>
  <c r="M1977" i="81"/>
  <c r="H1977" i="81"/>
  <c r="J1977" i="81" s="1"/>
  <c r="N1976" i="81"/>
  <c r="M1976" i="81"/>
  <c r="H1976" i="81"/>
  <c r="J1976" i="81" s="1"/>
  <c r="N1975" i="81"/>
  <c r="M1975" i="81"/>
  <c r="H1975" i="81"/>
  <c r="J1975" i="81" s="1"/>
  <c r="N1974" i="81"/>
  <c r="M1974" i="81"/>
  <c r="H1974" i="81"/>
  <c r="J1974" i="81" s="1"/>
  <c r="N1973" i="81"/>
  <c r="M1973" i="81"/>
  <c r="H1973" i="81"/>
  <c r="J1973" i="81" s="1"/>
  <c r="N1972" i="81"/>
  <c r="M1972" i="81"/>
  <c r="H1972" i="81"/>
  <c r="J1972" i="81" s="1"/>
  <c r="N1971" i="81"/>
  <c r="M1971" i="81"/>
  <c r="H1971" i="81"/>
  <c r="J1971" i="81" s="1"/>
  <c r="N1970" i="81"/>
  <c r="M1970" i="81"/>
  <c r="H1970" i="81"/>
  <c r="J1970" i="81" s="1"/>
  <c r="N1969" i="81"/>
  <c r="M1969" i="81"/>
  <c r="H1969" i="81"/>
  <c r="J1969" i="81" s="1"/>
  <c r="N1968" i="81"/>
  <c r="M1968" i="81"/>
  <c r="H1968" i="81"/>
  <c r="J1968" i="81" s="1"/>
  <c r="N1967" i="81"/>
  <c r="M1967" i="81"/>
  <c r="H1967" i="81"/>
  <c r="J1967" i="81" s="1"/>
  <c r="M1966" i="81"/>
  <c r="N1966" i="81" s="1"/>
  <c r="H1966" i="81"/>
  <c r="J1966" i="81" s="1"/>
  <c r="M1965" i="81"/>
  <c r="N1965" i="81" s="1"/>
  <c r="H1965" i="81"/>
  <c r="J1965" i="81" s="1"/>
  <c r="N1961" i="81"/>
  <c r="M1961" i="81"/>
  <c r="H1961" i="81"/>
  <c r="L1961" i="81" s="1"/>
  <c r="N1960" i="81"/>
  <c r="M1960" i="81"/>
  <c r="H1960" i="81"/>
  <c r="L1960" i="81" s="1"/>
  <c r="N1959" i="81"/>
  <c r="M1959" i="81"/>
  <c r="H1959" i="81"/>
  <c r="L1959" i="81" s="1"/>
  <c r="N1958" i="81"/>
  <c r="M1958" i="81"/>
  <c r="H1958" i="81"/>
  <c r="L1958" i="81" s="1"/>
  <c r="N1957" i="81"/>
  <c r="M1957" i="81"/>
  <c r="H1957" i="81"/>
  <c r="L1957" i="81" s="1"/>
  <c r="N1956" i="81"/>
  <c r="M1956" i="81"/>
  <c r="H1956" i="81"/>
  <c r="L1956" i="81" s="1"/>
  <c r="N1955" i="81"/>
  <c r="M1955" i="81"/>
  <c r="H1955" i="81"/>
  <c r="L1955" i="81" s="1"/>
  <c r="N1947" i="81"/>
  <c r="M1947" i="81"/>
  <c r="H1947" i="81"/>
  <c r="L1947" i="81" s="1"/>
  <c r="N1946" i="81"/>
  <c r="M1946" i="81"/>
  <c r="H1946" i="81"/>
  <c r="L1946" i="81" s="1"/>
  <c r="N1945" i="81"/>
  <c r="M1945" i="81"/>
  <c r="H1945" i="81"/>
  <c r="L1945" i="81" s="1"/>
  <c r="N1944" i="81"/>
  <c r="M1944" i="81"/>
  <c r="H1944" i="81"/>
  <c r="L1944" i="81" s="1"/>
  <c r="N1943" i="81"/>
  <c r="M1943" i="81"/>
  <c r="H1943" i="81"/>
  <c r="L1943" i="81" s="1"/>
  <c r="N1942" i="81"/>
  <c r="M1942" i="81"/>
  <c r="H1942" i="81"/>
  <c r="L1942" i="81" s="1"/>
  <c r="N1941" i="81"/>
  <c r="M1941" i="81"/>
  <c r="H1941" i="81"/>
  <c r="L1941" i="81" s="1"/>
  <c r="N1940" i="81"/>
  <c r="M1940" i="81"/>
  <c r="H1940" i="81"/>
  <c r="L1940" i="81" s="1"/>
  <c r="M1939" i="81"/>
  <c r="N788" i="81"/>
  <c r="M788" i="81"/>
  <c r="H788" i="81"/>
  <c r="L788" i="81" s="1"/>
  <c r="N787" i="81"/>
  <c r="M787" i="81"/>
  <c r="H787" i="81"/>
  <c r="L787" i="81" s="1"/>
  <c r="N786" i="81"/>
  <c r="M786" i="81"/>
  <c r="H786" i="81"/>
  <c r="L786" i="81" s="1"/>
  <c r="N785" i="81"/>
  <c r="M785" i="81"/>
  <c r="H785" i="81"/>
  <c r="L785" i="81" s="1"/>
  <c r="N784" i="81"/>
  <c r="M784" i="81"/>
  <c r="H784" i="81"/>
  <c r="L784" i="81" s="1"/>
  <c r="N783" i="81"/>
  <c r="M783" i="81"/>
  <c r="H783" i="81"/>
  <c r="L783" i="81" s="1"/>
  <c r="N782" i="81"/>
  <c r="M782" i="81"/>
  <c r="H782" i="81"/>
  <c r="L782" i="81" s="1"/>
  <c r="N781" i="81"/>
  <c r="M781" i="81"/>
  <c r="H781" i="81"/>
  <c r="L781" i="81" s="1"/>
  <c r="N780" i="81"/>
  <c r="M780" i="81"/>
  <c r="H780" i="81"/>
  <c r="L780" i="81" s="1"/>
  <c r="N779" i="81"/>
  <c r="M779" i="81"/>
  <c r="H779" i="81"/>
  <c r="L779" i="81" s="1"/>
  <c r="N778" i="81"/>
  <c r="M778" i="81"/>
  <c r="H778" i="81"/>
  <c r="L778" i="81" s="1"/>
  <c r="N777" i="81"/>
  <c r="M777" i="81"/>
  <c r="H777" i="81"/>
  <c r="L777" i="81" s="1"/>
  <c r="N776" i="81"/>
  <c r="M776" i="81"/>
  <c r="H776" i="81"/>
  <c r="L776" i="81" s="1"/>
  <c r="N775" i="81"/>
  <c r="M775" i="81"/>
  <c r="H775" i="81"/>
  <c r="L775" i="81" s="1"/>
  <c r="N774" i="81"/>
  <c r="M774" i="81"/>
  <c r="H774" i="81"/>
  <c r="L774" i="81" s="1"/>
  <c r="N773" i="81"/>
  <c r="M773" i="81"/>
  <c r="H773" i="81"/>
  <c r="L773" i="81" s="1"/>
  <c r="N772" i="81"/>
  <c r="M772" i="81"/>
  <c r="H772" i="81"/>
  <c r="L772" i="81" s="1"/>
  <c r="N771" i="81"/>
  <c r="M771" i="81"/>
  <c r="H771" i="81"/>
  <c r="L771" i="81" s="1"/>
  <c r="N770" i="81"/>
  <c r="M770" i="81"/>
  <c r="H770" i="81"/>
  <c r="L770" i="81" s="1"/>
  <c r="M769" i="81"/>
  <c r="N769" i="81" s="1"/>
  <c r="H769" i="81"/>
  <c r="N765" i="81"/>
  <c r="M765" i="81"/>
  <c r="H765" i="81"/>
  <c r="J765" i="81" s="1"/>
  <c r="N764" i="81"/>
  <c r="M764" i="81"/>
  <c r="H764" i="81"/>
  <c r="J764" i="81" s="1"/>
  <c r="N763" i="81"/>
  <c r="M763" i="81"/>
  <c r="H763" i="81"/>
  <c r="J763" i="81" s="1"/>
  <c r="N762" i="81"/>
  <c r="M762" i="81"/>
  <c r="H762" i="81"/>
  <c r="J762" i="81" s="1"/>
  <c r="N761" i="81"/>
  <c r="M761" i="81"/>
  <c r="H761" i="81"/>
  <c r="J761" i="81" s="1"/>
  <c r="N760" i="81"/>
  <c r="M760" i="81"/>
  <c r="H760" i="81"/>
  <c r="J760" i="81" s="1"/>
  <c r="N759" i="81"/>
  <c r="M759" i="81"/>
  <c r="H759" i="81"/>
  <c r="J759" i="81" s="1"/>
  <c r="N758" i="81"/>
  <c r="M758" i="81"/>
  <c r="H758" i="81"/>
  <c r="J758" i="81" s="1"/>
  <c r="N757" i="81"/>
  <c r="M757" i="81"/>
  <c r="H757" i="81"/>
  <c r="J757" i="81" s="1"/>
  <c r="N756" i="81"/>
  <c r="M756" i="81"/>
  <c r="H756" i="81"/>
  <c r="J756" i="81" s="1"/>
  <c r="N751" i="81"/>
  <c r="M751" i="81"/>
  <c r="H751" i="81"/>
  <c r="J751" i="81" s="1"/>
  <c r="N750" i="81"/>
  <c r="M750" i="81"/>
  <c r="H750" i="81"/>
  <c r="J750" i="81" s="1"/>
  <c r="N749" i="81"/>
  <c r="M749" i="81"/>
  <c r="H749" i="81"/>
  <c r="J749" i="81" s="1"/>
  <c r="N748" i="81"/>
  <c r="M748" i="81"/>
  <c r="H748" i="81"/>
  <c r="J748" i="81" s="1"/>
  <c r="N747" i="81"/>
  <c r="M747" i="81"/>
  <c r="H747" i="81"/>
  <c r="N746" i="81"/>
  <c r="M746" i="81"/>
  <c r="H746" i="81"/>
  <c r="J746" i="81" s="1"/>
  <c r="N745" i="81"/>
  <c r="M745" i="81"/>
  <c r="H745" i="81"/>
  <c r="J745" i="81" s="1"/>
  <c r="N744" i="81"/>
  <c r="M744" i="81"/>
  <c r="H744" i="81"/>
  <c r="J744" i="81" s="1"/>
  <c r="A688" i="81"/>
  <c r="N736" i="81"/>
  <c r="M736" i="81"/>
  <c r="H736" i="81"/>
  <c r="L736" i="81" s="1"/>
  <c r="N735" i="81"/>
  <c r="M735" i="81"/>
  <c r="H735" i="81"/>
  <c r="L735" i="81" s="1"/>
  <c r="N734" i="81"/>
  <c r="M734" i="81"/>
  <c r="H734" i="81"/>
  <c r="L734" i="81" s="1"/>
  <c r="N733" i="81"/>
  <c r="M733" i="81"/>
  <c r="H733" i="81"/>
  <c r="L733" i="81" s="1"/>
  <c r="N732" i="81"/>
  <c r="M732" i="81"/>
  <c r="H732" i="81"/>
  <c r="L732" i="81" s="1"/>
  <c r="N731" i="81"/>
  <c r="M731" i="81"/>
  <c r="H731" i="81"/>
  <c r="L731" i="81" s="1"/>
  <c r="N730" i="81"/>
  <c r="M730" i="81"/>
  <c r="H730" i="81"/>
  <c r="L730" i="81" s="1"/>
  <c r="N729" i="81"/>
  <c r="M729" i="81"/>
  <c r="H729" i="81"/>
  <c r="L729" i="81" s="1"/>
  <c r="N728" i="81"/>
  <c r="M728" i="81"/>
  <c r="H728" i="81"/>
  <c r="L728" i="81" s="1"/>
  <c r="N727" i="81"/>
  <c r="M727" i="81"/>
  <c r="H727" i="81"/>
  <c r="L727" i="81" s="1"/>
  <c r="N726" i="81"/>
  <c r="M726" i="81"/>
  <c r="H726" i="81"/>
  <c r="L726" i="81" s="1"/>
  <c r="N725" i="81"/>
  <c r="M725" i="81"/>
  <c r="H725" i="81"/>
  <c r="L725" i="81" s="1"/>
  <c r="N724" i="81"/>
  <c r="M724" i="81"/>
  <c r="H724" i="81"/>
  <c r="L724" i="81" s="1"/>
  <c r="N723" i="81"/>
  <c r="M723" i="81"/>
  <c r="H723" i="81"/>
  <c r="L723" i="81" s="1"/>
  <c r="N722" i="81"/>
  <c r="M722" i="81"/>
  <c r="H722" i="81"/>
  <c r="L722" i="81" s="1"/>
  <c r="N721" i="81"/>
  <c r="M721" i="81"/>
  <c r="H721" i="81"/>
  <c r="L721" i="81" s="1"/>
  <c r="N720" i="81"/>
  <c r="M720" i="81"/>
  <c r="H720" i="81"/>
  <c r="L720" i="81" s="1"/>
  <c r="N719" i="81"/>
  <c r="M719" i="81"/>
  <c r="H719" i="81"/>
  <c r="L719" i="81" s="1"/>
  <c r="N718" i="81"/>
  <c r="M718" i="81"/>
  <c r="H718" i="81"/>
  <c r="L718" i="81" s="1"/>
  <c r="M717" i="81"/>
  <c r="N717" i="81" s="1"/>
  <c r="H717" i="81"/>
  <c r="N713" i="81"/>
  <c r="M713" i="81"/>
  <c r="H713" i="81"/>
  <c r="L713" i="81" s="1"/>
  <c r="N712" i="81"/>
  <c r="M712" i="81"/>
  <c r="H712" i="81"/>
  <c r="L712" i="81" s="1"/>
  <c r="N711" i="81"/>
  <c r="M711" i="81"/>
  <c r="H711" i="81"/>
  <c r="L711" i="81" s="1"/>
  <c r="N710" i="81"/>
  <c r="M710" i="81"/>
  <c r="H710" i="81"/>
  <c r="L710" i="81" s="1"/>
  <c r="N709" i="81"/>
  <c r="M709" i="81"/>
  <c r="H709" i="81"/>
  <c r="L709" i="81" s="1"/>
  <c r="N708" i="81"/>
  <c r="M708" i="81"/>
  <c r="H708" i="81"/>
  <c r="L708" i="81" s="1"/>
  <c r="N707" i="81"/>
  <c r="M707" i="81"/>
  <c r="H707" i="81"/>
  <c r="L707" i="81" s="1"/>
  <c r="N706" i="81"/>
  <c r="M706" i="81"/>
  <c r="H706" i="81"/>
  <c r="L706" i="81" s="1"/>
  <c r="N705" i="81"/>
  <c r="M705" i="81"/>
  <c r="H705" i="81"/>
  <c r="L705" i="81" s="1"/>
  <c r="N699" i="81"/>
  <c r="M699" i="81"/>
  <c r="H699" i="81"/>
  <c r="L699" i="81" s="1"/>
  <c r="N698" i="81"/>
  <c r="M698" i="81"/>
  <c r="H698" i="81"/>
  <c r="L698" i="81" s="1"/>
  <c r="N697" i="81"/>
  <c r="M697" i="81"/>
  <c r="H697" i="81"/>
  <c r="L697" i="81" s="1"/>
  <c r="N696" i="81"/>
  <c r="M696" i="81"/>
  <c r="H696" i="81"/>
  <c r="L696" i="81" s="1"/>
  <c r="N695" i="81"/>
  <c r="M695" i="81"/>
  <c r="H695" i="81"/>
  <c r="L695" i="81" s="1"/>
  <c r="N694" i="81"/>
  <c r="M694" i="81"/>
  <c r="H694" i="81"/>
  <c r="L694" i="81" s="1"/>
  <c r="N693" i="81"/>
  <c r="M693" i="81"/>
  <c r="H693" i="81"/>
  <c r="L693" i="81" s="1"/>
  <c r="N692" i="81"/>
  <c r="M692" i="81"/>
  <c r="H692" i="81"/>
  <c r="L692" i="81" s="1"/>
  <c r="M691" i="81"/>
  <c r="A636" i="81"/>
  <c r="N684" i="81"/>
  <c r="M684" i="81"/>
  <c r="H684" i="81"/>
  <c r="L684" i="81" s="1"/>
  <c r="N683" i="81"/>
  <c r="M683" i="81"/>
  <c r="H683" i="81"/>
  <c r="L683" i="81" s="1"/>
  <c r="N682" i="81"/>
  <c r="M682" i="81"/>
  <c r="H682" i="81"/>
  <c r="L682" i="81" s="1"/>
  <c r="N681" i="81"/>
  <c r="M681" i="81"/>
  <c r="H681" i="81"/>
  <c r="L681" i="81" s="1"/>
  <c r="N680" i="81"/>
  <c r="M680" i="81"/>
  <c r="H680" i="81"/>
  <c r="L680" i="81" s="1"/>
  <c r="N679" i="81"/>
  <c r="M679" i="81"/>
  <c r="H679" i="81"/>
  <c r="L679" i="81" s="1"/>
  <c r="M667" i="81"/>
  <c r="N667" i="81" s="1"/>
  <c r="H667" i="81"/>
  <c r="M669" i="81"/>
  <c r="N669" i="81" s="1"/>
  <c r="H669" i="81"/>
  <c r="M678" i="81"/>
  <c r="N678" i="81" s="1"/>
  <c r="H678" i="81"/>
  <c r="M677" i="81"/>
  <c r="N677" i="81" s="1"/>
  <c r="H677" i="81"/>
  <c r="M670" i="81"/>
  <c r="N670" i="81" s="1"/>
  <c r="H670" i="81"/>
  <c r="M676" i="81"/>
  <c r="N676" i="81" s="1"/>
  <c r="H676" i="81"/>
  <c r="M675" i="81"/>
  <c r="N675" i="81" s="1"/>
  <c r="H675" i="81"/>
  <c r="M674" i="81"/>
  <c r="N674" i="81" s="1"/>
  <c r="H674" i="81"/>
  <c r="M666" i="81"/>
  <c r="N666" i="81" s="1"/>
  <c r="H666" i="81"/>
  <c r="M671" i="81"/>
  <c r="N671" i="81" s="1"/>
  <c r="H671" i="81"/>
  <c r="M673" i="81"/>
  <c r="N673" i="81" s="1"/>
  <c r="H673" i="81"/>
  <c r="M665" i="81"/>
  <c r="N665" i="81" s="1"/>
  <c r="H665" i="81"/>
  <c r="M668" i="81"/>
  <c r="N668" i="81" s="1"/>
  <c r="H668" i="81"/>
  <c r="M661" i="81"/>
  <c r="N661" i="81" s="1"/>
  <c r="H661" i="81"/>
  <c r="M660" i="81"/>
  <c r="N660" i="81" s="1"/>
  <c r="H660" i="81"/>
  <c r="M655" i="81"/>
  <c r="N655" i="81" s="1"/>
  <c r="H655" i="81"/>
  <c r="M654" i="81"/>
  <c r="N654" i="81" s="1"/>
  <c r="H654" i="81"/>
  <c r="M653" i="81"/>
  <c r="N653" i="81" s="1"/>
  <c r="H653" i="81"/>
  <c r="M652" i="81"/>
  <c r="N652" i="81" s="1"/>
  <c r="H652" i="81"/>
  <c r="M657" i="81"/>
  <c r="N657" i="81" s="1"/>
  <c r="H657" i="81"/>
  <c r="M656" i="81"/>
  <c r="N656" i="81" s="1"/>
  <c r="H656" i="81"/>
  <c r="N647" i="81"/>
  <c r="M647" i="81"/>
  <c r="H647" i="81"/>
  <c r="L647" i="81" s="1"/>
  <c r="N646" i="81"/>
  <c r="M646" i="81"/>
  <c r="H646" i="81"/>
  <c r="L646" i="81" s="1"/>
  <c r="N645" i="81"/>
  <c r="M645" i="81"/>
  <c r="H645" i="81"/>
  <c r="L645" i="81" s="1"/>
  <c r="M640" i="81"/>
  <c r="N640" i="81" s="1"/>
  <c r="M638" i="81"/>
  <c r="N638" i="81" s="1"/>
  <c r="M641" i="81"/>
  <c r="N641" i="81" s="1"/>
  <c r="M639" i="81"/>
  <c r="N639" i="81" s="1"/>
  <c r="M644" i="81"/>
  <c r="N644" i="81" s="1"/>
  <c r="S46" i="82"/>
  <c r="S36" i="82"/>
  <c r="S35" i="82"/>
  <c r="S34" i="82"/>
  <c r="M422" i="81"/>
  <c r="N422" i="81" s="1"/>
  <c r="H422" i="81"/>
  <c r="J422" i="81" s="1"/>
  <c r="M410" i="81"/>
  <c r="N410" i="81" s="1"/>
  <c r="H410" i="81"/>
  <c r="J410" i="81" s="1"/>
  <c r="M421" i="81"/>
  <c r="N421" i="81" s="1"/>
  <c r="H421" i="81"/>
  <c r="J421" i="81" s="1"/>
  <c r="M415" i="81"/>
  <c r="N415" i="81" s="1"/>
  <c r="H415" i="81"/>
  <c r="J415" i="81" s="1"/>
  <c r="M413" i="81"/>
  <c r="N413" i="81" s="1"/>
  <c r="H413" i="81"/>
  <c r="J413" i="81" s="1"/>
  <c r="M407" i="81"/>
  <c r="N407" i="81" s="1"/>
  <c r="H407" i="81"/>
  <c r="J407" i="81" s="1"/>
  <c r="M419" i="81"/>
  <c r="N419" i="81" s="1"/>
  <c r="H419" i="81"/>
  <c r="J419" i="81" s="1"/>
  <c r="M420" i="81"/>
  <c r="N420" i="81" s="1"/>
  <c r="H420" i="81"/>
  <c r="J420" i="81" s="1"/>
  <c r="M405" i="81"/>
  <c r="N405" i="81" s="1"/>
  <c r="H405" i="81"/>
  <c r="J405" i="81" s="1"/>
  <c r="M414" i="81"/>
  <c r="N414" i="81" s="1"/>
  <c r="H414" i="81"/>
  <c r="J414" i="81" s="1"/>
  <c r="M411" i="81"/>
  <c r="N411" i="81" s="1"/>
  <c r="H411" i="81"/>
  <c r="J411" i="81" s="1"/>
  <c r="M406" i="81"/>
  <c r="N406" i="81" s="1"/>
  <c r="H406" i="81"/>
  <c r="J406" i="81" s="1"/>
  <c r="M418" i="81"/>
  <c r="N418" i="81" s="1"/>
  <c r="H418" i="81"/>
  <c r="J418" i="81" s="1"/>
  <c r="M417" i="81"/>
  <c r="N417" i="81" s="1"/>
  <c r="H417" i="81"/>
  <c r="J417" i="81" s="1"/>
  <c r="M416" i="81"/>
  <c r="N416" i="81" s="1"/>
  <c r="H416" i="81"/>
  <c r="J416" i="81" s="1"/>
  <c r="N424" i="81"/>
  <c r="M424" i="81"/>
  <c r="H424" i="81"/>
  <c r="J424" i="81" s="1"/>
  <c r="M412" i="81"/>
  <c r="N412" i="81" s="1"/>
  <c r="H412" i="81"/>
  <c r="J412" i="81" s="1"/>
  <c r="M409" i="81"/>
  <c r="N409" i="81" s="1"/>
  <c r="H409" i="81"/>
  <c r="J409" i="81" s="1"/>
  <c r="M408" i="81"/>
  <c r="N408" i="81" s="1"/>
  <c r="H408" i="81"/>
  <c r="J408" i="81" s="1"/>
  <c r="M423" i="81"/>
  <c r="N423" i="81" s="1"/>
  <c r="H423" i="81"/>
  <c r="J423" i="81" s="1"/>
  <c r="N401" i="81"/>
  <c r="M401" i="81"/>
  <c r="H401" i="81"/>
  <c r="L401" i="81" s="1"/>
  <c r="N400" i="81"/>
  <c r="M400" i="81"/>
  <c r="H400" i="81"/>
  <c r="L400" i="81" s="1"/>
  <c r="N399" i="81"/>
  <c r="M399" i="81"/>
  <c r="H399" i="81"/>
  <c r="L399" i="81" s="1"/>
  <c r="N398" i="81"/>
  <c r="M398" i="81"/>
  <c r="H398" i="81"/>
  <c r="L398" i="81" s="1"/>
  <c r="N397" i="81"/>
  <c r="M397" i="81"/>
  <c r="H397" i="81"/>
  <c r="L397" i="81" s="1"/>
  <c r="N396" i="81"/>
  <c r="M396" i="81"/>
  <c r="H396" i="81"/>
  <c r="L396" i="81" s="1"/>
  <c r="N395" i="81"/>
  <c r="M395" i="81"/>
  <c r="H395" i="81"/>
  <c r="L395" i="81" s="1"/>
  <c r="N394" i="81"/>
  <c r="M394" i="81"/>
  <c r="H394" i="81"/>
  <c r="L394" i="81" s="1"/>
  <c r="N393" i="81"/>
  <c r="M393" i="81"/>
  <c r="H393" i="81"/>
  <c r="L393" i="81" s="1"/>
  <c r="M387" i="81"/>
  <c r="N387" i="81" s="1"/>
  <c r="M386" i="81"/>
  <c r="N386" i="81" s="1"/>
  <c r="M385" i="81"/>
  <c r="N385" i="81" s="1"/>
  <c r="M384" i="81"/>
  <c r="N384" i="81" s="1"/>
  <c r="M383" i="81"/>
  <c r="N383" i="81" s="1"/>
  <c r="M382" i="81"/>
  <c r="N382" i="81" s="1"/>
  <c r="M381" i="81"/>
  <c r="N381" i="81" s="1"/>
  <c r="M380" i="81"/>
  <c r="N380" i="81" s="1"/>
  <c r="M378" i="81"/>
  <c r="G636" i="81" l="1"/>
  <c r="E636" i="81"/>
  <c r="B636" i="81"/>
  <c r="O636" i="81"/>
  <c r="G688" i="81"/>
  <c r="E688" i="81"/>
  <c r="B688" i="81"/>
  <c r="O688" i="81"/>
  <c r="M742" i="81"/>
  <c r="D742" i="81"/>
  <c r="B742" i="81"/>
  <c r="B743" i="81"/>
  <c r="D743" i="81"/>
  <c r="I1861" i="81"/>
  <c r="L1593" i="81"/>
  <c r="K2073" i="81"/>
  <c r="L1969" i="81"/>
  <c r="I770" i="81"/>
  <c r="K1609" i="81"/>
  <c r="K2081" i="81"/>
  <c r="J1984" i="81"/>
  <c r="K1984" i="81"/>
  <c r="K1616" i="81"/>
  <c r="L1576" i="81"/>
  <c r="K1576" i="81"/>
  <c r="J747" i="81"/>
  <c r="K747" i="81"/>
  <c r="K1838" i="81"/>
  <c r="L1838" i="81"/>
  <c r="N2042" i="81"/>
  <c r="I2045" i="81"/>
  <c r="K2045" i="81"/>
  <c r="I1591" i="81"/>
  <c r="K2072" i="81"/>
  <c r="I2050" i="81"/>
  <c r="K2087" i="81"/>
  <c r="L1879" i="81"/>
  <c r="L1597" i="81"/>
  <c r="I2047" i="81"/>
  <c r="I1581" i="81"/>
  <c r="I2049" i="81"/>
  <c r="K2080" i="81"/>
  <c r="K1581" i="81"/>
  <c r="K2049" i="81"/>
  <c r="K1968" i="81"/>
  <c r="I1870" i="81"/>
  <c r="I1596" i="81"/>
  <c r="K2075" i="81"/>
  <c r="K2051" i="81"/>
  <c r="K2079" i="81"/>
  <c r="K1577" i="81"/>
  <c r="K1604" i="81"/>
  <c r="K2047" i="81"/>
  <c r="K2084" i="81"/>
  <c r="L1975" i="81"/>
  <c r="I1594" i="81"/>
  <c r="K1610" i="81"/>
  <c r="K1617" i="81"/>
  <c r="I2046" i="81"/>
  <c r="K2071" i="81"/>
  <c r="K2076" i="81"/>
  <c r="K2088" i="81"/>
  <c r="L746" i="81"/>
  <c r="I1593" i="81"/>
  <c r="K1594" i="81"/>
  <c r="I1597" i="81"/>
  <c r="K1603" i="81"/>
  <c r="K2083" i="81"/>
  <c r="K1593" i="81"/>
  <c r="L1594" i="81"/>
  <c r="K1597" i="81"/>
  <c r="K1612" i="81"/>
  <c r="K1619" i="81"/>
  <c r="I2051" i="81"/>
  <c r="M1835" i="81"/>
  <c r="N1835" i="81" s="1"/>
  <c r="J779" i="81"/>
  <c r="I1862" i="81"/>
  <c r="I1577" i="81"/>
  <c r="K1592" i="81"/>
  <c r="L1596" i="81"/>
  <c r="K1602" i="81"/>
  <c r="K2082" i="81"/>
  <c r="I787" i="81"/>
  <c r="L1967" i="81"/>
  <c r="J1862" i="81"/>
  <c r="K1862" i="81" s="1"/>
  <c r="J1577" i="81"/>
  <c r="I1582" i="81"/>
  <c r="K1611" i="81"/>
  <c r="K1618" i="81"/>
  <c r="K759" i="81"/>
  <c r="I775" i="81"/>
  <c r="L1871" i="81"/>
  <c r="I1579" i="81"/>
  <c r="J1582" i="81"/>
  <c r="I1590" i="81"/>
  <c r="K1591" i="81"/>
  <c r="L1592" i="81"/>
  <c r="K1601" i="81"/>
  <c r="K1608" i="81"/>
  <c r="K2046" i="81"/>
  <c r="K2050" i="81"/>
  <c r="K2070" i="81"/>
  <c r="K2078" i="81"/>
  <c r="K2086" i="81"/>
  <c r="L759" i="81"/>
  <c r="L1837" i="81"/>
  <c r="I1877" i="81"/>
  <c r="K1582" i="81"/>
  <c r="K1590" i="81"/>
  <c r="L1591" i="81"/>
  <c r="K1620" i="81"/>
  <c r="L1590" i="81"/>
  <c r="J774" i="81"/>
  <c r="L1984" i="81"/>
  <c r="I1867" i="81"/>
  <c r="J1870" i="81"/>
  <c r="K1578" i="81"/>
  <c r="I1595" i="81"/>
  <c r="K1596" i="81"/>
  <c r="I2044" i="81"/>
  <c r="I2048" i="81"/>
  <c r="I2057" i="81"/>
  <c r="I2058" i="81"/>
  <c r="I2059" i="81"/>
  <c r="I2060" i="81"/>
  <c r="I2061" i="81"/>
  <c r="I2062" i="81"/>
  <c r="I2063" i="81"/>
  <c r="I2064" i="81"/>
  <c r="I2065" i="81"/>
  <c r="K2069" i="81"/>
  <c r="K2077" i="81"/>
  <c r="K2085" i="81"/>
  <c r="J1867" i="81"/>
  <c r="K1595" i="81"/>
  <c r="M2043" i="81"/>
  <c r="N2043" i="81" s="1"/>
  <c r="K2044" i="81"/>
  <c r="K2048" i="81"/>
  <c r="J2057" i="81"/>
  <c r="J2058" i="81"/>
  <c r="J2059" i="81"/>
  <c r="J2060" i="81"/>
  <c r="J2061" i="81"/>
  <c r="J2062" i="81"/>
  <c r="J2063" i="81"/>
  <c r="J2064" i="81"/>
  <c r="J2065" i="81"/>
  <c r="K2074" i="81"/>
  <c r="L1867" i="81"/>
  <c r="L1595" i="81"/>
  <c r="K2057" i="81"/>
  <c r="K2058" i="81"/>
  <c r="K2059" i="81"/>
  <c r="K2060" i="81"/>
  <c r="K2061" i="81"/>
  <c r="K2062" i="81"/>
  <c r="K2063" i="81"/>
  <c r="K2064" i="81"/>
  <c r="K2065" i="81"/>
  <c r="I1866" i="81"/>
  <c r="I1576" i="81"/>
  <c r="I1592" i="81"/>
  <c r="K395" i="81"/>
  <c r="K751" i="81"/>
  <c r="L1973" i="81"/>
  <c r="K1980" i="81"/>
  <c r="M1574" i="81"/>
  <c r="N1574" i="81" s="1"/>
  <c r="J1576" i="81"/>
  <c r="I1583" i="81"/>
  <c r="K1606" i="81"/>
  <c r="K1614" i="81"/>
  <c r="L2070" i="81"/>
  <c r="L2071" i="81"/>
  <c r="L2072" i="81"/>
  <c r="L2073" i="81"/>
  <c r="L2074" i="81"/>
  <c r="L2075" i="81"/>
  <c r="L2076" i="81"/>
  <c r="L2077" i="81"/>
  <c r="L2078" i="81"/>
  <c r="L2079" i="81"/>
  <c r="L2080" i="81"/>
  <c r="L2081" i="81"/>
  <c r="L2082" i="81"/>
  <c r="L2083" i="81"/>
  <c r="L2084" i="81"/>
  <c r="L2085" i="81"/>
  <c r="L2086" i="81"/>
  <c r="L2087" i="81"/>
  <c r="L2088" i="81"/>
  <c r="N1575" i="81"/>
  <c r="J1583" i="81"/>
  <c r="K1583" i="81"/>
  <c r="K683" i="81"/>
  <c r="L750" i="81"/>
  <c r="L763" i="81"/>
  <c r="J775" i="81"/>
  <c r="L1979" i="81"/>
  <c r="J1866" i="81"/>
  <c r="I1875" i="81"/>
  <c r="I1878" i="81"/>
  <c r="I1580" i="81"/>
  <c r="J1581" i="81"/>
  <c r="K1605" i="81"/>
  <c r="K1613" i="81"/>
  <c r="J2044" i="81"/>
  <c r="J2045" i="81"/>
  <c r="J2046" i="81"/>
  <c r="J2047" i="81"/>
  <c r="J2048" i="81"/>
  <c r="J2049" i="81"/>
  <c r="J2050" i="81"/>
  <c r="J2051" i="81"/>
  <c r="L1839" i="81"/>
  <c r="L1866" i="81"/>
  <c r="I1869" i="81"/>
  <c r="I1874" i="81"/>
  <c r="J1875" i="81"/>
  <c r="J1878" i="81"/>
  <c r="J1580" i="81"/>
  <c r="L1836" i="81"/>
  <c r="L1843" i="81"/>
  <c r="L1863" i="81"/>
  <c r="J1874" i="81"/>
  <c r="L1875" i="81"/>
  <c r="I1578" i="81"/>
  <c r="J1579" i="81"/>
  <c r="K1580" i="81"/>
  <c r="K1607" i="81"/>
  <c r="K1615" i="81"/>
  <c r="I2069" i="81"/>
  <c r="I2070" i="81"/>
  <c r="I2071" i="81"/>
  <c r="I2072" i="81"/>
  <c r="I2073" i="81"/>
  <c r="I2074" i="81"/>
  <c r="I2075" i="81"/>
  <c r="I2076" i="81"/>
  <c r="I2077" i="81"/>
  <c r="I2078" i="81"/>
  <c r="I2079" i="81"/>
  <c r="I2080" i="81"/>
  <c r="I2081" i="81"/>
  <c r="I2082" i="81"/>
  <c r="I2083" i="81"/>
  <c r="I2084" i="81"/>
  <c r="I2085" i="81"/>
  <c r="I2086" i="81"/>
  <c r="I2087" i="81"/>
  <c r="I2088" i="81"/>
  <c r="M743" i="81"/>
  <c r="K1976" i="81"/>
  <c r="L1874" i="81"/>
  <c r="J1578" i="81"/>
  <c r="K1579" i="81"/>
  <c r="L751" i="81"/>
  <c r="L762" i="81"/>
  <c r="K770" i="81"/>
  <c r="J784" i="81"/>
  <c r="K1972" i="81"/>
  <c r="L1980" i="81"/>
  <c r="L1841" i="81"/>
  <c r="J1861" i="81"/>
  <c r="K1861" i="81" s="1"/>
  <c r="I1868" i="81"/>
  <c r="J1869" i="81"/>
  <c r="L1870" i="81"/>
  <c r="I1876" i="81"/>
  <c r="J1877" i="81"/>
  <c r="L1878" i="81"/>
  <c r="L1603" i="81"/>
  <c r="L1604" i="81"/>
  <c r="L1605" i="81"/>
  <c r="L1606" i="81"/>
  <c r="L1607" i="81"/>
  <c r="L1608" i="81"/>
  <c r="L1609" i="81"/>
  <c r="L1610" i="81"/>
  <c r="L1611" i="81"/>
  <c r="L1612" i="81"/>
  <c r="L1613" i="81"/>
  <c r="L1614" i="81"/>
  <c r="L1615" i="81"/>
  <c r="L1616" i="81"/>
  <c r="L1617" i="81"/>
  <c r="L1618" i="81"/>
  <c r="L1619" i="81"/>
  <c r="L1620" i="81"/>
  <c r="L1972" i="81"/>
  <c r="J1868" i="81"/>
  <c r="L1869" i="81"/>
  <c r="J1876" i="81"/>
  <c r="L1877" i="81"/>
  <c r="L1868" i="81"/>
  <c r="L1876" i="81"/>
  <c r="J783" i="81"/>
  <c r="L1971" i="81"/>
  <c r="L1840" i="81"/>
  <c r="I1865" i="81"/>
  <c r="I1873" i="81"/>
  <c r="J776" i="81"/>
  <c r="I1864" i="81"/>
  <c r="J1865" i="81"/>
  <c r="I1872" i="81"/>
  <c r="J1873" i="81"/>
  <c r="I1880" i="81"/>
  <c r="L747" i="81"/>
  <c r="L758" i="81"/>
  <c r="K763" i="81"/>
  <c r="K776" i="81"/>
  <c r="K785" i="81"/>
  <c r="L1968" i="81"/>
  <c r="L1976" i="81"/>
  <c r="L1983" i="81"/>
  <c r="L1842" i="81"/>
  <c r="I1863" i="81"/>
  <c r="J1864" i="81"/>
  <c r="L1865" i="81"/>
  <c r="I1871" i="81"/>
  <c r="J1872" i="81"/>
  <c r="L1873" i="81"/>
  <c r="I1879" i="81"/>
  <c r="J1880" i="81"/>
  <c r="I1601" i="81"/>
  <c r="I1602" i="81"/>
  <c r="I1603" i="81"/>
  <c r="I1604" i="81"/>
  <c r="I1605" i="81"/>
  <c r="I1606" i="81"/>
  <c r="I1607" i="81"/>
  <c r="I1608" i="81"/>
  <c r="I1609" i="81"/>
  <c r="I1610" i="81"/>
  <c r="I1611" i="81"/>
  <c r="I1612" i="81"/>
  <c r="I1613" i="81"/>
  <c r="I1614" i="81"/>
  <c r="I1615" i="81"/>
  <c r="I1616" i="81"/>
  <c r="I1617" i="81"/>
  <c r="I1618" i="81"/>
  <c r="I1619" i="81"/>
  <c r="I1620" i="81"/>
  <c r="N378" i="81"/>
  <c r="N691" i="81"/>
  <c r="J1863" i="81"/>
  <c r="L1864" i="81"/>
  <c r="J1871" i="81"/>
  <c r="L1872" i="81"/>
  <c r="J1879" i="81"/>
  <c r="L1880" i="81"/>
  <c r="K746" i="81"/>
  <c r="K750" i="81"/>
  <c r="K758" i="81"/>
  <c r="K762" i="81"/>
  <c r="I774" i="81"/>
  <c r="K775" i="81"/>
  <c r="I778" i="81"/>
  <c r="I783" i="81"/>
  <c r="K784" i="81"/>
  <c r="J787" i="81"/>
  <c r="K1967" i="81"/>
  <c r="K1971" i="81"/>
  <c r="K1975" i="81"/>
  <c r="K1979" i="81"/>
  <c r="K1983" i="81"/>
  <c r="K399" i="81"/>
  <c r="K745" i="81"/>
  <c r="K749" i="81"/>
  <c r="K757" i="81"/>
  <c r="K761" i="81"/>
  <c r="K765" i="81"/>
  <c r="I782" i="81"/>
  <c r="K783" i="81"/>
  <c r="I786" i="81"/>
  <c r="K1966" i="81"/>
  <c r="K1970" i="81"/>
  <c r="K1974" i="81"/>
  <c r="K1978" i="81"/>
  <c r="K1982" i="81"/>
  <c r="I1849" i="81"/>
  <c r="I1850" i="81"/>
  <c r="I1851" i="81"/>
  <c r="I1852" i="81"/>
  <c r="I1853" i="81"/>
  <c r="I1854" i="81"/>
  <c r="I1855" i="81"/>
  <c r="I1856" i="81"/>
  <c r="I1857" i="81"/>
  <c r="L745" i="81"/>
  <c r="L749" i="81"/>
  <c r="L757" i="81"/>
  <c r="L761" i="81"/>
  <c r="L765" i="81"/>
  <c r="J771" i="81"/>
  <c r="K777" i="81"/>
  <c r="J782" i="81"/>
  <c r="L1970" i="81"/>
  <c r="L1974" i="81"/>
  <c r="L1978" i="81"/>
  <c r="L1982" i="81"/>
  <c r="M1834" i="81"/>
  <c r="N1834" i="81" s="1"/>
  <c r="I1836" i="81"/>
  <c r="I1837" i="81"/>
  <c r="I1838" i="81"/>
  <c r="I1839" i="81"/>
  <c r="I1840" i="81"/>
  <c r="I1841" i="81"/>
  <c r="I1842" i="81"/>
  <c r="I1843" i="81"/>
  <c r="J1849" i="81"/>
  <c r="J1850" i="81"/>
  <c r="J1851" i="81"/>
  <c r="J1852" i="81"/>
  <c r="J1853" i="81"/>
  <c r="J1854" i="81"/>
  <c r="J1855" i="81"/>
  <c r="J1856" i="81"/>
  <c r="J1857" i="81"/>
  <c r="K421" i="81"/>
  <c r="K680" i="81"/>
  <c r="K744" i="81"/>
  <c r="K748" i="81"/>
  <c r="K756" i="81"/>
  <c r="K760" i="81"/>
  <c r="K764" i="81"/>
  <c r="N1939" i="81"/>
  <c r="K1965" i="81"/>
  <c r="K1969" i="81"/>
  <c r="K1973" i="81"/>
  <c r="K1977" i="81"/>
  <c r="K1981" i="81"/>
  <c r="J1836" i="81"/>
  <c r="J1837" i="81"/>
  <c r="J1838" i="81"/>
  <c r="J1839" i="81"/>
  <c r="J1840" i="81"/>
  <c r="J1841" i="81"/>
  <c r="J1842" i="81"/>
  <c r="J1843" i="81"/>
  <c r="K1849" i="81"/>
  <c r="K1850" i="81"/>
  <c r="K1851" i="81"/>
  <c r="K1852" i="81"/>
  <c r="K1853" i="81"/>
  <c r="K1854" i="81"/>
  <c r="K1855" i="81"/>
  <c r="K1856" i="81"/>
  <c r="K1857" i="81"/>
  <c r="L744" i="81"/>
  <c r="L748" i="81"/>
  <c r="L756" i="81"/>
  <c r="L760" i="81"/>
  <c r="L764" i="81"/>
  <c r="L1977" i="81"/>
  <c r="L1981" i="81"/>
  <c r="K417" i="81"/>
  <c r="K679" i="81"/>
  <c r="K394" i="81"/>
  <c r="K419" i="81"/>
  <c r="K682" i="81"/>
  <c r="K396" i="81"/>
  <c r="K406" i="81"/>
  <c r="K422" i="81"/>
  <c r="K645" i="81"/>
  <c r="K684" i="81"/>
  <c r="I773" i="81"/>
  <c r="I781" i="81"/>
  <c r="I1955" i="81"/>
  <c r="I1956" i="81"/>
  <c r="I1957" i="81"/>
  <c r="I1958" i="81"/>
  <c r="I1959" i="81"/>
  <c r="I1960" i="81"/>
  <c r="I1961" i="81"/>
  <c r="K393" i="81"/>
  <c r="K401" i="81"/>
  <c r="K420" i="81"/>
  <c r="K681" i="81"/>
  <c r="I772" i="81"/>
  <c r="J773" i="81"/>
  <c r="K774" i="81"/>
  <c r="I780" i="81"/>
  <c r="J781" i="81"/>
  <c r="K782" i="81"/>
  <c r="I788" i="81"/>
  <c r="M1938" i="81"/>
  <c r="N1938" i="81" s="1"/>
  <c r="I1940" i="81"/>
  <c r="I1941" i="81"/>
  <c r="I1942" i="81"/>
  <c r="I1943" i="81"/>
  <c r="I1944" i="81"/>
  <c r="I1945" i="81"/>
  <c r="I1946" i="81"/>
  <c r="I1947" i="81"/>
  <c r="J1955" i="81"/>
  <c r="J1956" i="81"/>
  <c r="J1957" i="81"/>
  <c r="J1958" i="81"/>
  <c r="J1959" i="81"/>
  <c r="J1960" i="81"/>
  <c r="J1961" i="81"/>
  <c r="K398" i="81"/>
  <c r="K408" i="81"/>
  <c r="K647" i="81"/>
  <c r="I771" i="81"/>
  <c r="J772" i="81"/>
  <c r="K773" i="81"/>
  <c r="I779" i="81"/>
  <c r="J780" i="81"/>
  <c r="K781" i="81"/>
  <c r="J788" i="81"/>
  <c r="J1940" i="81"/>
  <c r="J1941" i="81"/>
  <c r="J1942" i="81"/>
  <c r="J1943" i="81"/>
  <c r="J1944" i="81"/>
  <c r="J1945" i="81"/>
  <c r="J1946" i="81"/>
  <c r="J1947" i="81"/>
  <c r="K1955" i="81"/>
  <c r="K1956" i="81"/>
  <c r="K1957" i="81"/>
  <c r="K1958" i="81"/>
  <c r="K1959" i="81"/>
  <c r="K1960" i="81"/>
  <c r="K1961" i="81"/>
  <c r="M379" i="81"/>
  <c r="N379" i="81" s="1"/>
  <c r="K772" i="81"/>
  <c r="K780" i="81"/>
  <c r="K788" i="81"/>
  <c r="K1940" i="81"/>
  <c r="K1941" i="81"/>
  <c r="K1942" i="81"/>
  <c r="K1943" i="81"/>
  <c r="K1944" i="81"/>
  <c r="K1945" i="81"/>
  <c r="K1946" i="81"/>
  <c r="K1947" i="81"/>
  <c r="K400" i="81"/>
  <c r="I744" i="81"/>
  <c r="I745" i="81"/>
  <c r="I746" i="81"/>
  <c r="I747" i="81"/>
  <c r="I748" i="81"/>
  <c r="I749" i="81"/>
  <c r="I750" i="81"/>
  <c r="I751" i="81"/>
  <c r="I756" i="81"/>
  <c r="I757" i="81"/>
  <c r="I758" i="81"/>
  <c r="I759" i="81"/>
  <c r="I760" i="81"/>
  <c r="I761" i="81"/>
  <c r="I762" i="81"/>
  <c r="I763" i="81"/>
  <c r="I764" i="81"/>
  <c r="I765" i="81"/>
  <c r="I769" i="81"/>
  <c r="J770" i="81"/>
  <c r="K771" i="81"/>
  <c r="I777" i="81"/>
  <c r="J778" i="81"/>
  <c r="K779" i="81"/>
  <c r="I785" i="81"/>
  <c r="J786" i="81"/>
  <c r="K787" i="81"/>
  <c r="I1965" i="81"/>
  <c r="I1966" i="81"/>
  <c r="I1967" i="81"/>
  <c r="I1968" i="81"/>
  <c r="I1969" i="81"/>
  <c r="I1970" i="81"/>
  <c r="I1971" i="81"/>
  <c r="I1972" i="81"/>
  <c r="I1973" i="81"/>
  <c r="I1974" i="81"/>
  <c r="I1975" i="81"/>
  <c r="I1976" i="81"/>
  <c r="I1977" i="81"/>
  <c r="I1978" i="81"/>
  <c r="I1979" i="81"/>
  <c r="I1980" i="81"/>
  <c r="I1981" i="81"/>
  <c r="I1982" i="81"/>
  <c r="I1983" i="81"/>
  <c r="I1984" i="81"/>
  <c r="K397" i="81"/>
  <c r="K646" i="81"/>
  <c r="J769" i="81"/>
  <c r="K769" i="81" s="1"/>
  <c r="I776" i="81"/>
  <c r="J777" i="81"/>
  <c r="K778" i="81"/>
  <c r="I784" i="81"/>
  <c r="J785" i="81"/>
  <c r="K786" i="81"/>
  <c r="I393" i="81"/>
  <c r="I394" i="81"/>
  <c r="I395" i="81"/>
  <c r="I396" i="81"/>
  <c r="I397" i="81"/>
  <c r="I398" i="81"/>
  <c r="I399" i="81"/>
  <c r="I400" i="81"/>
  <c r="I401" i="81"/>
  <c r="K423" i="81"/>
  <c r="K416" i="81"/>
  <c r="I645" i="81"/>
  <c r="I646" i="81"/>
  <c r="I647" i="81"/>
  <c r="I656" i="81"/>
  <c r="I657" i="81"/>
  <c r="I652" i="81"/>
  <c r="I653" i="81"/>
  <c r="I654" i="81"/>
  <c r="I655" i="81"/>
  <c r="I660" i="81"/>
  <c r="I661" i="81"/>
  <c r="I668" i="81"/>
  <c r="I665" i="81"/>
  <c r="I673" i="81"/>
  <c r="I671" i="81"/>
  <c r="I666" i="81"/>
  <c r="I674" i="81"/>
  <c r="I675" i="81"/>
  <c r="I676" i="81"/>
  <c r="I670" i="81"/>
  <c r="I677" i="81"/>
  <c r="I678" i="81"/>
  <c r="I669" i="81"/>
  <c r="I667" i="81"/>
  <c r="I679" i="81"/>
  <c r="I680" i="81"/>
  <c r="I681" i="81"/>
  <c r="I682" i="81"/>
  <c r="I683" i="81"/>
  <c r="I684" i="81"/>
  <c r="J393" i="81"/>
  <c r="J394" i="81"/>
  <c r="J395" i="81"/>
  <c r="J396" i="81"/>
  <c r="J397" i="81"/>
  <c r="J398" i="81"/>
  <c r="J399" i="81"/>
  <c r="J400" i="81"/>
  <c r="J401" i="81"/>
  <c r="J645" i="81"/>
  <c r="J646" i="81"/>
  <c r="J647" i="81"/>
  <c r="J656" i="81"/>
  <c r="K656" i="81" s="1"/>
  <c r="J657" i="81"/>
  <c r="K657" i="81" s="1"/>
  <c r="J652" i="81"/>
  <c r="K652" i="81" s="1"/>
  <c r="J653" i="81"/>
  <c r="K653" i="81" s="1"/>
  <c r="J654" i="81"/>
  <c r="K654" i="81" s="1"/>
  <c r="J655" i="81"/>
  <c r="K655" i="81" s="1"/>
  <c r="J660" i="81"/>
  <c r="K660" i="81" s="1"/>
  <c r="J661" i="81"/>
  <c r="K661" i="81" s="1"/>
  <c r="J668" i="81"/>
  <c r="K668" i="81" s="1"/>
  <c r="J665" i="81"/>
  <c r="K665" i="81" s="1"/>
  <c r="J673" i="81"/>
  <c r="K673" i="81" s="1"/>
  <c r="J671" i="81"/>
  <c r="K671" i="81" s="1"/>
  <c r="J666" i="81"/>
  <c r="K666" i="81" s="1"/>
  <c r="J674" i="81"/>
  <c r="K674" i="81" s="1"/>
  <c r="J675" i="81"/>
  <c r="K675" i="81" s="1"/>
  <c r="J676" i="81"/>
  <c r="K676" i="81" s="1"/>
  <c r="J670" i="81"/>
  <c r="K670" i="81" s="1"/>
  <c r="J677" i="81"/>
  <c r="K677" i="81" s="1"/>
  <c r="J678" i="81"/>
  <c r="K678" i="81" s="1"/>
  <c r="J669" i="81"/>
  <c r="K669" i="81" s="1"/>
  <c r="J667" i="81"/>
  <c r="K667" i="81" s="1"/>
  <c r="J679" i="81"/>
  <c r="J680" i="81"/>
  <c r="J681" i="81"/>
  <c r="J682" i="81"/>
  <c r="J683" i="81"/>
  <c r="J684" i="81"/>
  <c r="K424" i="81"/>
  <c r="K411" i="81"/>
  <c r="K407" i="81"/>
  <c r="I717" i="81"/>
  <c r="I718" i="81"/>
  <c r="I719" i="81"/>
  <c r="I720" i="81"/>
  <c r="I721" i="81"/>
  <c r="I722" i="81"/>
  <c r="I723" i="81"/>
  <c r="I724" i="81"/>
  <c r="I725" i="81"/>
  <c r="I726" i="81"/>
  <c r="I727" i="81"/>
  <c r="I728" i="81"/>
  <c r="I729" i="81"/>
  <c r="I730" i="81"/>
  <c r="I731" i="81"/>
  <c r="I732" i="81"/>
  <c r="I733" i="81"/>
  <c r="I734" i="81"/>
  <c r="I735" i="81"/>
  <c r="I736" i="81"/>
  <c r="K405" i="81"/>
  <c r="K415" i="81"/>
  <c r="M643" i="81"/>
  <c r="N643" i="81" s="1"/>
  <c r="J717" i="81"/>
  <c r="K717" i="81" s="1"/>
  <c r="J718" i="81"/>
  <c r="J719" i="81"/>
  <c r="J720" i="81"/>
  <c r="J721" i="81"/>
  <c r="J722" i="81"/>
  <c r="J723" i="81"/>
  <c r="J724" i="81"/>
  <c r="J725" i="81"/>
  <c r="J726" i="81"/>
  <c r="J727" i="81"/>
  <c r="J728" i="81"/>
  <c r="J729" i="81"/>
  <c r="J730" i="81"/>
  <c r="J731" i="81"/>
  <c r="J732" i="81"/>
  <c r="J733" i="81"/>
  <c r="J734" i="81"/>
  <c r="J735" i="81"/>
  <c r="J736" i="81"/>
  <c r="M642" i="81"/>
  <c r="N642" i="81" s="1"/>
  <c r="K718" i="81"/>
  <c r="K719" i="81"/>
  <c r="K720" i="81"/>
  <c r="K721" i="81"/>
  <c r="K722" i="81"/>
  <c r="K723" i="81"/>
  <c r="K724" i="81"/>
  <c r="K725" i="81"/>
  <c r="K726" i="81"/>
  <c r="K727" i="81"/>
  <c r="K728" i="81"/>
  <c r="K729" i="81"/>
  <c r="K730" i="81"/>
  <c r="K731" i="81"/>
  <c r="K732" i="81"/>
  <c r="K733" i="81"/>
  <c r="K734" i="81"/>
  <c r="K735" i="81"/>
  <c r="K736" i="81"/>
  <c r="K412" i="81"/>
  <c r="K409" i="81"/>
  <c r="K414" i="81"/>
  <c r="K410" i="81"/>
  <c r="I705" i="81"/>
  <c r="I706" i="81"/>
  <c r="I707" i="81"/>
  <c r="I708" i="81"/>
  <c r="I709" i="81"/>
  <c r="I710" i="81"/>
  <c r="I711" i="81"/>
  <c r="I712" i="81"/>
  <c r="I713" i="81"/>
  <c r="K418" i="81"/>
  <c r="K413" i="81"/>
  <c r="M690" i="81"/>
  <c r="N690" i="81" s="1"/>
  <c r="I692" i="81"/>
  <c r="I693" i="81"/>
  <c r="I694" i="81"/>
  <c r="I695" i="81"/>
  <c r="I696" i="81"/>
  <c r="I697" i="81"/>
  <c r="I698" i="81"/>
  <c r="I699" i="81"/>
  <c r="J705" i="81"/>
  <c r="J706" i="81"/>
  <c r="J707" i="81"/>
  <c r="J708" i="81"/>
  <c r="J709" i="81"/>
  <c r="J710" i="81"/>
  <c r="J711" i="81"/>
  <c r="J712" i="81"/>
  <c r="J713" i="81"/>
  <c r="J692" i="81"/>
  <c r="J693" i="81"/>
  <c r="J694" i="81"/>
  <c r="J695" i="81"/>
  <c r="J696" i="81"/>
  <c r="J697" i="81"/>
  <c r="J698" i="81"/>
  <c r="J699" i="81"/>
  <c r="K705" i="81"/>
  <c r="K706" i="81"/>
  <c r="K707" i="81"/>
  <c r="K708" i="81"/>
  <c r="K709" i="81"/>
  <c r="K710" i="81"/>
  <c r="K711" i="81"/>
  <c r="K712" i="81"/>
  <c r="K713" i="81"/>
  <c r="K692" i="81"/>
  <c r="K693" i="81"/>
  <c r="K694" i="81"/>
  <c r="K695" i="81"/>
  <c r="K696" i="81"/>
  <c r="K697" i="81"/>
  <c r="K698" i="81"/>
  <c r="K699" i="81"/>
  <c r="L424" i="81"/>
  <c r="I423" i="81"/>
  <c r="I408" i="81"/>
  <c r="I409" i="81"/>
  <c r="I412" i="81"/>
  <c r="I424" i="81"/>
  <c r="I416" i="81"/>
  <c r="I417" i="81"/>
  <c r="I418" i="81"/>
  <c r="I406" i="81"/>
  <c r="I411" i="81"/>
  <c r="I414" i="81"/>
  <c r="I405" i="81"/>
  <c r="I420" i="81"/>
  <c r="I419" i="81"/>
  <c r="I407" i="81"/>
  <c r="I413" i="81"/>
  <c r="I415" i="81"/>
  <c r="I421" i="81"/>
  <c r="I410" i="81"/>
  <c r="I422" i="81"/>
  <c r="P636" i="81" l="1"/>
  <c r="P688" i="81"/>
  <c r="U688" i="81"/>
  <c r="U636" i="81"/>
  <c r="L421" i="81"/>
  <c r="L415" i="81"/>
  <c r="L411" i="81"/>
  <c r="L417" i="81"/>
  <c r="L414" i="81"/>
  <c r="L422" i="81"/>
  <c r="L410" i="81"/>
  <c r="L413" i="81"/>
  <c r="L407" i="81"/>
  <c r="L406" i="81"/>
  <c r="L416" i="81"/>
  <c r="L409" i="81"/>
  <c r="L419" i="81"/>
  <c r="L420" i="81"/>
  <c r="L405" i="81"/>
  <c r="L412" i="81"/>
  <c r="L408" i="81"/>
  <c r="L423" i="81"/>
  <c r="L418" i="81"/>
  <c r="L667" i="81"/>
  <c r="L669" i="81"/>
  <c r="L678" i="81"/>
  <c r="L677" i="81"/>
  <c r="L661" i="81"/>
  <c r="L660" i="81"/>
  <c r="L655" i="81"/>
  <c r="L654" i="81"/>
  <c r="L670" i="81"/>
  <c r="L676" i="81"/>
  <c r="L675" i="81"/>
  <c r="L674" i="81"/>
  <c r="L666" i="81"/>
  <c r="L671" i="81"/>
  <c r="L653" i="81"/>
  <c r="L652" i="81"/>
  <c r="L673" i="81"/>
  <c r="L665" i="81"/>
  <c r="L657" i="81"/>
  <c r="L656" i="81"/>
  <c r="L668" i="81"/>
  <c r="L1966" i="81"/>
  <c r="L1862" i="81"/>
  <c r="L1965" i="81"/>
  <c r="L1861" i="81"/>
  <c r="L769" i="81"/>
  <c r="L717" i="81"/>
  <c r="N742" i="81"/>
  <c r="N743" i="81"/>
  <c r="L1602" i="81" l="1"/>
  <c r="L1601" i="81"/>
  <c r="L2069" i="81"/>
  <c r="A9" i="81" l="1"/>
  <c r="B3262" i="81" l="1"/>
  <c r="B3249" i="81"/>
  <c r="B3314" i="81"/>
  <c r="B3301" i="81"/>
  <c r="B3158" i="81"/>
  <c r="B3145" i="81"/>
  <c r="B3366" i="81"/>
  <c r="B3353" i="81"/>
  <c r="B3210" i="81"/>
  <c r="B3197" i="81"/>
  <c r="B3337" i="81"/>
  <c r="B3389" i="81"/>
  <c r="B3181" i="81"/>
  <c r="B3285" i="81"/>
  <c r="B3233" i="81"/>
  <c r="B3678" i="81"/>
  <c r="B3701" i="81"/>
  <c r="B3665" i="81"/>
  <c r="B2014" i="81"/>
  <c r="B2037" i="81"/>
  <c r="B2001" i="81"/>
  <c r="B1026" i="81"/>
  <c r="B945" i="81"/>
  <c r="B805" i="81"/>
  <c r="B922" i="81"/>
  <c r="B1049" i="81"/>
  <c r="B909" i="81"/>
  <c r="B1013" i="81"/>
  <c r="B818" i="81"/>
  <c r="B841" i="81"/>
  <c r="B3441" i="81"/>
  <c r="B3597" i="81"/>
  <c r="B1325" i="81"/>
  <c r="B3753" i="81"/>
  <c r="B3574" i="81"/>
  <c r="B3561" i="81"/>
  <c r="B1338" i="81"/>
  <c r="B1361" i="81"/>
  <c r="B3730" i="81"/>
  <c r="B3717" i="81"/>
  <c r="B3418" i="81"/>
  <c r="B3405" i="81"/>
  <c r="B2794" i="81"/>
  <c r="B2170" i="81"/>
  <c r="B2157" i="81"/>
  <c r="B3077" i="81"/>
  <c r="B1234" i="81"/>
  <c r="B1221" i="81"/>
  <c r="B1702" i="81"/>
  <c r="B1257" i="81"/>
  <c r="B2781" i="81"/>
  <c r="B1569" i="81"/>
  <c r="B3054" i="81"/>
  <c r="B3041" i="81"/>
  <c r="B1517" i="81"/>
  <c r="B2817" i="81"/>
  <c r="B1546" i="81"/>
  <c r="B1533" i="81"/>
  <c r="B2430" i="81"/>
  <c r="B2417" i="81"/>
  <c r="B2193" i="81"/>
  <c r="B2453" i="81"/>
  <c r="B1494" i="81"/>
  <c r="B1481" i="81"/>
  <c r="B1725" i="81"/>
  <c r="B1689" i="81"/>
  <c r="B1429" i="81"/>
  <c r="B3834" i="81"/>
  <c r="B2833" i="81"/>
  <c r="B2846" i="81"/>
  <c r="B2521" i="81"/>
  <c r="B2885" i="81"/>
  <c r="B2534" i="81"/>
  <c r="B2937" i="81"/>
  <c r="B2898" i="81"/>
  <c r="B2950" i="81"/>
  <c r="B1442" i="81"/>
  <c r="B3821" i="81"/>
  <c r="B3626" i="81"/>
  <c r="B3613" i="81"/>
  <c r="B3782" i="81"/>
  <c r="B3769" i="81"/>
  <c r="B1390" i="81"/>
  <c r="B1377" i="81"/>
  <c r="B2326" i="81"/>
  <c r="B2313" i="81"/>
  <c r="B3002" i="81"/>
  <c r="B2989" i="81"/>
  <c r="B2690" i="81"/>
  <c r="B2677" i="81"/>
  <c r="B2482" i="81"/>
  <c r="B2469" i="81"/>
  <c r="B3886" i="81"/>
  <c r="B3873" i="81"/>
  <c r="B3106" i="81"/>
  <c r="B3093" i="81"/>
  <c r="B2586" i="81"/>
  <c r="B2573" i="81"/>
  <c r="B3938" i="81"/>
  <c r="B3925" i="81"/>
  <c r="B2742" i="81"/>
  <c r="B2729" i="81"/>
  <c r="B2378" i="81"/>
  <c r="B2365" i="81"/>
  <c r="B3990" i="81"/>
  <c r="B3977" i="81"/>
  <c r="B3470" i="81"/>
  <c r="B3457" i="81"/>
  <c r="B2638" i="81"/>
  <c r="B2625" i="81"/>
  <c r="B4042" i="81"/>
  <c r="B4029" i="81"/>
  <c r="B3522" i="81"/>
  <c r="B3509" i="81"/>
  <c r="B4013" i="81"/>
  <c r="B3857" i="81"/>
  <c r="B4065" i="81"/>
  <c r="B3909" i="81"/>
  <c r="B3961" i="81"/>
  <c r="B3805" i="81"/>
  <c r="B3545" i="81"/>
  <c r="B3493" i="81"/>
  <c r="B3649" i="81"/>
  <c r="B1465" i="81"/>
  <c r="B2973" i="81"/>
  <c r="B3129" i="81"/>
  <c r="B3025" i="81"/>
  <c r="B2921" i="81"/>
  <c r="B2869" i="81"/>
  <c r="B2765" i="81"/>
  <c r="B2661" i="81"/>
  <c r="B1413" i="81"/>
  <c r="B2713" i="81"/>
  <c r="B2609" i="81"/>
  <c r="B2297" i="81"/>
  <c r="B2349" i="81"/>
  <c r="B2401" i="81"/>
  <c r="B2557" i="81"/>
  <c r="B2261" i="81"/>
  <c r="B2505" i="81"/>
  <c r="B2274" i="81"/>
  <c r="B2222" i="81"/>
  <c r="B2245" i="81"/>
  <c r="B2209" i="81"/>
  <c r="B2118" i="81"/>
  <c r="B2141" i="81"/>
  <c r="B2105" i="81"/>
  <c r="B1962" i="81"/>
  <c r="B1949" i="81"/>
  <c r="B1858" i="81"/>
  <c r="B1845" i="81"/>
  <c r="B1598" i="81"/>
  <c r="B1585" i="81"/>
  <c r="B1910" i="81"/>
  <c r="B1933" i="81"/>
  <c r="B1897" i="81"/>
  <c r="B1650" i="81"/>
  <c r="B1673" i="81"/>
  <c r="B1637" i="81"/>
  <c r="B1286" i="81"/>
  <c r="B1309" i="81"/>
  <c r="B1273" i="81"/>
  <c r="B4146" i="81"/>
  <c r="B4169" i="81"/>
  <c r="B1806" i="81"/>
  <c r="B4133" i="81"/>
  <c r="B1793" i="81"/>
  <c r="B1741" i="81"/>
  <c r="B1777" i="81"/>
  <c r="B1829" i="81"/>
  <c r="B1754" i="81"/>
  <c r="B633" i="81"/>
  <c r="B610" i="81"/>
  <c r="B558" i="81"/>
  <c r="B545" i="81"/>
  <c r="B493" i="81"/>
  <c r="B441" i="81"/>
  <c r="B597" i="81"/>
  <c r="B581" i="81"/>
  <c r="B529" i="81"/>
  <c r="B506" i="81"/>
  <c r="B477" i="81"/>
  <c r="B454" i="81"/>
  <c r="B4221" i="81"/>
  <c r="B4185" i="81"/>
  <c r="B4198" i="81"/>
  <c r="B269" i="81"/>
  <c r="B233" i="81"/>
  <c r="B246" i="81"/>
  <c r="B321" i="81"/>
  <c r="B298" i="81"/>
  <c r="B285" i="81"/>
  <c r="B373" i="81"/>
  <c r="B337" i="81"/>
  <c r="B350" i="81"/>
  <c r="B893" i="81"/>
  <c r="B857" i="81"/>
  <c r="B870" i="81"/>
  <c r="B997" i="81"/>
  <c r="B961" i="81"/>
  <c r="B974" i="81"/>
  <c r="B1101" i="81"/>
  <c r="B1065" i="81"/>
  <c r="B1078" i="81"/>
  <c r="B1153" i="81"/>
  <c r="B1117" i="81"/>
  <c r="B1130" i="81"/>
  <c r="B1205" i="81"/>
  <c r="B1169" i="81"/>
  <c r="B1182" i="81"/>
  <c r="B181" i="81"/>
  <c r="B217" i="81"/>
  <c r="B194" i="81"/>
  <c r="B4081" i="81"/>
  <c r="B1881" i="81"/>
  <c r="B753" i="81"/>
  <c r="B737" i="81"/>
  <c r="B425" i="81"/>
  <c r="B165" i="81"/>
  <c r="B4094" i="81"/>
  <c r="B766" i="81"/>
  <c r="B4117" i="81"/>
  <c r="B2053" i="81"/>
  <c r="B1621" i="81"/>
  <c r="B789" i="81"/>
  <c r="B649" i="81"/>
  <c r="B77" i="81"/>
  <c r="B61" i="81"/>
  <c r="B2066" i="81"/>
  <c r="B662" i="81"/>
  <c r="B129" i="81"/>
  <c r="B113" i="81"/>
  <c r="B685" i="81"/>
  <c r="B25" i="81"/>
  <c r="B701" i="81"/>
  <c r="B389" i="81"/>
  <c r="B142" i="81"/>
  <c r="B38" i="81"/>
  <c r="B402" i="81"/>
  <c r="B714" i="81"/>
  <c r="B1985" i="81"/>
  <c r="B2089" i="81"/>
  <c r="B90" i="81"/>
  <c r="A26" i="66" l="1"/>
  <c r="B26" i="66" l="1"/>
  <c r="B200" i="81" l="1"/>
  <c r="H200" i="81"/>
  <c r="D200" i="81"/>
  <c r="M200" i="81"/>
  <c r="E200" i="81"/>
  <c r="F200" i="81" s="1"/>
  <c r="M197" i="81"/>
  <c r="H197" i="81"/>
  <c r="E197" i="81"/>
  <c r="F197" i="81" s="1"/>
  <c r="D197" i="81"/>
  <c r="B197" i="81"/>
  <c r="F201" i="81"/>
  <c r="M201" i="81"/>
  <c r="H201" i="81"/>
  <c r="M199" i="81"/>
  <c r="H199" i="81"/>
  <c r="E199" i="81"/>
  <c r="F199" i="81" s="1"/>
  <c r="D199" i="81"/>
  <c r="B199" i="81"/>
  <c r="D198" i="81"/>
  <c r="B198" i="81"/>
  <c r="E198" i="81"/>
  <c r="F198" i="81" s="1"/>
  <c r="M198" i="81"/>
  <c r="H198" i="81"/>
  <c r="D964" i="81"/>
  <c r="B1185" i="81"/>
  <c r="B964" i="81"/>
  <c r="D1185" i="81"/>
  <c r="E1185" i="81"/>
  <c r="F1185" i="81" s="1"/>
  <c r="M1185" i="81"/>
  <c r="M964" i="81"/>
  <c r="B1133" i="81"/>
  <c r="H1185" i="81"/>
  <c r="E964" i="81"/>
  <c r="F964" i="81" s="1"/>
  <c r="H964" i="81"/>
  <c r="D1133" i="81"/>
  <c r="E1133" i="81"/>
  <c r="F1133" i="81" s="1"/>
  <c r="H1133" i="81"/>
  <c r="M1133" i="81"/>
  <c r="D704" i="81"/>
  <c r="E704" i="81"/>
  <c r="F704" i="81" s="1"/>
  <c r="B704" i="81"/>
  <c r="E2056" i="81"/>
  <c r="F2056" i="81" s="1"/>
  <c r="D1954" i="81"/>
  <c r="E1953" i="81"/>
  <c r="F1953" i="81" s="1"/>
  <c r="D2056" i="81"/>
  <c r="E1954" i="81"/>
  <c r="F1954" i="81" s="1"/>
  <c r="D1953" i="81"/>
  <c r="B2056" i="81"/>
  <c r="E672" i="81"/>
  <c r="F672" i="81" s="1"/>
  <c r="E392" i="81"/>
  <c r="F392" i="81" s="1"/>
  <c r="E1848" i="81"/>
  <c r="F1848" i="81" s="1"/>
  <c r="E1588" i="81"/>
  <c r="F1588" i="81" s="1"/>
  <c r="E1589" i="81"/>
  <c r="F1589" i="81" s="1"/>
  <c r="D672" i="81"/>
  <c r="D392" i="81"/>
  <c r="D1848" i="81"/>
  <c r="D1588" i="81"/>
  <c r="D1589" i="81"/>
  <c r="B672" i="81"/>
  <c r="B392" i="81"/>
  <c r="E1952" i="81"/>
  <c r="F1952" i="81" s="1"/>
  <c r="D1952" i="81"/>
  <c r="B4097" i="81"/>
  <c r="E4097" i="81"/>
  <c r="F4097" i="81" s="1"/>
  <c r="D4097" i="81"/>
  <c r="M1952" i="81"/>
  <c r="H672" i="81"/>
  <c r="H392" i="81"/>
  <c r="M2056" i="81"/>
  <c r="H1952" i="81"/>
  <c r="H2056" i="81"/>
  <c r="M1954" i="81"/>
  <c r="M704" i="81"/>
  <c r="M1589" i="81"/>
  <c r="H1954" i="81"/>
  <c r="H704" i="81"/>
  <c r="H1589" i="81"/>
  <c r="M1848" i="81"/>
  <c r="H1848" i="81"/>
  <c r="M1953" i="81"/>
  <c r="M1588" i="81"/>
  <c r="H1953" i="81"/>
  <c r="H1588" i="81"/>
  <c r="M672" i="81"/>
  <c r="M392" i="81"/>
  <c r="N200" i="81" l="1"/>
  <c r="I200" i="81"/>
  <c r="J200" i="81"/>
  <c r="K200" i="81" s="1"/>
  <c r="L200" i="81"/>
  <c r="N201" i="81"/>
  <c r="N197" i="81"/>
  <c r="I201" i="81"/>
  <c r="J201" i="81"/>
  <c r="K201" i="81" s="1"/>
  <c r="L201" i="81"/>
  <c r="I197" i="81"/>
  <c r="J197" i="81"/>
  <c r="K197" i="81" s="1"/>
  <c r="L197" i="81"/>
  <c r="N199" i="81"/>
  <c r="J199" i="81"/>
  <c r="K199" i="81" s="1"/>
  <c r="I199" i="81"/>
  <c r="L199" i="81"/>
  <c r="N964" i="81"/>
  <c r="N198" i="81"/>
  <c r="N1185" i="81"/>
  <c r="J198" i="81"/>
  <c r="K198" i="81" s="1"/>
  <c r="I198" i="81"/>
  <c r="L198" i="81"/>
  <c r="I964" i="81"/>
  <c r="L964" i="81"/>
  <c r="J964" i="81"/>
  <c r="K964" i="81" s="1"/>
  <c r="I1185" i="81"/>
  <c r="J1185" i="81"/>
  <c r="K1185" i="81" s="1"/>
  <c r="L1185" i="81"/>
  <c r="N1133" i="81"/>
  <c r="J1133" i="81"/>
  <c r="K1133" i="81" s="1"/>
  <c r="I1133" i="81"/>
  <c r="L1133" i="81"/>
  <c r="N1953" i="81"/>
  <c r="N2056" i="81"/>
  <c r="N392" i="81"/>
  <c r="N672" i="81"/>
  <c r="N1954" i="81"/>
  <c r="N1589" i="81"/>
  <c r="N1848" i="81"/>
  <c r="N1952" i="81"/>
  <c r="N1588" i="81"/>
  <c r="N704" i="81"/>
  <c r="H658" i="81"/>
  <c r="J658" i="81" s="1"/>
  <c r="F658" i="81"/>
  <c r="F4084" i="81"/>
  <c r="M659" i="81"/>
  <c r="F659" i="81"/>
  <c r="F4086" i="81"/>
  <c r="H659" i="81"/>
  <c r="J659" i="81" s="1"/>
  <c r="M658" i="81"/>
  <c r="L1952" i="81"/>
  <c r="J1952" i="81"/>
  <c r="K1952" i="81" s="1"/>
  <c r="I1952" i="81"/>
  <c r="J672" i="81"/>
  <c r="K672" i="81" s="1"/>
  <c r="I672" i="81"/>
  <c r="L672" i="81"/>
  <c r="J1589" i="81"/>
  <c r="K1589" i="81" s="1"/>
  <c r="I1589" i="81"/>
  <c r="L1589" i="81"/>
  <c r="I2056" i="81"/>
  <c r="J2056" i="81"/>
  <c r="K2056" i="81" s="1"/>
  <c r="L2056" i="81"/>
  <c r="J1953" i="81"/>
  <c r="K1953" i="81" s="1"/>
  <c r="I1953" i="81"/>
  <c r="L1953" i="81"/>
  <c r="I1848" i="81"/>
  <c r="J1848" i="81"/>
  <c r="K1848" i="81" s="1"/>
  <c r="L1848" i="81"/>
  <c r="I704" i="81"/>
  <c r="J704" i="81"/>
  <c r="K704" i="81" s="1"/>
  <c r="L704" i="81"/>
  <c r="J1588" i="81"/>
  <c r="K1588" i="81" s="1"/>
  <c r="I1588" i="81"/>
  <c r="L1588" i="81"/>
  <c r="J1954" i="81"/>
  <c r="K1954" i="81" s="1"/>
  <c r="I1954" i="81"/>
  <c r="L1954" i="81"/>
  <c r="I392" i="81"/>
  <c r="J392" i="81"/>
  <c r="K392" i="81" s="1"/>
  <c r="L392" i="81"/>
  <c r="L658" i="81" l="1"/>
  <c r="K659" i="81"/>
  <c r="N658" i="81"/>
  <c r="K658" i="81"/>
  <c r="N659" i="81"/>
  <c r="I658" i="81"/>
  <c r="L659" i="81"/>
  <c r="I659" i="81"/>
  <c r="F30" i="81" l="1"/>
  <c r="F132" i="81"/>
  <c r="F133" i="81"/>
  <c r="F82" i="81"/>
  <c r="F134" i="81"/>
  <c r="F83" i="81"/>
  <c r="F135" i="81"/>
  <c r="F33" i="81"/>
  <c r="F80" i="81"/>
  <c r="F136" i="81"/>
  <c r="F31" i="81"/>
  <c r="F32" i="81"/>
  <c r="F81" i="81"/>
  <c r="F137" i="81"/>
  <c r="A4068" i="81"/>
  <c r="N4116" i="81"/>
  <c r="M4116" i="81"/>
  <c r="H4116" i="81"/>
  <c r="I4116" i="81" s="1"/>
  <c r="N4115" i="81"/>
  <c r="M4115" i="81"/>
  <c r="H4115" i="81"/>
  <c r="I4115" i="81" s="1"/>
  <c r="N4114" i="81"/>
  <c r="M4114" i="81"/>
  <c r="H4114" i="81"/>
  <c r="I4114" i="81" s="1"/>
  <c r="N4113" i="81"/>
  <c r="M4113" i="81"/>
  <c r="H4113" i="81"/>
  <c r="I4113" i="81" s="1"/>
  <c r="N4112" i="81"/>
  <c r="M4112" i="81"/>
  <c r="H4112" i="81"/>
  <c r="I4112" i="81" s="1"/>
  <c r="N4111" i="81"/>
  <c r="M4111" i="81"/>
  <c r="H4111" i="81"/>
  <c r="I4111" i="81" s="1"/>
  <c r="N4110" i="81"/>
  <c r="M4110" i="81"/>
  <c r="H4110" i="81"/>
  <c r="I4110" i="81" s="1"/>
  <c r="N4109" i="81"/>
  <c r="M4109" i="81"/>
  <c r="H4109" i="81"/>
  <c r="I4109" i="81" s="1"/>
  <c r="N4108" i="81"/>
  <c r="M4108" i="81"/>
  <c r="H4108" i="81"/>
  <c r="I4108" i="81" s="1"/>
  <c r="N4107" i="81"/>
  <c r="M4107" i="81"/>
  <c r="H4107" i="81"/>
  <c r="I4107" i="81" s="1"/>
  <c r="N4106" i="81"/>
  <c r="M4106" i="81"/>
  <c r="H4106" i="81"/>
  <c r="I4106" i="81" s="1"/>
  <c r="N4105" i="81"/>
  <c r="M4105" i="81"/>
  <c r="H4105" i="81"/>
  <c r="I4105" i="81" s="1"/>
  <c r="N4104" i="81"/>
  <c r="M4104" i="81"/>
  <c r="H4104" i="81"/>
  <c r="I4104" i="81" s="1"/>
  <c r="N4103" i="81"/>
  <c r="M4103" i="81"/>
  <c r="H4103" i="81"/>
  <c r="I4103" i="81" s="1"/>
  <c r="N4102" i="81"/>
  <c r="M4102" i="81"/>
  <c r="H4102" i="81"/>
  <c r="I4102" i="81" s="1"/>
  <c r="N4101" i="81"/>
  <c r="M4101" i="81"/>
  <c r="H4101" i="81"/>
  <c r="I4101" i="81" s="1"/>
  <c r="N4100" i="81"/>
  <c r="M4100" i="81"/>
  <c r="H4100" i="81"/>
  <c r="I4100" i="81" s="1"/>
  <c r="N4099" i="81"/>
  <c r="M4099" i="81"/>
  <c r="H4099" i="81"/>
  <c r="I4099" i="81" s="1"/>
  <c r="N4098" i="81"/>
  <c r="M4098" i="81"/>
  <c r="H4098" i="81"/>
  <c r="I4098" i="81" s="1"/>
  <c r="M4097" i="81"/>
  <c r="N4097" i="81" s="1"/>
  <c r="H4097" i="81"/>
  <c r="I4097" i="81" s="1"/>
  <c r="N4093" i="81"/>
  <c r="M4093" i="81"/>
  <c r="H4093" i="81"/>
  <c r="L4093" i="81" s="1"/>
  <c r="N4092" i="81"/>
  <c r="M4092" i="81"/>
  <c r="H4092" i="81"/>
  <c r="L4092" i="81" s="1"/>
  <c r="N4091" i="81"/>
  <c r="M4091" i="81"/>
  <c r="H4091" i="81"/>
  <c r="L4091" i="81" s="1"/>
  <c r="N4090" i="81"/>
  <c r="M4090" i="81"/>
  <c r="H4090" i="81"/>
  <c r="L4090" i="81" s="1"/>
  <c r="N4089" i="81"/>
  <c r="M4089" i="81"/>
  <c r="H4089" i="81"/>
  <c r="L4089" i="81" s="1"/>
  <c r="N4088" i="81"/>
  <c r="M4088" i="81"/>
  <c r="H4088" i="81"/>
  <c r="L4088" i="81" s="1"/>
  <c r="N4087" i="81"/>
  <c r="M4087" i="81"/>
  <c r="H4087" i="81"/>
  <c r="L4087" i="81" s="1"/>
  <c r="M4085" i="81"/>
  <c r="N4085" i="81" s="1"/>
  <c r="H4085" i="81"/>
  <c r="M4084" i="81"/>
  <c r="N4084" i="81" s="1"/>
  <c r="H4084" i="81"/>
  <c r="M4086" i="81"/>
  <c r="N4079" i="81"/>
  <c r="M4079" i="81"/>
  <c r="H4079" i="81"/>
  <c r="L4079" i="81" s="1"/>
  <c r="N4078" i="81"/>
  <c r="M4078" i="81"/>
  <c r="H4078" i="81"/>
  <c r="L4078" i="81" s="1"/>
  <c r="N4077" i="81"/>
  <c r="M4077" i="81"/>
  <c r="H4077" i="81"/>
  <c r="L4077" i="81" s="1"/>
  <c r="N4076" i="81"/>
  <c r="M4076" i="81"/>
  <c r="H4076" i="81"/>
  <c r="L4076" i="81" s="1"/>
  <c r="N4075" i="81"/>
  <c r="M4075" i="81"/>
  <c r="H4075" i="81"/>
  <c r="L4075" i="81" s="1"/>
  <c r="N4074" i="81"/>
  <c r="M4074" i="81"/>
  <c r="H4074" i="81"/>
  <c r="L4074" i="81" s="1"/>
  <c r="N4073" i="81"/>
  <c r="M4073" i="81"/>
  <c r="H4073" i="81"/>
  <c r="L4073" i="81" s="1"/>
  <c r="N4072" i="81"/>
  <c r="M4072" i="81"/>
  <c r="H4072" i="81"/>
  <c r="L4072" i="81" s="1"/>
  <c r="M4070" i="81"/>
  <c r="N4070" i="81" s="1"/>
  <c r="M4071" i="81"/>
  <c r="N4071" i="81" s="1"/>
  <c r="G4068" i="81" l="1"/>
  <c r="E4068" i="81"/>
  <c r="B4068" i="81"/>
  <c r="O4068" i="81"/>
  <c r="L4105" i="81"/>
  <c r="J4079" i="81"/>
  <c r="K4099" i="81"/>
  <c r="J4099" i="81"/>
  <c r="I4073" i="81"/>
  <c r="L4099" i="81"/>
  <c r="I4072" i="81"/>
  <c r="J4115" i="81"/>
  <c r="J4072" i="81"/>
  <c r="I4077" i="81"/>
  <c r="I4076" i="81"/>
  <c r="L4101" i="81"/>
  <c r="J4076" i="81"/>
  <c r="J4105" i="81"/>
  <c r="K4110" i="81"/>
  <c r="J4075" i="81"/>
  <c r="L4100" i="81"/>
  <c r="K4105" i="81"/>
  <c r="K4102" i="81"/>
  <c r="L4109" i="81"/>
  <c r="I4075" i="81"/>
  <c r="I4079" i="81"/>
  <c r="K4100" i="81"/>
  <c r="K4106" i="81"/>
  <c r="J4109" i="81"/>
  <c r="L4115" i="81"/>
  <c r="I4074" i="81"/>
  <c r="I4078" i="81"/>
  <c r="K4114" i="81"/>
  <c r="J4074" i="81"/>
  <c r="J4078" i="81"/>
  <c r="J4098" i="81"/>
  <c r="K4108" i="81"/>
  <c r="J4113" i="81"/>
  <c r="K4098" i="81"/>
  <c r="K4113" i="81"/>
  <c r="J4073" i="81"/>
  <c r="J4077" i="81"/>
  <c r="J4107" i="81"/>
  <c r="L4113" i="81"/>
  <c r="K4116" i="81"/>
  <c r="J4101" i="81"/>
  <c r="L4107" i="81"/>
  <c r="J4106" i="81"/>
  <c r="K4107" i="81"/>
  <c r="L4108" i="81"/>
  <c r="J4114" i="81"/>
  <c r="K4115" i="81"/>
  <c r="L4116" i="81"/>
  <c r="J4097" i="81"/>
  <c r="K4097" i="81" s="1"/>
  <c r="K4072" i="81"/>
  <c r="K4073" i="81"/>
  <c r="K4074" i="81"/>
  <c r="K4075" i="81"/>
  <c r="K4076" i="81"/>
  <c r="K4077" i="81"/>
  <c r="K4078" i="81"/>
  <c r="K4079" i="81"/>
  <c r="L4098" i="81"/>
  <c r="J4104" i="81"/>
  <c r="L4106" i="81"/>
  <c r="J4112" i="81"/>
  <c r="L4114" i="81"/>
  <c r="J4103" i="81"/>
  <c r="K4104" i="81"/>
  <c r="J4111" i="81"/>
  <c r="K4112" i="81"/>
  <c r="J4102" i="81"/>
  <c r="K4103" i="81"/>
  <c r="L4104" i="81"/>
  <c r="J4110" i="81"/>
  <c r="K4111" i="81"/>
  <c r="L4112" i="81"/>
  <c r="L4103" i="81"/>
  <c r="L4111" i="81"/>
  <c r="N4086" i="81"/>
  <c r="J4100" i="81"/>
  <c r="K4101" i="81"/>
  <c r="L4102" i="81"/>
  <c r="J4108" i="81"/>
  <c r="K4109" i="81"/>
  <c r="L4110" i="81"/>
  <c r="J4116" i="81"/>
  <c r="I4084" i="81"/>
  <c r="I4085" i="81"/>
  <c r="I4087" i="81"/>
  <c r="I4088" i="81"/>
  <c r="I4089" i="81"/>
  <c r="I4090" i="81"/>
  <c r="I4091" i="81"/>
  <c r="I4092" i="81"/>
  <c r="I4093" i="81"/>
  <c r="J4084" i="81"/>
  <c r="K4084" i="81" s="1"/>
  <c r="J4085" i="81"/>
  <c r="K4085" i="81" s="1"/>
  <c r="J4087" i="81"/>
  <c r="J4088" i="81"/>
  <c r="J4089" i="81"/>
  <c r="J4090" i="81"/>
  <c r="J4091" i="81"/>
  <c r="J4092" i="81"/>
  <c r="J4093" i="81"/>
  <c r="K4087" i="81"/>
  <c r="K4088" i="81"/>
  <c r="K4089" i="81"/>
  <c r="K4090" i="81"/>
  <c r="K4091" i="81"/>
  <c r="K4092" i="81"/>
  <c r="K4093" i="81"/>
  <c r="P4068" i="81" l="1"/>
  <c r="U4068" i="81"/>
  <c r="L4085" i="81"/>
  <c r="L4084" i="81"/>
  <c r="L4097" i="81"/>
  <c r="L4227" i="81" l="1"/>
  <c r="L4228" i="81"/>
  <c r="L4229" i="81"/>
  <c r="L4230" i="81"/>
  <c r="L4231" i="81"/>
  <c r="L4232" i="81"/>
  <c r="L4233" i="81"/>
  <c r="L4234" i="81"/>
  <c r="L4235" i="81"/>
  <c r="N164" i="81"/>
  <c r="M164" i="81"/>
  <c r="H164" i="81"/>
  <c r="L164" i="81" s="1"/>
  <c r="N163" i="81"/>
  <c r="M163" i="81"/>
  <c r="H163" i="81"/>
  <c r="I163" i="81" s="1"/>
  <c r="N162" i="81"/>
  <c r="M162" i="81"/>
  <c r="H162" i="81"/>
  <c r="L162" i="81" s="1"/>
  <c r="N161" i="81"/>
  <c r="M161" i="81"/>
  <c r="H161" i="81"/>
  <c r="K161" i="81" s="1"/>
  <c r="N160" i="81"/>
  <c r="M160" i="81"/>
  <c r="H160" i="81"/>
  <c r="J160" i="81" s="1"/>
  <c r="N159" i="81"/>
  <c r="M159" i="81"/>
  <c r="H159" i="81"/>
  <c r="I159" i="81" s="1"/>
  <c r="N158" i="81"/>
  <c r="M158" i="81"/>
  <c r="H158" i="81"/>
  <c r="L158" i="81" s="1"/>
  <c r="N157" i="81"/>
  <c r="M157" i="81"/>
  <c r="H157" i="81"/>
  <c r="L157" i="81" s="1"/>
  <c r="N156" i="81"/>
  <c r="M156" i="81"/>
  <c r="H156" i="81"/>
  <c r="L156" i="81" s="1"/>
  <c r="N155" i="81"/>
  <c r="M155" i="81"/>
  <c r="H155" i="81"/>
  <c r="I155" i="81" s="1"/>
  <c r="N154" i="81"/>
  <c r="M154" i="81"/>
  <c r="H154" i="81"/>
  <c r="L154" i="81" s="1"/>
  <c r="N153" i="81"/>
  <c r="M153" i="81"/>
  <c r="H153" i="81"/>
  <c r="K153" i="81" s="1"/>
  <c r="N152" i="81"/>
  <c r="M152" i="81"/>
  <c r="H152" i="81"/>
  <c r="J152" i="81" s="1"/>
  <c r="N151" i="81"/>
  <c r="M151" i="81"/>
  <c r="H151" i="81"/>
  <c r="I151" i="81" s="1"/>
  <c r="N150" i="81"/>
  <c r="M150" i="81"/>
  <c r="H150" i="81"/>
  <c r="L150" i="81" s="1"/>
  <c r="N149" i="81"/>
  <c r="M149" i="81"/>
  <c r="H149" i="81"/>
  <c r="L149" i="81" s="1"/>
  <c r="N148" i="81"/>
  <c r="M148" i="81"/>
  <c r="H148" i="81"/>
  <c r="L148" i="81" s="1"/>
  <c r="N147" i="81"/>
  <c r="M147" i="81"/>
  <c r="H147" i="81"/>
  <c r="I147" i="81" s="1"/>
  <c r="N146" i="81"/>
  <c r="M146" i="81"/>
  <c r="H146" i="81"/>
  <c r="J146" i="81" s="1"/>
  <c r="N145" i="81"/>
  <c r="M145" i="81"/>
  <c r="H145" i="81"/>
  <c r="K145" i="81" s="1"/>
  <c r="N141" i="81"/>
  <c r="M141" i="81"/>
  <c r="H141" i="81"/>
  <c r="J141" i="81" s="1"/>
  <c r="N140" i="81"/>
  <c r="M140" i="81"/>
  <c r="H140" i="81"/>
  <c r="I140" i="81" s="1"/>
  <c r="N139" i="81"/>
  <c r="M139" i="81"/>
  <c r="H139" i="81"/>
  <c r="L139" i="81" s="1"/>
  <c r="M138" i="81"/>
  <c r="N138" i="81" s="1"/>
  <c r="H138" i="81"/>
  <c r="N127" i="81"/>
  <c r="M127" i="81"/>
  <c r="H127" i="81"/>
  <c r="L127" i="81" s="1"/>
  <c r="N126" i="81"/>
  <c r="M126" i="81"/>
  <c r="H126" i="81"/>
  <c r="L126" i="81" s="1"/>
  <c r="N125" i="81"/>
  <c r="M125" i="81"/>
  <c r="H125" i="81"/>
  <c r="J125" i="81" s="1"/>
  <c r="N124" i="81"/>
  <c r="M124" i="81"/>
  <c r="H124" i="81"/>
  <c r="I124" i="81" s="1"/>
  <c r="N123" i="81"/>
  <c r="M123" i="81"/>
  <c r="H123" i="81"/>
  <c r="L123" i="81" s="1"/>
  <c r="N122" i="81"/>
  <c r="M122" i="81"/>
  <c r="H122" i="81"/>
  <c r="K122" i="81" s="1"/>
  <c r="N121" i="81"/>
  <c r="M121" i="81"/>
  <c r="H121" i="81"/>
  <c r="J121" i="81" s="1"/>
  <c r="N112" i="81"/>
  <c r="M112" i="81"/>
  <c r="H112" i="81"/>
  <c r="J112" i="81" s="1"/>
  <c r="N111" i="81"/>
  <c r="M111" i="81"/>
  <c r="H111" i="81"/>
  <c r="I111" i="81" s="1"/>
  <c r="N110" i="81"/>
  <c r="M110" i="81"/>
  <c r="H110" i="81"/>
  <c r="L110" i="81" s="1"/>
  <c r="N109" i="81"/>
  <c r="M109" i="81"/>
  <c r="H109" i="81"/>
  <c r="K109" i="81" s="1"/>
  <c r="N108" i="81"/>
  <c r="M108" i="81"/>
  <c r="H108" i="81"/>
  <c r="I108" i="81" s="1"/>
  <c r="N107" i="81"/>
  <c r="M107" i="81"/>
  <c r="H107" i="81"/>
  <c r="L107" i="81" s="1"/>
  <c r="N106" i="81"/>
  <c r="M106" i="81"/>
  <c r="H106" i="81"/>
  <c r="L106" i="81" s="1"/>
  <c r="N105" i="81"/>
  <c r="M105" i="81"/>
  <c r="H105" i="81"/>
  <c r="K105" i="81" s="1"/>
  <c r="N104" i="81"/>
  <c r="M104" i="81"/>
  <c r="H104" i="81"/>
  <c r="J104" i="81" s="1"/>
  <c r="N103" i="81"/>
  <c r="M103" i="81"/>
  <c r="H103" i="81"/>
  <c r="I103" i="81" s="1"/>
  <c r="N102" i="81"/>
  <c r="M102" i="81"/>
  <c r="H102" i="81"/>
  <c r="L102" i="81" s="1"/>
  <c r="N101" i="81"/>
  <c r="M101" i="81"/>
  <c r="H101" i="81"/>
  <c r="K101" i="81" s="1"/>
  <c r="N100" i="81"/>
  <c r="M100" i="81"/>
  <c r="H100" i="81"/>
  <c r="I100" i="81" s="1"/>
  <c r="N99" i="81"/>
  <c r="M99" i="81"/>
  <c r="H99" i="81"/>
  <c r="L99" i="81" s="1"/>
  <c r="N98" i="81"/>
  <c r="M98" i="81"/>
  <c r="H98" i="81"/>
  <c r="L98" i="81" s="1"/>
  <c r="N97" i="81"/>
  <c r="M97" i="81"/>
  <c r="H97" i="81"/>
  <c r="K97" i="81" s="1"/>
  <c r="N96" i="81"/>
  <c r="M96" i="81"/>
  <c r="H96" i="81"/>
  <c r="J96" i="81" s="1"/>
  <c r="N95" i="81"/>
  <c r="M95" i="81"/>
  <c r="H95" i="81"/>
  <c r="I95" i="81" s="1"/>
  <c r="N94" i="81"/>
  <c r="M94" i="81"/>
  <c r="H94" i="81"/>
  <c r="L94" i="81" s="1"/>
  <c r="N93" i="81"/>
  <c r="M93" i="81"/>
  <c r="H93" i="81"/>
  <c r="J93" i="81" s="1"/>
  <c r="N89" i="81"/>
  <c r="M89" i="81"/>
  <c r="H89" i="81"/>
  <c r="I89" i="81" s="1"/>
  <c r="N75" i="81"/>
  <c r="M75" i="81"/>
  <c r="H75" i="81"/>
  <c r="L75" i="81" s="1"/>
  <c r="N74" i="81"/>
  <c r="M74" i="81"/>
  <c r="H74" i="81"/>
  <c r="K74" i="81" s="1"/>
  <c r="N73" i="81"/>
  <c r="M73" i="81"/>
  <c r="H73" i="81"/>
  <c r="J73" i="81" s="1"/>
  <c r="N72" i="81"/>
  <c r="M72" i="81"/>
  <c r="H72" i="81"/>
  <c r="I72" i="81" s="1"/>
  <c r="H60" i="81"/>
  <c r="J60" i="81" s="1"/>
  <c r="H59" i="81"/>
  <c r="J59" i="81" s="1"/>
  <c r="H58" i="81"/>
  <c r="K58" i="81" s="1"/>
  <c r="H57" i="81"/>
  <c r="J57" i="81" s="1"/>
  <c r="H56" i="81"/>
  <c r="J56" i="81" s="1"/>
  <c r="H55" i="81"/>
  <c r="J55" i="81" s="1"/>
  <c r="H54" i="81"/>
  <c r="J54" i="81" s="1"/>
  <c r="H53" i="81"/>
  <c r="J53" i="81" s="1"/>
  <c r="H52" i="81"/>
  <c r="K52" i="81" s="1"/>
  <c r="H51" i="81"/>
  <c r="J51" i="81" s="1"/>
  <c r="H50" i="81"/>
  <c r="J50" i="81" s="1"/>
  <c r="H49" i="81"/>
  <c r="J49" i="81" s="1"/>
  <c r="H48" i="81"/>
  <c r="K48" i="81" s="1"/>
  <c r="H47" i="81"/>
  <c r="J47" i="81" s="1"/>
  <c r="H46" i="81"/>
  <c r="J46" i="81" s="1"/>
  <c r="H45" i="81"/>
  <c r="J45" i="81" s="1"/>
  <c r="H44" i="81"/>
  <c r="K44" i="81" s="1"/>
  <c r="H43" i="81"/>
  <c r="J43" i="81" s="1"/>
  <c r="H42" i="81"/>
  <c r="I42" i="81" s="1"/>
  <c r="H41" i="81"/>
  <c r="J41" i="81" s="1"/>
  <c r="H37" i="81"/>
  <c r="J37" i="81" s="1"/>
  <c r="H23" i="81"/>
  <c r="J23" i="81" s="1"/>
  <c r="H22" i="81"/>
  <c r="J22" i="81" s="1"/>
  <c r="H21" i="81"/>
  <c r="J21" i="81" s="1"/>
  <c r="H20" i="81"/>
  <c r="J20" i="81" s="1"/>
  <c r="H19" i="81"/>
  <c r="J19" i="81" s="1"/>
  <c r="K37" i="81" l="1"/>
  <c r="K112" i="81"/>
  <c r="L105" i="81"/>
  <c r="I146" i="81"/>
  <c r="K72" i="81"/>
  <c r="K146" i="81"/>
  <c r="L111" i="81"/>
  <c r="K121" i="81"/>
  <c r="I94" i="81"/>
  <c r="K89" i="81"/>
  <c r="J94" i="81"/>
  <c r="J158" i="81"/>
  <c r="K94" i="81"/>
  <c r="K124" i="81"/>
  <c r="I141" i="81"/>
  <c r="I150" i="81"/>
  <c r="I160" i="81"/>
  <c r="L124" i="81"/>
  <c r="K141" i="81"/>
  <c r="L160" i="81"/>
  <c r="L141" i="81"/>
  <c r="I73" i="81"/>
  <c r="L146" i="81"/>
  <c r="J163" i="81"/>
  <c r="K57" i="81"/>
  <c r="K73" i="81"/>
  <c r="J140" i="81"/>
  <c r="K163" i="81"/>
  <c r="K45" i="81"/>
  <c r="J111" i="81"/>
  <c r="L163" i="81"/>
  <c r="J89" i="81"/>
  <c r="K96" i="81"/>
  <c r="J103" i="81"/>
  <c r="J123" i="81"/>
  <c r="L96" i="81"/>
  <c r="K103" i="81"/>
  <c r="K59" i="81"/>
  <c r="L103" i="81"/>
  <c r="L153" i="81"/>
  <c r="K41" i="81"/>
  <c r="L73" i="81"/>
  <c r="I99" i="81"/>
  <c r="J122" i="81"/>
  <c r="J145" i="81"/>
  <c r="J151" i="81"/>
  <c r="L95" i="81"/>
  <c r="L122" i="81"/>
  <c r="J124" i="81"/>
  <c r="K43" i="81"/>
  <c r="K49" i="81"/>
  <c r="K104" i="81"/>
  <c r="I121" i="81"/>
  <c r="J161" i="81"/>
  <c r="K51" i="81"/>
  <c r="L72" i="81"/>
  <c r="L104" i="81"/>
  <c r="J108" i="81"/>
  <c r="I110" i="81"/>
  <c r="K111" i="81"/>
  <c r="K123" i="81"/>
  <c r="I139" i="81"/>
  <c r="L145" i="81"/>
  <c r="J150" i="81"/>
  <c r="I152" i="81"/>
  <c r="K160" i="81"/>
  <c r="K108" i="81"/>
  <c r="J110" i="81"/>
  <c r="J139" i="81"/>
  <c r="K152" i="81"/>
  <c r="K47" i="81"/>
  <c r="L152" i="81"/>
  <c r="L74" i="81"/>
  <c r="J100" i="81"/>
  <c r="K110" i="81"/>
  <c r="I127" i="81"/>
  <c r="J155" i="81"/>
  <c r="I162" i="81"/>
  <c r="K53" i="81"/>
  <c r="J95" i="81"/>
  <c r="K100" i="81"/>
  <c r="J102" i="81"/>
  <c r="I107" i="81"/>
  <c r="L125" i="81"/>
  <c r="J127" i="81"/>
  <c r="J147" i="81"/>
  <c r="I154" i="81"/>
  <c r="K155" i="81"/>
  <c r="J159" i="81"/>
  <c r="J162" i="81"/>
  <c r="I102" i="81"/>
  <c r="K125" i="81"/>
  <c r="K95" i="81"/>
  <c r="K102" i="81"/>
  <c r="J107" i="81"/>
  <c r="K127" i="81"/>
  <c r="K147" i="81"/>
  <c r="J154" i="81"/>
  <c r="L155" i="81"/>
  <c r="K162" i="81"/>
  <c r="L147" i="81"/>
  <c r="K154" i="81"/>
  <c r="K55" i="81"/>
  <c r="J72" i="81"/>
  <c r="L97" i="81"/>
  <c r="J99" i="81"/>
  <c r="L112" i="81"/>
  <c r="I123" i="81"/>
  <c r="J153" i="81"/>
  <c r="I158" i="81"/>
  <c r="L161" i="81"/>
  <c r="I138" i="81"/>
  <c r="K140" i="81"/>
  <c r="I149" i="81"/>
  <c r="K151" i="81"/>
  <c r="I157" i="81"/>
  <c r="K159" i="81"/>
  <c r="I125" i="81"/>
  <c r="J126" i="81"/>
  <c r="J138" i="81"/>
  <c r="K138" i="81" s="1"/>
  <c r="K139" i="81"/>
  <c r="L140" i="81"/>
  <c r="I148" i="81"/>
  <c r="J149" i="81"/>
  <c r="K150" i="81"/>
  <c r="L151" i="81"/>
  <c r="I156" i="81"/>
  <c r="J157" i="81"/>
  <c r="K158" i="81"/>
  <c r="L159" i="81"/>
  <c r="I164" i="81"/>
  <c r="L121" i="81"/>
  <c r="I126" i="81"/>
  <c r="K126" i="81"/>
  <c r="J148" i="81"/>
  <c r="K149" i="81"/>
  <c r="J156" i="81"/>
  <c r="K157" i="81"/>
  <c r="J164" i="81"/>
  <c r="K148" i="81"/>
  <c r="K156" i="81"/>
  <c r="K164" i="81"/>
  <c r="I122" i="81"/>
  <c r="I145" i="81"/>
  <c r="I153" i="81"/>
  <c r="I161" i="81"/>
  <c r="I74" i="81"/>
  <c r="J75" i="81"/>
  <c r="L89" i="81"/>
  <c r="I97" i="81"/>
  <c r="J98" i="81"/>
  <c r="K99" i="81"/>
  <c r="L100" i="81"/>
  <c r="I105" i="81"/>
  <c r="J106" i="81"/>
  <c r="K107" i="81"/>
  <c r="L108" i="81"/>
  <c r="K93" i="81"/>
  <c r="I75" i="81"/>
  <c r="L93" i="81"/>
  <c r="I98" i="81"/>
  <c r="L101" i="81"/>
  <c r="I106" i="81"/>
  <c r="J74" i="81"/>
  <c r="K75" i="81"/>
  <c r="I96" i="81"/>
  <c r="J97" i="81"/>
  <c r="K98" i="81"/>
  <c r="I104" i="81"/>
  <c r="J105" i="81"/>
  <c r="K106" i="81"/>
  <c r="I112" i="81"/>
  <c r="L109" i="81"/>
  <c r="I93" i="81"/>
  <c r="I101" i="81"/>
  <c r="I109" i="81"/>
  <c r="J101" i="81"/>
  <c r="J109" i="81"/>
  <c r="I44" i="81"/>
  <c r="I48" i="81"/>
  <c r="I50" i="81"/>
  <c r="I54" i="81"/>
  <c r="I58" i="81"/>
  <c r="J42" i="81"/>
  <c r="J48" i="81"/>
  <c r="J52" i="81"/>
  <c r="J58" i="81"/>
  <c r="K42" i="81"/>
  <c r="K46" i="81"/>
  <c r="K50" i="81"/>
  <c r="K54" i="81"/>
  <c r="K56" i="81"/>
  <c r="K60" i="81"/>
  <c r="I41" i="81"/>
  <c r="I43" i="81"/>
  <c r="I45" i="81"/>
  <c r="I47" i="81"/>
  <c r="I49" i="81"/>
  <c r="I51" i="81"/>
  <c r="I53" i="81"/>
  <c r="I55" i="81"/>
  <c r="I57" i="81"/>
  <c r="I59" i="81"/>
  <c r="I46" i="81"/>
  <c r="I52" i="81"/>
  <c r="I56" i="81"/>
  <c r="I60" i="81"/>
  <c r="J44" i="81"/>
  <c r="I37" i="81"/>
  <c r="H85" i="81" l="1"/>
  <c r="M85" i="81"/>
  <c r="N85" i="81" s="1"/>
  <c r="J85" i="81" l="1"/>
  <c r="K85" i="81" s="1"/>
  <c r="I85" i="81"/>
  <c r="A8" i="83" l="1"/>
  <c r="A7" i="81"/>
  <c r="A9" i="66"/>
  <c r="M84" i="81" l="1"/>
  <c r="N84" i="81" s="1"/>
  <c r="H84" i="81"/>
  <c r="I84" i="81" l="1"/>
  <c r="J84" i="81"/>
  <c r="K84" i="81" s="1"/>
  <c r="A9" i="91" l="1"/>
  <c r="H36" i="81" l="1"/>
  <c r="H88" i="81" l="1"/>
  <c r="M88" i="81"/>
  <c r="N88" i="81" s="1"/>
  <c r="J36" i="81"/>
  <c r="K36" i="81" s="1"/>
  <c r="M67" i="81"/>
  <c r="N67" i="81" l="1"/>
  <c r="M135" i="81"/>
  <c r="N135" i="81" s="1"/>
  <c r="M70" i="81"/>
  <c r="N70" i="81" s="1"/>
  <c r="M137" i="81"/>
  <c r="N137" i="81" s="1"/>
  <c r="M83" i="81"/>
  <c r="N83" i="81" s="1"/>
  <c r="M134" i="81"/>
  <c r="N134" i="81" s="1"/>
  <c r="M136" i="81"/>
  <c r="N136" i="81" s="1"/>
  <c r="M133" i="81"/>
  <c r="N133" i="81" s="1"/>
  <c r="M132" i="81"/>
  <c r="N132" i="81" s="1"/>
  <c r="M69" i="81"/>
  <c r="M82" i="81"/>
  <c r="N82" i="81" s="1"/>
  <c r="I88" i="81"/>
  <c r="J88" i="81"/>
  <c r="K88" i="81" s="1"/>
  <c r="H136" i="81"/>
  <c r="N69" i="81" l="1"/>
  <c r="J136" i="81"/>
  <c r="K136" i="81" s="1"/>
  <c r="I136" i="81"/>
  <c r="F28" i="81" l="1"/>
  <c r="F29" i="81"/>
  <c r="A5" i="127" l="1"/>
  <c r="E26" i="127"/>
  <c r="E23" i="127"/>
  <c r="E19" i="127"/>
  <c r="E29" i="127" l="1"/>
  <c r="C9" i="81" s="1"/>
  <c r="E48" i="127"/>
  <c r="C3314" i="81" l="1"/>
  <c r="C3301" i="81"/>
  <c r="C3158" i="81"/>
  <c r="F3158" i="81" s="1"/>
  <c r="C3145" i="81"/>
  <c r="C3366" i="81"/>
  <c r="F3366" i="81" s="1"/>
  <c r="C3353" i="81"/>
  <c r="C3210" i="81"/>
  <c r="F3210" i="81" s="1"/>
  <c r="C3197" i="81"/>
  <c r="C3262" i="81"/>
  <c r="F3262" i="81" s="1"/>
  <c r="C3249" i="81"/>
  <c r="C3337" i="81"/>
  <c r="F3337" i="81" s="1"/>
  <c r="C3389" i="81"/>
  <c r="F3389" i="81" s="1"/>
  <c r="C3233" i="81"/>
  <c r="F3233" i="81" s="1"/>
  <c r="C3285" i="81"/>
  <c r="F3285" i="81" s="1"/>
  <c r="C3181" i="81"/>
  <c r="F3181" i="81" s="1"/>
  <c r="F3314" i="81"/>
  <c r="C3701" i="81"/>
  <c r="F3701" i="81" s="1"/>
  <c r="C3665" i="81"/>
  <c r="C3678" i="81"/>
  <c r="F3678" i="81" s="1"/>
  <c r="C2037" i="81"/>
  <c r="F2037" i="81" s="1"/>
  <c r="C2001" i="81"/>
  <c r="C2014" i="81"/>
  <c r="F2014" i="81" s="1"/>
  <c r="C945" i="81"/>
  <c r="F945" i="81" s="1"/>
  <c r="C805" i="81"/>
  <c r="C1049" i="81"/>
  <c r="F1049" i="81" s="1"/>
  <c r="C909" i="81"/>
  <c r="C841" i="81"/>
  <c r="F841" i="81" s="1"/>
  <c r="C1013" i="81"/>
  <c r="C818" i="81"/>
  <c r="F818" i="81" s="1"/>
  <c r="C922" i="81"/>
  <c r="F922" i="81" s="1"/>
  <c r="C1026" i="81"/>
  <c r="F1026" i="81" s="1"/>
  <c r="C3441" i="81"/>
  <c r="F3441" i="81" s="1"/>
  <c r="C3597" i="81"/>
  <c r="F3597" i="81" s="1"/>
  <c r="C1325" i="81"/>
  <c r="C3753" i="81"/>
  <c r="F3753" i="81" s="1"/>
  <c r="C3574" i="81"/>
  <c r="F3574" i="81" s="1"/>
  <c r="C3561" i="81"/>
  <c r="C3405" i="81"/>
  <c r="C3418" i="81"/>
  <c r="F3418" i="81" s="1"/>
  <c r="C1338" i="81"/>
  <c r="F1338" i="81" s="1"/>
  <c r="C3730" i="81"/>
  <c r="F3730" i="81" s="1"/>
  <c r="C3717" i="81"/>
  <c r="C1361" i="81"/>
  <c r="F1361" i="81" s="1"/>
  <c r="C2170" i="81"/>
  <c r="F2170" i="81" s="1"/>
  <c r="C2157" i="81"/>
  <c r="C3077" i="81"/>
  <c r="F3077" i="81" s="1"/>
  <c r="C1234" i="81"/>
  <c r="F1234" i="81" s="1"/>
  <c r="C1221" i="81"/>
  <c r="C2453" i="81"/>
  <c r="F2453" i="81" s="1"/>
  <c r="C2781" i="81"/>
  <c r="C1569" i="81"/>
  <c r="F1569" i="81" s="1"/>
  <c r="C3054" i="81"/>
  <c r="F3054" i="81" s="1"/>
  <c r="C3041" i="81"/>
  <c r="C1481" i="81"/>
  <c r="C1517" i="81"/>
  <c r="F1517" i="81" s="1"/>
  <c r="C2817" i="81"/>
  <c r="F2817" i="81" s="1"/>
  <c r="C1546" i="81"/>
  <c r="F1546" i="81" s="1"/>
  <c r="C1533" i="81"/>
  <c r="C2430" i="81"/>
  <c r="F2430" i="81" s="1"/>
  <c r="C2417" i="81"/>
  <c r="C2193" i="81"/>
  <c r="F2193" i="81" s="1"/>
  <c r="C1702" i="81"/>
  <c r="F1702" i="81" s="1"/>
  <c r="C1689" i="81"/>
  <c r="C1257" i="81"/>
  <c r="F1257" i="81" s="1"/>
  <c r="C1494" i="81"/>
  <c r="F1494" i="81" s="1"/>
  <c r="C1725" i="81"/>
  <c r="F1725" i="81" s="1"/>
  <c r="C2794" i="81"/>
  <c r="F2794" i="81" s="1"/>
  <c r="C3821" i="81"/>
  <c r="C2534" i="81"/>
  <c r="F2534" i="81" s="1"/>
  <c r="C2521" i="81"/>
  <c r="C3834" i="81"/>
  <c r="F3834" i="81" s="1"/>
  <c r="C2950" i="81"/>
  <c r="F2950" i="81" s="1"/>
  <c r="C2937" i="81"/>
  <c r="C1442" i="81"/>
  <c r="F1442" i="81" s="1"/>
  <c r="C1429" i="81"/>
  <c r="C2898" i="81"/>
  <c r="F2898" i="81" s="1"/>
  <c r="C2885" i="81"/>
  <c r="C2846" i="81"/>
  <c r="F2846" i="81" s="1"/>
  <c r="C2833" i="81"/>
  <c r="C3613" i="81"/>
  <c r="C3626" i="81"/>
  <c r="F3626" i="81" s="1"/>
  <c r="C3782" i="81"/>
  <c r="F3782" i="81" s="1"/>
  <c r="C3769" i="81"/>
  <c r="C1390" i="81"/>
  <c r="F1390" i="81" s="1"/>
  <c r="C1377" i="81"/>
  <c r="C2326" i="81"/>
  <c r="F2326" i="81" s="1"/>
  <c r="C2313" i="81"/>
  <c r="C3002" i="81"/>
  <c r="F3002" i="81" s="1"/>
  <c r="C2989" i="81"/>
  <c r="C2690" i="81"/>
  <c r="F2690" i="81" s="1"/>
  <c r="C2677" i="81"/>
  <c r="C2482" i="81"/>
  <c r="F2482" i="81" s="1"/>
  <c r="C2469" i="81"/>
  <c r="C3886" i="81"/>
  <c r="F3886" i="81" s="1"/>
  <c r="C3873" i="81"/>
  <c r="C3106" i="81"/>
  <c r="F3106" i="81" s="1"/>
  <c r="C3093" i="81"/>
  <c r="C2586" i="81"/>
  <c r="F2586" i="81" s="1"/>
  <c r="C2573" i="81"/>
  <c r="C3938" i="81"/>
  <c r="F3938" i="81" s="1"/>
  <c r="C3925" i="81"/>
  <c r="C2742" i="81"/>
  <c r="F2742" i="81" s="1"/>
  <c r="C2729" i="81"/>
  <c r="C2378" i="81"/>
  <c r="F2378" i="81" s="1"/>
  <c r="C2365" i="81"/>
  <c r="C3990" i="81"/>
  <c r="F3990" i="81" s="1"/>
  <c r="C3977" i="81"/>
  <c r="C3470" i="81"/>
  <c r="F3470" i="81" s="1"/>
  <c r="C3457" i="81"/>
  <c r="C2638" i="81"/>
  <c r="F2638" i="81" s="1"/>
  <c r="C2625" i="81"/>
  <c r="C4042" i="81"/>
  <c r="F4042" i="81" s="1"/>
  <c r="C4029" i="81"/>
  <c r="C3522" i="81"/>
  <c r="F3522" i="81" s="1"/>
  <c r="C3509" i="81"/>
  <c r="C4065" i="81"/>
  <c r="F4065" i="81" s="1"/>
  <c r="C3909" i="81"/>
  <c r="F3909" i="81" s="1"/>
  <c r="C3961" i="81"/>
  <c r="F3961" i="81" s="1"/>
  <c r="C4013" i="81"/>
  <c r="F4013" i="81" s="1"/>
  <c r="C3545" i="81"/>
  <c r="F3545" i="81" s="1"/>
  <c r="C3857" i="81"/>
  <c r="F3857" i="81" s="1"/>
  <c r="C3805" i="81"/>
  <c r="F3805" i="81" s="1"/>
  <c r="C3493" i="81"/>
  <c r="F3493" i="81" s="1"/>
  <c r="C3649" i="81"/>
  <c r="F3649" i="81" s="1"/>
  <c r="C1465" i="81"/>
  <c r="F1465" i="81" s="1"/>
  <c r="C3025" i="81"/>
  <c r="F3025" i="81" s="1"/>
  <c r="C3129" i="81"/>
  <c r="F3129" i="81" s="1"/>
  <c r="C2869" i="81"/>
  <c r="F2869" i="81" s="1"/>
  <c r="C2973" i="81"/>
  <c r="F2973" i="81" s="1"/>
  <c r="C2921" i="81"/>
  <c r="F2921" i="81" s="1"/>
  <c r="C1413" i="81"/>
  <c r="F1413" i="81" s="1"/>
  <c r="C2661" i="81"/>
  <c r="F2661" i="81" s="1"/>
  <c r="C2713" i="81"/>
  <c r="F2713" i="81" s="1"/>
  <c r="C2765" i="81"/>
  <c r="F2765" i="81" s="1"/>
  <c r="C2609" i="81"/>
  <c r="F2609" i="81" s="1"/>
  <c r="C2297" i="81"/>
  <c r="F2297" i="81" s="1"/>
  <c r="C2349" i="81"/>
  <c r="F2349" i="81" s="1"/>
  <c r="C2401" i="81"/>
  <c r="F2401" i="81" s="1"/>
  <c r="C2557" i="81"/>
  <c r="F2557" i="81" s="1"/>
  <c r="C2261" i="81"/>
  <c r="C2505" i="81"/>
  <c r="F2505" i="81" s="1"/>
  <c r="C2274" i="81"/>
  <c r="F2274" i="81" s="1"/>
  <c r="C2245" i="81"/>
  <c r="F2245" i="81" s="1"/>
  <c r="C2209" i="81"/>
  <c r="C2222" i="81"/>
  <c r="F2222" i="81" s="1"/>
  <c r="C2141" i="81"/>
  <c r="F2141" i="81" s="1"/>
  <c r="C2105" i="81"/>
  <c r="C2118" i="81"/>
  <c r="F2118" i="81" s="1"/>
  <c r="C1858" i="81"/>
  <c r="C1845" i="81"/>
  <c r="C1598" i="81"/>
  <c r="C1585" i="81"/>
  <c r="C1962" i="81"/>
  <c r="C1949" i="81"/>
  <c r="C1910" i="81"/>
  <c r="F1910" i="81" s="1"/>
  <c r="C1933" i="81"/>
  <c r="F1933" i="81" s="1"/>
  <c r="C1897" i="81"/>
  <c r="C1650" i="81"/>
  <c r="F1650" i="81" s="1"/>
  <c r="C1673" i="81"/>
  <c r="F1673" i="81" s="1"/>
  <c r="C1637" i="81"/>
  <c r="C1286" i="81"/>
  <c r="F1286" i="81" s="1"/>
  <c r="C1309" i="81"/>
  <c r="F1309" i="81" s="1"/>
  <c r="C1273" i="81"/>
  <c r="C4146" i="81"/>
  <c r="F4146" i="81" s="1"/>
  <c r="I4120" i="81" s="1"/>
  <c r="C4169" i="81"/>
  <c r="F4169" i="81" s="1"/>
  <c r="J4120" i="81" s="1"/>
  <c r="C1777" i="81"/>
  <c r="F1777" i="81" s="1"/>
  <c r="J1728" i="81" s="1"/>
  <c r="C1829" i="81"/>
  <c r="F1829" i="81" s="1"/>
  <c r="J1780" i="81" s="1"/>
  <c r="C4133" i="81"/>
  <c r="C1741" i="81"/>
  <c r="C1806" i="81"/>
  <c r="F1806" i="81" s="1"/>
  <c r="I1780" i="81" s="1"/>
  <c r="C1793" i="81"/>
  <c r="C1754" i="81"/>
  <c r="F1754" i="81" s="1"/>
  <c r="I1728" i="81" s="1"/>
  <c r="C633" i="81"/>
  <c r="F633" i="81" s="1"/>
  <c r="J584" i="81" s="1"/>
  <c r="C610" i="81"/>
  <c r="F610" i="81" s="1"/>
  <c r="I584" i="81" s="1"/>
  <c r="C529" i="81"/>
  <c r="F529" i="81" s="1"/>
  <c r="J480" i="81" s="1"/>
  <c r="C581" i="81"/>
  <c r="F581" i="81" s="1"/>
  <c r="J532" i="81" s="1"/>
  <c r="C558" i="81"/>
  <c r="F558" i="81" s="1"/>
  <c r="I532" i="81" s="1"/>
  <c r="C545" i="81"/>
  <c r="C493" i="81"/>
  <c r="C441" i="81"/>
  <c r="C597" i="81"/>
  <c r="C506" i="81"/>
  <c r="F506" i="81" s="1"/>
  <c r="I480" i="81" s="1"/>
  <c r="C477" i="81"/>
  <c r="F477" i="81" s="1"/>
  <c r="J428" i="81" s="1"/>
  <c r="C454" i="81"/>
  <c r="F454" i="81" s="1"/>
  <c r="I428" i="81" s="1"/>
  <c r="C4221" i="81"/>
  <c r="F4221" i="81" s="1"/>
  <c r="J4172" i="81" s="1"/>
  <c r="C4185" i="81"/>
  <c r="C4198" i="81"/>
  <c r="F4198" i="81" s="1"/>
  <c r="I4172" i="81" s="1"/>
  <c r="F10" i="82"/>
  <c r="C269" i="81"/>
  <c r="F269" i="81" s="1"/>
  <c r="J220" i="81" s="1"/>
  <c r="C233" i="81"/>
  <c r="C246" i="81"/>
  <c r="F246" i="81" s="1"/>
  <c r="I220" i="81" s="1"/>
  <c r="C321" i="81"/>
  <c r="F321" i="81" s="1"/>
  <c r="J272" i="81" s="1"/>
  <c r="C285" i="81"/>
  <c r="C298" i="81"/>
  <c r="F298" i="81" s="1"/>
  <c r="I272" i="81" s="1"/>
  <c r="C373" i="81"/>
  <c r="F373" i="81" s="1"/>
  <c r="J324" i="81" s="1"/>
  <c r="C337" i="81"/>
  <c r="C350" i="81"/>
  <c r="F350" i="81" s="1"/>
  <c r="I324" i="81" s="1"/>
  <c r="C893" i="81"/>
  <c r="F893" i="81" s="1"/>
  <c r="J844" i="81" s="1"/>
  <c r="C870" i="81"/>
  <c r="F870" i="81" s="1"/>
  <c r="I844" i="81" s="1"/>
  <c r="C857" i="81"/>
  <c r="C997" i="81"/>
  <c r="F997" i="81" s="1"/>
  <c r="J948" i="81" s="1"/>
  <c r="C961" i="81"/>
  <c r="C974" i="81"/>
  <c r="F974" i="81" s="1"/>
  <c r="I948" i="81" s="1"/>
  <c r="C1101" i="81"/>
  <c r="F1101" i="81" s="1"/>
  <c r="J1052" i="81" s="1"/>
  <c r="C1065" i="81"/>
  <c r="C1078" i="81"/>
  <c r="F1078" i="81" s="1"/>
  <c r="I1052" i="81" s="1"/>
  <c r="C1153" i="81"/>
  <c r="F1153" i="81" s="1"/>
  <c r="J1104" i="81" s="1"/>
  <c r="C1117" i="81"/>
  <c r="C1130" i="81"/>
  <c r="F1130" i="81" s="1"/>
  <c r="I1104" i="81" s="1"/>
  <c r="C1205" i="81"/>
  <c r="F1205" i="81" s="1"/>
  <c r="J1156" i="81" s="1"/>
  <c r="C1169" i="81"/>
  <c r="C1182" i="81"/>
  <c r="F1182" i="81" s="1"/>
  <c r="I1156" i="81" s="1"/>
  <c r="C217" i="81"/>
  <c r="C181" i="81"/>
  <c r="C194" i="81"/>
  <c r="F194" i="81" s="1"/>
  <c r="I168" i="81" s="1"/>
  <c r="C2089" i="81"/>
  <c r="F2089" i="81" s="1"/>
  <c r="J2040" i="81" s="1"/>
  <c r="C2053" i="81"/>
  <c r="C2066" i="81"/>
  <c r="C1621" i="81"/>
  <c r="F1621" i="81" s="1"/>
  <c r="J1572" i="81" s="1"/>
  <c r="C1881" i="81"/>
  <c r="F1881" i="81" s="1"/>
  <c r="J1832" i="81" s="1"/>
  <c r="C1985" i="81"/>
  <c r="F1985" i="81" s="1"/>
  <c r="J1936" i="81" s="1"/>
  <c r="C789" i="81"/>
  <c r="F789" i="81" s="1"/>
  <c r="J740" i="81" s="1"/>
  <c r="C753" i="81"/>
  <c r="C766" i="81"/>
  <c r="C714" i="81"/>
  <c r="C737" i="81"/>
  <c r="F737" i="81" s="1"/>
  <c r="J688" i="81" s="1"/>
  <c r="C701" i="81"/>
  <c r="C685" i="81"/>
  <c r="F685" i="81" s="1"/>
  <c r="J636" i="81" s="1"/>
  <c r="C649" i="81"/>
  <c r="C662" i="81"/>
  <c r="C425" i="81"/>
  <c r="F425" i="81" s="1"/>
  <c r="J376" i="81" s="1"/>
  <c r="C389" i="81"/>
  <c r="C402" i="81"/>
  <c r="C4094" i="81"/>
  <c r="F4094" i="81" s="1"/>
  <c r="I4068" i="81" s="1"/>
  <c r="C129" i="81"/>
  <c r="C77" i="81"/>
  <c r="C25" i="81"/>
  <c r="C61" i="81"/>
  <c r="C165" i="81"/>
  <c r="C38" i="81"/>
  <c r="C113" i="81"/>
  <c r="C142" i="81"/>
  <c r="F142" i="81" s="1"/>
  <c r="I116" i="81" s="1"/>
  <c r="C4081" i="81"/>
  <c r="C4117" i="81"/>
  <c r="F4117" i="81" s="1"/>
  <c r="J4068" i="81" s="1"/>
  <c r="C90" i="81"/>
  <c r="F90" i="81" s="1"/>
  <c r="F3367" i="81" l="1"/>
  <c r="I3340" i="81"/>
  <c r="F3182" i="81"/>
  <c r="J3132" i="81"/>
  <c r="J3236" i="81"/>
  <c r="F3286" i="81"/>
  <c r="H158" i="82" s="1"/>
  <c r="J3184" i="81"/>
  <c r="F3234" i="81"/>
  <c r="H71" i="82" s="1"/>
  <c r="I3236" i="81"/>
  <c r="F3263" i="81"/>
  <c r="G158" i="82" s="1"/>
  <c r="F3211" i="81"/>
  <c r="G71" i="82" s="1"/>
  <c r="I3184" i="81"/>
  <c r="I3132" i="81"/>
  <c r="F3159" i="81"/>
  <c r="F3315" i="81"/>
  <c r="G72" i="82" s="1"/>
  <c r="I3288" i="81"/>
  <c r="F3390" i="81"/>
  <c r="J3340" i="81"/>
  <c r="J3288" i="81"/>
  <c r="F3338" i="81"/>
  <c r="H72" i="82" s="1"/>
  <c r="I3652" i="81"/>
  <c r="F3679" i="81"/>
  <c r="G163" i="82" s="1"/>
  <c r="F3702" i="81"/>
  <c r="H163" i="82" s="1"/>
  <c r="J3652" i="81"/>
  <c r="F2015" i="81"/>
  <c r="G140" i="82" s="1"/>
  <c r="I1988" i="81"/>
  <c r="F2038" i="81"/>
  <c r="H140" i="82" s="1"/>
  <c r="K140" i="82" s="1"/>
  <c r="J1988" i="81"/>
  <c r="I1000" i="81"/>
  <c r="F1027" i="81"/>
  <c r="G127" i="82" s="1"/>
  <c r="I896" i="81"/>
  <c r="F923" i="81"/>
  <c r="G125" i="82" s="1"/>
  <c r="F819" i="81"/>
  <c r="G123" i="82" s="1"/>
  <c r="J123" i="82" s="1"/>
  <c r="I792" i="81"/>
  <c r="F842" i="81"/>
  <c r="H123" i="82" s="1"/>
  <c r="K123" i="82" s="1"/>
  <c r="J792" i="81"/>
  <c r="F1050" i="81"/>
  <c r="H127" i="82" s="1"/>
  <c r="K127" i="82" s="1"/>
  <c r="J1000" i="81"/>
  <c r="F946" i="81"/>
  <c r="H125" i="82" s="1"/>
  <c r="K125" i="82" s="1"/>
  <c r="J896" i="81"/>
  <c r="I1468" i="81"/>
  <c r="F1495" i="81"/>
  <c r="G135" i="82" s="1"/>
  <c r="I3704" i="81"/>
  <c r="F3731" i="81"/>
  <c r="F1258" i="81"/>
  <c r="H131" i="82" s="1"/>
  <c r="K131" i="82" s="1"/>
  <c r="J1208" i="81"/>
  <c r="I3028" i="81"/>
  <c r="F3055" i="81"/>
  <c r="G154" i="82" s="1"/>
  <c r="J3028" i="81"/>
  <c r="F3078" i="81"/>
  <c r="H154" i="82" s="1"/>
  <c r="K154" i="82" s="1"/>
  <c r="F3598" i="81"/>
  <c r="H162" i="82" s="1"/>
  <c r="K162" i="82" s="1"/>
  <c r="J3548" i="81"/>
  <c r="I1676" i="81"/>
  <c r="F1703" i="81"/>
  <c r="F1339" i="81"/>
  <c r="G133" i="82" s="1"/>
  <c r="I1312" i="81"/>
  <c r="F3754" i="81"/>
  <c r="J3704" i="81"/>
  <c r="J2404" i="81"/>
  <c r="F2454" i="81"/>
  <c r="H147" i="82" s="1"/>
  <c r="K147" i="82" s="1"/>
  <c r="I2404" i="81"/>
  <c r="F2431" i="81"/>
  <c r="G147" i="82" s="1"/>
  <c r="F2194" i="81"/>
  <c r="H142" i="82" s="1"/>
  <c r="K142" i="82" s="1"/>
  <c r="J2144" i="81"/>
  <c r="F1570" i="81"/>
  <c r="H136" i="82" s="1"/>
  <c r="K136" i="82" s="1"/>
  <c r="J1520" i="81"/>
  <c r="J1312" i="81"/>
  <c r="F1362" i="81"/>
  <c r="H133" i="82" s="1"/>
  <c r="K133" i="82" s="1"/>
  <c r="I2144" i="81"/>
  <c r="F2171" i="81"/>
  <c r="G142" i="82" s="1"/>
  <c r="I2768" i="81"/>
  <c r="F2795" i="81"/>
  <c r="G152" i="82" s="1"/>
  <c r="I1208" i="81"/>
  <c r="F1235" i="81"/>
  <c r="G131" i="82" s="1"/>
  <c r="I3548" i="81"/>
  <c r="F3575" i="81"/>
  <c r="G162" i="82" s="1"/>
  <c r="J3392" i="81"/>
  <c r="F3442" i="81"/>
  <c r="H160" i="82" s="1"/>
  <c r="K160" i="82" s="1"/>
  <c r="J1468" i="81"/>
  <c r="F1518" i="81"/>
  <c r="H135" i="82" s="1"/>
  <c r="K135" i="82" s="1"/>
  <c r="F2818" i="81"/>
  <c r="H152" i="82" s="1"/>
  <c r="K152" i="82" s="1"/>
  <c r="J2768" i="81"/>
  <c r="F3419" i="81"/>
  <c r="G160" i="82" s="1"/>
  <c r="I3392" i="81"/>
  <c r="F1726" i="81"/>
  <c r="J1676" i="81"/>
  <c r="I1520" i="81"/>
  <c r="F1547" i="81"/>
  <c r="G136" i="82" s="1"/>
  <c r="I2352" i="81"/>
  <c r="F2379" i="81"/>
  <c r="G57" i="82" s="1"/>
  <c r="F1391" i="81"/>
  <c r="I1364" i="81"/>
  <c r="F2974" i="81"/>
  <c r="J2924" i="81"/>
  <c r="F1443" i="81"/>
  <c r="G45" i="82" s="1"/>
  <c r="I1416" i="81"/>
  <c r="F3546" i="81"/>
  <c r="J3496" i="81"/>
  <c r="J2300" i="81"/>
  <c r="F2350" i="81"/>
  <c r="F2535" i="81"/>
  <c r="G59" i="82" s="1"/>
  <c r="I2508" i="81"/>
  <c r="F3835" i="81"/>
  <c r="G223" i="82" s="1"/>
  <c r="I3808" i="81"/>
  <c r="F2298" i="81"/>
  <c r="J2248" i="81"/>
  <c r="F2870" i="81"/>
  <c r="J2820" i="81"/>
  <c r="I3496" i="81"/>
  <c r="F3523" i="81"/>
  <c r="G75" i="82" s="1"/>
  <c r="J2664" i="81"/>
  <c r="F2714" i="81"/>
  <c r="I2924" i="81"/>
  <c r="F2951" i="81"/>
  <c r="G66" i="82" s="1"/>
  <c r="F3783" i="81"/>
  <c r="I3756" i="81"/>
  <c r="I3860" i="81"/>
  <c r="F3887" i="81"/>
  <c r="G224" i="82" s="1"/>
  <c r="F2483" i="81"/>
  <c r="I2456" i="81"/>
  <c r="F2327" i="81"/>
  <c r="I2300" i="81"/>
  <c r="F2743" i="81"/>
  <c r="I2716" i="81"/>
  <c r="F2847" i="81"/>
  <c r="I2820" i="81"/>
  <c r="J3964" i="81"/>
  <c r="F4014" i="81"/>
  <c r="F2275" i="81"/>
  <c r="G219" i="82" s="1"/>
  <c r="I2248" i="81"/>
  <c r="F2610" i="81"/>
  <c r="H149" i="82" s="1"/>
  <c r="K149" i="82" s="1"/>
  <c r="J2560" i="81"/>
  <c r="I2664" i="81"/>
  <c r="F2691" i="81"/>
  <c r="I3600" i="81"/>
  <c r="F3627" i="81"/>
  <c r="G76" i="82" s="1"/>
  <c r="J3912" i="81"/>
  <c r="F3962" i="81"/>
  <c r="J2456" i="81"/>
  <c r="F2506" i="81"/>
  <c r="H148" i="82" s="1"/>
  <c r="K148" i="82" s="1"/>
  <c r="F2766" i="81"/>
  <c r="H151" i="82" s="1"/>
  <c r="K151" i="82" s="1"/>
  <c r="J2716" i="81"/>
  <c r="F3003" i="81"/>
  <c r="G67" i="82" s="1"/>
  <c r="I2976" i="81"/>
  <c r="J1416" i="81"/>
  <c r="F1466" i="81"/>
  <c r="I3964" i="81"/>
  <c r="F3991" i="81"/>
  <c r="G226" i="82" s="1"/>
  <c r="I2612" i="81"/>
  <c r="F2639" i="81"/>
  <c r="G61" i="82" s="1"/>
  <c r="F2662" i="81"/>
  <c r="J2612" i="81"/>
  <c r="I3444" i="81"/>
  <c r="F3471" i="81"/>
  <c r="F3939" i="81"/>
  <c r="G225" i="82" s="1"/>
  <c r="I3912" i="81"/>
  <c r="F3130" i="81"/>
  <c r="J3080" i="81"/>
  <c r="J3600" i="81"/>
  <c r="F3650" i="81"/>
  <c r="J3756" i="81"/>
  <c r="F3806" i="81"/>
  <c r="J2508" i="81"/>
  <c r="F2558" i="81"/>
  <c r="F2587" i="81"/>
  <c r="I2560" i="81"/>
  <c r="J1364" i="81"/>
  <c r="F1414" i="81"/>
  <c r="H134" i="82" s="1"/>
  <c r="K134" i="82" s="1"/>
  <c r="F3858" i="81"/>
  <c r="J3808" i="81"/>
  <c r="J2352" i="81"/>
  <c r="F2402" i="81"/>
  <c r="I2872" i="81"/>
  <c r="F2899" i="81"/>
  <c r="J2976" i="81"/>
  <c r="F3026" i="81"/>
  <c r="F3494" i="81"/>
  <c r="H161" i="82" s="1"/>
  <c r="K161" i="82" s="1"/>
  <c r="J3444" i="81"/>
  <c r="I4016" i="81"/>
  <c r="F4043" i="81"/>
  <c r="G227" i="82" s="1"/>
  <c r="J3860" i="81"/>
  <c r="F3910" i="81"/>
  <c r="J2872" i="81"/>
  <c r="F2922" i="81"/>
  <c r="F3107" i="81"/>
  <c r="I3080" i="81"/>
  <c r="J4016" i="81"/>
  <c r="F4066" i="81"/>
  <c r="I2196" i="81"/>
  <c r="F2223" i="81"/>
  <c r="F2246" i="81"/>
  <c r="H143" i="82" s="1"/>
  <c r="K143" i="82" s="1"/>
  <c r="J2196" i="81"/>
  <c r="I2092" i="81"/>
  <c r="F2119" i="81"/>
  <c r="G52" i="82" s="1"/>
  <c r="F2142" i="81"/>
  <c r="J2092" i="81"/>
  <c r="F1934" i="81"/>
  <c r="H138" i="82" s="1"/>
  <c r="K138" i="82" s="1"/>
  <c r="J1884" i="81"/>
  <c r="I1884" i="81"/>
  <c r="F1911" i="81"/>
  <c r="G138" i="82" s="1"/>
  <c r="F1674" i="81"/>
  <c r="J1624" i="81"/>
  <c r="I1624" i="81"/>
  <c r="F1651" i="81"/>
  <c r="G47" i="82" s="1"/>
  <c r="F1310" i="81"/>
  <c r="H42" i="82" s="1"/>
  <c r="J1260" i="81"/>
  <c r="I1260" i="81"/>
  <c r="F1287" i="81"/>
  <c r="F91" i="81"/>
  <c r="G193" i="82" s="1"/>
  <c r="J193" i="82" s="1"/>
  <c r="H74" i="66" s="1"/>
  <c r="I64" i="81"/>
  <c r="F1807" i="81"/>
  <c r="G218" i="82" s="1"/>
  <c r="J218" i="82" s="1"/>
  <c r="F1778" i="81"/>
  <c r="H217" i="82" s="1"/>
  <c r="K217" i="82" s="1"/>
  <c r="F4170" i="81"/>
  <c r="H232" i="82" s="1"/>
  <c r="K232" i="82" s="1"/>
  <c r="F1755" i="81"/>
  <c r="G217" i="82" s="1"/>
  <c r="J217" i="82" s="1"/>
  <c r="F1830" i="81"/>
  <c r="H218" i="82" s="1"/>
  <c r="K218" i="82" s="1"/>
  <c r="F4147" i="81"/>
  <c r="G232" i="82" s="1"/>
  <c r="J232" i="82" s="1"/>
  <c r="F634" i="81"/>
  <c r="F559" i="81"/>
  <c r="F455" i="81"/>
  <c r="F478" i="81"/>
  <c r="F582" i="81"/>
  <c r="F507" i="81"/>
  <c r="F530" i="81"/>
  <c r="F611" i="81"/>
  <c r="F4199" i="81"/>
  <c r="G234" i="82" s="1"/>
  <c r="F4222" i="81"/>
  <c r="F374" i="81"/>
  <c r="F4095" i="81"/>
  <c r="F426" i="81"/>
  <c r="F143" i="81"/>
  <c r="G194" i="82" s="1"/>
  <c r="J194" i="82" s="1"/>
  <c r="K74" i="66" s="1"/>
  <c r="F247" i="81"/>
  <c r="G26" i="82" s="1"/>
  <c r="F270" i="81"/>
  <c r="H26" i="82" s="1"/>
  <c r="F299" i="81"/>
  <c r="G27" i="82" s="1"/>
  <c r="F322" i="81"/>
  <c r="H27" i="82" s="1"/>
  <c r="F351" i="81"/>
  <c r="G28" i="82" s="1"/>
  <c r="F217" i="81"/>
  <c r="J168" i="81" s="1"/>
  <c r="F871" i="81"/>
  <c r="G210" i="82" s="1"/>
  <c r="J210" i="82" s="1"/>
  <c r="F894" i="81"/>
  <c r="F975" i="81"/>
  <c r="G211" i="82" s="1"/>
  <c r="J211" i="82" s="1"/>
  <c r="F998" i="81"/>
  <c r="F1079" i="81"/>
  <c r="G212" i="82" s="1"/>
  <c r="J212" i="82" s="1"/>
  <c r="F1102" i="81"/>
  <c r="F1131" i="81"/>
  <c r="F1154" i="81"/>
  <c r="H213" i="82" s="1"/>
  <c r="K213" i="82" s="1"/>
  <c r="F1183" i="81"/>
  <c r="G214" i="82" s="1"/>
  <c r="J214" i="82" s="1"/>
  <c r="F1206" i="81"/>
  <c r="F195" i="81"/>
  <c r="G195" i="82" s="1"/>
  <c r="J195" i="82" s="1"/>
  <c r="F766" i="81"/>
  <c r="I740" i="81" s="1"/>
  <c r="F2066" i="81"/>
  <c r="I2040" i="81" s="1"/>
  <c r="F402" i="81"/>
  <c r="I376" i="81" s="1"/>
  <c r="F1962" i="81"/>
  <c r="I1936" i="81" s="1"/>
  <c r="F662" i="81"/>
  <c r="I636" i="81" s="1"/>
  <c r="F714" i="81"/>
  <c r="I688" i="81" s="1"/>
  <c r="F1858" i="81"/>
  <c r="I1832" i="81" s="1"/>
  <c r="F1598" i="81"/>
  <c r="I1572" i="81" s="1"/>
  <c r="F4118" i="81"/>
  <c r="H176" i="82" s="1"/>
  <c r="K176" i="82" s="1"/>
  <c r="F2090" i="81"/>
  <c r="H141" i="82" s="1"/>
  <c r="K141" i="82" s="1"/>
  <c r="F1622" i="81"/>
  <c r="H46" i="82" s="1"/>
  <c r="F1882" i="81"/>
  <c r="F1986" i="81"/>
  <c r="F790" i="81"/>
  <c r="F738" i="81"/>
  <c r="F686" i="81"/>
  <c r="H70" i="82" l="1"/>
  <c r="K70" i="82" s="1"/>
  <c r="H157" i="82"/>
  <c r="G70" i="82"/>
  <c r="G157" i="82"/>
  <c r="H159" i="82"/>
  <c r="K159" i="82" s="1"/>
  <c r="H73" i="82"/>
  <c r="K73" i="82" s="1"/>
  <c r="G159" i="82"/>
  <c r="G73" i="82"/>
  <c r="J73" i="82" s="1"/>
  <c r="G165" i="82"/>
  <c r="J165" i="82" s="1"/>
  <c r="G78" i="82"/>
  <c r="J78" i="82" s="1"/>
  <c r="G221" i="82"/>
  <c r="J221" i="82" s="1"/>
  <c r="K163" i="82"/>
  <c r="H78" i="82"/>
  <c r="K78" i="82" s="1"/>
  <c r="H221" i="82"/>
  <c r="K221" i="82" s="1"/>
  <c r="H165" i="82"/>
  <c r="K165" i="82" s="1"/>
  <c r="G222" i="82"/>
  <c r="G65" i="82"/>
  <c r="J65" i="82" s="1"/>
  <c r="J72" i="82"/>
  <c r="H178" i="82"/>
  <c r="K178" i="82" s="1"/>
  <c r="H234" i="82"/>
  <c r="K234" i="82" s="1"/>
  <c r="K229" i="82" s="1"/>
  <c r="H167" i="82"/>
  <c r="K167" i="82" s="1"/>
  <c r="H223" i="82"/>
  <c r="K223" i="82" s="1"/>
  <c r="H171" i="82"/>
  <c r="K171" i="82" s="1"/>
  <c r="H227" i="82"/>
  <c r="K227" i="82" s="1"/>
  <c r="H168" i="82"/>
  <c r="K168" i="82" s="1"/>
  <c r="H224" i="82"/>
  <c r="K224" i="82" s="1"/>
  <c r="H166" i="82"/>
  <c r="K166" i="82" s="1"/>
  <c r="H222" i="82"/>
  <c r="K222" i="82" s="1"/>
  <c r="H170" i="82"/>
  <c r="K170" i="82" s="1"/>
  <c r="H226" i="82"/>
  <c r="K226" i="82" s="1"/>
  <c r="H169" i="82"/>
  <c r="K169" i="82" s="1"/>
  <c r="H225" i="82"/>
  <c r="K225" i="82" s="1"/>
  <c r="H219" i="82"/>
  <c r="K219" i="82" s="1"/>
  <c r="H216" i="82"/>
  <c r="K216" i="82" s="1"/>
  <c r="H137" i="82"/>
  <c r="K137" i="82" s="1"/>
  <c r="G216" i="82"/>
  <c r="J216" i="82" s="1"/>
  <c r="G137" i="82"/>
  <c r="G129" i="82"/>
  <c r="G213" i="82"/>
  <c r="J213" i="82" s="1"/>
  <c r="H128" i="82"/>
  <c r="K128" i="82" s="1"/>
  <c r="H212" i="82"/>
  <c r="K212" i="82" s="1"/>
  <c r="H126" i="82"/>
  <c r="K126" i="82" s="1"/>
  <c r="H211" i="82"/>
  <c r="K211" i="82" s="1"/>
  <c r="H120" i="82"/>
  <c r="K120" i="82" s="1"/>
  <c r="H207" i="82"/>
  <c r="K207" i="82" s="1"/>
  <c r="H121" i="82"/>
  <c r="K121" i="82" s="1"/>
  <c r="H208" i="82"/>
  <c r="K208" i="82" s="1"/>
  <c r="H124" i="82"/>
  <c r="K124" i="82" s="1"/>
  <c r="H210" i="82"/>
  <c r="K210" i="82" s="1"/>
  <c r="H122" i="82"/>
  <c r="K122" i="82" s="1"/>
  <c r="H209" i="82"/>
  <c r="K209" i="82" s="1"/>
  <c r="H130" i="82"/>
  <c r="K130" i="82" s="1"/>
  <c r="H214" i="82"/>
  <c r="K214" i="82" s="1"/>
  <c r="H200" i="82"/>
  <c r="K200" i="82" s="1"/>
  <c r="H113" i="82"/>
  <c r="K113" i="82" s="1"/>
  <c r="G115" i="82"/>
  <c r="G202" i="82"/>
  <c r="J202" i="82" s="1"/>
  <c r="G200" i="82"/>
  <c r="J200" i="82" s="1"/>
  <c r="G113" i="82"/>
  <c r="J113" i="82" s="1"/>
  <c r="H201" i="82"/>
  <c r="K201" i="82" s="1"/>
  <c r="H114" i="82"/>
  <c r="K114" i="82" s="1"/>
  <c r="H199" i="82"/>
  <c r="K199" i="82" s="1"/>
  <c r="H112" i="82"/>
  <c r="K112" i="82" s="1"/>
  <c r="G199" i="82"/>
  <c r="J199" i="82" s="1"/>
  <c r="G112" i="82"/>
  <c r="J112" i="82" s="1"/>
  <c r="G201" i="82"/>
  <c r="J201" i="82" s="1"/>
  <c r="G114" i="82"/>
  <c r="H202" i="82"/>
  <c r="K202" i="82" s="1"/>
  <c r="H115" i="82"/>
  <c r="K115" i="82" s="1"/>
  <c r="G89" i="82"/>
  <c r="G176" i="82"/>
  <c r="J176" i="82" s="1"/>
  <c r="G91" i="82"/>
  <c r="G178" i="82"/>
  <c r="J178" i="82" s="1"/>
  <c r="G84" i="82"/>
  <c r="J84" i="82" s="1"/>
  <c r="G171" i="82"/>
  <c r="G82" i="82"/>
  <c r="J82" i="82" s="1"/>
  <c r="G169" i="82"/>
  <c r="G81" i="82"/>
  <c r="J81" i="82" s="1"/>
  <c r="G168" i="82"/>
  <c r="G79" i="82"/>
  <c r="J79" i="82" s="1"/>
  <c r="G166" i="82"/>
  <c r="G80" i="82"/>
  <c r="J80" i="82" s="1"/>
  <c r="G167" i="82"/>
  <c r="G83" i="82"/>
  <c r="J83" i="82" s="1"/>
  <c r="G170" i="82"/>
  <c r="G74" i="82"/>
  <c r="J74" i="82" s="1"/>
  <c r="G161" i="82"/>
  <c r="H153" i="82"/>
  <c r="K153" i="82" s="1"/>
  <c r="K158" i="82"/>
  <c r="K157" i="82"/>
  <c r="H146" i="82"/>
  <c r="K146" i="82" s="1"/>
  <c r="G146" i="82"/>
  <c r="H150" i="82"/>
  <c r="K150" i="82" s="1"/>
  <c r="K71" i="82"/>
  <c r="H155" i="82"/>
  <c r="K155" i="82" s="1"/>
  <c r="G56" i="82"/>
  <c r="J56" i="82" s="1"/>
  <c r="J70" i="82"/>
  <c r="H144" i="82"/>
  <c r="K144" i="82" s="1"/>
  <c r="G68" i="82"/>
  <c r="J68" i="82" s="1"/>
  <c r="G155" i="82"/>
  <c r="G64" i="82"/>
  <c r="J64" i="82" s="1"/>
  <c r="G153" i="82"/>
  <c r="G44" i="82"/>
  <c r="J44" i="82" s="1"/>
  <c r="G134" i="82"/>
  <c r="G151" i="82"/>
  <c r="G63" i="82"/>
  <c r="J63" i="82" s="1"/>
  <c r="G62" i="82"/>
  <c r="J62" i="82" s="1"/>
  <c r="G150" i="82"/>
  <c r="G60" i="82"/>
  <c r="J60" i="82" s="1"/>
  <c r="G149" i="82"/>
  <c r="G58" i="82"/>
  <c r="J58" i="82" s="1"/>
  <c r="G148" i="82"/>
  <c r="G54" i="82"/>
  <c r="J54" i="82" s="1"/>
  <c r="G144" i="82"/>
  <c r="G53" i="82"/>
  <c r="J53" i="82" s="1"/>
  <c r="G143" i="82"/>
  <c r="H50" i="82"/>
  <c r="K50" i="82" s="1"/>
  <c r="H139" i="82"/>
  <c r="K139" i="82" s="1"/>
  <c r="G41" i="82"/>
  <c r="J41" i="82" s="1"/>
  <c r="G130" i="82"/>
  <c r="H40" i="82"/>
  <c r="K40" i="82" s="1"/>
  <c r="H129" i="82"/>
  <c r="K129" i="82" s="1"/>
  <c r="G39" i="82"/>
  <c r="J39" i="82" s="1"/>
  <c r="G128" i="82"/>
  <c r="G38" i="82"/>
  <c r="J38" i="82" s="1"/>
  <c r="G126" i="82"/>
  <c r="G37" i="82"/>
  <c r="J37" i="82" s="1"/>
  <c r="G124" i="82"/>
  <c r="G21" i="82"/>
  <c r="G107" i="82"/>
  <c r="J107" i="82" s="1"/>
  <c r="K46" i="66" s="1"/>
  <c r="G20" i="82"/>
  <c r="G106" i="82"/>
  <c r="J106" i="82" s="1"/>
  <c r="H46" i="66" s="1"/>
  <c r="G22" i="82"/>
  <c r="J22" i="82" s="1"/>
  <c r="G108" i="82"/>
  <c r="J108" i="82" s="1"/>
  <c r="H65" i="82"/>
  <c r="K65" i="82" s="1"/>
  <c r="H45" i="82"/>
  <c r="K45" i="82" s="1"/>
  <c r="H53" i="82"/>
  <c r="K53" i="82" s="1"/>
  <c r="H29" i="82"/>
  <c r="K29" i="82" s="1"/>
  <c r="H35" i="82"/>
  <c r="K35" i="82" s="1"/>
  <c r="H47" i="82"/>
  <c r="K47" i="82" s="1"/>
  <c r="H66" i="82"/>
  <c r="K66" i="82" s="1"/>
  <c r="H57" i="82"/>
  <c r="K57" i="82" s="1"/>
  <c r="G49" i="82"/>
  <c r="J49" i="82" s="1"/>
  <c r="H84" i="82"/>
  <c r="K84" i="82" s="1"/>
  <c r="H79" i="82"/>
  <c r="K79" i="82" s="1"/>
  <c r="H80" i="82"/>
  <c r="K80" i="82" s="1"/>
  <c r="H61" i="82"/>
  <c r="K61" i="82" s="1"/>
  <c r="H63" i="82"/>
  <c r="K63" i="82" s="1"/>
  <c r="H60" i="82"/>
  <c r="K60" i="82" s="1"/>
  <c r="K72" i="82"/>
  <c r="H91" i="82"/>
  <c r="K91" i="82" s="1"/>
  <c r="H76" i="82"/>
  <c r="K76" i="82" s="1"/>
  <c r="H58" i="82"/>
  <c r="K58" i="82" s="1"/>
  <c r="H56" i="82"/>
  <c r="K56" i="82" s="1"/>
  <c r="G40" i="82"/>
  <c r="J40" i="82" s="1"/>
  <c r="H34" i="82"/>
  <c r="K34" i="82" s="1"/>
  <c r="H59" i="82"/>
  <c r="K59" i="82" s="1"/>
  <c r="H36" i="82"/>
  <c r="K36" i="82" s="1"/>
  <c r="H49" i="82"/>
  <c r="K49" i="82" s="1"/>
  <c r="H74" i="82"/>
  <c r="K74" i="82" s="1"/>
  <c r="H64" i="82"/>
  <c r="K64" i="82" s="1"/>
  <c r="H51" i="82"/>
  <c r="K51" i="82" s="1"/>
  <c r="G42" i="82"/>
  <c r="J42" i="82" s="1"/>
  <c r="H82" i="82"/>
  <c r="K82" i="82" s="1"/>
  <c r="H83" i="82"/>
  <c r="K83" i="82" s="1"/>
  <c r="H62" i="82"/>
  <c r="K62" i="82" s="1"/>
  <c r="H37" i="82"/>
  <c r="K37" i="82" s="1"/>
  <c r="H41" i="82"/>
  <c r="K41" i="82" s="1"/>
  <c r="H52" i="82"/>
  <c r="K52" i="82" s="1"/>
  <c r="H68" i="82"/>
  <c r="K68" i="82" s="1"/>
  <c r="H54" i="82"/>
  <c r="K54" i="82" s="1"/>
  <c r="H75" i="82"/>
  <c r="K75" i="82" s="1"/>
  <c r="H39" i="82"/>
  <c r="K39" i="82" s="1"/>
  <c r="H38" i="82"/>
  <c r="K38" i="82" s="1"/>
  <c r="H81" i="82"/>
  <c r="K81" i="82" s="1"/>
  <c r="H28" i="82"/>
  <c r="K28" i="82" s="1"/>
  <c r="H48" i="82"/>
  <c r="K48" i="82" s="1"/>
  <c r="H89" i="82"/>
  <c r="K89" i="82" s="1"/>
  <c r="H67" i="82"/>
  <c r="K67" i="82" s="1"/>
  <c r="H44" i="82"/>
  <c r="K44" i="82" s="1"/>
  <c r="J227" i="82"/>
  <c r="J226" i="82"/>
  <c r="J225" i="82"/>
  <c r="J224" i="82"/>
  <c r="J223" i="82"/>
  <c r="J222" i="82"/>
  <c r="J219" i="82"/>
  <c r="J140" i="82"/>
  <c r="J125" i="82"/>
  <c r="J127" i="82"/>
  <c r="J76" i="82"/>
  <c r="J45" i="82"/>
  <c r="J66" i="82"/>
  <c r="J71" i="82"/>
  <c r="J67" i="82"/>
  <c r="J75" i="82"/>
  <c r="J59" i="82"/>
  <c r="J61" i="82"/>
  <c r="J57" i="82"/>
  <c r="J52" i="82"/>
  <c r="J47" i="82"/>
  <c r="K42" i="82"/>
  <c r="J234" i="82"/>
  <c r="F1599" i="81"/>
  <c r="F1963" i="81"/>
  <c r="G139" i="82" s="1"/>
  <c r="F403" i="81"/>
  <c r="F663" i="81"/>
  <c r="F2067" i="81"/>
  <c r="F218" i="81"/>
  <c r="F715" i="81"/>
  <c r="F767" i="81"/>
  <c r="F1859" i="81"/>
  <c r="F21" i="66"/>
  <c r="E21" i="66"/>
  <c r="J26" i="82"/>
  <c r="J28" i="82"/>
  <c r="K27" i="82"/>
  <c r="J27" i="82"/>
  <c r="K26" i="82"/>
  <c r="K46" i="82"/>
  <c r="E77" i="66" l="1"/>
  <c r="K173" i="82"/>
  <c r="I49" i="66"/>
  <c r="I77" i="66"/>
  <c r="H77" i="66"/>
  <c r="K197" i="82"/>
  <c r="H197" i="82" s="1"/>
  <c r="K198" i="82" s="1"/>
  <c r="J197" i="82"/>
  <c r="G197" i="82" s="1"/>
  <c r="J198" i="82" s="1"/>
  <c r="F77" i="66"/>
  <c r="K204" i="82"/>
  <c r="I80" i="66" s="1"/>
  <c r="G121" i="82"/>
  <c r="G208" i="82"/>
  <c r="J208" i="82" s="1"/>
  <c r="G120" i="82"/>
  <c r="G207" i="82"/>
  <c r="J207" i="82" s="1"/>
  <c r="G122" i="82"/>
  <c r="G209" i="82"/>
  <c r="J209" i="82" s="1"/>
  <c r="E49" i="66"/>
  <c r="K110" i="82"/>
  <c r="H110" i="82" s="1"/>
  <c r="K111" i="82" s="1"/>
  <c r="K117" i="82"/>
  <c r="H117" i="82" s="1"/>
  <c r="K118" i="82" s="1"/>
  <c r="G51" i="82"/>
  <c r="J51" i="82" s="1"/>
  <c r="G141" i="82"/>
  <c r="H108" i="82"/>
  <c r="K108" i="82" s="1"/>
  <c r="H195" i="82"/>
  <c r="K195" i="82" s="1"/>
  <c r="I21" i="66"/>
  <c r="G34" i="82"/>
  <c r="J34" i="82" s="1"/>
  <c r="G29" i="82"/>
  <c r="J29" i="82" s="1"/>
  <c r="G50" i="82"/>
  <c r="J50" i="82" s="1"/>
  <c r="G46" i="82"/>
  <c r="J46" i="82" s="1"/>
  <c r="G48" i="82"/>
  <c r="J48" i="82" s="1"/>
  <c r="G36" i="82"/>
  <c r="J36" i="82" s="1"/>
  <c r="G35" i="82"/>
  <c r="J35" i="82" s="1"/>
  <c r="H22" i="82"/>
  <c r="K22" i="82" s="1"/>
  <c r="H173" i="82"/>
  <c r="K174" i="82" s="1"/>
  <c r="L55" i="66"/>
  <c r="H229" i="82"/>
  <c r="K230" i="82" s="1"/>
  <c r="L83" i="66"/>
  <c r="F49" i="66"/>
  <c r="J229" i="82"/>
  <c r="J173" i="82"/>
  <c r="J114" i="82"/>
  <c r="J115" i="82"/>
  <c r="K24" i="82"/>
  <c r="H24" i="82" s="1"/>
  <c r="K31" i="82"/>
  <c r="H31" i="82" s="1"/>
  <c r="H204" i="82" l="1"/>
  <c r="K205" i="82" s="1"/>
  <c r="J204" i="82"/>
  <c r="G204" i="82" s="1"/>
  <c r="J205" i="82" s="1"/>
  <c r="I52" i="66"/>
  <c r="H21" i="66"/>
  <c r="J24" i="82"/>
  <c r="G24" i="82" s="1"/>
  <c r="J25" i="82" s="1"/>
  <c r="J31" i="82"/>
  <c r="G31" i="82" s="1"/>
  <c r="H24" i="66" s="1"/>
  <c r="H49" i="66"/>
  <c r="G173" i="82"/>
  <c r="J174" i="82" s="1"/>
  <c r="K55" i="66"/>
  <c r="K59" i="66" s="1"/>
  <c r="G229" i="82"/>
  <c r="J230" i="82" s="1"/>
  <c r="K83" i="66"/>
  <c r="K87" i="66" s="1"/>
  <c r="K25" i="82"/>
  <c r="J110" i="82"/>
  <c r="G110" i="82" s="1"/>
  <c r="K32" i="82"/>
  <c r="I24" i="66"/>
  <c r="A118" i="81"/>
  <c r="A66" i="81"/>
  <c r="H35" i="81"/>
  <c r="H34" i="81"/>
  <c r="A16" i="81"/>
  <c r="N60" i="81"/>
  <c r="M60" i="81"/>
  <c r="N59" i="81"/>
  <c r="M59" i="81"/>
  <c r="N58" i="81"/>
  <c r="M58" i="81"/>
  <c r="L58" i="81"/>
  <c r="N57" i="81"/>
  <c r="M57" i="81"/>
  <c r="N56" i="81"/>
  <c r="M56" i="81"/>
  <c r="N55" i="81"/>
  <c r="M55" i="81"/>
  <c r="L55" i="81"/>
  <c r="N54" i="81"/>
  <c r="M54" i="81"/>
  <c r="N53" i="81"/>
  <c r="M53" i="81"/>
  <c r="L53" i="81"/>
  <c r="N52" i="81"/>
  <c r="M52" i="81"/>
  <c r="N51" i="81"/>
  <c r="M51" i="81"/>
  <c r="N50" i="81"/>
  <c r="M50" i="81"/>
  <c r="L50" i="81"/>
  <c r="N49" i="81"/>
  <c r="M49" i="81"/>
  <c r="L49" i="81"/>
  <c r="N48" i="81"/>
  <c r="M48" i="81"/>
  <c r="N47" i="81"/>
  <c r="M47" i="81"/>
  <c r="N46" i="81"/>
  <c r="M46" i="81"/>
  <c r="N45" i="81"/>
  <c r="M45" i="81"/>
  <c r="L45" i="81"/>
  <c r="N44" i="81"/>
  <c r="M44" i="81"/>
  <c r="N43" i="81"/>
  <c r="M43" i="81"/>
  <c r="N42" i="81"/>
  <c r="M42" i="81"/>
  <c r="L42" i="81"/>
  <c r="N41" i="81"/>
  <c r="M41" i="81"/>
  <c r="L41" i="81"/>
  <c r="N37" i="81"/>
  <c r="M37" i="81"/>
  <c r="M36" i="81"/>
  <c r="N36" i="81" s="1"/>
  <c r="M33" i="81"/>
  <c r="N33" i="81" s="1"/>
  <c r="M32" i="81"/>
  <c r="N32" i="81" s="1"/>
  <c r="M31" i="81"/>
  <c r="N31" i="81" s="1"/>
  <c r="M30" i="81"/>
  <c r="N30" i="81" s="1"/>
  <c r="M29" i="81"/>
  <c r="N29" i="81" s="1"/>
  <c r="M28" i="81"/>
  <c r="N28" i="81" s="1"/>
  <c r="N23" i="81"/>
  <c r="M23" i="81"/>
  <c r="K23" i="81"/>
  <c r="N22" i="81"/>
  <c r="M22" i="81"/>
  <c r="L22" i="81"/>
  <c r="N21" i="81"/>
  <c r="M21" i="81"/>
  <c r="K21" i="81"/>
  <c r="N20" i="81"/>
  <c r="M20" i="81"/>
  <c r="N19" i="81"/>
  <c r="M19" i="81"/>
  <c r="L19" i="81"/>
  <c r="M14" i="81"/>
  <c r="N14" i="81" s="1"/>
  <c r="A116" i="81"/>
  <c r="A64" i="81"/>
  <c r="A12" i="81"/>
  <c r="H80" i="66" l="1"/>
  <c r="H87" i="66" s="1"/>
  <c r="J32" i="82"/>
  <c r="O64" i="81"/>
  <c r="G64" i="81"/>
  <c r="E64" i="81"/>
  <c r="B64" i="81"/>
  <c r="B116" i="81"/>
  <c r="O116" i="81"/>
  <c r="G116" i="81"/>
  <c r="E116" i="81"/>
  <c r="O12" i="81"/>
  <c r="G12" i="81"/>
  <c r="E12" i="81"/>
  <c r="B12" i="81"/>
  <c r="J111" i="82"/>
  <c r="D118" i="81"/>
  <c r="B118" i="81"/>
  <c r="B16" i="81"/>
  <c r="D16" i="81"/>
  <c r="D66" i="81"/>
  <c r="B66" i="81"/>
  <c r="M80" i="81"/>
  <c r="N80" i="81" s="1"/>
  <c r="M120" i="81"/>
  <c r="M81" i="81"/>
  <c r="N81" i="81" s="1"/>
  <c r="M118" i="81"/>
  <c r="J34" i="81"/>
  <c r="K34" i="81" s="1"/>
  <c r="I34" i="81"/>
  <c r="M66" i="81"/>
  <c r="M86" i="81"/>
  <c r="N86" i="81" s="1"/>
  <c r="H86" i="81"/>
  <c r="J35" i="81"/>
  <c r="K35" i="81" s="1"/>
  <c r="I35" i="81"/>
  <c r="M71" i="81"/>
  <c r="M87" i="81"/>
  <c r="N87" i="81" s="1"/>
  <c r="H87" i="81"/>
  <c r="M15" i="81"/>
  <c r="M68" i="81"/>
  <c r="N68" i="81" s="1"/>
  <c r="M119" i="81"/>
  <c r="M16" i="81"/>
  <c r="M17" i="81"/>
  <c r="M34" i="81"/>
  <c r="N34" i="81" s="1"/>
  <c r="I20" i="81"/>
  <c r="L43" i="81"/>
  <c r="L51" i="81"/>
  <c r="L59" i="81"/>
  <c r="L20" i="81"/>
  <c r="K20" i="81"/>
  <c r="L44" i="81"/>
  <c r="L46" i="81"/>
  <c r="I23" i="81"/>
  <c r="M35" i="81"/>
  <c r="N35" i="81" s="1"/>
  <c r="L60" i="81"/>
  <c r="L21" i="81"/>
  <c r="L23" i="81"/>
  <c r="L52" i="81"/>
  <c r="L54" i="81"/>
  <c r="L57" i="81"/>
  <c r="I22" i="81"/>
  <c r="L37" i="81"/>
  <c r="L48" i="81"/>
  <c r="L56" i="81"/>
  <c r="I21" i="81"/>
  <c r="L47" i="81"/>
  <c r="K22" i="81"/>
  <c r="I19" i="81"/>
  <c r="K19" i="81"/>
  <c r="U116" i="81" l="1"/>
  <c r="P116" i="81"/>
  <c r="U64" i="81"/>
  <c r="P64" i="81"/>
  <c r="U12" i="81"/>
  <c r="N71" i="81"/>
  <c r="N17" i="81"/>
  <c r="N119" i="81"/>
  <c r="N66" i="81"/>
  <c r="P12" i="81"/>
  <c r="N16" i="81"/>
  <c r="N120" i="81"/>
  <c r="N118" i="81"/>
  <c r="N15" i="81"/>
  <c r="L138" i="81"/>
  <c r="L34" i="81"/>
  <c r="I86" i="81"/>
  <c r="J86" i="81"/>
  <c r="K86" i="81" s="1"/>
  <c r="J87" i="81"/>
  <c r="K87" i="81" s="1"/>
  <c r="I87" i="81"/>
  <c r="L85" i="81"/>
  <c r="L84" i="81"/>
  <c r="L86" i="81"/>
  <c r="L87" i="81"/>
  <c r="L88" i="81"/>
  <c r="L136" i="81"/>
  <c r="L35" i="81"/>
  <c r="I36" i="81" l="1"/>
  <c r="L36" i="81"/>
  <c r="H4086" i="81" l="1"/>
  <c r="H132" i="81"/>
  <c r="H28" i="81"/>
  <c r="J28" i="81" s="1"/>
  <c r="K28" i="81" s="1"/>
  <c r="H134" i="81"/>
  <c r="H30" i="81"/>
  <c r="J30" i="81" s="1"/>
  <c r="K30" i="81" s="1"/>
  <c r="H133" i="81"/>
  <c r="H29" i="81"/>
  <c r="J29" i="81" s="1"/>
  <c r="K29" i="81" s="1"/>
  <c r="H32" i="81"/>
  <c r="J32" i="81" s="1"/>
  <c r="K32" i="81" s="1"/>
  <c r="H137" i="81"/>
  <c r="H135" i="81"/>
  <c r="H31" i="81"/>
  <c r="J31" i="81" s="1"/>
  <c r="K31" i="81" s="1"/>
  <c r="H33" i="81"/>
  <c r="J33" i="81" s="1"/>
  <c r="K33" i="81" s="1"/>
  <c r="J4086" i="81" l="1"/>
  <c r="K4086" i="81" s="1"/>
  <c r="L4086" i="81"/>
  <c r="I4086" i="81"/>
  <c r="J133" i="81"/>
  <c r="K133" i="81" s="1"/>
  <c r="L133" i="81"/>
  <c r="J134" i="81"/>
  <c r="K134" i="81" s="1"/>
  <c r="L134" i="81"/>
  <c r="J135" i="81"/>
  <c r="K135" i="81" s="1"/>
  <c r="L135" i="81"/>
  <c r="J137" i="81"/>
  <c r="K137" i="81" s="1"/>
  <c r="L137" i="81"/>
  <c r="J132" i="81"/>
  <c r="K132" i="81" s="1"/>
  <c r="L132" i="81"/>
  <c r="I30" i="81"/>
  <c r="I135" i="81"/>
  <c r="I28" i="81"/>
  <c r="I132" i="81"/>
  <c r="I29" i="81"/>
  <c r="I32" i="81"/>
  <c r="I33" i="81"/>
  <c r="I137" i="81"/>
  <c r="I134" i="81"/>
  <c r="I31" i="81"/>
  <c r="I133" i="81"/>
  <c r="L28" i="81"/>
  <c r="L29" i="81"/>
  <c r="L32" i="81"/>
  <c r="L33" i="81"/>
  <c r="L30" i="81"/>
  <c r="L31" i="81"/>
  <c r="J91" i="82" l="1"/>
  <c r="J89" i="82" l="1"/>
  <c r="J86" i="82" l="1"/>
  <c r="K27" i="66" s="1"/>
  <c r="H82" i="81" l="1"/>
  <c r="H83" i="81"/>
  <c r="H80" i="81"/>
  <c r="H81" i="81"/>
  <c r="L83" i="81" l="1"/>
  <c r="I83" i="81"/>
  <c r="J83" i="81"/>
  <c r="K83" i="81" s="1"/>
  <c r="I82" i="81"/>
  <c r="J82" i="81"/>
  <c r="K82" i="81" s="1"/>
  <c r="L82" i="81"/>
  <c r="L81" i="81"/>
  <c r="J81" i="81"/>
  <c r="K81" i="81" s="1"/>
  <c r="J80" i="81"/>
  <c r="K80" i="81" s="1"/>
  <c r="L80" i="81"/>
  <c r="I81" i="81"/>
  <c r="I80" i="81"/>
  <c r="F8" i="81" l="1"/>
  <c r="F61" i="81" l="1"/>
  <c r="F165" i="81"/>
  <c r="J116" i="81" s="1"/>
  <c r="F113" i="81"/>
  <c r="J64" i="81" s="1"/>
  <c r="F38" i="81"/>
  <c r="F114" i="81" l="1"/>
  <c r="H193" i="82" s="1"/>
  <c r="K193" i="82" s="1"/>
  <c r="I74" i="66" s="1"/>
  <c r="I87" i="66" s="1"/>
  <c r="J21" i="82"/>
  <c r="K18" i="66" s="1"/>
  <c r="F166" i="81"/>
  <c r="I12" i="81"/>
  <c r="F39" i="81"/>
  <c r="J12" i="81"/>
  <c r="F62" i="81"/>
  <c r="H105" i="82" l="1"/>
  <c r="H192" i="82"/>
  <c r="H107" i="82"/>
  <c r="K107" i="82" s="1"/>
  <c r="L46" i="66" s="1"/>
  <c r="L59" i="66" s="1"/>
  <c r="H194" i="82"/>
  <c r="K194" i="82" s="1"/>
  <c r="L74" i="66" s="1"/>
  <c r="L87" i="66" s="1"/>
  <c r="G105" i="82"/>
  <c r="G192" i="82"/>
  <c r="H20" i="82"/>
  <c r="K20" i="82" s="1"/>
  <c r="I18" i="66" s="1"/>
  <c r="H106" i="82"/>
  <c r="K106" i="82" s="1"/>
  <c r="I46" i="66" s="1"/>
  <c r="I59" i="66" s="1"/>
  <c r="H21" i="82"/>
  <c r="K21" i="82" s="1"/>
  <c r="L18" i="66" s="1"/>
  <c r="H19" i="82"/>
  <c r="K19" i="82" s="1"/>
  <c r="F18" i="66" s="1"/>
  <c r="K192" i="82"/>
  <c r="G19" i="82"/>
  <c r="J19" i="82" s="1"/>
  <c r="E18" i="66" s="1"/>
  <c r="J20" i="82"/>
  <c r="H18" i="66" s="1"/>
  <c r="K190" i="82" l="1"/>
  <c r="H190" i="82" s="1"/>
  <c r="L239" i="82" s="1"/>
  <c r="F74" i="66"/>
  <c r="F87" i="66" s="1"/>
  <c r="J105" i="82"/>
  <c r="J192" i="82"/>
  <c r="K105" i="82"/>
  <c r="A8" i="81"/>
  <c r="B3248" i="81" l="1"/>
  <c r="B3300" i="81"/>
  <c r="B3144" i="81"/>
  <c r="B3352" i="81"/>
  <c r="B3196" i="81"/>
  <c r="B3664" i="81"/>
  <c r="K191" i="82"/>
  <c r="J190" i="82"/>
  <c r="G190" i="82" s="1"/>
  <c r="J191" i="82" s="1"/>
  <c r="E74" i="66"/>
  <c r="E87" i="66" s="1"/>
  <c r="K103" i="82"/>
  <c r="H103" i="82" s="1"/>
  <c r="L183" i="82" s="1"/>
  <c r="F46" i="66"/>
  <c r="F59" i="66" s="1"/>
  <c r="J103" i="82"/>
  <c r="G103" i="82" s="1"/>
  <c r="E46" i="66"/>
  <c r="E59" i="66" s="1"/>
  <c r="B2000" i="81"/>
  <c r="B804" i="81"/>
  <c r="B908" i="81"/>
  <c r="B1012" i="81"/>
  <c r="B3404" i="81"/>
  <c r="B1324" i="81"/>
  <c r="B3560" i="81"/>
  <c r="B3716" i="81"/>
  <c r="B1688" i="81"/>
  <c r="B1480" i="81"/>
  <c r="B2156" i="81"/>
  <c r="B1220" i="81"/>
  <c r="B1532" i="81"/>
  <c r="B2780" i="81"/>
  <c r="B3040" i="81"/>
  <c r="B2416" i="81"/>
  <c r="B3820" i="81"/>
  <c r="B2936" i="81"/>
  <c r="B2884" i="81"/>
  <c r="B2832" i="81"/>
  <c r="B2520" i="81"/>
  <c r="B1428" i="81"/>
  <c r="B3612" i="81"/>
  <c r="B2624" i="81"/>
  <c r="B4028" i="81"/>
  <c r="B3508" i="81"/>
  <c r="B3768" i="81"/>
  <c r="B1376" i="81"/>
  <c r="B2312" i="81"/>
  <c r="B2988" i="81"/>
  <c r="B2676" i="81"/>
  <c r="B2468" i="81"/>
  <c r="B3872" i="81"/>
  <c r="B3092" i="81"/>
  <c r="B2572" i="81"/>
  <c r="B3924" i="81"/>
  <c r="B2728" i="81"/>
  <c r="B2364" i="81"/>
  <c r="B3976" i="81"/>
  <c r="B3456" i="81"/>
  <c r="B2260" i="81"/>
  <c r="B2104" i="81"/>
  <c r="B2208" i="81"/>
  <c r="B1896" i="81"/>
  <c r="B1948" i="81"/>
  <c r="B1584" i="81"/>
  <c r="B1844" i="81"/>
  <c r="B1272" i="81"/>
  <c r="B1636" i="81"/>
  <c r="B4132" i="81"/>
  <c r="B1740" i="81"/>
  <c r="B1792" i="81"/>
  <c r="B596" i="81"/>
  <c r="B544" i="81"/>
  <c r="B492" i="81"/>
  <c r="B440" i="81"/>
  <c r="B4184" i="81"/>
  <c r="N238" i="82"/>
  <c r="B284" i="81"/>
  <c r="B232" i="81"/>
  <c r="B856" i="81"/>
  <c r="B336" i="81"/>
  <c r="B1064" i="81"/>
  <c r="B960" i="81"/>
  <c r="B1168" i="81"/>
  <c r="B1116" i="81"/>
  <c r="B180" i="81"/>
  <c r="B4080" i="81"/>
  <c r="B752" i="81"/>
  <c r="B2052" i="81"/>
  <c r="B648" i="81"/>
  <c r="B128" i="81"/>
  <c r="B24" i="81"/>
  <c r="B700" i="81"/>
  <c r="B388" i="81"/>
  <c r="B76" i="81"/>
  <c r="H155" i="83" l="1"/>
  <c r="I155" i="83" s="1"/>
  <c r="H146" i="83"/>
  <c r="I146" i="83" s="1"/>
  <c r="H150" i="83"/>
  <c r="I150" i="83" s="1"/>
  <c r="L238" i="82"/>
  <c r="K104" i="82"/>
  <c r="H87" i="83"/>
  <c r="I87" i="83" s="1"/>
  <c r="H78" i="83"/>
  <c r="I78" i="83" s="1"/>
  <c r="H89" i="83"/>
  <c r="I89" i="83" s="1"/>
  <c r="H129" i="83"/>
  <c r="I129" i="83" s="1"/>
  <c r="H148" i="83"/>
  <c r="I148" i="83" s="1"/>
  <c r="H96" i="83"/>
  <c r="I96" i="83" s="1"/>
  <c r="H101" i="83"/>
  <c r="I101" i="83" s="1"/>
  <c r="H94" i="83"/>
  <c r="I94" i="83" s="1"/>
  <c r="H174" i="83"/>
  <c r="I174" i="83" s="1"/>
  <c r="H176" i="83"/>
  <c r="I176" i="83" s="1"/>
  <c r="H175" i="83"/>
  <c r="I175" i="83" s="1"/>
  <c r="H38" i="83"/>
  <c r="I38" i="83" s="1"/>
  <c r="H120" i="83"/>
  <c r="I120" i="83" s="1"/>
  <c r="H130" i="83"/>
  <c r="I130" i="83" s="1"/>
  <c r="H114" i="83"/>
  <c r="I114" i="83" s="1"/>
  <c r="H98" i="83"/>
  <c r="I98" i="83" s="1"/>
  <c r="H145" i="83"/>
  <c r="I145" i="83" s="1"/>
  <c r="H88" i="83"/>
  <c r="I88" i="83" s="1"/>
  <c r="H58" i="83"/>
  <c r="I58" i="83" s="1"/>
  <c r="H99" i="83"/>
  <c r="I99" i="83" s="1"/>
  <c r="H179" i="83"/>
  <c r="I179" i="83" s="1"/>
  <c r="H46" i="83"/>
  <c r="I46" i="83" s="1"/>
  <c r="H62" i="83"/>
  <c r="I62" i="83" s="1"/>
  <c r="H107" i="83"/>
  <c r="I107" i="83" s="1"/>
  <c r="H124" i="83"/>
  <c r="I124" i="83" s="1"/>
  <c r="H48" i="83"/>
  <c r="I48" i="83" s="1"/>
  <c r="H106" i="83"/>
  <c r="I106" i="83" s="1"/>
  <c r="H80" i="83"/>
  <c r="I80" i="83" s="1"/>
  <c r="H72" i="83"/>
  <c r="I72" i="83" s="1"/>
  <c r="H128" i="83"/>
  <c r="I128" i="83" s="1"/>
  <c r="H131" i="83"/>
  <c r="I131" i="83" s="1"/>
  <c r="H35" i="83"/>
  <c r="I35" i="83" s="1"/>
  <c r="H136" i="83"/>
  <c r="I136" i="83" s="1"/>
  <c r="H34" i="83"/>
  <c r="I34" i="83" s="1"/>
  <c r="H160" i="83"/>
  <c r="I160" i="83" s="1"/>
  <c r="H126" i="83"/>
  <c r="I126" i="83" s="1"/>
  <c r="H39" i="83"/>
  <c r="I39" i="83" s="1"/>
  <c r="H64" i="83"/>
  <c r="I64" i="83" s="1"/>
  <c r="H147" i="83"/>
  <c r="I147" i="83" s="1"/>
  <c r="H177" i="83"/>
  <c r="I177" i="83" s="1"/>
  <c r="H117" i="83"/>
  <c r="I117" i="83" s="1"/>
  <c r="H152" i="83"/>
  <c r="I152" i="83" s="1"/>
  <c r="H93" i="83"/>
  <c r="I93" i="83" s="1"/>
  <c r="H91" i="83"/>
  <c r="I91" i="83" s="1"/>
  <c r="H79" i="83"/>
  <c r="I79" i="83" s="1"/>
  <c r="H74" i="83"/>
  <c r="I74" i="83" s="1"/>
  <c r="H76" i="83"/>
  <c r="I76" i="83" s="1"/>
  <c r="H140" i="83"/>
  <c r="I140" i="83" s="1"/>
  <c r="H151" i="83"/>
  <c r="I151" i="83" s="1"/>
  <c r="J104" i="82"/>
  <c r="N182" i="82"/>
  <c r="H30" i="83"/>
  <c r="I30" i="83" s="1"/>
  <c r="H31" i="83"/>
  <c r="I31" i="83" s="1"/>
  <c r="C39" i="91"/>
  <c r="C33" i="91"/>
  <c r="C22" i="91"/>
  <c r="C41" i="91" l="1"/>
  <c r="C40" i="91"/>
  <c r="C42" i="91" l="1"/>
  <c r="C43" i="91" s="1"/>
  <c r="F9" i="82" l="1"/>
  <c r="O11" i="83"/>
  <c r="K19" i="83" s="1"/>
  <c r="C8" i="81"/>
  <c r="E3238" i="81" l="1"/>
  <c r="F3238" i="81" s="1"/>
  <c r="H3290" i="81"/>
  <c r="E3290" i="81"/>
  <c r="F3290" i="81" s="1"/>
  <c r="H3238" i="81"/>
  <c r="C3248" i="81"/>
  <c r="C3300" i="81"/>
  <c r="C3144" i="81"/>
  <c r="C3352" i="81"/>
  <c r="C3196" i="81"/>
  <c r="C3664" i="81"/>
  <c r="C2000" i="81"/>
  <c r="C804" i="81"/>
  <c r="C908" i="81"/>
  <c r="C1012" i="81"/>
  <c r="C3404" i="81"/>
  <c r="C1324" i="81"/>
  <c r="C3716" i="81"/>
  <c r="C3560" i="81"/>
  <c r="C1480" i="81"/>
  <c r="C2156" i="81"/>
  <c r="C1220" i="81"/>
  <c r="C2780" i="81"/>
  <c r="C3040" i="81"/>
  <c r="C2416" i="81"/>
  <c r="C1532" i="81"/>
  <c r="C1688" i="81"/>
  <c r="H2770" i="81"/>
  <c r="E2770" i="81"/>
  <c r="C2832" i="81"/>
  <c r="C2936" i="81"/>
  <c r="C2520" i="81"/>
  <c r="C1428" i="81"/>
  <c r="C2884" i="81"/>
  <c r="C3820" i="81"/>
  <c r="C3612" i="81"/>
  <c r="E2926" i="81"/>
  <c r="F2926" i="81" s="1"/>
  <c r="H2874" i="81"/>
  <c r="H2926" i="81"/>
  <c r="E2874" i="81"/>
  <c r="F2874" i="81" s="1"/>
  <c r="H2822" i="81"/>
  <c r="E2822" i="81"/>
  <c r="F2822" i="81" s="1"/>
  <c r="E2614" i="81"/>
  <c r="F2614" i="81" s="1"/>
  <c r="H2614" i="81"/>
  <c r="C4028" i="81"/>
  <c r="C3508" i="81"/>
  <c r="C3768" i="81"/>
  <c r="C1376" i="81"/>
  <c r="C2312" i="81"/>
  <c r="C2988" i="81"/>
  <c r="C2676" i="81"/>
  <c r="C2468" i="81"/>
  <c r="C3872" i="81"/>
  <c r="C3092" i="81"/>
  <c r="C2572" i="81"/>
  <c r="C3924" i="81"/>
  <c r="C2728" i="81"/>
  <c r="C2364" i="81"/>
  <c r="C3976" i="81"/>
  <c r="C3456" i="81"/>
  <c r="C2624" i="81"/>
  <c r="C2260" i="81"/>
  <c r="C2104" i="81"/>
  <c r="C2208" i="81"/>
  <c r="C1896" i="81"/>
  <c r="C1948" i="81"/>
  <c r="C1844" i="81"/>
  <c r="C1584" i="81"/>
  <c r="C1272" i="81"/>
  <c r="C1636" i="81"/>
  <c r="C1792" i="81"/>
  <c r="C1740" i="81"/>
  <c r="C4132" i="81"/>
  <c r="C596" i="81"/>
  <c r="C544" i="81"/>
  <c r="C492" i="81"/>
  <c r="C440" i="81"/>
  <c r="C4184" i="81"/>
  <c r="C232" i="81"/>
  <c r="K24" i="83"/>
  <c r="F67" i="81"/>
  <c r="C336" i="81"/>
  <c r="C284" i="81"/>
  <c r="C856" i="81"/>
  <c r="K23" i="83"/>
  <c r="K16" i="83"/>
  <c r="C1064" i="81"/>
  <c r="C960" i="81"/>
  <c r="C1168" i="81"/>
  <c r="C1116" i="81"/>
  <c r="C180" i="81"/>
  <c r="C2052" i="81"/>
  <c r="C752" i="81"/>
  <c r="C648" i="81"/>
  <c r="C700" i="81"/>
  <c r="C388" i="81"/>
  <c r="K15" i="83"/>
  <c r="K18" i="83"/>
  <c r="C4080" i="81"/>
  <c r="K20" i="83"/>
  <c r="F69" i="81"/>
  <c r="F68" i="81"/>
  <c r="K25" i="83"/>
  <c r="K14" i="83"/>
  <c r="C76" i="81"/>
  <c r="C24" i="81"/>
  <c r="C128" i="81"/>
  <c r="K12" i="83"/>
  <c r="K21" i="83"/>
  <c r="H3135" i="81" l="1"/>
  <c r="H3343" i="81"/>
  <c r="E3187" i="81"/>
  <c r="F3187" i="81" s="1"/>
  <c r="E3135" i="81"/>
  <c r="F3135" i="81" s="1"/>
  <c r="H3187" i="81"/>
  <c r="E3343" i="81"/>
  <c r="F3343" i="81" s="1"/>
  <c r="E3239" i="81"/>
  <c r="F3239" i="81" s="1"/>
  <c r="H3134" i="81"/>
  <c r="H3291" i="81"/>
  <c r="H3186" i="81"/>
  <c r="E3291" i="81"/>
  <c r="F3291" i="81" s="1"/>
  <c r="H3342" i="81"/>
  <c r="E3186" i="81"/>
  <c r="F3186" i="81" s="1"/>
  <c r="H3239" i="81"/>
  <c r="E3342" i="81"/>
  <c r="F3342" i="81" s="1"/>
  <c r="E3134" i="81"/>
  <c r="F3134" i="81" s="1"/>
  <c r="J3238" i="81"/>
  <c r="K3238" i="81" s="1"/>
  <c r="I3238" i="81"/>
  <c r="L3238" i="81"/>
  <c r="J3290" i="81"/>
  <c r="K3290" i="81" s="1"/>
  <c r="I3290" i="81"/>
  <c r="L3290" i="81"/>
  <c r="F3144" i="81"/>
  <c r="M3132" i="81" s="1"/>
  <c r="H3654" i="81"/>
  <c r="E3654" i="81"/>
  <c r="F3654" i="81" s="1"/>
  <c r="E3655" i="81"/>
  <c r="F3655" i="81" s="1"/>
  <c r="H3655" i="81"/>
  <c r="H3711" i="81"/>
  <c r="E3711" i="81"/>
  <c r="F3711" i="81" s="1"/>
  <c r="H3710" i="81"/>
  <c r="E3710" i="81"/>
  <c r="F3710" i="81" s="1"/>
  <c r="E1991" i="81"/>
  <c r="F1991" i="81" s="1"/>
  <c r="H1991" i="81"/>
  <c r="E1990" i="81"/>
  <c r="F1990" i="81" s="1"/>
  <c r="H1990" i="81"/>
  <c r="H1523" i="81"/>
  <c r="H1471" i="81"/>
  <c r="E1523" i="81"/>
  <c r="F1523" i="81" s="1"/>
  <c r="E1471" i="81"/>
  <c r="F1471" i="81" s="1"/>
  <c r="H795" i="81"/>
  <c r="E899" i="81"/>
  <c r="F899" i="81" s="1"/>
  <c r="E795" i="81"/>
  <c r="H899" i="81"/>
  <c r="E1003" i="81"/>
  <c r="F1003" i="81" s="1"/>
  <c r="H1003" i="81"/>
  <c r="H794" i="81"/>
  <c r="E898" i="81"/>
  <c r="F898" i="81" s="1"/>
  <c r="H1002" i="81"/>
  <c r="E1002" i="81"/>
  <c r="F1002" i="81" s="1"/>
  <c r="H898" i="81"/>
  <c r="E794" i="81"/>
  <c r="H3550" i="81"/>
  <c r="E3550" i="81"/>
  <c r="F3550" i="81" s="1"/>
  <c r="H3394" i="81"/>
  <c r="E1314" i="81"/>
  <c r="F1314" i="81" s="1"/>
  <c r="H1314" i="81"/>
  <c r="E3394" i="81"/>
  <c r="F3394" i="81" s="1"/>
  <c r="H2771" i="81"/>
  <c r="E2147" i="81"/>
  <c r="F2147" i="81" s="1"/>
  <c r="E1211" i="81"/>
  <c r="F1211" i="81" s="1"/>
  <c r="H2406" i="81"/>
  <c r="H3030" i="81"/>
  <c r="H1679" i="81"/>
  <c r="E2771" i="81"/>
  <c r="F2771" i="81" s="1"/>
  <c r="E1522" i="81"/>
  <c r="F1522" i="81" s="1"/>
  <c r="H1470" i="81"/>
  <c r="E3030" i="81"/>
  <c r="F3030" i="81" s="1"/>
  <c r="E1679" i="81"/>
  <c r="F1679" i="81" s="1"/>
  <c r="H1522" i="81"/>
  <c r="H1211" i="81"/>
  <c r="E2406" i="81"/>
  <c r="F2406" i="81" s="1"/>
  <c r="H2147" i="81"/>
  <c r="E1470" i="81"/>
  <c r="F1470" i="81" s="1"/>
  <c r="I2770" i="81"/>
  <c r="F2770" i="81"/>
  <c r="H3395" i="81"/>
  <c r="H3551" i="81"/>
  <c r="H1315" i="81"/>
  <c r="E1315" i="81"/>
  <c r="F1315" i="81" s="1"/>
  <c r="E3395" i="81"/>
  <c r="F3395" i="81" s="1"/>
  <c r="H3707" i="81"/>
  <c r="E3551" i="81"/>
  <c r="F3551" i="81" s="1"/>
  <c r="E3707" i="81"/>
  <c r="F3707" i="81" s="1"/>
  <c r="E2146" i="81"/>
  <c r="F2146" i="81" s="1"/>
  <c r="E2407" i="81"/>
  <c r="F2407" i="81" s="1"/>
  <c r="H1678" i="81"/>
  <c r="E1210" i="81"/>
  <c r="F1210" i="81" s="1"/>
  <c r="E3031" i="81"/>
  <c r="F3031" i="81" s="1"/>
  <c r="E1678" i="81"/>
  <c r="F1678" i="81" s="1"/>
  <c r="H2407" i="81"/>
  <c r="H1210" i="81"/>
  <c r="H2146" i="81"/>
  <c r="H3031" i="81"/>
  <c r="J2770" i="81"/>
  <c r="K2770" i="81" s="1"/>
  <c r="L2770" i="81"/>
  <c r="H2875" i="81"/>
  <c r="E2875" i="81"/>
  <c r="F2875" i="81" s="1"/>
  <c r="E2927" i="81"/>
  <c r="F2927" i="81" s="1"/>
  <c r="H2927" i="81"/>
  <c r="I2926" i="81"/>
  <c r="L2926" i="81"/>
  <c r="J2926" i="81"/>
  <c r="K2926" i="81" s="1"/>
  <c r="L2874" i="81"/>
  <c r="I2874" i="81"/>
  <c r="J2874" i="81"/>
  <c r="K2874" i="81" s="1"/>
  <c r="E2615" i="81"/>
  <c r="F2615" i="81" s="1"/>
  <c r="H2823" i="81"/>
  <c r="H2615" i="81"/>
  <c r="E2823" i="81"/>
  <c r="J2614" i="81"/>
  <c r="K2614" i="81" s="1"/>
  <c r="I2614" i="81"/>
  <c r="L2614" i="81"/>
  <c r="J2822" i="81"/>
  <c r="K2822" i="81" s="1"/>
  <c r="I2822" i="81"/>
  <c r="L2822" i="81"/>
  <c r="E2563" i="81"/>
  <c r="F2563" i="81" s="1"/>
  <c r="H1419" i="81"/>
  <c r="H2355" i="81"/>
  <c r="E1419" i="81"/>
  <c r="F1419" i="81" s="1"/>
  <c r="E2355" i="81"/>
  <c r="F2355" i="81" s="1"/>
  <c r="H2303" i="81"/>
  <c r="H2563" i="81"/>
  <c r="E2303" i="81"/>
  <c r="F2303" i="81" s="1"/>
  <c r="H2719" i="81"/>
  <c r="E2719" i="81"/>
  <c r="F2719" i="81" s="1"/>
  <c r="H2302" i="81"/>
  <c r="E2302" i="81"/>
  <c r="F2302" i="81" s="1"/>
  <c r="H1418" i="81"/>
  <c r="H2458" i="81"/>
  <c r="H2718" i="81"/>
  <c r="E2458" i="81"/>
  <c r="F2458" i="81" s="1"/>
  <c r="F2468" i="81" s="1"/>
  <c r="H2562" i="81"/>
  <c r="H2354" i="81"/>
  <c r="E2354" i="81"/>
  <c r="F2354" i="81" s="1"/>
  <c r="E2510" i="81"/>
  <c r="F2510" i="81" s="1"/>
  <c r="F2520" i="81" s="1"/>
  <c r="E2718" i="81"/>
  <c r="F2718" i="81" s="1"/>
  <c r="E1418" i="81"/>
  <c r="E2562" i="81"/>
  <c r="F2562" i="81" s="1"/>
  <c r="H2510" i="81"/>
  <c r="H1367" i="81"/>
  <c r="E1367" i="81"/>
  <c r="F1367" i="81" s="1"/>
  <c r="H2667" i="81"/>
  <c r="E2667" i="81"/>
  <c r="F2667" i="81" s="1"/>
  <c r="H1366" i="81"/>
  <c r="E1366" i="81"/>
  <c r="F1366" i="81" s="1"/>
  <c r="H2666" i="81"/>
  <c r="E2666" i="81"/>
  <c r="F2666" i="81" s="1"/>
  <c r="H4018" i="81"/>
  <c r="E4018" i="81"/>
  <c r="F4018" i="81" s="1"/>
  <c r="E4019" i="81"/>
  <c r="F4019" i="81" s="1"/>
  <c r="H4019" i="81"/>
  <c r="H3914" i="81"/>
  <c r="E3914" i="81"/>
  <c r="F3914" i="81" s="1"/>
  <c r="H3966" i="81"/>
  <c r="E3966" i="81"/>
  <c r="F3966" i="81" s="1"/>
  <c r="H3867" i="81"/>
  <c r="E3867" i="81"/>
  <c r="F3867" i="81" s="1"/>
  <c r="H3758" i="81"/>
  <c r="E3810" i="81"/>
  <c r="F3810" i="81" s="1"/>
  <c r="H3810" i="81"/>
  <c r="E3758" i="81"/>
  <c r="F3758" i="81" s="1"/>
  <c r="H2979" i="81"/>
  <c r="E2979" i="81"/>
  <c r="F2979" i="81" s="1"/>
  <c r="H3447" i="81"/>
  <c r="E3083" i="81"/>
  <c r="F3083" i="81" s="1"/>
  <c r="E3603" i="81"/>
  <c r="F3603" i="81" s="1"/>
  <c r="H2251" i="81"/>
  <c r="E2251" i="81"/>
  <c r="F2251" i="81" s="1"/>
  <c r="E3447" i="81"/>
  <c r="F3447" i="81" s="1"/>
  <c r="H3083" i="81"/>
  <c r="E3499" i="81"/>
  <c r="F3499" i="81" s="1"/>
  <c r="H3499" i="81"/>
  <c r="H3603" i="81"/>
  <c r="E3498" i="81"/>
  <c r="F3498" i="81" s="1"/>
  <c r="E3446" i="81"/>
  <c r="F3446" i="81" s="1"/>
  <c r="H2250" i="81"/>
  <c r="H3446" i="81"/>
  <c r="E2250" i="81"/>
  <c r="F2250" i="81" s="1"/>
  <c r="H2978" i="81"/>
  <c r="E2978" i="81"/>
  <c r="F2978" i="81" s="1"/>
  <c r="H3498" i="81"/>
  <c r="E3082" i="81"/>
  <c r="F3082" i="81" s="1"/>
  <c r="H3602" i="81"/>
  <c r="E3602" i="81"/>
  <c r="F3602" i="81" s="1"/>
  <c r="H3082" i="81"/>
  <c r="H3812" i="81"/>
  <c r="E3812" i="81"/>
  <c r="F3812" i="81" s="1"/>
  <c r="H3866" i="81"/>
  <c r="E3866" i="81"/>
  <c r="F3866" i="81" s="1"/>
  <c r="H3865" i="81"/>
  <c r="E3865" i="81"/>
  <c r="F3865" i="81" s="1"/>
  <c r="E2198" i="81"/>
  <c r="F2198" i="81" s="1"/>
  <c r="H2198" i="81"/>
  <c r="H2094" i="81"/>
  <c r="E2094" i="81"/>
  <c r="F2094" i="81" s="1"/>
  <c r="E2199" i="81"/>
  <c r="F2199" i="81" s="1"/>
  <c r="E2095" i="81"/>
  <c r="F2095" i="81" s="1"/>
  <c r="H2199" i="81"/>
  <c r="H2095" i="81"/>
  <c r="E1887" i="81"/>
  <c r="F1887" i="81" s="1"/>
  <c r="H1627" i="81"/>
  <c r="H1887" i="81"/>
  <c r="E1627" i="81"/>
  <c r="F1627" i="81" s="1"/>
  <c r="E1886" i="81"/>
  <c r="F1886" i="81" s="1"/>
  <c r="H1886" i="81"/>
  <c r="H1626" i="81"/>
  <c r="E1626" i="81"/>
  <c r="F1626" i="81" s="1"/>
  <c r="E437" i="81"/>
  <c r="F437" i="81" s="1"/>
  <c r="H437" i="81"/>
  <c r="H432" i="81"/>
  <c r="E432" i="81"/>
  <c r="F432" i="81" s="1"/>
  <c r="H433" i="81"/>
  <c r="E433" i="81"/>
  <c r="F433" i="81" s="1"/>
  <c r="E15" i="81"/>
  <c r="E434" i="81"/>
  <c r="F434" i="81" s="1"/>
  <c r="H434" i="81"/>
  <c r="E1109" i="81"/>
  <c r="F1109" i="81" s="1"/>
  <c r="H435" i="81"/>
  <c r="E435" i="81"/>
  <c r="F435" i="81" s="1"/>
  <c r="E1262" i="81"/>
  <c r="F1262" i="81" s="1"/>
  <c r="H1262" i="81"/>
  <c r="H534" i="81"/>
  <c r="E4175" i="81"/>
  <c r="F4175" i="81" s="1"/>
  <c r="E586" i="81"/>
  <c r="F586" i="81" s="1"/>
  <c r="E1730" i="81"/>
  <c r="F1730" i="81" s="1"/>
  <c r="E534" i="81"/>
  <c r="F534" i="81" s="1"/>
  <c r="H4122" i="81"/>
  <c r="H586" i="81"/>
  <c r="H4175" i="81"/>
  <c r="H1730" i="81"/>
  <c r="H1782" i="81"/>
  <c r="E1782" i="81"/>
  <c r="F1782" i="81" s="1"/>
  <c r="E4122" i="81"/>
  <c r="E430" i="81"/>
  <c r="F430" i="81" s="1"/>
  <c r="H430" i="81"/>
  <c r="E1263" i="81"/>
  <c r="F1263" i="81" s="1"/>
  <c r="H1263" i="81"/>
  <c r="E4174" i="81"/>
  <c r="F4174" i="81" s="1"/>
  <c r="H1783" i="81"/>
  <c r="H4123" i="81"/>
  <c r="E4123" i="81"/>
  <c r="F4123" i="81" s="1"/>
  <c r="E535" i="81"/>
  <c r="F535" i="81" s="1"/>
  <c r="E1783" i="81"/>
  <c r="F1783" i="81" s="1"/>
  <c r="H535" i="81"/>
  <c r="E587" i="81"/>
  <c r="H482" i="81"/>
  <c r="E1731" i="81"/>
  <c r="F1731" i="81" s="1"/>
  <c r="H4174" i="81"/>
  <c r="H1731" i="81"/>
  <c r="E482" i="81"/>
  <c r="F482" i="81" s="1"/>
  <c r="F492" i="81" s="1"/>
  <c r="M480" i="81" s="1"/>
  <c r="H587" i="81"/>
  <c r="E14" i="81"/>
  <c r="F14" i="81" s="1"/>
  <c r="H14" i="81"/>
  <c r="F18" i="81"/>
  <c r="H18" i="81"/>
  <c r="F644" i="81"/>
  <c r="E4070" i="81"/>
  <c r="F4070" i="81" s="1"/>
  <c r="H4070" i="81"/>
  <c r="H227" i="81"/>
  <c r="E227" i="81"/>
  <c r="F227" i="81" s="1"/>
  <c r="H224" i="81"/>
  <c r="E224" i="81"/>
  <c r="F224" i="81" s="1"/>
  <c r="H327" i="81"/>
  <c r="H274" i="81"/>
  <c r="E274" i="81"/>
  <c r="F274" i="81" s="1"/>
  <c r="F284" i="81" s="1"/>
  <c r="E327" i="81"/>
  <c r="H326" i="81"/>
  <c r="E326" i="81"/>
  <c r="E225" i="81"/>
  <c r="F225" i="81" s="1"/>
  <c r="H225" i="81"/>
  <c r="H229" i="81"/>
  <c r="E229" i="81"/>
  <c r="F229" i="81" s="1"/>
  <c r="E222" i="81"/>
  <c r="F222" i="81" s="1"/>
  <c r="H222" i="81"/>
  <c r="H226" i="81"/>
  <c r="E226" i="81"/>
  <c r="F226" i="81" s="1"/>
  <c r="H644" i="81"/>
  <c r="E385" i="81"/>
  <c r="F385" i="81" s="1"/>
  <c r="H385" i="81"/>
  <c r="E380" i="81"/>
  <c r="F380" i="81" s="1"/>
  <c r="H380" i="81"/>
  <c r="E381" i="81"/>
  <c r="F381" i="81" s="1"/>
  <c r="H381" i="81"/>
  <c r="E382" i="81"/>
  <c r="F382" i="81" s="1"/>
  <c r="H382" i="81"/>
  <c r="E384" i="81"/>
  <c r="F384" i="81" s="1"/>
  <c r="H384" i="81"/>
  <c r="E386" i="81"/>
  <c r="F386" i="81" s="1"/>
  <c r="H386" i="81"/>
  <c r="H1109" i="81"/>
  <c r="L1109" i="81" s="1"/>
  <c r="E383" i="81"/>
  <c r="F383" i="81" s="1"/>
  <c r="H383" i="81"/>
  <c r="E638" i="81"/>
  <c r="F638" i="81" s="1"/>
  <c r="H638" i="81"/>
  <c r="E2043" i="81"/>
  <c r="F2043" i="81" s="1"/>
  <c r="H2043" i="81"/>
  <c r="E640" i="81"/>
  <c r="F640" i="81" s="1"/>
  <c r="H640" i="81"/>
  <c r="E641" i="81"/>
  <c r="F641" i="81" s="1"/>
  <c r="H641" i="81"/>
  <c r="E2042" i="81"/>
  <c r="F2042" i="81" s="1"/>
  <c r="H2042" i="81"/>
  <c r="E1835" i="81"/>
  <c r="F1835" i="81" s="1"/>
  <c r="E4071" i="81"/>
  <c r="F4071" i="81" s="1"/>
  <c r="E1575" i="81"/>
  <c r="F1575" i="81" s="1"/>
  <c r="E1939" i="81"/>
  <c r="F1939" i="81" s="1"/>
  <c r="H1835" i="81"/>
  <c r="H1575" i="81"/>
  <c r="H1939" i="81"/>
  <c r="E1574" i="81"/>
  <c r="F1574" i="81" s="1"/>
  <c r="H1574" i="81"/>
  <c r="H950" i="81"/>
  <c r="E950" i="81"/>
  <c r="F950" i="81" s="1"/>
  <c r="E1106" i="81"/>
  <c r="F1106" i="81" s="1"/>
  <c r="H1106" i="81"/>
  <c r="H1107" i="81"/>
  <c r="E1107" i="81"/>
  <c r="F1107" i="81" s="1"/>
  <c r="H951" i="81"/>
  <c r="E951" i="81"/>
  <c r="F951" i="81" s="1"/>
  <c r="H846" i="81"/>
  <c r="E846" i="81"/>
  <c r="F846" i="81" s="1"/>
  <c r="H847" i="81"/>
  <c r="E847" i="81"/>
  <c r="F847" i="81" s="1"/>
  <c r="E691" i="81"/>
  <c r="F691" i="81" s="1"/>
  <c r="H691" i="81"/>
  <c r="E172" i="81"/>
  <c r="F172" i="81" s="1"/>
  <c r="H172" i="81"/>
  <c r="E16" i="81"/>
  <c r="F16" i="81" s="1"/>
  <c r="F119" i="81"/>
  <c r="E66" i="81"/>
  <c r="F66" i="81" s="1"/>
  <c r="E742" i="81"/>
  <c r="F742" i="81" s="1"/>
  <c r="F71" i="81"/>
  <c r="H742" i="81"/>
  <c r="H69" i="81"/>
  <c r="H67" i="81"/>
  <c r="H71" i="81"/>
  <c r="H66" i="81"/>
  <c r="H119" i="81"/>
  <c r="H16" i="81"/>
  <c r="F3196" i="81" l="1"/>
  <c r="M3184" i="81" s="1"/>
  <c r="F3352" i="81"/>
  <c r="M3340" i="81" s="1"/>
  <c r="J3342" i="81"/>
  <c r="K3342" i="81" s="1"/>
  <c r="I3342" i="81"/>
  <c r="L3342" i="81"/>
  <c r="J3186" i="81"/>
  <c r="K3186" i="81" s="1"/>
  <c r="I3186" i="81"/>
  <c r="L3186" i="81"/>
  <c r="J3291" i="81"/>
  <c r="K3291" i="81" s="1"/>
  <c r="I3291" i="81"/>
  <c r="L3291" i="81"/>
  <c r="J3134" i="81"/>
  <c r="K3134" i="81" s="1"/>
  <c r="I3134" i="81"/>
  <c r="L3134" i="81"/>
  <c r="J3187" i="81"/>
  <c r="K3187" i="81" s="1"/>
  <c r="I3187" i="81"/>
  <c r="L3187" i="81"/>
  <c r="J3239" i="81"/>
  <c r="K3239" i="81" s="1"/>
  <c r="I3239" i="81"/>
  <c r="L3239" i="81"/>
  <c r="J3343" i="81"/>
  <c r="K3343" i="81" s="1"/>
  <c r="I3343" i="81"/>
  <c r="L3343" i="81"/>
  <c r="J3135" i="81"/>
  <c r="K3135" i="81" s="1"/>
  <c r="I3135" i="81"/>
  <c r="L3135" i="81"/>
  <c r="F3145" i="81"/>
  <c r="F3146" i="81" s="1"/>
  <c r="F3664" i="81"/>
  <c r="J3654" i="81"/>
  <c r="K3654" i="81" s="1"/>
  <c r="I3654" i="81"/>
  <c r="L3654" i="81"/>
  <c r="I3655" i="81"/>
  <c r="J3655" i="81"/>
  <c r="K3655" i="81" s="1"/>
  <c r="L3655" i="81"/>
  <c r="I3710" i="81"/>
  <c r="J3710" i="81"/>
  <c r="K3710" i="81" s="1"/>
  <c r="L3710" i="81"/>
  <c r="J3711" i="81"/>
  <c r="K3711" i="81" s="1"/>
  <c r="I3711" i="81"/>
  <c r="L3711" i="81"/>
  <c r="L1471" i="81"/>
  <c r="J1471" i="81"/>
  <c r="K1471" i="81" s="1"/>
  <c r="I1471" i="81"/>
  <c r="F908" i="81"/>
  <c r="F909" i="81" s="1"/>
  <c r="F910" i="81" s="1"/>
  <c r="F125" i="82" s="1"/>
  <c r="I1523" i="81"/>
  <c r="L1523" i="81"/>
  <c r="J1523" i="81"/>
  <c r="K1523" i="81" s="1"/>
  <c r="L1990" i="81"/>
  <c r="J1990" i="81"/>
  <c r="K1990" i="81" s="1"/>
  <c r="I1990" i="81"/>
  <c r="F2000" i="81"/>
  <c r="F2001" i="81" s="1"/>
  <c r="F2002" i="81" s="1"/>
  <c r="L1991" i="81"/>
  <c r="I1991" i="81"/>
  <c r="J1991" i="81"/>
  <c r="K1991" i="81" s="1"/>
  <c r="F1012" i="81"/>
  <c r="M1000" i="81" s="1"/>
  <c r="I794" i="81"/>
  <c r="F794" i="81"/>
  <c r="L898" i="81"/>
  <c r="J898" i="81"/>
  <c r="K898" i="81" s="1"/>
  <c r="I898" i="81"/>
  <c r="J794" i="81"/>
  <c r="K794" i="81" s="1"/>
  <c r="L794" i="81"/>
  <c r="L1002" i="81"/>
  <c r="I1002" i="81"/>
  <c r="J1002" i="81"/>
  <c r="K1002" i="81" s="1"/>
  <c r="J1003" i="81"/>
  <c r="K1003" i="81" s="1"/>
  <c r="L1003" i="81"/>
  <c r="I1003" i="81"/>
  <c r="L899" i="81"/>
  <c r="J899" i="81"/>
  <c r="K899" i="81" s="1"/>
  <c r="I899" i="81"/>
  <c r="I795" i="81"/>
  <c r="F795" i="81"/>
  <c r="J795" i="81"/>
  <c r="K795" i="81" s="1"/>
  <c r="L795" i="81"/>
  <c r="F3040" i="81"/>
  <c r="M3028" i="81" s="1"/>
  <c r="F3560" i="81"/>
  <c r="F3561" i="81" s="1"/>
  <c r="H3548" i="81" s="1"/>
  <c r="K3548" i="81" s="1"/>
  <c r="J1678" i="81"/>
  <c r="K1678" i="81" s="1"/>
  <c r="I1678" i="81"/>
  <c r="L1678" i="81"/>
  <c r="J3551" i="81"/>
  <c r="K3551" i="81" s="1"/>
  <c r="I3551" i="81"/>
  <c r="L3551" i="81"/>
  <c r="J1470" i="81"/>
  <c r="K1470" i="81" s="1"/>
  <c r="I1470" i="81"/>
  <c r="L1470" i="81"/>
  <c r="I2406" i="81"/>
  <c r="L2406" i="81"/>
  <c r="J2406" i="81"/>
  <c r="K2406" i="81" s="1"/>
  <c r="F3404" i="81"/>
  <c r="J3550" i="81"/>
  <c r="K3550" i="81" s="1"/>
  <c r="L3550" i="81"/>
  <c r="I3550" i="81"/>
  <c r="I3395" i="81"/>
  <c r="J3395" i="81"/>
  <c r="K3395" i="81" s="1"/>
  <c r="L3395" i="81"/>
  <c r="I2771" i="81"/>
  <c r="J2771" i="81"/>
  <c r="K2771" i="81" s="1"/>
  <c r="L2771" i="81"/>
  <c r="J3707" i="81"/>
  <c r="K3707" i="81" s="1"/>
  <c r="I3707" i="81"/>
  <c r="L3707" i="81"/>
  <c r="F2416" i="81"/>
  <c r="F2417" i="81" s="1"/>
  <c r="L1211" i="81"/>
  <c r="J1211" i="81"/>
  <c r="K1211" i="81" s="1"/>
  <c r="I1211" i="81"/>
  <c r="L2407" i="81"/>
  <c r="I2407" i="81"/>
  <c r="J2407" i="81"/>
  <c r="K2407" i="81" s="1"/>
  <c r="F1532" i="81"/>
  <c r="M1520" i="81" s="1"/>
  <c r="J1314" i="81"/>
  <c r="K1314" i="81" s="1"/>
  <c r="I1314" i="81"/>
  <c r="L1314" i="81"/>
  <c r="F1688" i="81"/>
  <c r="M1676" i="81" s="1"/>
  <c r="I3031" i="81"/>
  <c r="L3031" i="81"/>
  <c r="J3031" i="81"/>
  <c r="K3031" i="81" s="1"/>
  <c r="I2147" i="81"/>
  <c r="L2147" i="81"/>
  <c r="J2147" i="81"/>
  <c r="K2147" i="81" s="1"/>
  <c r="L1522" i="81"/>
  <c r="J1522" i="81"/>
  <c r="K1522" i="81" s="1"/>
  <c r="I1522" i="81"/>
  <c r="F1324" i="81"/>
  <c r="F1325" i="81" s="1"/>
  <c r="L1210" i="81"/>
  <c r="J1210" i="81"/>
  <c r="K1210" i="81" s="1"/>
  <c r="I1210" i="81"/>
  <c r="F2156" i="81"/>
  <c r="M2144" i="81" s="1"/>
  <c r="F1480" i="81"/>
  <c r="F1481" i="81" s="1"/>
  <c r="J1679" i="81"/>
  <c r="K1679" i="81" s="1"/>
  <c r="L1679" i="81"/>
  <c r="I1679" i="81"/>
  <c r="I3394" i="81"/>
  <c r="J3394" i="81"/>
  <c r="K3394" i="81" s="1"/>
  <c r="L3394" i="81"/>
  <c r="I2146" i="81"/>
  <c r="J2146" i="81"/>
  <c r="K2146" i="81" s="1"/>
  <c r="L2146" i="81"/>
  <c r="F1220" i="81"/>
  <c r="M1208" i="81" s="1"/>
  <c r="I1315" i="81"/>
  <c r="J1315" i="81"/>
  <c r="K1315" i="81" s="1"/>
  <c r="L1315" i="81"/>
  <c r="L3030" i="81"/>
  <c r="J3030" i="81"/>
  <c r="K3030" i="81" s="1"/>
  <c r="I3030" i="81"/>
  <c r="J147" i="82"/>
  <c r="J146" i="82"/>
  <c r="L2927" i="81"/>
  <c r="I2927" i="81"/>
  <c r="J2927" i="81"/>
  <c r="K2927" i="81" s="1"/>
  <c r="J2875" i="81"/>
  <c r="K2875" i="81" s="1"/>
  <c r="L2875" i="81"/>
  <c r="I2875" i="81"/>
  <c r="F2312" i="81"/>
  <c r="I2823" i="81"/>
  <c r="F2823" i="81"/>
  <c r="L2615" i="81"/>
  <c r="J2615" i="81"/>
  <c r="K2615" i="81" s="1"/>
  <c r="I2615" i="81"/>
  <c r="L2823" i="81"/>
  <c r="J2823" i="81"/>
  <c r="K2823" i="81" s="1"/>
  <c r="F2572" i="81"/>
  <c r="F2573" i="81" s="1"/>
  <c r="H2560" i="81" s="1"/>
  <c r="K2560" i="81" s="1"/>
  <c r="F2364" i="81"/>
  <c r="F2728" i="81"/>
  <c r="F1376" i="81"/>
  <c r="F1377" i="81" s="1"/>
  <c r="F1378" i="81" s="1"/>
  <c r="F2676" i="81"/>
  <c r="J2719" i="81"/>
  <c r="K2719" i="81" s="1"/>
  <c r="L2719" i="81"/>
  <c r="I2719" i="81"/>
  <c r="L2354" i="81"/>
  <c r="J2354" i="81"/>
  <c r="K2354" i="81" s="1"/>
  <c r="I2354" i="81"/>
  <c r="J2562" i="81"/>
  <c r="K2562" i="81" s="1"/>
  <c r="L2562" i="81"/>
  <c r="I2562" i="81"/>
  <c r="J2563" i="81"/>
  <c r="K2563" i="81" s="1"/>
  <c r="I2563" i="81"/>
  <c r="L2563" i="81"/>
  <c r="L2718" i="81"/>
  <c r="I2718" i="81"/>
  <c r="J2718" i="81"/>
  <c r="K2718" i="81" s="1"/>
  <c r="J2303" i="81"/>
  <c r="K2303" i="81" s="1"/>
  <c r="L2303" i="81"/>
  <c r="I2303" i="81"/>
  <c r="J2458" i="81"/>
  <c r="K2458" i="81" s="1"/>
  <c r="I2458" i="81"/>
  <c r="L2458" i="81"/>
  <c r="T2456" i="81" s="1"/>
  <c r="V2456" i="81" s="1"/>
  <c r="J1418" i="81"/>
  <c r="K1418" i="81" s="1"/>
  <c r="L1418" i="81"/>
  <c r="F3508" i="81"/>
  <c r="J2510" i="81"/>
  <c r="K2510" i="81" s="1"/>
  <c r="L2510" i="81"/>
  <c r="T2508" i="81" s="1"/>
  <c r="V2508" i="81" s="1"/>
  <c r="I2510" i="81"/>
  <c r="I2355" i="81"/>
  <c r="L2355" i="81"/>
  <c r="J2355" i="81"/>
  <c r="K2355" i="81" s="1"/>
  <c r="I1418" i="81"/>
  <c r="F1418" i="81"/>
  <c r="F1428" i="81" s="1"/>
  <c r="J1419" i="81"/>
  <c r="K1419" i="81" s="1"/>
  <c r="I1419" i="81"/>
  <c r="L1419" i="81"/>
  <c r="I2302" i="81"/>
  <c r="J2302" i="81"/>
  <c r="K2302" i="81" s="1"/>
  <c r="L2302" i="81"/>
  <c r="F2260" i="81"/>
  <c r="F4028" i="81"/>
  <c r="I4019" i="81"/>
  <c r="J4019" i="81"/>
  <c r="K4019" i="81" s="1"/>
  <c r="L4019" i="81"/>
  <c r="J4018" i="81"/>
  <c r="K4018" i="81" s="1"/>
  <c r="I4018" i="81"/>
  <c r="L4018" i="81"/>
  <c r="L2666" i="81"/>
  <c r="J2666" i="81"/>
  <c r="K2666" i="81" s="1"/>
  <c r="I2666" i="81"/>
  <c r="J1366" i="81"/>
  <c r="K1366" i="81" s="1"/>
  <c r="L1366" i="81"/>
  <c r="I1366" i="81"/>
  <c r="L2667" i="81"/>
  <c r="J2667" i="81"/>
  <c r="K2667" i="81" s="1"/>
  <c r="I2667" i="81"/>
  <c r="L1367" i="81"/>
  <c r="I1367" i="81"/>
  <c r="J1367" i="81"/>
  <c r="K1367" i="81" s="1"/>
  <c r="F2988" i="81"/>
  <c r="F3092" i="81"/>
  <c r="L3966" i="81"/>
  <c r="J3966" i="81"/>
  <c r="K3966" i="81" s="1"/>
  <c r="I3966" i="81"/>
  <c r="J3914" i="81"/>
  <c r="K3914" i="81" s="1"/>
  <c r="I3914" i="81"/>
  <c r="L3914" i="81"/>
  <c r="F3456" i="81"/>
  <c r="F3612" i="81"/>
  <c r="I3865" i="81"/>
  <c r="J3865" i="81"/>
  <c r="K3865" i="81" s="1"/>
  <c r="L3865" i="81"/>
  <c r="I3498" i="81"/>
  <c r="L3498" i="81"/>
  <c r="J3498" i="81"/>
  <c r="K3498" i="81" s="1"/>
  <c r="L3499" i="81"/>
  <c r="J3499" i="81"/>
  <c r="K3499" i="81" s="1"/>
  <c r="I3499" i="81"/>
  <c r="L3447" i="81"/>
  <c r="J3447" i="81"/>
  <c r="K3447" i="81" s="1"/>
  <c r="I3447" i="81"/>
  <c r="I3866" i="81"/>
  <c r="J3866" i="81"/>
  <c r="K3866" i="81" s="1"/>
  <c r="L3866" i="81"/>
  <c r="L2978" i="81"/>
  <c r="I2978" i="81"/>
  <c r="J2978" i="81"/>
  <c r="K2978" i="81" s="1"/>
  <c r="J3603" i="81"/>
  <c r="K3603" i="81" s="1"/>
  <c r="I3603" i="81"/>
  <c r="L3603" i="81"/>
  <c r="J3812" i="81"/>
  <c r="K3812" i="81" s="1"/>
  <c r="I3812" i="81"/>
  <c r="L3812" i="81"/>
  <c r="J3083" i="81"/>
  <c r="K3083" i="81" s="1"/>
  <c r="I3083" i="81"/>
  <c r="L3083" i="81"/>
  <c r="I2979" i="81"/>
  <c r="J2979" i="81"/>
  <c r="K2979" i="81" s="1"/>
  <c r="L2979" i="81"/>
  <c r="I3082" i="81"/>
  <c r="L3082" i="81"/>
  <c r="J3082" i="81"/>
  <c r="K3082" i="81" s="1"/>
  <c r="I3446" i="81"/>
  <c r="J3446" i="81"/>
  <c r="K3446" i="81" s="1"/>
  <c r="L3446" i="81"/>
  <c r="J2250" i="81"/>
  <c r="K2250" i="81" s="1"/>
  <c r="L2250" i="81"/>
  <c r="I2250" i="81"/>
  <c r="J3810" i="81"/>
  <c r="K3810" i="81" s="1"/>
  <c r="I3810" i="81"/>
  <c r="L3810" i="81"/>
  <c r="L3758" i="81"/>
  <c r="I3758" i="81"/>
  <c r="J3758" i="81"/>
  <c r="K3758" i="81" s="1"/>
  <c r="L3602" i="81"/>
  <c r="J3602" i="81"/>
  <c r="K3602" i="81" s="1"/>
  <c r="I3602" i="81"/>
  <c r="L2251" i="81"/>
  <c r="J2251" i="81"/>
  <c r="K2251" i="81" s="1"/>
  <c r="I2251" i="81"/>
  <c r="J3867" i="81"/>
  <c r="K3867" i="81" s="1"/>
  <c r="L3867" i="81"/>
  <c r="I3867" i="81"/>
  <c r="F2469" i="81"/>
  <c r="H2456" i="81" s="1"/>
  <c r="K2456" i="81" s="1"/>
  <c r="M2456" i="81"/>
  <c r="F2521" i="81"/>
  <c r="H2508" i="81" s="1"/>
  <c r="K2508" i="81" s="1"/>
  <c r="M2508" i="81"/>
  <c r="F1636" i="81"/>
  <c r="F2208" i="81"/>
  <c r="F2104" i="81"/>
  <c r="L2095" i="81"/>
  <c r="J2095" i="81"/>
  <c r="K2095" i="81" s="1"/>
  <c r="I2095" i="81"/>
  <c r="L2199" i="81"/>
  <c r="J2199" i="81"/>
  <c r="K2199" i="81" s="1"/>
  <c r="I2199" i="81"/>
  <c r="L2094" i="81"/>
  <c r="J2094" i="81"/>
  <c r="K2094" i="81" s="1"/>
  <c r="I2094" i="81"/>
  <c r="I2198" i="81"/>
  <c r="L2198" i="81"/>
  <c r="J2198" i="81"/>
  <c r="K2198" i="81" s="1"/>
  <c r="F1740" i="81"/>
  <c r="M1728" i="81" s="1"/>
  <c r="F1896" i="81"/>
  <c r="F4184" i="81"/>
  <c r="M4172" i="81" s="1"/>
  <c r="F544" i="81"/>
  <c r="F545" i="81" s="1"/>
  <c r="H532" i="81" s="1"/>
  <c r="K532" i="81" s="1"/>
  <c r="J1626" i="81"/>
  <c r="K1626" i="81" s="1"/>
  <c r="L1626" i="81"/>
  <c r="I1626" i="81"/>
  <c r="I1886" i="81"/>
  <c r="J1886" i="81"/>
  <c r="K1886" i="81" s="1"/>
  <c r="L1886" i="81"/>
  <c r="L1887" i="81"/>
  <c r="I1887" i="81"/>
  <c r="J1887" i="81"/>
  <c r="K1887" i="81" s="1"/>
  <c r="J1627" i="81"/>
  <c r="K1627" i="81" s="1"/>
  <c r="L1627" i="81"/>
  <c r="I1627" i="81"/>
  <c r="F1792" i="81"/>
  <c r="M1780" i="81" s="1"/>
  <c r="J587" i="81"/>
  <c r="K587" i="81" s="1"/>
  <c r="L587" i="81"/>
  <c r="L482" i="81"/>
  <c r="T480" i="81" s="1"/>
  <c r="V480" i="81" s="1"/>
  <c r="J482" i="81"/>
  <c r="K482" i="81" s="1"/>
  <c r="I482" i="81"/>
  <c r="J4175" i="81"/>
  <c r="K4175" i="81" s="1"/>
  <c r="L4175" i="81"/>
  <c r="I4175" i="81"/>
  <c r="J434" i="81"/>
  <c r="K434" i="81" s="1"/>
  <c r="I434" i="81"/>
  <c r="L434" i="81"/>
  <c r="I535" i="81"/>
  <c r="J535" i="81"/>
  <c r="K535" i="81" s="1"/>
  <c r="L535" i="81"/>
  <c r="I586" i="81"/>
  <c r="L586" i="81"/>
  <c r="J586" i="81"/>
  <c r="K586" i="81" s="1"/>
  <c r="J534" i="81"/>
  <c r="K534" i="81" s="1"/>
  <c r="I534" i="81"/>
  <c r="L534" i="81"/>
  <c r="L1731" i="81"/>
  <c r="I1731" i="81"/>
  <c r="J1731" i="81"/>
  <c r="K1731" i="81" s="1"/>
  <c r="L4123" i="81"/>
  <c r="J4123" i="81"/>
  <c r="K4123" i="81" s="1"/>
  <c r="I4123" i="81"/>
  <c r="J1782" i="81"/>
  <c r="K1782" i="81" s="1"/>
  <c r="L1782" i="81"/>
  <c r="I1782" i="81"/>
  <c r="J1262" i="81"/>
  <c r="K1262" i="81" s="1"/>
  <c r="I1262" i="81"/>
  <c r="L1262" i="81"/>
  <c r="J1783" i="81"/>
  <c r="K1783" i="81" s="1"/>
  <c r="L1783" i="81"/>
  <c r="I1783" i="81"/>
  <c r="J4122" i="81"/>
  <c r="K4122" i="81" s="1"/>
  <c r="L4122" i="81"/>
  <c r="F1272" i="81"/>
  <c r="L430" i="81"/>
  <c r="J430" i="81"/>
  <c r="K430" i="81" s="1"/>
  <c r="I430" i="81"/>
  <c r="L432" i="81"/>
  <c r="J432" i="81"/>
  <c r="K432" i="81" s="1"/>
  <c r="I432" i="81"/>
  <c r="L4174" i="81"/>
  <c r="J4174" i="81"/>
  <c r="K4174" i="81" s="1"/>
  <c r="I4174" i="81"/>
  <c r="J1730" i="81"/>
  <c r="K1730" i="81" s="1"/>
  <c r="I1730" i="81"/>
  <c r="L1730" i="81"/>
  <c r="J437" i="81"/>
  <c r="K437" i="81" s="1"/>
  <c r="I437" i="81"/>
  <c r="L437" i="81"/>
  <c r="I587" i="81"/>
  <c r="F587" i="81"/>
  <c r="F596" i="81" s="1"/>
  <c r="L435" i="81"/>
  <c r="J435" i="81"/>
  <c r="K435" i="81" s="1"/>
  <c r="I435" i="81"/>
  <c r="I4122" i="81"/>
  <c r="F4122" i="81"/>
  <c r="F4132" i="81" s="1"/>
  <c r="M4120" i="81" s="1"/>
  <c r="J1263" i="81"/>
  <c r="K1263" i="81" s="1"/>
  <c r="I1263" i="81"/>
  <c r="L1263" i="81"/>
  <c r="L433" i="81"/>
  <c r="J433" i="81"/>
  <c r="K433" i="81" s="1"/>
  <c r="I433" i="81"/>
  <c r="M272" i="81"/>
  <c r="F493" i="81"/>
  <c r="H480" i="81" s="1"/>
  <c r="K480" i="81" s="1"/>
  <c r="F4080" i="81"/>
  <c r="I18" i="81"/>
  <c r="J18" i="81"/>
  <c r="K18" i="81" s="1"/>
  <c r="L18" i="81"/>
  <c r="J14" i="81"/>
  <c r="K14" i="81" s="1"/>
  <c r="I14" i="81"/>
  <c r="L14" i="81"/>
  <c r="I644" i="81"/>
  <c r="I4070" i="81"/>
  <c r="J4070" i="81"/>
  <c r="K4070" i="81" s="1"/>
  <c r="L4070" i="81"/>
  <c r="J225" i="81"/>
  <c r="K225" i="81" s="1"/>
  <c r="I225" i="81"/>
  <c r="L225" i="81"/>
  <c r="I327" i="81"/>
  <c r="F327" i="81"/>
  <c r="I274" i="81"/>
  <c r="L274" i="81"/>
  <c r="T272" i="81" s="1"/>
  <c r="V272" i="81" s="1"/>
  <c r="J274" i="81"/>
  <c r="K274" i="81" s="1"/>
  <c r="L226" i="81"/>
  <c r="I226" i="81"/>
  <c r="J226" i="81"/>
  <c r="K226" i="81" s="1"/>
  <c r="L327" i="81"/>
  <c r="J327" i="81"/>
  <c r="K327" i="81" s="1"/>
  <c r="I326" i="81"/>
  <c r="F326" i="81"/>
  <c r="L222" i="81"/>
  <c r="J222" i="81"/>
  <c r="K222" i="81" s="1"/>
  <c r="I222" i="81"/>
  <c r="L326" i="81"/>
  <c r="J326" i="81"/>
  <c r="K326" i="81" s="1"/>
  <c r="L644" i="81"/>
  <c r="I224" i="81"/>
  <c r="L224" i="81"/>
  <c r="J224" i="81"/>
  <c r="K224" i="81" s="1"/>
  <c r="J644" i="81"/>
  <c r="K644" i="81" s="1"/>
  <c r="I229" i="81"/>
  <c r="J229" i="81"/>
  <c r="K229" i="81" s="1"/>
  <c r="L229" i="81"/>
  <c r="I227" i="81"/>
  <c r="L227" i="81"/>
  <c r="J227" i="81"/>
  <c r="K227" i="81" s="1"/>
  <c r="J1109" i="81"/>
  <c r="K1109" i="81" s="1"/>
  <c r="I1109" i="81"/>
  <c r="J386" i="81"/>
  <c r="K386" i="81" s="1"/>
  <c r="I386" i="81"/>
  <c r="L386" i="81"/>
  <c r="J384" i="81"/>
  <c r="K384" i="81" s="1"/>
  <c r="I384" i="81"/>
  <c r="L384" i="81"/>
  <c r="I382" i="81"/>
  <c r="J382" i="81"/>
  <c r="K382" i="81" s="1"/>
  <c r="L382" i="81"/>
  <c r="J381" i="81"/>
  <c r="K381" i="81" s="1"/>
  <c r="I381" i="81"/>
  <c r="L381" i="81"/>
  <c r="J380" i="81"/>
  <c r="K380" i="81" s="1"/>
  <c r="I380" i="81"/>
  <c r="L380" i="81"/>
  <c r="I383" i="81"/>
  <c r="J383" i="81"/>
  <c r="K383" i="81" s="1"/>
  <c r="L383" i="81"/>
  <c r="J385" i="81"/>
  <c r="K385" i="81" s="1"/>
  <c r="I385" i="81"/>
  <c r="L385" i="81"/>
  <c r="F285" i="81"/>
  <c r="H272" i="81" s="1"/>
  <c r="K272" i="81" s="1"/>
  <c r="I2042" i="81"/>
  <c r="J2042" i="81"/>
  <c r="K2042" i="81" s="1"/>
  <c r="L2042" i="81"/>
  <c r="I641" i="81"/>
  <c r="J641" i="81"/>
  <c r="K641" i="81" s="1"/>
  <c r="L641" i="81"/>
  <c r="F2052" i="81"/>
  <c r="I640" i="81"/>
  <c r="J640" i="81"/>
  <c r="K640" i="81" s="1"/>
  <c r="L640" i="81"/>
  <c r="I2043" i="81"/>
  <c r="J2043" i="81"/>
  <c r="K2043" i="81" s="1"/>
  <c r="L2043" i="81"/>
  <c r="I638" i="81"/>
  <c r="J638" i="81"/>
  <c r="K638" i="81" s="1"/>
  <c r="L638" i="81"/>
  <c r="F1584" i="81"/>
  <c r="F960" i="81"/>
  <c r="I1574" i="81"/>
  <c r="J1574" i="81"/>
  <c r="K1574" i="81" s="1"/>
  <c r="L1574" i="81"/>
  <c r="L1939" i="81"/>
  <c r="J1939" i="81"/>
  <c r="K1939" i="81" s="1"/>
  <c r="I1939" i="81"/>
  <c r="I1575" i="81"/>
  <c r="J1575" i="81"/>
  <c r="K1575" i="81" s="1"/>
  <c r="L1575" i="81"/>
  <c r="I1835" i="81"/>
  <c r="J1835" i="81"/>
  <c r="K1835" i="81" s="1"/>
  <c r="L1835" i="81"/>
  <c r="L951" i="81"/>
  <c r="J951" i="81"/>
  <c r="K951" i="81" s="1"/>
  <c r="I951" i="81"/>
  <c r="J1107" i="81"/>
  <c r="K1107" i="81" s="1"/>
  <c r="I1107" i="81"/>
  <c r="L1107" i="81"/>
  <c r="L1106" i="81"/>
  <c r="I1106" i="81"/>
  <c r="J1106" i="81"/>
  <c r="K1106" i="81" s="1"/>
  <c r="I950" i="81"/>
  <c r="L950" i="81"/>
  <c r="J950" i="81"/>
  <c r="K950" i="81" s="1"/>
  <c r="L847" i="81"/>
  <c r="I847" i="81"/>
  <c r="J847" i="81"/>
  <c r="K847" i="81" s="1"/>
  <c r="F856" i="81"/>
  <c r="L846" i="81"/>
  <c r="I846" i="81"/>
  <c r="J846" i="81"/>
  <c r="K846" i="81" s="1"/>
  <c r="L691" i="81"/>
  <c r="J691" i="81"/>
  <c r="K691" i="81" s="1"/>
  <c r="I691" i="81"/>
  <c r="J172" i="81"/>
  <c r="K172" i="81" s="1"/>
  <c r="I172" i="81"/>
  <c r="L172" i="81"/>
  <c r="J742" i="81"/>
  <c r="K742" i="81" s="1"/>
  <c r="L742" i="81"/>
  <c r="I742" i="81"/>
  <c r="I71" i="81"/>
  <c r="J69" i="81"/>
  <c r="K69" i="81" s="1"/>
  <c r="L69" i="81"/>
  <c r="I69" i="81"/>
  <c r="J16" i="81"/>
  <c r="K16" i="81" s="1"/>
  <c r="L16" i="81"/>
  <c r="L119" i="81"/>
  <c r="J119" i="81"/>
  <c r="K119" i="81" s="1"/>
  <c r="J66" i="81"/>
  <c r="K66" i="81" s="1"/>
  <c r="L66" i="81"/>
  <c r="J71" i="81"/>
  <c r="K71" i="81" s="1"/>
  <c r="L71" i="81"/>
  <c r="J67" i="81"/>
  <c r="K67" i="81" s="1"/>
  <c r="L67" i="81"/>
  <c r="I66" i="81"/>
  <c r="I119" i="81"/>
  <c r="I67" i="81"/>
  <c r="I16" i="81"/>
  <c r="F3197" i="81" l="1"/>
  <c r="H3184" i="81" s="1"/>
  <c r="K3184" i="81" s="1"/>
  <c r="F3353" i="81"/>
  <c r="H3340" i="81" s="1"/>
  <c r="K3340" i="81" s="1"/>
  <c r="T3184" i="81"/>
  <c r="V3184" i="81" s="1"/>
  <c r="T3340" i="81"/>
  <c r="V3340" i="81" s="1"/>
  <c r="T3132" i="81"/>
  <c r="V3132" i="81" s="1"/>
  <c r="F157" i="82"/>
  <c r="F70" i="82"/>
  <c r="F3132" i="81"/>
  <c r="N3132" i="81" s="1"/>
  <c r="Q3132" i="81"/>
  <c r="H3132" i="81"/>
  <c r="K3132" i="81" s="1"/>
  <c r="T3652" i="81"/>
  <c r="V3652" i="81" s="1"/>
  <c r="F3665" i="81"/>
  <c r="M3652" i="81"/>
  <c r="F44" i="82"/>
  <c r="I44" i="82" s="1"/>
  <c r="F134" i="82"/>
  <c r="T1468" i="81"/>
  <c r="V1468" i="81" s="1"/>
  <c r="T1520" i="81"/>
  <c r="V1520" i="81" s="1"/>
  <c r="F1988" i="81"/>
  <c r="F140" i="82"/>
  <c r="T1988" i="81"/>
  <c r="V1988" i="81" s="1"/>
  <c r="M896" i="81"/>
  <c r="M1988" i="81"/>
  <c r="F1013" i="81"/>
  <c r="F1014" i="81" s="1"/>
  <c r="F127" i="82" s="1"/>
  <c r="L127" i="82" s="1"/>
  <c r="H1988" i="81"/>
  <c r="K1988" i="81" s="1"/>
  <c r="Q1988" i="81"/>
  <c r="T3392" i="81"/>
  <c r="V3392" i="81" s="1"/>
  <c r="T1000" i="81"/>
  <c r="V1000" i="81" s="1"/>
  <c r="T792" i="81"/>
  <c r="V792" i="81" s="1"/>
  <c r="I125" i="82"/>
  <c r="L125" i="82"/>
  <c r="E125" i="82"/>
  <c r="T896" i="81"/>
  <c r="V896" i="81" s="1"/>
  <c r="F804" i="81"/>
  <c r="M792" i="81" s="1"/>
  <c r="F896" i="81"/>
  <c r="Q896" i="81"/>
  <c r="H896" i="81"/>
  <c r="K896" i="81" s="1"/>
  <c r="M1364" i="81"/>
  <c r="M1468" i="81"/>
  <c r="T2144" i="81"/>
  <c r="V2144" i="81" s="1"/>
  <c r="H1312" i="81"/>
  <c r="K1312" i="81" s="1"/>
  <c r="T1208" i="81"/>
  <c r="V1208" i="81" s="1"/>
  <c r="M1312" i="81"/>
  <c r="T3028" i="81"/>
  <c r="V3028" i="81" s="1"/>
  <c r="F1326" i="81"/>
  <c r="Q1312" i="81" s="1"/>
  <c r="F3562" i="81"/>
  <c r="F162" i="82" s="1"/>
  <c r="I162" i="82" s="1"/>
  <c r="F1221" i="81"/>
  <c r="M2404" i="81"/>
  <c r="H1468" i="81"/>
  <c r="K1468" i="81" s="1"/>
  <c r="F1482" i="81"/>
  <c r="F2157" i="81"/>
  <c r="H2144" i="81" s="1"/>
  <c r="K2144" i="81" s="1"/>
  <c r="F1689" i="81"/>
  <c r="H1676" i="81" s="1"/>
  <c r="K1676" i="81" s="1"/>
  <c r="F3405" i="81"/>
  <c r="H3392" i="81" s="1"/>
  <c r="K3392" i="81" s="1"/>
  <c r="M3392" i="81"/>
  <c r="T1676" i="81"/>
  <c r="V1676" i="81" s="1"/>
  <c r="M3548" i="81"/>
  <c r="F3041" i="81"/>
  <c r="H3028" i="81" s="1"/>
  <c r="K3028" i="81" s="1"/>
  <c r="F2418" i="81"/>
  <c r="H2404" i="81"/>
  <c r="K2404" i="81" s="1"/>
  <c r="T3548" i="81"/>
  <c r="V3548" i="81" s="1"/>
  <c r="T2404" i="81"/>
  <c r="V2404" i="81" s="1"/>
  <c r="T1312" i="81"/>
  <c r="V1312" i="81" s="1"/>
  <c r="F1533" i="81"/>
  <c r="H1520" i="81" s="1"/>
  <c r="K1520" i="81" s="1"/>
  <c r="M3496" i="81"/>
  <c r="M1884" i="81"/>
  <c r="M4016" i="81"/>
  <c r="M2664" i="81"/>
  <c r="J135" i="82"/>
  <c r="F2261" i="81"/>
  <c r="F2262" i="81" s="1"/>
  <c r="J129" i="82"/>
  <c r="M2196" i="81"/>
  <c r="J150" i="82"/>
  <c r="F1637" i="81"/>
  <c r="F1638" i="81" s="1"/>
  <c r="M3080" i="81"/>
  <c r="J121" i="82"/>
  <c r="J143" i="82"/>
  <c r="J170" i="82"/>
  <c r="M3600" i="81"/>
  <c r="M2976" i="81"/>
  <c r="F2313" i="81"/>
  <c r="H2300" i="81" s="1"/>
  <c r="K2300" i="81" s="1"/>
  <c r="J122" i="82"/>
  <c r="J139" i="82"/>
  <c r="M3444" i="81"/>
  <c r="F2729" i="81"/>
  <c r="H2716" i="81" s="1"/>
  <c r="K2716" i="81" s="1"/>
  <c r="M1416" i="81"/>
  <c r="M2352" i="81"/>
  <c r="M2560" i="81"/>
  <c r="F2365" i="81"/>
  <c r="H2352" i="81" s="1"/>
  <c r="K2352" i="81" s="1"/>
  <c r="M2300" i="81"/>
  <c r="F3457" i="81"/>
  <c r="F3458" i="81" s="1"/>
  <c r="F161" i="82" s="1"/>
  <c r="I161" i="82" s="1"/>
  <c r="M2716" i="81"/>
  <c r="F2677" i="81"/>
  <c r="F2678" i="81" s="1"/>
  <c r="F3509" i="81"/>
  <c r="F3510" i="81" s="1"/>
  <c r="F1429" i="81"/>
  <c r="H1416" i="81" s="1"/>
  <c r="K1416" i="81" s="1"/>
  <c r="M2248" i="81"/>
  <c r="T2716" i="81"/>
  <c r="V2716" i="81" s="1"/>
  <c r="F4029" i="81"/>
  <c r="H4016" i="81" s="1"/>
  <c r="K4016" i="81" s="1"/>
  <c r="T2560" i="81"/>
  <c r="V2560" i="81" s="1"/>
  <c r="T2352" i="81"/>
  <c r="V2352" i="81" s="1"/>
  <c r="T2300" i="81"/>
  <c r="V2300" i="81" s="1"/>
  <c r="T1416" i="81"/>
  <c r="V1416" i="81" s="1"/>
  <c r="T4016" i="81"/>
  <c r="V4016" i="81" s="1"/>
  <c r="F3093" i="81"/>
  <c r="H3080" i="81" s="1"/>
  <c r="K3080" i="81" s="1"/>
  <c r="T2664" i="81"/>
  <c r="V2664" i="81" s="1"/>
  <c r="F2989" i="81"/>
  <c r="F2990" i="81" s="1"/>
  <c r="T1364" i="81"/>
  <c r="V1364" i="81" s="1"/>
  <c r="F3613" i="81"/>
  <c r="F3614" i="81" s="1"/>
  <c r="T3600" i="81"/>
  <c r="V3600" i="81" s="1"/>
  <c r="T2248" i="81"/>
  <c r="V2248" i="81" s="1"/>
  <c r="T3444" i="81"/>
  <c r="V3444" i="81" s="1"/>
  <c r="T2976" i="81"/>
  <c r="V2976" i="81" s="1"/>
  <c r="T3496" i="81"/>
  <c r="V3496" i="81" s="1"/>
  <c r="T3080" i="81"/>
  <c r="V3080" i="81" s="1"/>
  <c r="F1793" i="81"/>
  <c r="F1794" i="81" s="1"/>
  <c r="F1780" i="81" s="1"/>
  <c r="F1741" i="81"/>
  <c r="H1728" i="81" s="1"/>
  <c r="K1728" i="81" s="1"/>
  <c r="H1364" i="81"/>
  <c r="K1364" i="81" s="1"/>
  <c r="F2522" i="81"/>
  <c r="F59" i="82" s="1"/>
  <c r="F1364" i="81"/>
  <c r="Q1364" i="81"/>
  <c r="F2574" i="81"/>
  <c r="T2092" i="81"/>
  <c r="V2092" i="81" s="1"/>
  <c r="F2470" i="81"/>
  <c r="M532" i="81"/>
  <c r="M1624" i="81"/>
  <c r="F4185" i="81"/>
  <c r="F4186" i="81" s="1"/>
  <c r="F234" i="82" s="1"/>
  <c r="I234" i="82" s="1"/>
  <c r="F2209" i="81"/>
  <c r="F2210" i="81" s="1"/>
  <c r="F143" i="82" s="1"/>
  <c r="M2092" i="81"/>
  <c r="F2105" i="81"/>
  <c r="T2196" i="81"/>
  <c r="V2196" i="81" s="1"/>
  <c r="F597" i="81"/>
  <c r="H584" i="81" s="1"/>
  <c r="K584" i="81" s="1"/>
  <c r="F1897" i="81"/>
  <c r="F1898" i="81" s="1"/>
  <c r="M584" i="81"/>
  <c r="T1884" i="81"/>
  <c r="V1884" i="81" s="1"/>
  <c r="T4172" i="81"/>
  <c r="V4172" i="81" s="1"/>
  <c r="T1624" i="81"/>
  <c r="V1624" i="81" s="1"/>
  <c r="T1728" i="81"/>
  <c r="V1728" i="81" s="1"/>
  <c r="T584" i="81"/>
  <c r="V584" i="81" s="1"/>
  <c r="T532" i="81"/>
  <c r="V532" i="81" s="1"/>
  <c r="F4133" i="81"/>
  <c r="F4134" i="81" s="1"/>
  <c r="F232" i="82" s="1"/>
  <c r="T4120" i="81"/>
  <c r="V4120" i="81" s="1"/>
  <c r="M1260" i="81"/>
  <c r="F1273" i="81"/>
  <c r="T1260" i="81"/>
  <c r="V1260" i="81" s="1"/>
  <c r="T1780" i="81"/>
  <c r="V1780" i="81" s="1"/>
  <c r="T844" i="81"/>
  <c r="V844" i="81" s="1"/>
  <c r="M844" i="81"/>
  <c r="M4068" i="81"/>
  <c r="M948" i="81"/>
  <c r="M1572" i="81"/>
  <c r="T2040" i="81"/>
  <c r="V2040" i="81" s="1"/>
  <c r="M2040" i="81"/>
  <c r="T1572" i="81"/>
  <c r="V1572" i="81" s="1"/>
  <c r="T948" i="81"/>
  <c r="V948" i="81" s="1"/>
  <c r="T324" i="81"/>
  <c r="V324" i="81" s="1"/>
  <c r="F494" i="81"/>
  <c r="F546" i="81"/>
  <c r="F2053" i="81"/>
  <c r="H2040" i="81" s="1"/>
  <c r="K2040" i="81" s="1"/>
  <c r="F4081" i="81"/>
  <c r="H4068" i="81" s="1"/>
  <c r="K4068" i="81" s="1"/>
  <c r="F336" i="81"/>
  <c r="F961" i="81"/>
  <c r="H948" i="81" s="1"/>
  <c r="K948" i="81" s="1"/>
  <c r="F286" i="81"/>
  <c r="F27" i="82" s="1"/>
  <c r="F1585" i="81"/>
  <c r="H1572" i="81" s="1"/>
  <c r="K1572" i="81" s="1"/>
  <c r="F857" i="81"/>
  <c r="H844" i="81" s="1"/>
  <c r="K844" i="81" s="1"/>
  <c r="F3198" i="81" l="1"/>
  <c r="F71" i="82" s="1"/>
  <c r="F3354" i="81"/>
  <c r="Q3340" i="81" s="1"/>
  <c r="L3132" i="81"/>
  <c r="H3652" i="81"/>
  <c r="K3652" i="81" s="1"/>
  <c r="F3666" i="81"/>
  <c r="E44" i="82"/>
  <c r="L44" i="82"/>
  <c r="F219" i="82"/>
  <c r="L219" i="82" s="1"/>
  <c r="F114" i="82"/>
  <c r="F201" i="82"/>
  <c r="F113" i="82"/>
  <c r="F200" i="82"/>
  <c r="F91" i="82"/>
  <c r="F178" i="82"/>
  <c r="E178" i="82" s="1"/>
  <c r="F150" i="82"/>
  <c r="F144" i="82"/>
  <c r="I144" i="82" s="1"/>
  <c r="F60" i="82"/>
  <c r="L60" i="82" s="1"/>
  <c r="F149" i="82"/>
  <c r="I149" i="82" s="1"/>
  <c r="F58" i="82"/>
  <c r="E58" i="82" s="1"/>
  <c r="F148" i="82"/>
  <c r="I148" i="82" s="1"/>
  <c r="F49" i="82"/>
  <c r="L49" i="82" s="1"/>
  <c r="R1884" i="81" s="1"/>
  <c r="F138" i="82"/>
  <c r="I138" i="82" s="1"/>
  <c r="F67" i="82"/>
  <c r="I67" i="82" s="1"/>
  <c r="F75" i="82"/>
  <c r="I75" i="82" s="1"/>
  <c r="F62" i="82"/>
  <c r="L62" i="82" s="1"/>
  <c r="F47" i="82"/>
  <c r="I47" i="82" s="1"/>
  <c r="F53" i="82"/>
  <c r="I53" i="82" s="1"/>
  <c r="F74" i="82"/>
  <c r="E74" i="82" s="1"/>
  <c r="F76" i="82"/>
  <c r="I76" i="82" s="1"/>
  <c r="F54" i="82"/>
  <c r="I54" i="82" s="1"/>
  <c r="N1364" i="81"/>
  <c r="N896" i="81"/>
  <c r="L1988" i="81"/>
  <c r="N1988" i="81"/>
  <c r="Q1000" i="81"/>
  <c r="F1000" i="81"/>
  <c r="N1000" i="81" s="1"/>
  <c r="E127" i="82"/>
  <c r="L140" i="82"/>
  <c r="I140" i="82"/>
  <c r="E140" i="82"/>
  <c r="I127" i="82"/>
  <c r="H1000" i="81"/>
  <c r="K1000" i="81" s="1"/>
  <c r="F133" i="82"/>
  <c r="I133" i="82" s="1"/>
  <c r="L896" i="81"/>
  <c r="H1624" i="81"/>
  <c r="K1624" i="81" s="1"/>
  <c r="Q1624" i="81"/>
  <c r="F1690" i="81"/>
  <c r="F805" i="81"/>
  <c r="F3444" i="81"/>
  <c r="N3444" i="81" s="1"/>
  <c r="F2314" i="81"/>
  <c r="Q3548" i="81"/>
  <c r="F3548" i="81"/>
  <c r="L3548" i="81" s="1"/>
  <c r="F2366" i="81"/>
  <c r="F1624" i="81"/>
  <c r="N1624" i="81" s="1"/>
  <c r="F2158" i="81"/>
  <c r="F2144" i="81" s="1"/>
  <c r="N2144" i="81" s="1"/>
  <c r="F1312" i="81"/>
  <c r="L1312" i="81" s="1"/>
  <c r="H2664" i="81"/>
  <c r="K2664" i="81" s="1"/>
  <c r="I134" i="82"/>
  <c r="Q3444" i="81"/>
  <c r="F1222" i="81"/>
  <c r="H1208" i="81"/>
  <c r="K1208" i="81" s="1"/>
  <c r="F1534" i="81"/>
  <c r="F136" i="82" s="1"/>
  <c r="I136" i="82" s="1"/>
  <c r="H3444" i="81"/>
  <c r="K3444" i="81" s="1"/>
  <c r="F147" i="82"/>
  <c r="F2404" i="81"/>
  <c r="N2404" i="81" s="1"/>
  <c r="Q2404" i="81"/>
  <c r="F3406" i="81"/>
  <c r="F3042" i="81"/>
  <c r="F135" i="82"/>
  <c r="Q1468" i="81"/>
  <c r="F1468" i="81"/>
  <c r="N1468" i="81" s="1"/>
  <c r="F2730" i="81"/>
  <c r="J154" i="82"/>
  <c r="J152" i="82"/>
  <c r="J141" i="82"/>
  <c r="J148" i="82"/>
  <c r="J137" i="82"/>
  <c r="J149" i="82"/>
  <c r="H2248" i="81"/>
  <c r="K2248" i="81" s="1"/>
  <c r="J159" i="82"/>
  <c r="J133" i="82"/>
  <c r="J169" i="82"/>
  <c r="J161" i="82"/>
  <c r="E161" i="82"/>
  <c r="L161" i="82"/>
  <c r="J130" i="82"/>
  <c r="J144" i="82"/>
  <c r="J131" i="82"/>
  <c r="J157" i="82"/>
  <c r="Q2248" i="81"/>
  <c r="J160" i="82"/>
  <c r="F2248" i="81"/>
  <c r="N2248" i="81" s="1"/>
  <c r="J158" i="82"/>
  <c r="J155" i="82"/>
  <c r="J142" i="82"/>
  <c r="H3496" i="81"/>
  <c r="K3496" i="81" s="1"/>
  <c r="Q3496" i="81"/>
  <c r="F3496" i="81"/>
  <c r="N3496" i="81" s="1"/>
  <c r="Q2664" i="81"/>
  <c r="F2664" i="81"/>
  <c r="N2664" i="81" s="1"/>
  <c r="F218" i="82"/>
  <c r="I218" i="82" s="1"/>
  <c r="F4030" i="81"/>
  <c r="Q3600" i="81"/>
  <c r="F3600" i="81"/>
  <c r="N3600" i="81" s="1"/>
  <c r="H3600" i="81"/>
  <c r="K3600" i="81" s="1"/>
  <c r="F1430" i="81"/>
  <c r="F3094" i="81"/>
  <c r="H2976" i="81"/>
  <c r="K2976" i="81" s="1"/>
  <c r="Q2976" i="81"/>
  <c r="F2976" i="81"/>
  <c r="N2976" i="81" s="1"/>
  <c r="H1780" i="81"/>
  <c r="K1780" i="81" s="1"/>
  <c r="L1780" i="81" s="1"/>
  <c r="Q1780" i="81"/>
  <c r="F1742" i="81"/>
  <c r="F1728" i="81" s="1"/>
  <c r="Q2508" i="81"/>
  <c r="F2508" i="81"/>
  <c r="L2508" i="81" s="1"/>
  <c r="L1364" i="81"/>
  <c r="F2456" i="81"/>
  <c r="Q2456" i="81"/>
  <c r="F2560" i="81"/>
  <c r="Q2560" i="81"/>
  <c r="F4172" i="81"/>
  <c r="N4172" i="81" s="1"/>
  <c r="Q4172" i="81"/>
  <c r="H4172" i="81"/>
  <c r="K4172" i="81" s="1"/>
  <c r="F598" i="81"/>
  <c r="H2196" i="81"/>
  <c r="K2196" i="81" s="1"/>
  <c r="Q2196" i="81"/>
  <c r="F2196" i="81"/>
  <c r="N2196" i="81" s="1"/>
  <c r="F2106" i="81"/>
  <c r="F52" i="82" s="1"/>
  <c r="H2092" i="81"/>
  <c r="K2092" i="81" s="1"/>
  <c r="F1884" i="81"/>
  <c r="N1884" i="81" s="1"/>
  <c r="Q1884" i="81"/>
  <c r="H1884" i="81"/>
  <c r="K1884" i="81" s="1"/>
  <c r="H4120" i="81"/>
  <c r="K4120" i="81" s="1"/>
  <c r="Q4120" i="81"/>
  <c r="F4120" i="81"/>
  <c r="N4120" i="81" s="1"/>
  <c r="E234" i="82"/>
  <c r="L234" i="82"/>
  <c r="F1274" i="81"/>
  <c r="F42" i="82" s="1"/>
  <c r="H1260" i="81"/>
  <c r="K1260" i="81" s="1"/>
  <c r="N1780" i="81"/>
  <c r="E27" i="82"/>
  <c r="F272" i="81"/>
  <c r="Q272" i="81"/>
  <c r="F532" i="81"/>
  <c r="Q532" i="81"/>
  <c r="F480" i="81"/>
  <c r="Q480" i="81"/>
  <c r="M324" i="81"/>
  <c r="F4082" i="81"/>
  <c r="F337" i="81"/>
  <c r="H324" i="81" s="1"/>
  <c r="K324" i="81" s="1"/>
  <c r="F2054" i="81"/>
  <c r="F962" i="81"/>
  <c r="F211" i="82" s="1"/>
  <c r="F1586" i="81"/>
  <c r="F46" i="82" s="1"/>
  <c r="F858" i="81"/>
  <c r="F210" i="82" s="1"/>
  <c r="Q3184" i="81" l="1"/>
  <c r="F3184" i="81"/>
  <c r="L3184" i="81" s="1"/>
  <c r="F73" i="82"/>
  <c r="E73" i="82" s="1"/>
  <c r="F159" i="82"/>
  <c r="I159" i="82" s="1"/>
  <c r="F3340" i="81"/>
  <c r="I60" i="82"/>
  <c r="L53" i="82"/>
  <c r="F163" i="82"/>
  <c r="F3652" i="81"/>
  <c r="Q3652" i="81"/>
  <c r="E149" i="82"/>
  <c r="L58" i="82"/>
  <c r="I58" i="82"/>
  <c r="L149" i="82"/>
  <c r="E75" i="82"/>
  <c r="L75" i="82"/>
  <c r="E53" i="82"/>
  <c r="I178" i="82"/>
  <c r="L178" i="82"/>
  <c r="F171" i="82"/>
  <c r="I171" i="82" s="1"/>
  <c r="F227" i="82"/>
  <c r="F1676" i="81"/>
  <c r="N1676" i="81" s="1"/>
  <c r="F216" i="82"/>
  <c r="F137" i="82"/>
  <c r="I137" i="82" s="1"/>
  <c r="F202" i="82"/>
  <c r="F115" i="82"/>
  <c r="F89" i="82"/>
  <c r="F176" i="82"/>
  <c r="E60" i="82"/>
  <c r="F146" i="82"/>
  <c r="I49" i="82"/>
  <c r="E49" i="82"/>
  <c r="L71" i="82"/>
  <c r="I71" i="82"/>
  <c r="E71" i="82"/>
  <c r="F155" i="82"/>
  <c r="E144" i="82"/>
  <c r="L144" i="82"/>
  <c r="L67" i="82"/>
  <c r="E67" i="82"/>
  <c r="F151" i="82"/>
  <c r="I151" i="82" s="1"/>
  <c r="F63" i="82"/>
  <c r="L63" i="82" s="1"/>
  <c r="I62" i="82"/>
  <c r="E62" i="82"/>
  <c r="F51" i="82"/>
  <c r="I51" i="82" s="1"/>
  <c r="F141" i="82"/>
  <c r="I141" i="82" s="1"/>
  <c r="E76" i="82"/>
  <c r="L76" i="82"/>
  <c r="F38" i="82"/>
  <c r="L38" i="82" s="1"/>
  <c r="R948" i="81" s="1"/>
  <c r="F126" i="82"/>
  <c r="I126" i="82" s="1"/>
  <c r="F37" i="82"/>
  <c r="F124" i="82"/>
  <c r="I124" i="82" s="1"/>
  <c r="L54" i="82"/>
  <c r="E54" i="82"/>
  <c r="L74" i="82"/>
  <c r="E219" i="82"/>
  <c r="I74" i="82"/>
  <c r="I219" i="82"/>
  <c r="E47" i="82"/>
  <c r="L47" i="82"/>
  <c r="R1624" i="81" s="1"/>
  <c r="S1624" i="81" s="1"/>
  <c r="F84" i="82"/>
  <c r="L84" i="82" s="1"/>
  <c r="F56" i="82"/>
  <c r="I56" i="82" s="1"/>
  <c r="F68" i="82"/>
  <c r="L68" i="82" s="1"/>
  <c r="R3080" i="81" s="1"/>
  <c r="F45" i="82"/>
  <c r="L45" i="82" s="1"/>
  <c r="Q2352" i="81"/>
  <c r="F57" i="82"/>
  <c r="L57" i="82" s="1"/>
  <c r="L1000" i="81"/>
  <c r="F2352" i="81"/>
  <c r="N2352" i="81" s="1"/>
  <c r="E133" i="82"/>
  <c r="N3548" i="81"/>
  <c r="L133" i="82"/>
  <c r="R1312" i="81" s="1"/>
  <c r="S1312" i="81" s="1"/>
  <c r="E150" i="82"/>
  <c r="L1624" i="81"/>
  <c r="Q2300" i="81"/>
  <c r="F2300" i="81"/>
  <c r="L2300" i="81" s="1"/>
  <c r="Q1676" i="81"/>
  <c r="L3444" i="81"/>
  <c r="H45" i="83" s="1"/>
  <c r="I45" i="83" s="1"/>
  <c r="F806" i="81"/>
  <c r="H792" i="81"/>
  <c r="K792" i="81" s="1"/>
  <c r="E148" i="82"/>
  <c r="L148" i="82"/>
  <c r="Q2144" i="81"/>
  <c r="Q1520" i="81"/>
  <c r="F142" i="82"/>
  <c r="I142" i="82" s="1"/>
  <c r="F2716" i="81"/>
  <c r="L2716" i="81" s="1"/>
  <c r="L2404" i="81"/>
  <c r="F1520" i="81"/>
  <c r="N1520" i="81" s="1"/>
  <c r="Q2716" i="81"/>
  <c r="L3496" i="81"/>
  <c r="N1312" i="81"/>
  <c r="L2248" i="81"/>
  <c r="F1208" i="81"/>
  <c r="F131" i="82"/>
  <c r="Q1208" i="81"/>
  <c r="L2144" i="81"/>
  <c r="Q3392" i="81"/>
  <c r="F160" i="82"/>
  <c r="F3392" i="81"/>
  <c r="I135" i="82"/>
  <c r="E135" i="82"/>
  <c r="L135" i="82"/>
  <c r="R1468" i="81" s="1"/>
  <c r="S1468" i="81" s="1"/>
  <c r="L1468" i="81"/>
  <c r="F154" i="82"/>
  <c r="F3028" i="81"/>
  <c r="Q3028" i="81"/>
  <c r="I147" i="82"/>
  <c r="L147" i="82"/>
  <c r="R2404" i="81" s="1"/>
  <c r="S2404" i="81" s="1"/>
  <c r="E147" i="82"/>
  <c r="I143" i="82"/>
  <c r="E143" i="82"/>
  <c r="L143" i="82"/>
  <c r="L2664" i="81"/>
  <c r="E218" i="82"/>
  <c r="L218" i="82"/>
  <c r="R1780" i="81" s="1"/>
  <c r="S1780" i="81" s="1"/>
  <c r="Q4016" i="81"/>
  <c r="F4016" i="81"/>
  <c r="L4016" i="81" s="1"/>
  <c r="L3600" i="81"/>
  <c r="H49" i="83" s="1"/>
  <c r="I49" i="83" s="1"/>
  <c r="Q3080" i="81"/>
  <c r="F3080" i="81"/>
  <c r="L3080" i="81" s="1"/>
  <c r="Q1416" i="81"/>
  <c r="F1416" i="81"/>
  <c r="N1416" i="81" s="1"/>
  <c r="L2976" i="81"/>
  <c r="Q1728" i="81"/>
  <c r="F217" i="82"/>
  <c r="E217" i="82" s="1"/>
  <c r="L59" i="82"/>
  <c r="I59" i="82"/>
  <c r="E59" i="82"/>
  <c r="N2508" i="81"/>
  <c r="N2456" i="81"/>
  <c r="L2456" i="81"/>
  <c r="N2560" i="81"/>
  <c r="L2560" i="81"/>
  <c r="L4172" i="81"/>
  <c r="Q584" i="81"/>
  <c r="F584" i="81"/>
  <c r="L584" i="81" s="1"/>
  <c r="L2196" i="81"/>
  <c r="F2092" i="81"/>
  <c r="N2092" i="81" s="1"/>
  <c r="Q2092" i="81"/>
  <c r="L1884" i="81"/>
  <c r="S1884" i="81"/>
  <c r="L4120" i="81"/>
  <c r="I27" i="82"/>
  <c r="L27" i="82"/>
  <c r="R272" i="81" s="1"/>
  <c r="S272" i="81" s="1"/>
  <c r="L42" i="82"/>
  <c r="I42" i="82"/>
  <c r="E42" i="82"/>
  <c r="F1260" i="81"/>
  <c r="N1260" i="81" s="1"/>
  <c r="Q1260" i="81"/>
  <c r="F1572" i="81"/>
  <c r="Q1572" i="81"/>
  <c r="N272" i="81"/>
  <c r="L272" i="81"/>
  <c r="F948" i="81"/>
  <c r="Q948" i="81"/>
  <c r="F4068" i="81"/>
  <c r="Q4068" i="81"/>
  <c r="N480" i="81"/>
  <c r="L480" i="81"/>
  <c r="N1728" i="81"/>
  <c r="L1728" i="81"/>
  <c r="N532" i="81"/>
  <c r="L532" i="81"/>
  <c r="F844" i="81"/>
  <c r="Q844" i="81"/>
  <c r="F2040" i="81"/>
  <c r="Q2040" i="81"/>
  <c r="F338" i="81"/>
  <c r="F28" i="82" s="1"/>
  <c r="N3184" i="81" l="1"/>
  <c r="L159" i="82"/>
  <c r="E159" i="82"/>
  <c r="N3340" i="81"/>
  <c r="L3340" i="81"/>
  <c r="R3184" i="81"/>
  <c r="S3184" i="81" s="1"/>
  <c r="L3652" i="81"/>
  <c r="N3652" i="81"/>
  <c r="L1676" i="81"/>
  <c r="E63" i="82"/>
  <c r="I63" i="82"/>
  <c r="E227" i="82"/>
  <c r="I227" i="82"/>
  <c r="L227" i="82"/>
  <c r="L216" i="82"/>
  <c r="I216" i="82"/>
  <c r="E216" i="82"/>
  <c r="E68" i="82"/>
  <c r="I157" i="82"/>
  <c r="L157" i="82"/>
  <c r="E157" i="82"/>
  <c r="I70" i="82"/>
  <c r="E70" i="82"/>
  <c r="L70" i="82"/>
  <c r="L51" i="82"/>
  <c r="I68" i="82"/>
  <c r="L2352" i="81"/>
  <c r="E45" i="82"/>
  <c r="I45" i="82"/>
  <c r="E56" i="82"/>
  <c r="E57" i="82"/>
  <c r="E51" i="82"/>
  <c r="E84" i="82"/>
  <c r="I84" i="82"/>
  <c r="E141" i="82"/>
  <c r="L73" i="82"/>
  <c r="R3340" i="81" s="1"/>
  <c r="S3340" i="81" s="1"/>
  <c r="I73" i="82"/>
  <c r="L56" i="82"/>
  <c r="I57" i="82"/>
  <c r="I150" i="82"/>
  <c r="L141" i="82"/>
  <c r="L150" i="82"/>
  <c r="N2300" i="81"/>
  <c r="L137" i="82"/>
  <c r="R1676" i="81" s="1"/>
  <c r="S1676" i="81" s="1"/>
  <c r="R1988" i="81"/>
  <c r="S1988" i="81" s="1"/>
  <c r="N2716" i="81"/>
  <c r="E137" i="82"/>
  <c r="F123" i="82"/>
  <c r="F792" i="81"/>
  <c r="N792" i="81" s="1"/>
  <c r="Q792" i="81"/>
  <c r="L142" i="82"/>
  <c r="R2144" i="81" s="1"/>
  <c r="S2144" i="81" s="1"/>
  <c r="E142" i="82"/>
  <c r="L1520" i="81"/>
  <c r="I155" i="82"/>
  <c r="L155" i="82"/>
  <c r="E155" i="82"/>
  <c r="I131" i="82"/>
  <c r="L131" i="82"/>
  <c r="E131" i="82"/>
  <c r="N1208" i="81"/>
  <c r="L1208" i="81"/>
  <c r="N4016" i="81"/>
  <c r="I146" i="82"/>
  <c r="E146" i="82"/>
  <c r="L146" i="82"/>
  <c r="H43" i="83"/>
  <c r="I43" i="83" s="1"/>
  <c r="H142" i="83"/>
  <c r="I142" i="83" s="1"/>
  <c r="N3028" i="81"/>
  <c r="L3028" i="81"/>
  <c r="H42" i="83" s="1"/>
  <c r="I42" i="83" s="1"/>
  <c r="I154" i="82"/>
  <c r="E154" i="82"/>
  <c r="L154" i="82"/>
  <c r="R3028" i="81" s="1"/>
  <c r="S3028" i="81" s="1"/>
  <c r="N3392" i="81"/>
  <c r="L3392" i="81"/>
  <c r="I160" i="82"/>
  <c r="E160" i="82"/>
  <c r="L160" i="82"/>
  <c r="H44" i="83"/>
  <c r="I44" i="83" s="1"/>
  <c r="L217" i="82"/>
  <c r="R1728" i="81" s="1"/>
  <c r="S1728" i="81" s="1"/>
  <c r="N3080" i="81"/>
  <c r="L1416" i="81"/>
  <c r="S3080" i="81"/>
  <c r="I217" i="82"/>
  <c r="N584" i="81"/>
  <c r="R3444" i="81"/>
  <c r="S3444" i="81" s="1"/>
  <c r="R3496" i="81"/>
  <c r="S3496" i="81" s="1"/>
  <c r="E38" i="82"/>
  <c r="L2092" i="81"/>
  <c r="I52" i="82"/>
  <c r="L52" i="82"/>
  <c r="E52" i="82"/>
  <c r="I38" i="82"/>
  <c r="L1260" i="81"/>
  <c r="S948" i="81"/>
  <c r="L948" i="81"/>
  <c r="N948" i="81"/>
  <c r="L2040" i="81"/>
  <c r="N2040" i="81"/>
  <c r="L844" i="81"/>
  <c r="N844" i="81"/>
  <c r="F324" i="81"/>
  <c r="Q324" i="81"/>
  <c r="L4068" i="81"/>
  <c r="N4068" i="81"/>
  <c r="L1572" i="81"/>
  <c r="N1572" i="81"/>
  <c r="R2196" i="81"/>
  <c r="S2196" i="81" s="1"/>
  <c r="I113" i="82"/>
  <c r="L113" i="82"/>
  <c r="E113" i="82"/>
  <c r="L37" i="82"/>
  <c r="R844" i="81" s="1"/>
  <c r="S844" i="81" s="1"/>
  <c r="I37" i="82"/>
  <c r="E37" i="82"/>
  <c r="R3132" i="81" l="1"/>
  <c r="S3132" i="81" s="1"/>
  <c r="R3392" i="81"/>
  <c r="S3392" i="81" s="1"/>
  <c r="I123" i="82"/>
  <c r="L123" i="82"/>
  <c r="R792" i="81" s="1"/>
  <c r="S792" i="81" s="1"/>
  <c r="E123" i="82"/>
  <c r="L792" i="81"/>
  <c r="R480" i="81"/>
  <c r="S480" i="81" s="1"/>
  <c r="R1364" i="81"/>
  <c r="S1364" i="81" s="1"/>
  <c r="R2040" i="81"/>
  <c r="S2040" i="81" s="1"/>
  <c r="R2092" i="81"/>
  <c r="S2092" i="81" s="1"/>
  <c r="N324" i="81"/>
  <c r="L324" i="81"/>
  <c r="I28" i="82"/>
  <c r="E28" i="82"/>
  <c r="L28" i="82"/>
  <c r="R324" i="81" s="1"/>
  <c r="S324" i="81" s="1"/>
  <c r="K13" i="83"/>
  <c r="K17" i="83"/>
  <c r="K22" i="83"/>
  <c r="H3709" i="81" l="1"/>
  <c r="E3709" i="81"/>
  <c r="F3709" i="81" s="1"/>
  <c r="H3864" i="81"/>
  <c r="E3864" i="81"/>
  <c r="F3864" i="81" s="1"/>
  <c r="E431" i="81"/>
  <c r="F431" i="81" s="1"/>
  <c r="H431" i="81"/>
  <c r="H223" i="81"/>
  <c r="E223" i="81"/>
  <c r="F223" i="81" s="1"/>
  <c r="E378" i="81"/>
  <c r="F378" i="81" s="1"/>
  <c r="H378" i="81"/>
  <c r="E639" i="81"/>
  <c r="F639" i="81" s="1"/>
  <c r="H639" i="81"/>
  <c r="I3709" i="81" l="1"/>
  <c r="J3709" i="81"/>
  <c r="K3709" i="81" s="1"/>
  <c r="L3709" i="81"/>
  <c r="J3864" i="81"/>
  <c r="K3864" i="81" s="1"/>
  <c r="I3864" i="81"/>
  <c r="L3864" i="81"/>
  <c r="J431" i="81"/>
  <c r="K431" i="81" s="1"/>
  <c r="I431" i="81"/>
  <c r="L431" i="81"/>
  <c r="J223" i="81"/>
  <c r="K223" i="81" s="1"/>
  <c r="L223" i="81"/>
  <c r="I223" i="81"/>
  <c r="J378" i="81"/>
  <c r="K378" i="81" s="1"/>
  <c r="L378" i="81"/>
  <c r="I378" i="81"/>
  <c r="J639" i="81"/>
  <c r="K639" i="81" s="1"/>
  <c r="I639" i="81"/>
  <c r="L639" i="81"/>
  <c r="H24" i="83" l="1"/>
  <c r="I24" i="83" s="1"/>
  <c r="H118" i="83" l="1"/>
  <c r="I118" i="83" s="1"/>
  <c r="H173" i="83"/>
  <c r="I173" i="83" s="1"/>
  <c r="H169" i="83"/>
  <c r="I169" i="83" s="1"/>
  <c r="H172" i="83"/>
  <c r="I172" i="83" s="1"/>
  <c r="H133" i="83"/>
  <c r="I133" i="83" s="1"/>
  <c r="H159" i="83"/>
  <c r="I159" i="83" s="1"/>
  <c r="H86" i="83"/>
  <c r="I86" i="83" s="1"/>
  <c r="H171" i="83"/>
  <c r="I171" i="83" s="1"/>
  <c r="H170" i="83"/>
  <c r="I170" i="83" s="1"/>
  <c r="H65" i="83"/>
  <c r="I65" i="83" s="1"/>
  <c r="H121" i="83"/>
  <c r="I121" i="83" s="1"/>
  <c r="H154" i="83"/>
  <c r="I154" i="83" s="1"/>
  <c r="H165" i="83"/>
  <c r="I165" i="83" s="1"/>
  <c r="H67" i="83"/>
  <c r="I67" i="83" s="1"/>
  <c r="H167" i="83"/>
  <c r="I167" i="83" s="1"/>
  <c r="H168" i="83"/>
  <c r="I168" i="83" s="1"/>
  <c r="H125" i="83"/>
  <c r="I125" i="83" s="1"/>
  <c r="H178" i="83"/>
  <c r="I178" i="83" s="1"/>
  <c r="H90" i="83"/>
  <c r="I90" i="83" s="1"/>
  <c r="H66" i="83"/>
  <c r="I66" i="83" s="1"/>
  <c r="H138" i="83"/>
  <c r="I138" i="83" s="1"/>
  <c r="H137" i="83"/>
  <c r="I137" i="83" s="1"/>
  <c r="H119" i="83"/>
  <c r="I119" i="83" s="1"/>
  <c r="H122" i="83"/>
  <c r="I122" i="83" s="1"/>
  <c r="H180" i="83"/>
  <c r="I180" i="83" s="1"/>
  <c r="H153" i="83"/>
  <c r="I153" i="83" s="1"/>
  <c r="H156" i="83"/>
  <c r="I156" i="83" s="1"/>
  <c r="H116" i="83"/>
  <c r="I116" i="83" s="1"/>
  <c r="H164" i="83"/>
  <c r="I164" i="83" s="1"/>
  <c r="H162" i="83"/>
  <c r="I162" i="83" s="1"/>
  <c r="H163" i="83"/>
  <c r="I163" i="83" s="1"/>
  <c r="H112" i="83"/>
  <c r="I112" i="83" s="1"/>
  <c r="H81" i="83"/>
  <c r="I81" i="83" s="1"/>
  <c r="H143" i="83"/>
  <c r="I143" i="83" s="1"/>
  <c r="H127" i="83"/>
  <c r="I127" i="83" s="1"/>
  <c r="H161" i="83"/>
  <c r="I161" i="83" s="1"/>
  <c r="H158" i="83"/>
  <c r="I158" i="83" s="1"/>
  <c r="H61" i="83"/>
  <c r="I61" i="83" s="1"/>
  <c r="H70" i="83"/>
  <c r="I70" i="83" s="1"/>
  <c r="H73" i="83"/>
  <c r="I73" i="83" s="1"/>
  <c r="H69" i="83"/>
  <c r="I69" i="83" s="1"/>
  <c r="H71" i="83"/>
  <c r="I71" i="83" s="1"/>
  <c r="H139" i="83"/>
  <c r="I139" i="83" s="1"/>
  <c r="H100" i="83"/>
  <c r="I100" i="83" s="1"/>
  <c r="H50" i="83"/>
  <c r="I50" i="83" s="1"/>
  <c r="H166" i="83"/>
  <c r="I166" i="83" s="1"/>
  <c r="H149" i="83"/>
  <c r="I149" i="83" s="1"/>
  <c r="H105" i="83"/>
  <c r="I105" i="83" s="1"/>
  <c r="H104" i="83"/>
  <c r="I104" i="83" s="1"/>
  <c r="H132" i="83"/>
  <c r="I132" i="83" s="1"/>
  <c r="H113" i="83"/>
  <c r="I113" i="83" s="1"/>
  <c r="H53" i="83"/>
  <c r="I53" i="83" s="1"/>
  <c r="H83" i="83"/>
  <c r="I83" i="83" s="1"/>
  <c r="H92" i="83"/>
  <c r="I92" i="83" s="1"/>
  <c r="H82" i="83"/>
  <c r="I82" i="83" s="1"/>
  <c r="H135" i="83"/>
  <c r="I135" i="83" s="1"/>
  <c r="H110" i="83"/>
  <c r="I110" i="83" s="1"/>
  <c r="H33" i="83"/>
  <c r="I33" i="83" s="1"/>
  <c r="H84" i="83"/>
  <c r="I84" i="83" s="1"/>
  <c r="H51" i="83"/>
  <c r="I51" i="83" s="1"/>
  <c r="H32" i="83"/>
  <c r="I32" i="83" s="1"/>
  <c r="H56" i="83"/>
  <c r="I56" i="83" s="1"/>
  <c r="H37" i="83"/>
  <c r="I37" i="83" s="1"/>
  <c r="H75" i="83"/>
  <c r="I75" i="83" s="1"/>
  <c r="H123" i="83"/>
  <c r="I123" i="83" s="1"/>
  <c r="H97" i="83"/>
  <c r="I97" i="83" s="1"/>
  <c r="H23" i="83"/>
  <c r="I23" i="83" s="1"/>
  <c r="H102" i="83"/>
  <c r="I102" i="83" s="1"/>
  <c r="H95" i="83"/>
  <c r="I95" i="83" s="1"/>
  <c r="H68" i="83"/>
  <c r="I68" i="83" s="1"/>
  <c r="H141" i="83"/>
  <c r="I141" i="83" s="1"/>
  <c r="H28" i="83"/>
  <c r="I28" i="83" s="1"/>
  <c r="H29" i="83"/>
  <c r="I29" i="83" s="1"/>
  <c r="H115" i="83"/>
  <c r="I115" i="83" s="1"/>
  <c r="H111" i="83"/>
  <c r="I111" i="83" s="1"/>
  <c r="H59" i="83"/>
  <c r="I59" i="83" s="1"/>
  <c r="H63" i="83"/>
  <c r="I63" i="83" s="1"/>
  <c r="H52" i="83"/>
  <c r="H3240" i="81" l="1"/>
  <c r="E3240" i="81"/>
  <c r="F3240" i="81" s="1"/>
  <c r="E3292" i="81"/>
  <c r="F3292" i="81" s="1"/>
  <c r="H3292" i="81"/>
  <c r="H3708" i="81"/>
  <c r="E3708" i="81"/>
  <c r="F3708" i="81" s="1"/>
  <c r="E3706" i="81"/>
  <c r="F3706" i="81" s="1"/>
  <c r="H3706" i="81"/>
  <c r="H2772" i="81"/>
  <c r="E2772" i="81"/>
  <c r="F2772" i="81" s="1"/>
  <c r="H2928" i="81"/>
  <c r="E2928" i="81"/>
  <c r="F2928" i="81" s="1"/>
  <c r="H2876" i="81"/>
  <c r="E2876" i="81"/>
  <c r="F2876" i="81" s="1"/>
  <c r="E3967" i="81"/>
  <c r="F3967" i="81" s="1"/>
  <c r="F3976" i="81" s="1"/>
  <c r="E2616" i="81"/>
  <c r="F2616" i="81" s="1"/>
  <c r="H2824" i="81"/>
  <c r="E2824" i="81"/>
  <c r="F2824" i="81" s="1"/>
  <c r="H2616" i="81"/>
  <c r="H3915" i="81"/>
  <c r="E3915" i="81"/>
  <c r="F3915" i="81" s="1"/>
  <c r="H3967" i="81"/>
  <c r="H3862" i="81"/>
  <c r="E3862" i="81"/>
  <c r="F3862" i="81" s="1"/>
  <c r="E3863" i="81"/>
  <c r="F3863" i="81" s="1"/>
  <c r="H3759" i="81"/>
  <c r="E3759" i="81"/>
  <c r="F3759" i="81" s="1"/>
  <c r="H3811" i="81"/>
  <c r="E3811" i="81"/>
  <c r="F3811" i="81" s="1"/>
  <c r="H3863" i="81"/>
  <c r="E436" i="81"/>
  <c r="F436" i="81" s="1"/>
  <c r="H436" i="81"/>
  <c r="H228" i="81"/>
  <c r="E228" i="81"/>
  <c r="F228" i="81" s="1"/>
  <c r="E387" i="81"/>
  <c r="F387" i="81" s="1"/>
  <c r="H387" i="81"/>
  <c r="H1158" i="81"/>
  <c r="E1158" i="81"/>
  <c r="F1158" i="81" s="1"/>
  <c r="E1054" i="81"/>
  <c r="F1054" i="81" s="1"/>
  <c r="H1108" i="81"/>
  <c r="E1108" i="81"/>
  <c r="F1108" i="81" s="1"/>
  <c r="H1054" i="81"/>
  <c r="E643" i="81"/>
  <c r="F643" i="81" s="1"/>
  <c r="H643" i="81"/>
  <c r="H170" i="81"/>
  <c r="E170" i="81"/>
  <c r="F170" i="81" s="1"/>
  <c r="H171" i="81"/>
  <c r="E171" i="81"/>
  <c r="F15" i="81"/>
  <c r="F70" i="81"/>
  <c r="F76" i="81" s="1"/>
  <c r="F120" i="81"/>
  <c r="E642" i="81"/>
  <c r="F642" i="81" s="1"/>
  <c r="E690" i="81"/>
  <c r="F690" i="81" s="1"/>
  <c r="F700" i="81" s="1"/>
  <c r="E1938" i="81"/>
  <c r="F1938" i="81" s="1"/>
  <c r="F1948" i="81" s="1"/>
  <c r="E1834" i="81"/>
  <c r="F1834" i="81" s="1"/>
  <c r="E379" i="81"/>
  <c r="F379" i="81" s="1"/>
  <c r="E743" i="81"/>
  <c r="F743" i="81" s="1"/>
  <c r="F752" i="81" s="1"/>
  <c r="E118" i="81"/>
  <c r="F118" i="81" s="1"/>
  <c r="F17" i="81"/>
  <c r="H690" i="81"/>
  <c r="H1834" i="81"/>
  <c r="H379" i="81"/>
  <c r="H1938" i="81"/>
  <c r="H743" i="81"/>
  <c r="H642" i="81"/>
  <c r="H54" i="83"/>
  <c r="I54" i="83" s="1"/>
  <c r="I52" i="83"/>
  <c r="H60" i="83"/>
  <c r="I60" i="83" s="1"/>
  <c r="H4071" i="81"/>
  <c r="H57" i="83"/>
  <c r="H157" i="83"/>
  <c r="H103" i="83"/>
  <c r="H70" i="81"/>
  <c r="H118" i="81"/>
  <c r="H17" i="81"/>
  <c r="H120" i="81"/>
  <c r="H68" i="81"/>
  <c r="H15" i="81"/>
  <c r="J15" i="81" s="1"/>
  <c r="I3292" i="81" l="1"/>
  <c r="J3292" i="81"/>
  <c r="K3292" i="81" s="1"/>
  <c r="L3292" i="81"/>
  <c r="T3288" i="81" s="1"/>
  <c r="V3288" i="81" s="1"/>
  <c r="F3300" i="81"/>
  <c r="M3288" i="81" s="1"/>
  <c r="F3248" i="81"/>
  <c r="M3236" i="81" s="1"/>
  <c r="J3240" i="81"/>
  <c r="K3240" i="81" s="1"/>
  <c r="I3240" i="81"/>
  <c r="L3240" i="81"/>
  <c r="T3236" i="81" s="1"/>
  <c r="V3236" i="81" s="1"/>
  <c r="I3706" i="81"/>
  <c r="J3706" i="81"/>
  <c r="K3706" i="81" s="1"/>
  <c r="L3706" i="81"/>
  <c r="F3716" i="81"/>
  <c r="M3704" i="81" s="1"/>
  <c r="J3708" i="81"/>
  <c r="K3708" i="81" s="1"/>
  <c r="I3708" i="81"/>
  <c r="L3708" i="81"/>
  <c r="F2780" i="81"/>
  <c r="M2768" i="81" s="1"/>
  <c r="J2772" i="81"/>
  <c r="K2772" i="81" s="1"/>
  <c r="I2772" i="81"/>
  <c r="L2772" i="81"/>
  <c r="T2768" i="81" s="1"/>
  <c r="V2768" i="81" s="1"/>
  <c r="J171" i="82"/>
  <c r="E171" i="82"/>
  <c r="L171" i="82"/>
  <c r="J120" i="82"/>
  <c r="M3964" i="81"/>
  <c r="E138" i="82"/>
  <c r="J138" i="82"/>
  <c r="L138" i="82"/>
  <c r="F2884" i="81"/>
  <c r="I2876" i="81"/>
  <c r="J2876" i="81"/>
  <c r="K2876" i="81" s="1"/>
  <c r="L2876" i="81"/>
  <c r="T2872" i="81" s="1"/>
  <c r="V2872" i="81" s="1"/>
  <c r="F2936" i="81"/>
  <c r="J2928" i="81"/>
  <c r="K2928" i="81" s="1"/>
  <c r="I2928" i="81"/>
  <c r="L2928" i="81"/>
  <c r="T2924" i="81" s="1"/>
  <c r="V2924" i="81" s="1"/>
  <c r="I2616" i="81"/>
  <c r="L2616" i="81"/>
  <c r="T2612" i="81" s="1"/>
  <c r="V2612" i="81" s="1"/>
  <c r="J2616" i="81"/>
  <c r="K2616" i="81" s="1"/>
  <c r="F2832" i="81"/>
  <c r="L2824" i="81"/>
  <c r="T2820" i="81" s="1"/>
  <c r="V2820" i="81" s="1"/>
  <c r="J2824" i="81"/>
  <c r="K2824" i="81" s="1"/>
  <c r="I2824" i="81"/>
  <c r="F2624" i="81"/>
  <c r="F3977" i="81"/>
  <c r="H3964" i="81" s="1"/>
  <c r="K3964" i="81" s="1"/>
  <c r="L3967" i="81"/>
  <c r="T3964" i="81" s="1"/>
  <c r="V3964" i="81" s="1"/>
  <c r="J3967" i="81"/>
  <c r="K3967" i="81" s="1"/>
  <c r="I3967" i="81"/>
  <c r="F3924" i="81"/>
  <c r="J3915" i="81"/>
  <c r="K3915" i="81" s="1"/>
  <c r="I3915" i="81"/>
  <c r="L3915" i="81"/>
  <c r="T3912" i="81" s="1"/>
  <c r="V3912" i="81" s="1"/>
  <c r="L3863" i="81"/>
  <c r="J3863" i="81"/>
  <c r="K3863" i="81" s="1"/>
  <c r="I3863" i="81"/>
  <c r="F3820" i="81"/>
  <c r="J3811" i="81"/>
  <c r="K3811" i="81" s="1"/>
  <c r="I3811" i="81"/>
  <c r="L3811" i="81"/>
  <c r="T3808" i="81" s="1"/>
  <c r="V3808" i="81" s="1"/>
  <c r="F3768" i="81"/>
  <c r="L3759" i="81"/>
  <c r="T3756" i="81" s="1"/>
  <c r="V3756" i="81" s="1"/>
  <c r="J3759" i="81"/>
  <c r="K3759" i="81" s="1"/>
  <c r="I3759" i="81"/>
  <c r="F3872" i="81"/>
  <c r="J3862" i="81"/>
  <c r="K3862" i="81" s="1"/>
  <c r="L3862" i="81"/>
  <c r="I3862" i="81"/>
  <c r="F440" i="81"/>
  <c r="M428" i="81" s="1"/>
  <c r="J436" i="81"/>
  <c r="K436" i="81" s="1"/>
  <c r="L436" i="81"/>
  <c r="T428" i="81" s="1"/>
  <c r="V428" i="81" s="1"/>
  <c r="I436" i="81"/>
  <c r="M688" i="81"/>
  <c r="M1936" i="81"/>
  <c r="F77" i="81"/>
  <c r="F78" i="81" s="1"/>
  <c r="F193" i="82" s="1"/>
  <c r="M64" i="81"/>
  <c r="M740" i="81"/>
  <c r="F1949" i="81"/>
  <c r="H1936" i="81" s="1"/>
  <c r="K1936" i="81" s="1"/>
  <c r="F701" i="81"/>
  <c r="H688" i="81" s="1"/>
  <c r="K688" i="81" s="1"/>
  <c r="F753" i="81"/>
  <c r="H740" i="81" s="1"/>
  <c r="K740" i="81" s="1"/>
  <c r="F388" i="81"/>
  <c r="F232" i="81"/>
  <c r="J228" i="81"/>
  <c r="K228" i="81" s="1"/>
  <c r="L228" i="81"/>
  <c r="T220" i="81" s="1"/>
  <c r="V220" i="81" s="1"/>
  <c r="I228" i="81"/>
  <c r="J387" i="81"/>
  <c r="K387" i="81" s="1"/>
  <c r="I387" i="81"/>
  <c r="L387" i="81"/>
  <c r="F1168" i="81"/>
  <c r="J1158" i="81"/>
  <c r="K1158" i="81" s="1"/>
  <c r="I1158" i="81"/>
  <c r="L1158" i="81"/>
  <c r="T1156" i="81" s="1"/>
  <c r="V1156" i="81" s="1"/>
  <c r="J1054" i="81"/>
  <c r="K1054" i="81" s="1"/>
  <c r="I1054" i="81"/>
  <c r="L1054" i="81"/>
  <c r="T1052" i="81" s="1"/>
  <c r="V1052" i="81" s="1"/>
  <c r="F1116" i="81"/>
  <c r="L1108" i="81"/>
  <c r="T1104" i="81" s="1"/>
  <c r="V1104" i="81" s="1"/>
  <c r="I1108" i="81"/>
  <c r="J1108" i="81"/>
  <c r="K1108" i="81" s="1"/>
  <c r="F1064" i="81"/>
  <c r="L643" i="81"/>
  <c r="J643" i="81"/>
  <c r="K643" i="81" s="1"/>
  <c r="I643" i="81"/>
  <c r="I171" i="81"/>
  <c r="F171" i="81"/>
  <c r="F180" i="81" s="1"/>
  <c r="J171" i="81"/>
  <c r="K171" i="81" s="1"/>
  <c r="L171" i="81"/>
  <c r="J170" i="81"/>
  <c r="K170" i="81" s="1"/>
  <c r="L170" i="81"/>
  <c r="I170" i="81"/>
  <c r="F128" i="81"/>
  <c r="F648" i="81"/>
  <c r="F1844" i="81"/>
  <c r="H109" i="83"/>
  <c r="I743" i="81"/>
  <c r="J743" i="81"/>
  <c r="K743" i="81" s="1"/>
  <c r="L743" i="81"/>
  <c r="T740" i="81" s="1"/>
  <c r="V740" i="81" s="1"/>
  <c r="I1938" i="81"/>
  <c r="L1938" i="81"/>
  <c r="T1936" i="81" s="1"/>
  <c r="V1936" i="81" s="1"/>
  <c r="J1938" i="81"/>
  <c r="K1938" i="81" s="1"/>
  <c r="J690" i="81"/>
  <c r="K690" i="81" s="1"/>
  <c r="I690" i="81"/>
  <c r="L690" i="81"/>
  <c r="T688" i="81" s="1"/>
  <c r="V688" i="81" s="1"/>
  <c r="I379" i="81"/>
  <c r="J379" i="81"/>
  <c r="K379" i="81" s="1"/>
  <c r="L379" i="81"/>
  <c r="J642" i="81"/>
  <c r="K642" i="81" s="1"/>
  <c r="L642" i="81"/>
  <c r="I642" i="81"/>
  <c r="I1834" i="81"/>
  <c r="J1834" i="81"/>
  <c r="K1834" i="81" s="1"/>
  <c r="L1834" i="81"/>
  <c r="T1832" i="81" s="1"/>
  <c r="V1832" i="81" s="1"/>
  <c r="I4071" i="81"/>
  <c r="J4071" i="81"/>
  <c r="K4071" i="81" s="1"/>
  <c r="L4071" i="81"/>
  <c r="T4068" i="81" s="1"/>
  <c r="V4068" i="81" s="1"/>
  <c r="G4223" i="81"/>
  <c r="J70" i="81"/>
  <c r="K70" i="81" s="1"/>
  <c r="L70" i="81"/>
  <c r="L68" i="81"/>
  <c r="J68" i="81"/>
  <c r="K68" i="81" s="1"/>
  <c r="L17" i="81"/>
  <c r="J17" i="81"/>
  <c r="K17" i="81" s="1"/>
  <c r="L120" i="81"/>
  <c r="J120" i="81"/>
  <c r="K120" i="81" s="1"/>
  <c r="L118" i="81"/>
  <c r="J118" i="81"/>
  <c r="K118" i="81" s="1"/>
  <c r="I17" i="81"/>
  <c r="I120" i="81"/>
  <c r="I68" i="81"/>
  <c r="I70" i="81"/>
  <c r="I15" i="81"/>
  <c r="I118" i="81"/>
  <c r="L15" i="81"/>
  <c r="H19" i="83" s="1"/>
  <c r="I19" i="83" s="1"/>
  <c r="K15" i="81"/>
  <c r="F3301" i="81" l="1"/>
  <c r="F3302" i="81" s="1"/>
  <c r="F72" i="82" s="1"/>
  <c r="F3249" i="81"/>
  <c r="F3717" i="81"/>
  <c r="T3704" i="81"/>
  <c r="V3704" i="81" s="1"/>
  <c r="F20" i="82"/>
  <c r="F106" i="82"/>
  <c r="F2781" i="81"/>
  <c r="F3925" i="81"/>
  <c r="F3926" i="81" s="1"/>
  <c r="F225" i="82" s="1"/>
  <c r="M2872" i="81"/>
  <c r="M3756" i="81"/>
  <c r="J126" i="82"/>
  <c r="E126" i="82"/>
  <c r="L126" i="82"/>
  <c r="R1000" i="81" s="1"/>
  <c r="S1000" i="81" s="1"/>
  <c r="F2937" i="81"/>
  <c r="F2938" i="81" s="1"/>
  <c r="F66" i="82" s="1"/>
  <c r="J168" i="82"/>
  <c r="F3821" i="81"/>
  <c r="H3808" i="81" s="1"/>
  <c r="K3808" i="81" s="1"/>
  <c r="M2612" i="81"/>
  <c r="J136" i="82"/>
  <c r="E136" i="82"/>
  <c r="L136" i="82"/>
  <c r="J128" i="82"/>
  <c r="E124" i="82"/>
  <c r="L124" i="82"/>
  <c r="R896" i="81" s="1"/>
  <c r="S896" i="81" s="1"/>
  <c r="J124" i="82"/>
  <c r="M3860" i="81"/>
  <c r="M2820" i="81"/>
  <c r="F2885" i="81"/>
  <c r="F2886" i="81" s="1"/>
  <c r="M2924" i="81"/>
  <c r="F2833" i="81"/>
  <c r="H2820" i="81" s="1"/>
  <c r="K2820" i="81" s="1"/>
  <c r="F2625" i="81"/>
  <c r="H2612" i="81" s="1"/>
  <c r="K2612" i="81" s="1"/>
  <c r="F3978" i="81"/>
  <c r="F226" i="82" s="1"/>
  <c r="M3912" i="81"/>
  <c r="T3860" i="81"/>
  <c r="V3860" i="81" s="1"/>
  <c r="M3808" i="81"/>
  <c r="F3873" i="81"/>
  <c r="F3769" i="81"/>
  <c r="F3770" i="81" s="1"/>
  <c r="F441" i="81"/>
  <c r="T636" i="81"/>
  <c r="V636" i="81" s="1"/>
  <c r="H64" i="81"/>
  <c r="K64" i="81" s="1"/>
  <c r="T376" i="81"/>
  <c r="V376" i="81" s="1"/>
  <c r="M1104" i="81"/>
  <c r="M220" i="81"/>
  <c r="M168" i="81"/>
  <c r="M376" i="81"/>
  <c r="M1832" i="81"/>
  <c r="M1156" i="81"/>
  <c r="F64" i="81"/>
  <c r="N64" i="81" s="1"/>
  <c r="Q64" i="81"/>
  <c r="M636" i="81"/>
  <c r="M1052" i="81"/>
  <c r="F129" i="81"/>
  <c r="H116" i="81" s="1"/>
  <c r="K116" i="81" s="1"/>
  <c r="M116" i="81"/>
  <c r="T64" i="81"/>
  <c r="V64" i="81" s="1"/>
  <c r="T116" i="81"/>
  <c r="V116" i="81" s="1"/>
  <c r="H16" i="83"/>
  <c r="I16" i="83" s="1"/>
  <c r="T168" i="81"/>
  <c r="V168" i="81" s="1"/>
  <c r="F649" i="81"/>
  <c r="H636" i="81" s="1"/>
  <c r="K636" i="81" s="1"/>
  <c r="F754" i="81"/>
  <c r="F209" i="82" s="1"/>
  <c r="F1845" i="81"/>
  <c r="H1832" i="81" s="1"/>
  <c r="K1832" i="81" s="1"/>
  <c r="L232" i="82"/>
  <c r="R4120" i="81" s="1"/>
  <c r="S4120" i="81" s="1"/>
  <c r="E232" i="82"/>
  <c r="I232" i="82"/>
  <c r="L202" i="82"/>
  <c r="I202" i="82"/>
  <c r="E202" i="82"/>
  <c r="F702" i="81"/>
  <c r="F208" i="82" s="1"/>
  <c r="F1950" i="81"/>
  <c r="F389" i="81"/>
  <c r="H376" i="81" s="1"/>
  <c r="K376" i="81" s="1"/>
  <c r="F233" i="81"/>
  <c r="H220" i="81" s="1"/>
  <c r="K220" i="81" s="1"/>
  <c r="F1169" i="81"/>
  <c r="H1156" i="81" s="1"/>
  <c r="K1156" i="81" s="1"/>
  <c r="F1117" i="81"/>
  <c r="H1104" i="81" s="1"/>
  <c r="K1104" i="81" s="1"/>
  <c r="F1065" i="81"/>
  <c r="H1052" i="81" s="1"/>
  <c r="K1052" i="81" s="1"/>
  <c r="F181" i="81"/>
  <c r="H168" i="81" s="1"/>
  <c r="K168" i="81" s="1"/>
  <c r="H85" i="83"/>
  <c r="I85" i="83" s="1"/>
  <c r="H55" i="83"/>
  <c r="I55" i="83" s="1"/>
  <c r="H134" i="83"/>
  <c r="I134" i="83" s="1"/>
  <c r="H21" i="83"/>
  <c r="H12" i="83"/>
  <c r="I12" i="83" s="1"/>
  <c r="H14" i="83"/>
  <c r="I14" i="83" s="1"/>
  <c r="H20" i="83"/>
  <c r="I20" i="83" s="1"/>
  <c r="H13" i="83"/>
  <c r="H22" i="83"/>
  <c r="H25" i="83"/>
  <c r="I25" i="83" s="1"/>
  <c r="H17" i="83"/>
  <c r="F24" i="81"/>
  <c r="F25" i="81" s="1"/>
  <c r="F26" i="81" s="1"/>
  <c r="I103" i="83"/>
  <c r="I157" i="83"/>
  <c r="I57" i="83"/>
  <c r="T12" i="81"/>
  <c r="V12" i="81" s="1"/>
  <c r="Q3288" i="81" l="1"/>
  <c r="F3288" i="81"/>
  <c r="N3288" i="81" s="1"/>
  <c r="H3288" i="81"/>
  <c r="K3288" i="81" s="1"/>
  <c r="F3250" i="81"/>
  <c r="H3236" i="81"/>
  <c r="K3236" i="81" s="1"/>
  <c r="F3718" i="81"/>
  <c r="H3704" i="81"/>
  <c r="K3704" i="81" s="1"/>
  <c r="F222" i="82"/>
  <c r="F65" i="82"/>
  <c r="I65" i="82" s="1"/>
  <c r="I72" i="82"/>
  <c r="I208" i="82"/>
  <c r="L208" i="82"/>
  <c r="E208" i="82"/>
  <c r="L209" i="82"/>
  <c r="E209" i="82"/>
  <c r="I209" i="82"/>
  <c r="F83" i="82"/>
  <c r="F170" i="82"/>
  <c r="F82" i="82"/>
  <c r="F169" i="82"/>
  <c r="F79" i="82"/>
  <c r="F166" i="82"/>
  <c r="I166" i="82" s="1"/>
  <c r="F50" i="82"/>
  <c r="E50" i="82" s="1"/>
  <c r="F139" i="82"/>
  <c r="F36" i="82"/>
  <c r="F122" i="82"/>
  <c r="F35" i="82"/>
  <c r="F121" i="82"/>
  <c r="F105" i="82"/>
  <c r="F192" i="82"/>
  <c r="L225" i="82"/>
  <c r="I225" i="82"/>
  <c r="E225" i="82"/>
  <c r="H3912" i="81"/>
  <c r="K3912" i="81" s="1"/>
  <c r="H2872" i="81"/>
  <c r="K2872" i="81" s="1"/>
  <c r="H2768" i="81"/>
  <c r="K2768" i="81" s="1"/>
  <c r="F2782" i="81"/>
  <c r="R1520" i="81"/>
  <c r="S1520" i="81" s="1"/>
  <c r="F3822" i="81"/>
  <c r="F223" i="82" s="1"/>
  <c r="L223" i="82" s="1"/>
  <c r="Q2924" i="81"/>
  <c r="E66" i="82"/>
  <c r="F2924" i="81"/>
  <c r="N2924" i="81" s="1"/>
  <c r="J166" i="82"/>
  <c r="E162" i="82"/>
  <c r="J162" i="82"/>
  <c r="L162" i="82"/>
  <c r="H2924" i="81"/>
  <c r="K2924" i="81" s="1"/>
  <c r="J163" i="82"/>
  <c r="J134" i="82"/>
  <c r="L134" i="82"/>
  <c r="E134" i="82"/>
  <c r="J151" i="82"/>
  <c r="E151" i="82"/>
  <c r="L151" i="82"/>
  <c r="J167" i="82"/>
  <c r="J153" i="82"/>
  <c r="F2872" i="81"/>
  <c r="N2872" i="81" s="1"/>
  <c r="Q2872" i="81"/>
  <c r="E65" i="82"/>
  <c r="F2834" i="81"/>
  <c r="L72" i="82"/>
  <c r="F2626" i="81"/>
  <c r="F61" i="82" s="1"/>
  <c r="F3964" i="81"/>
  <c r="Q3964" i="81"/>
  <c r="F3912" i="81"/>
  <c r="N3912" i="81" s="1"/>
  <c r="Q3912" i="81"/>
  <c r="F3756" i="81"/>
  <c r="N3756" i="81" s="1"/>
  <c r="Q3756" i="81"/>
  <c r="H3756" i="81"/>
  <c r="K3756" i="81" s="1"/>
  <c r="H3860" i="81"/>
  <c r="K3860" i="81" s="1"/>
  <c r="F3874" i="81"/>
  <c r="F224" i="82" s="1"/>
  <c r="F130" i="81"/>
  <c r="H428" i="81"/>
  <c r="K428" i="81" s="1"/>
  <c r="F442" i="81"/>
  <c r="F1936" i="81"/>
  <c r="Q1936" i="81"/>
  <c r="F688" i="81"/>
  <c r="Q688" i="81"/>
  <c r="F740" i="81"/>
  <c r="Q740" i="81"/>
  <c r="L64" i="81"/>
  <c r="L210" i="82"/>
  <c r="E210" i="82"/>
  <c r="I210" i="82"/>
  <c r="F1846" i="81"/>
  <c r="F48" i="82" s="1"/>
  <c r="F390" i="81"/>
  <c r="F29" i="82" s="1"/>
  <c r="L201" i="82"/>
  <c r="E201" i="82"/>
  <c r="I201" i="82"/>
  <c r="G77" i="66" s="1"/>
  <c r="G76" i="66" s="1"/>
  <c r="F650" i="81"/>
  <c r="F207" i="82" s="1"/>
  <c r="F182" i="81"/>
  <c r="F195" i="82" s="1"/>
  <c r="L176" i="82"/>
  <c r="I176" i="82"/>
  <c r="E176" i="82"/>
  <c r="L200" i="82"/>
  <c r="I200" i="82"/>
  <c r="E200" i="82"/>
  <c r="F1066" i="81"/>
  <c r="F212" i="82" s="1"/>
  <c r="L106" i="82"/>
  <c r="I106" i="82"/>
  <c r="G46" i="66" s="1"/>
  <c r="E106" i="82"/>
  <c r="L211" i="82"/>
  <c r="E211" i="82"/>
  <c r="I211" i="82"/>
  <c r="L193" i="82"/>
  <c r="E193" i="82"/>
  <c r="I193" i="82"/>
  <c r="G74" i="66" s="1"/>
  <c r="F234" i="81"/>
  <c r="F26" i="82" s="1"/>
  <c r="F1170" i="81"/>
  <c r="F214" i="82" s="1"/>
  <c r="E214" i="82" s="1"/>
  <c r="F1118" i="81"/>
  <c r="F213" i="82" s="1"/>
  <c r="Q12" i="81"/>
  <c r="F12" i="81"/>
  <c r="F19" i="82"/>
  <c r="I19" i="82" s="1"/>
  <c r="M12" i="81"/>
  <c r="H12" i="81"/>
  <c r="K12" i="81" s="1"/>
  <c r="L3288" i="81" l="1"/>
  <c r="F158" i="82"/>
  <c r="I158" i="82" s="1"/>
  <c r="Q3236" i="81"/>
  <c r="F3236" i="81"/>
  <c r="N3236" i="81" s="1"/>
  <c r="R3288" i="81"/>
  <c r="S3288" i="81" s="1"/>
  <c r="E72" i="82"/>
  <c r="F165" i="82"/>
  <c r="F221" i="82"/>
  <c r="Q3704" i="81"/>
  <c r="F78" i="82"/>
  <c r="F3704" i="81"/>
  <c r="L65" i="82"/>
  <c r="I229" i="82"/>
  <c r="F229" i="82" s="1"/>
  <c r="I223" i="82"/>
  <c r="E223" i="82"/>
  <c r="F112" i="82"/>
  <c r="F199" i="82"/>
  <c r="I199" i="82" s="1"/>
  <c r="D77" i="66" s="1"/>
  <c r="F81" i="82"/>
  <c r="F168" i="82"/>
  <c r="F80" i="82"/>
  <c r="I80" i="82" s="1"/>
  <c r="F167" i="82"/>
  <c r="I167" i="82" s="1"/>
  <c r="F64" i="82"/>
  <c r="L64" i="82" s="1"/>
  <c r="F153" i="82"/>
  <c r="I153" i="82" s="1"/>
  <c r="I139" i="82"/>
  <c r="L139" i="82"/>
  <c r="E139" i="82"/>
  <c r="F40" i="82"/>
  <c r="I40" i="82" s="1"/>
  <c r="F129" i="82"/>
  <c r="I129" i="82" s="1"/>
  <c r="F39" i="82"/>
  <c r="L39" i="82" s="1"/>
  <c r="R1052" i="81" s="1"/>
  <c r="F128" i="82"/>
  <c r="E128" i="82" s="1"/>
  <c r="F41" i="82"/>
  <c r="F130" i="82"/>
  <c r="I130" i="82" s="1"/>
  <c r="I121" i="82"/>
  <c r="E121" i="82"/>
  <c r="L121" i="82"/>
  <c r="I122" i="82"/>
  <c r="E122" i="82"/>
  <c r="L122" i="82"/>
  <c r="F34" i="82"/>
  <c r="E34" i="82" s="1"/>
  <c r="F120" i="82"/>
  <c r="F107" i="82"/>
  <c r="E107" i="82" s="1"/>
  <c r="F194" i="82"/>
  <c r="I194" i="82" s="1"/>
  <c r="J74" i="66" s="1"/>
  <c r="F22" i="82"/>
  <c r="L22" i="82" s="1"/>
  <c r="R168" i="81" s="1"/>
  <c r="F108" i="82"/>
  <c r="F116" i="81"/>
  <c r="L116" i="81" s="1"/>
  <c r="F21" i="82"/>
  <c r="G45" i="66"/>
  <c r="G73" i="66"/>
  <c r="I226" i="82"/>
  <c r="L226" i="82"/>
  <c r="E226" i="82"/>
  <c r="I66" i="82"/>
  <c r="Q3808" i="81"/>
  <c r="F3808" i="81"/>
  <c r="N3808" i="81" s="1"/>
  <c r="E166" i="82"/>
  <c r="L66" i="82"/>
  <c r="L166" i="82"/>
  <c r="L2924" i="81"/>
  <c r="F152" i="82"/>
  <c r="Q2768" i="81"/>
  <c r="F2768" i="81"/>
  <c r="N2768" i="81" s="1"/>
  <c r="I170" i="82"/>
  <c r="E170" i="82"/>
  <c r="L170" i="82"/>
  <c r="I169" i="82"/>
  <c r="L169" i="82"/>
  <c r="E169" i="82"/>
  <c r="R3548" i="81"/>
  <c r="S3548" i="81" s="1"/>
  <c r="J117" i="82"/>
  <c r="L2872" i="81"/>
  <c r="Q2820" i="81"/>
  <c r="F2820" i="81"/>
  <c r="L2820" i="81" s="1"/>
  <c r="F2612" i="81"/>
  <c r="Q2612" i="81"/>
  <c r="N3964" i="81"/>
  <c r="L3964" i="81"/>
  <c r="I83" i="82"/>
  <c r="L83" i="82"/>
  <c r="R3964" i="81" s="1"/>
  <c r="S3964" i="81" s="1"/>
  <c r="E83" i="82"/>
  <c r="I82" i="82"/>
  <c r="E82" i="82"/>
  <c r="L82" i="82"/>
  <c r="L3912" i="81"/>
  <c r="L3756" i="81"/>
  <c r="F3860" i="81"/>
  <c r="N3860" i="81" s="1"/>
  <c r="Q3860" i="81"/>
  <c r="I79" i="82"/>
  <c r="L79" i="82"/>
  <c r="E79" i="82"/>
  <c r="L199" i="82"/>
  <c r="Q116" i="81"/>
  <c r="R4016" i="81"/>
  <c r="S4016" i="81" s="1"/>
  <c r="R2560" i="81"/>
  <c r="S2560" i="81" s="1"/>
  <c r="R2976" i="81"/>
  <c r="S2976" i="81" s="1"/>
  <c r="R3600" i="81"/>
  <c r="S3600" i="81" s="1"/>
  <c r="R1416" i="81"/>
  <c r="S1416" i="81" s="1"/>
  <c r="I214" i="82"/>
  <c r="L214" i="82"/>
  <c r="L50" i="82"/>
  <c r="I213" i="82"/>
  <c r="L213" i="82"/>
  <c r="E213" i="82"/>
  <c r="F428" i="81"/>
  <c r="N428" i="81" s="1"/>
  <c r="Q428" i="81"/>
  <c r="R1260" i="81"/>
  <c r="S1260" i="81" s="1"/>
  <c r="L740" i="81"/>
  <c r="N740" i="81"/>
  <c r="F636" i="81"/>
  <c r="Q636" i="81"/>
  <c r="F168" i="81"/>
  <c r="Q168" i="81"/>
  <c r="L688" i="81"/>
  <c r="N688" i="81"/>
  <c r="F1104" i="81"/>
  <c r="Q1104" i="81"/>
  <c r="I48" i="82"/>
  <c r="F1832" i="81"/>
  <c r="Q1832" i="81"/>
  <c r="H108" i="83"/>
  <c r="I108" i="83" s="1"/>
  <c r="F1156" i="81"/>
  <c r="Q1156" i="81"/>
  <c r="F220" i="81"/>
  <c r="Q220" i="81"/>
  <c r="I50" i="82"/>
  <c r="F376" i="81"/>
  <c r="Q376" i="81"/>
  <c r="F1052" i="81"/>
  <c r="Q1052" i="81"/>
  <c r="L1936" i="81"/>
  <c r="N1936" i="81"/>
  <c r="I173" i="82"/>
  <c r="L29" i="82"/>
  <c r="R376" i="81" s="1"/>
  <c r="L114" i="82"/>
  <c r="I114" i="82"/>
  <c r="E114" i="82"/>
  <c r="I105" i="82"/>
  <c r="E105" i="82"/>
  <c r="L105" i="82"/>
  <c r="L115" i="82"/>
  <c r="I115" i="82"/>
  <c r="E115" i="82"/>
  <c r="L192" i="82"/>
  <c r="I192" i="82"/>
  <c r="E192" i="82"/>
  <c r="D21" i="66"/>
  <c r="I46" i="82"/>
  <c r="I36" i="82"/>
  <c r="L36" i="82"/>
  <c r="R740" i="81" s="1"/>
  <c r="S740" i="81" s="1"/>
  <c r="E36" i="82"/>
  <c r="I91" i="82"/>
  <c r="K86" i="82"/>
  <c r="L27" i="66" s="1"/>
  <c r="L12" i="81"/>
  <c r="N12" i="81"/>
  <c r="L19" i="82"/>
  <c r="R12" i="81" s="1"/>
  <c r="E19" i="82"/>
  <c r="I197" i="82" l="1"/>
  <c r="F197" i="82" s="1"/>
  <c r="I198" i="82" s="1"/>
  <c r="E199" i="82"/>
  <c r="L158" i="82"/>
  <c r="R3236" i="81" s="1"/>
  <c r="S3236" i="81" s="1"/>
  <c r="E158" i="82"/>
  <c r="L3236" i="81"/>
  <c r="N3704" i="81"/>
  <c r="L3704" i="81"/>
  <c r="H47" i="83" s="1"/>
  <c r="I47" i="83" s="1"/>
  <c r="L78" i="82"/>
  <c r="R3704" i="81" s="1"/>
  <c r="S3704" i="81" s="1"/>
  <c r="E78" i="82"/>
  <c r="I78" i="82"/>
  <c r="E221" i="82"/>
  <c r="L221" i="82"/>
  <c r="I221" i="82"/>
  <c r="E165" i="82"/>
  <c r="I165" i="82"/>
  <c r="L165" i="82"/>
  <c r="I163" i="82"/>
  <c r="E163" i="82"/>
  <c r="L163" i="82"/>
  <c r="R3652" i="81" s="1"/>
  <c r="S3652" i="81" s="1"/>
  <c r="R3756" i="81"/>
  <c r="S3756" i="81" s="1"/>
  <c r="L80" i="82"/>
  <c r="R3808" i="81" s="1"/>
  <c r="S3808" i="81" s="1"/>
  <c r="E194" i="82"/>
  <c r="L194" i="82"/>
  <c r="L229" i="82"/>
  <c r="I230" i="82"/>
  <c r="J83" i="66"/>
  <c r="J87" i="66" s="1"/>
  <c r="J86" i="66" s="1"/>
  <c r="E80" i="82"/>
  <c r="L167" i="82"/>
  <c r="E167" i="82"/>
  <c r="I168" i="82"/>
  <c r="L168" i="82"/>
  <c r="E168" i="82"/>
  <c r="E129" i="82"/>
  <c r="L129" i="82"/>
  <c r="I128" i="82"/>
  <c r="E64" i="82"/>
  <c r="I64" i="82"/>
  <c r="L128" i="82"/>
  <c r="L130" i="82"/>
  <c r="E130" i="82"/>
  <c r="N116" i="81"/>
  <c r="R1936" i="81"/>
  <c r="S1936" i="81" s="1"/>
  <c r="J73" i="66"/>
  <c r="G49" i="66"/>
  <c r="G48" i="66" s="1"/>
  <c r="F173" i="82"/>
  <c r="I174" i="82" s="1"/>
  <c r="J55" i="66"/>
  <c r="D76" i="66"/>
  <c r="M76" i="66"/>
  <c r="G117" i="82"/>
  <c r="J118" i="82" s="1"/>
  <c r="H52" i="66"/>
  <c r="H59" i="66" s="1"/>
  <c r="I224" i="82"/>
  <c r="L224" i="82"/>
  <c r="E224" i="82"/>
  <c r="I222" i="82"/>
  <c r="E222" i="82"/>
  <c r="L222" i="82"/>
  <c r="L153" i="82"/>
  <c r="E153" i="82"/>
  <c r="L3808" i="81"/>
  <c r="L2768" i="81"/>
  <c r="I120" i="82"/>
  <c r="E120" i="82"/>
  <c r="L120" i="82"/>
  <c r="I152" i="82"/>
  <c r="E152" i="82"/>
  <c r="L152" i="82"/>
  <c r="R2768" i="81" s="1"/>
  <c r="S2768" i="81" s="1"/>
  <c r="N2820" i="81"/>
  <c r="N2612" i="81"/>
  <c r="L2612" i="81"/>
  <c r="L61" i="82"/>
  <c r="R2612" i="81" s="1"/>
  <c r="S2612" i="81" s="1"/>
  <c r="I61" i="82"/>
  <c r="E61" i="82"/>
  <c r="L3860" i="81"/>
  <c r="I81" i="82"/>
  <c r="L81" i="82"/>
  <c r="R3860" i="81" s="1"/>
  <c r="S3860" i="81" s="1"/>
  <c r="E81" i="82"/>
  <c r="L107" i="82"/>
  <c r="I107" i="82"/>
  <c r="J46" i="66" s="1"/>
  <c r="R2352" i="81"/>
  <c r="S2352" i="81" s="1"/>
  <c r="R2508" i="81"/>
  <c r="S2508" i="81" s="1"/>
  <c r="R3912" i="81"/>
  <c r="S3912" i="81" s="1"/>
  <c r="R584" i="81"/>
  <c r="S584" i="81" s="1"/>
  <c r="R2872" i="81"/>
  <c r="S2872" i="81" s="1"/>
  <c r="R532" i="81"/>
  <c r="S532" i="81" s="1"/>
  <c r="R2820" i="81"/>
  <c r="S2820" i="81" s="1"/>
  <c r="S1052" i="81"/>
  <c r="E40" i="82"/>
  <c r="L40" i="82"/>
  <c r="R1104" i="81" s="1"/>
  <c r="S1104" i="81" s="1"/>
  <c r="E39" i="82"/>
  <c r="I39" i="82"/>
  <c r="E48" i="82"/>
  <c r="L48" i="82"/>
  <c r="R1832" i="81" s="1"/>
  <c r="S1832" i="81" s="1"/>
  <c r="L212" i="82"/>
  <c r="I212" i="82"/>
  <c r="E212" i="82"/>
  <c r="L195" i="82"/>
  <c r="I195" i="82"/>
  <c r="I190" i="82" s="1"/>
  <c r="F190" i="82" s="1"/>
  <c r="E195" i="82"/>
  <c r="L112" i="82"/>
  <c r="I112" i="82"/>
  <c r="E112" i="82"/>
  <c r="L428" i="81"/>
  <c r="S168" i="81"/>
  <c r="L220" i="81"/>
  <c r="N220" i="81"/>
  <c r="L1156" i="81"/>
  <c r="N1156" i="81"/>
  <c r="L1052" i="81"/>
  <c r="N1052" i="81"/>
  <c r="L168" i="81"/>
  <c r="N168" i="81"/>
  <c r="L1832" i="81"/>
  <c r="N1832" i="81"/>
  <c r="S376" i="81"/>
  <c r="L376" i="81"/>
  <c r="N376" i="81"/>
  <c r="L636" i="81"/>
  <c r="N636" i="81"/>
  <c r="N1104" i="81"/>
  <c r="L1104" i="81"/>
  <c r="E22" i="82"/>
  <c r="I22" i="82"/>
  <c r="D18" i="66" s="1"/>
  <c r="S12" i="81"/>
  <c r="L34" i="82"/>
  <c r="R636" i="81" s="1"/>
  <c r="S636" i="81" s="1"/>
  <c r="I34" i="82"/>
  <c r="I29" i="82"/>
  <c r="G21" i="66" s="1"/>
  <c r="E29" i="82"/>
  <c r="I26" i="82"/>
  <c r="L26" i="82"/>
  <c r="R220" i="81" s="1"/>
  <c r="S220" i="81" s="1"/>
  <c r="E26" i="82"/>
  <c r="L41" i="82"/>
  <c r="I41" i="82"/>
  <c r="E41" i="82"/>
  <c r="H18" i="83"/>
  <c r="I18" i="83" s="1"/>
  <c r="E91" i="82"/>
  <c r="L46" i="82"/>
  <c r="R1572" i="81" s="1"/>
  <c r="S1572" i="81" s="1"/>
  <c r="E46" i="82"/>
  <c r="L91" i="82"/>
  <c r="E35" i="82"/>
  <c r="L35" i="82"/>
  <c r="R688" i="81" s="1"/>
  <c r="S688" i="81" s="1"/>
  <c r="I35" i="82"/>
  <c r="L89" i="82"/>
  <c r="E20" i="82"/>
  <c r="E89" i="82"/>
  <c r="I89" i="82"/>
  <c r="L197" i="82" l="1"/>
  <c r="C76" i="66" s="1"/>
  <c r="F230" i="82"/>
  <c r="C82" i="66"/>
  <c r="J82" i="66"/>
  <c r="M82" i="66"/>
  <c r="H230" i="82"/>
  <c r="G230" i="82"/>
  <c r="R1156" i="81"/>
  <c r="S1156" i="81" s="1"/>
  <c r="R1208" i="81"/>
  <c r="S1208" i="81" s="1"/>
  <c r="L173" i="82"/>
  <c r="L182" i="82"/>
  <c r="I110" i="82"/>
  <c r="F110" i="82" s="1"/>
  <c r="I111" i="82" s="1"/>
  <c r="D49" i="66"/>
  <c r="J54" i="66"/>
  <c r="M54" i="66"/>
  <c r="J45" i="66"/>
  <c r="J59" i="66"/>
  <c r="J58" i="66" s="1"/>
  <c r="D74" i="66"/>
  <c r="I117" i="82"/>
  <c r="R428" i="81"/>
  <c r="S428" i="81" s="1"/>
  <c r="R2716" i="81"/>
  <c r="S2716" i="81" s="1"/>
  <c r="R2300" i="81"/>
  <c r="S2300" i="81" s="1"/>
  <c r="R2924" i="81"/>
  <c r="S2924" i="81" s="1"/>
  <c r="R4068" i="81"/>
  <c r="S4068" i="81" s="1"/>
  <c r="R2248" i="81"/>
  <c r="S2248" i="81" s="1"/>
  <c r="R4172" i="81"/>
  <c r="S4172" i="81" s="1"/>
  <c r="R2456" i="81"/>
  <c r="S2456" i="81" s="1"/>
  <c r="I191" i="82"/>
  <c r="L190" i="82"/>
  <c r="I108" i="82"/>
  <c r="L108" i="82"/>
  <c r="E108" i="82"/>
  <c r="L207" i="82"/>
  <c r="I207" i="82"/>
  <c r="I204" i="82" s="1"/>
  <c r="E207" i="82"/>
  <c r="I24" i="82"/>
  <c r="F24" i="82" s="1"/>
  <c r="I25" i="82" s="1"/>
  <c r="H198" i="82"/>
  <c r="I31" i="82"/>
  <c r="F31" i="82" s="1"/>
  <c r="H15" i="83"/>
  <c r="I15" i="83" s="1"/>
  <c r="E21" i="82"/>
  <c r="L21" i="82"/>
  <c r="R116" i="81" s="1"/>
  <c r="S116" i="81" s="1"/>
  <c r="I21" i="82"/>
  <c r="J18" i="66" s="1"/>
  <c r="L20" i="82"/>
  <c r="R64" i="81" s="1"/>
  <c r="S64" i="81" s="1"/>
  <c r="I20" i="82"/>
  <c r="G18" i="66" s="1"/>
  <c r="I86" i="82"/>
  <c r="J27" i="66" s="1"/>
  <c r="F198" i="82" l="1"/>
  <c r="G198" i="82"/>
  <c r="H174" i="82"/>
  <c r="C54" i="66"/>
  <c r="G174" i="82"/>
  <c r="F174" i="82"/>
  <c r="L110" i="82"/>
  <c r="C48" i="66" s="1"/>
  <c r="F117" i="82"/>
  <c r="L117" i="82" s="1"/>
  <c r="C51" i="66" s="1"/>
  <c r="G52" i="66"/>
  <c r="H191" i="82"/>
  <c r="D87" i="66"/>
  <c r="D86" i="66" s="1"/>
  <c r="M73" i="66"/>
  <c r="D73" i="66"/>
  <c r="F204" i="82"/>
  <c r="L204" i="82" s="1"/>
  <c r="C79" i="66" s="1"/>
  <c r="G80" i="66"/>
  <c r="I103" i="82"/>
  <c r="F103" i="82" s="1"/>
  <c r="L103" i="82" s="1"/>
  <c r="D46" i="66"/>
  <c r="M48" i="66"/>
  <c r="D48" i="66"/>
  <c r="L24" i="82"/>
  <c r="R2664" i="81"/>
  <c r="S2664" i="81" s="1"/>
  <c r="G191" i="82"/>
  <c r="F191" i="82"/>
  <c r="G24" i="66"/>
  <c r="G23" i="66" s="1"/>
  <c r="M26" i="66"/>
  <c r="J26" i="66"/>
  <c r="L31" i="82"/>
  <c r="C23" i="66" s="1"/>
  <c r="I32" i="82"/>
  <c r="C20" i="66" l="1"/>
  <c r="D78" i="66" s="1"/>
  <c r="M78" i="66"/>
  <c r="M50" i="66"/>
  <c r="H111" i="82"/>
  <c r="G111" i="82"/>
  <c r="F111" i="82"/>
  <c r="G118" i="82"/>
  <c r="H118" i="82"/>
  <c r="F118" i="82"/>
  <c r="G104" i="82"/>
  <c r="I104" i="82"/>
  <c r="M79" i="66"/>
  <c r="M81" i="66" s="1"/>
  <c r="G79" i="66"/>
  <c r="G81" i="66" s="1"/>
  <c r="G87" i="66"/>
  <c r="G86" i="66" s="1"/>
  <c r="F104" i="82"/>
  <c r="H104" i="82"/>
  <c r="L180" i="82"/>
  <c r="M165" i="82" s="1"/>
  <c r="L237" i="82"/>
  <c r="N237" i="82" s="1"/>
  <c r="I118" i="82"/>
  <c r="I205" i="82"/>
  <c r="L181" i="82"/>
  <c r="N181" i="82" s="1"/>
  <c r="D59" i="66"/>
  <c r="D58" i="66" s="1"/>
  <c r="D45" i="66"/>
  <c r="M45" i="66"/>
  <c r="M51" i="66"/>
  <c r="G51" i="66"/>
  <c r="G53" i="66" s="1"/>
  <c r="G59" i="66"/>
  <c r="G58" i="66" s="1"/>
  <c r="H25" i="82"/>
  <c r="F25" i="82"/>
  <c r="G25" i="82"/>
  <c r="G205" i="82"/>
  <c r="L236" i="82"/>
  <c r="M221" i="82" s="1"/>
  <c r="H205" i="82"/>
  <c r="F205" i="82"/>
  <c r="G32" i="82"/>
  <c r="F32" i="82"/>
  <c r="H32" i="82"/>
  <c r="M140" i="82" l="1"/>
  <c r="M53" i="66"/>
  <c r="D50" i="66"/>
  <c r="G78" i="66"/>
  <c r="G50" i="66"/>
  <c r="M114" i="82"/>
  <c r="M107" i="82"/>
  <c r="O181" i="82"/>
  <c r="M159" i="82"/>
  <c r="M160" i="82"/>
  <c r="M143" i="82"/>
  <c r="M162" i="82"/>
  <c r="M151" i="82"/>
  <c r="M139" i="82"/>
  <c r="M124" i="82"/>
  <c r="F246" i="82"/>
  <c r="M131" i="82"/>
  <c r="M171" i="82"/>
  <c r="M137" i="82"/>
  <c r="M182" i="82"/>
  <c r="M122" i="82"/>
  <c r="M142" i="82"/>
  <c r="M178" i="82"/>
  <c r="M183" i="82"/>
  <c r="M147" i="82"/>
  <c r="M148" i="82"/>
  <c r="M86" i="66"/>
  <c r="O182" i="82"/>
  <c r="M168" i="82"/>
  <c r="M106" i="82"/>
  <c r="M128" i="82"/>
  <c r="M152" i="82"/>
  <c r="M103" i="82"/>
  <c r="M108" i="82"/>
  <c r="M169" i="82"/>
  <c r="M105" i="82"/>
  <c r="M120" i="82"/>
  <c r="M58" i="66"/>
  <c r="M173" i="82"/>
  <c r="M115" i="82"/>
  <c r="M166" i="82"/>
  <c r="M135" i="82"/>
  <c r="M144" i="82"/>
  <c r="M150" i="82"/>
  <c r="M134" i="82"/>
  <c r="M133" i="82"/>
  <c r="M129" i="82"/>
  <c r="M167" i="82"/>
  <c r="M161" i="82"/>
  <c r="M130" i="82"/>
  <c r="M127" i="82"/>
  <c r="M176" i="82"/>
  <c r="M121" i="82"/>
  <c r="M163" i="82"/>
  <c r="M136" i="82"/>
  <c r="M123" i="82"/>
  <c r="M126" i="82"/>
  <c r="M113" i="82"/>
  <c r="M110" i="82"/>
  <c r="M153" i="82"/>
  <c r="M146" i="82"/>
  <c r="M149" i="82"/>
  <c r="M125" i="82"/>
  <c r="M181" i="82"/>
  <c r="M138" i="82"/>
  <c r="M141" i="82"/>
  <c r="M155" i="82"/>
  <c r="M158" i="82"/>
  <c r="M117" i="82"/>
  <c r="M112" i="82"/>
  <c r="M154" i="82"/>
  <c r="M157" i="82"/>
  <c r="M170" i="82"/>
  <c r="G25" i="66"/>
  <c r="M213" i="82"/>
  <c r="M227" i="82"/>
  <c r="M212" i="82"/>
  <c r="M226" i="82"/>
  <c r="M211" i="82"/>
  <c r="M225" i="82"/>
  <c r="M210" i="82"/>
  <c r="M208" i="82"/>
  <c r="M223" i="82"/>
  <c r="M207" i="82"/>
  <c r="M222" i="82"/>
  <c r="M219" i="82"/>
  <c r="M216" i="82"/>
  <c r="M218" i="82"/>
  <c r="M217" i="82"/>
  <c r="M214" i="82"/>
  <c r="M224" i="82"/>
  <c r="M199" i="82"/>
  <c r="M201" i="82"/>
  <c r="M192" i="82"/>
  <c r="M232" i="82"/>
  <c r="F247" i="82"/>
  <c r="M229" i="82"/>
  <c r="M239" i="82"/>
  <c r="M238" i="82"/>
  <c r="O238" i="82"/>
  <c r="M204" i="82"/>
  <c r="M202" i="82"/>
  <c r="M209" i="82"/>
  <c r="M237" i="82"/>
  <c r="M195" i="82"/>
  <c r="M190" i="82"/>
  <c r="M194" i="82"/>
  <c r="M193" i="82"/>
  <c r="M200" i="82"/>
  <c r="M234" i="82"/>
  <c r="M197" i="82"/>
  <c r="O237" i="82"/>
  <c r="I109" i="83"/>
  <c r="K17" i="82" l="1"/>
  <c r="H17" i="82" l="1"/>
  <c r="L31" i="66" l="1"/>
  <c r="I31" i="66"/>
  <c r="F31" i="66"/>
  <c r="K18" i="82"/>
  <c r="H36" i="83"/>
  <c r="I36" i="83" s="1"/>
  <c r="I17" i="82"/>
  <c r="I13" i="83"/>
  <c r="H184" i="83" l="1"/>
  <c r="K4223" i="81" s="1"/>
  <c r="G20" i="66"/>
  <c r="F17" i="82"/>
  <c r="D20" i="66"/>
  <c r="M20" i="66"/>
  <c r="J31" i="66" l="1"/>
  <c r="G31" i="66"/>
  <c r="I18" i="82"/>
  <c r="D22" i="66"/>
  <c r="D31" i="66" l="1"/>
  <c r="D35" i="66" s="1"/>
  <c r="G22" i="66"/>
  <c r="M22" i="66"/>
  <c r="F35" i="66"/>
  <c r="I4223" i="81" l="1"/>
  <c r="F86" i="82" l="1"/>
  <c r="G4224" i="81"/>
  <c r="L94" i="82" l="1"/>
  <c r="F251" i="82" s="1"/>
  <c r="D37" i="66" s="1"/>
  <c r="H86" i="82"/>
  <c r="G86" i="82"/>
  <c r="I87" i="82"/>
  <c r="L96" i="82" l="1"/>
  <c r="F253" i="82" s="1"/>
  <c r="F37" i="66" s="1"/>
  <c r="K87" i="82"/>
  <c r="J87" i="82"/>
  <c r="L86" i="82"/>
  <c r="M84" i="66" s="1"/>
  <c r="C26" i="66" l="1"/>
  <c r="J84" i="66" s="1"/>
  <c r="M56" i="66"/>
  <c r="N95" i="82"/>
  <c r="G87" i="82"/>
  <c r="H87" i="82"/>
  <c r="F87" i="82"/>
  <c r="J56" i="66" l="1"/>
  <c r="M28" i="66"/>
  <c r="J28" i="66"/>
  <c r="L4223" i="81" l="1"/>
  <c r="J17" i="82"/>
  <c r="G17" i="82" l="1"/>
  <c r="I17" i="83"/>
  <c r="I22" i="83"/>
  <c r="L17" i="82" l="1"/>
  <c r="C73" i="66" s="1"/>
  <c r="M75" i="66" s="1"/>
  <c r="L95" i="82"/>
  <c r="F252" i="82" s="1"/>
  <c r="J17" i="66"/>
  <c r="H31" i="66"/>
  <c r="D17" i="66"/>
  <c r="J18" i="82"/>
  <c r="C17" i="66" l="1"/>
  <c r="G47" i="66" s="1"/>
  <c r="C45" i="66"/>
  <c r="M47" i="66" s="1"/>
  <c r="F254" i="82"/>
  <c r="L93" i="82"/>
  <c r="N94" i="82"/>
  <c r="E31" i="66"/>
  <c r="D30" i="66" s="1"/>
  <c r="M17" i="66"/>
  <c r="G18" i="82"/>
  <c r="F18" i="82"/>
  <c r="H18" i="82"/>
  <c r="M78" i="82" l="1"/>
  <c r="D47" i="66"/>
  <c r="D75" i="66"/>
  <c r="J47" i="66"/>
  <c r="J75" i="66"/>
  <c r="G75" i="66"/>
  <c r="C86" i="66"/>
  <c r="C30" i="66"/>
  <c r="C58" i="66"/>
  <c r="M54" i="82"/>
  <c r="M81" i="82"/>
  <c r="M84" i="82"/>
  <c r="M80" i="82"/>
  <c r="M76" i="82"/>
  <c r="M79" i="82"/>
  <c r="M83" i="82"/>
  <c r="M75" i="82"/>
  <c r="M82" i="82"/>
  <c r="M72" i="82"/>
  <c r="M70" i="82"/>
  <c r="M45" i="82"/>
  <c r="M71" i="82"/>
  <c r="M73" i="82"/>
  <c r="M74" i="82"/>
  <c r="M64" i="82"/>
  <c r="M65" i="82"/>
  <c r="M59" i="82"/>
  <c r="M66" i="82"/>
  <c r="M68" i="82"/>
  <c r="M57" i="82"/>
  <c r="M61" i="82"/>
  <c r="M63" i="82"/>
  <c r="M56" i="82"/>
  <c r="M58" i="82"/>
  <c r="M60" i="82"/>
  <c r="M62" i="82"/>
  <c r="M44" i="82"/>
  <c r="M67" i="82"/>
  <c r="M52" i="82"/>
  <c r="M51" i="82"/>
  <c r="M47" i="82"/>
  <c r="M53" i="82"/>
  <c r="M42" i="82"/>
  <c r="M49" i="82"/>
  <c r="M38" i="82"/>
  <c r="M27" i="82"/>
  <c r="M37" i="82"/>
  <c r="M28" i="82"/>
  <c r="M50" i="82"/>
  <c r="M22" i="82"/>
  <c r="M48" i="82"/>
  <c r="M29" i="82"/>
  <c r="M39" i="82"/>
  <c r="M40" i="82"/>
  <c r="M36" i="82"/>
  <c r="M19" i="82"/>
  <c r="M46" i="82"/>
  <c r="M26" i="82"/>
  <c r="M34" i="82"/>
  <c r="M35" i="82"/>
  <c r="M89" i="82"/>
  <c r="M91" i="82"/>
  <c r="M41" i="82"/>
  <c r="M21" i="82"/>
  <c r="M20" i="82"/>
  <c r="M251" i="82"/>
  <c r="M253" i="82"/>
  <c r="M252" i="82"/>
  <c r="M95" i="82"/>
  <c r="F245" i="82"/>
  <c r="M24" i="82"/>
  <c r="M31" i="82"/>
  <c r="M86" i="82"/>
  <c r="M17" i="82"/>
  <c r="O95" i="82"/>
  <c r="M96" i="82"/>
  <c r="M94" i="82"/>
  <c r="O94" i="82"/>
  <c r="E35" i="66"/>
  <c r="E37" i="66" s="1"/>
  <c r="D19" i="66"/>
  <c r="J19" i="66"/>
  <c r="D34" i="66"/>
  <c r="C53" i="66" l="1"/>
  <c r="C56" i="66"/>
  <c r="C50" i="66"/>
  <c r="C84" i="66"/>
  <c r="C78" i="66"/>
  <c r="C81" i="66"/>
  <c r="C75" i="66"/>
  <c r="G60" i="66"/>
  <c r="G88" i="66"/>
  <c r="C47" i="66"/>
  <c r="J88" i="66"/>
  <c r="J60" i="66"/>
  <c r="D60" i="66"/>
  <c r="D88" i="66"/>
  <c r="M254" i="82"/>
  <c r="F248" i="82"/>
  <c r="I4" i="83" s="1"/>
  <c r="M236" i="82"/>
  <c r="M180" i="82"/>
  <c r="E97" i="66"/>
  <c r="M88" i="66" l="1"/>
  <c r="M60" i="66"/>
  <c r="M247" i="82"/>
  <c r="M246" i="82"/>
  <c r="M245" i="82"/>
  <c r="I21" i="83"/>
  <c r="M248" i="82" l="1"/>
  <c r="K4230" i="81"/>
  <c r="K4231" i="81" s="1"/>
  <c r="M4223" i="81" l="1"/>
  <c r="M23" i="66" l="1"/>
  <c r="M30" i="66" s="1"/>
  <c r="K31" i="66"/>
  <c r="K4224" i="81"/>
  <c r="M25" i="66" l="1"/>
  <c r="C22" i="66" l="1"/>
  <c r="C28" i="66"/>
  <c r="C25" i="66"/>
  <c r="C19" i="66"/>
  <c r="D32" i="66"/>
  <c r="D36" i="66"/>
  <c r="G17" i="66"/>
  <c r="G19" i="66" s="1"/>
  <c r="C88" i="66" l="1"/>
  <c r="C60" i="66"/>
  <c r="C32" i="66"/>
  <c r="E99" i="66"/>
  <c r="M19" i="66"/>
  <c r="G35" i="66" l="1"/>
  <c r="J35" i="66" l="1"/>
  <c r="G37" i="66"/>
  <c r="H35" i="66"/>
  <c r="H37" i="66" s="1"/>
  <c r="D63" i="66" l="1"/>
  <c r="J37" i="66"/>
  <c r="G30" i="66"/>
  <c r="G34" i="66" s="1"/>
  <c r="D65" i="66" l="1"/>
  <c r="G63" i="66"/>
  <c r="I35" i="66"/>
  <c r="I37" i="66" s="1"/>
  <c r="G36" i="66"/>
  <c r="H99" i="66" s="1"/>
  <c r="G32" i="66"/>
  <c r="J63" i="66" l="1"/>
  <c r="G65" i="66"/>
  <c r="H97" i="66"/>
  <c r="L35" i="66"/>
  <c r="K35" i="66"/>
  <c r="K37" i="66" l="1"/>
  <c r="E63" i="66"/>
  <c r="L37" i="66"/>
  <c r="F63" i="66"/>
  <c r="D91" i="66"/>
  <c r="J65" i="66"/>
  <c r="J30" i="66"/>
  <c r="J34" i="66" s="1"/>
  <c r="D62" i="66" s="1"/>
  <c r="E101" i="66" l="1"/>
  <c r="G62" i="66"/>
  <c r="D64" i="66"/>
  <c r="E103" i="66" s="1"/>
  <c r="E65" i="66"/>
  <c r="H63" i="66"/>
  <c r="G91" i="66"/>
  <c r="D93" i="66"/>
  <c r="F65" i="66"/>
  <c r="I63" i="66"/>
  <c r="J32" i="66"/>
  <c r="E102" i="66" l="1"/>
  <c r="H101" i="66"/>
  <c r="J91" i="66"/>
  <c r="J93" i="66" s="1"/>
  <c r="G93" i="66"/>
  <c r="K63" i="66"/>
  <c r="H65" i="66"/>
  <c r="L63" i="66"/>
  <c r="I65" i="66"/>
  <c r="J62" i="66"/>
  <c r="G64" i="66"/>
  <c r="M32" i="66"/>
  <c r="J36" i="66"/>
  <c r="K97" i="66"/>
  <c r="H102" i="66" l="1"/>
  <c r="H103" i="66"/>
  <c r="K101" i="66"/>
  <c r="F91" i="66"/>
  <c r="L65" i="66"/>
  <c r="E91" i="66"/>
  <c r="K65" i="66"/>
  <c r="D90" i="66"/>
  <c r="J64" i="66"/>
  <c r="K99" i="66"/>
  <c r="K102" i="66" l="1"/>
  <c r="E105" i="66"/>
  <c r="K103" i="66"/>
  <c r="G90" i="66"/>
  <c r="D92" i="66"/>
  <c r="H91" i="66"/>
  <c r="E93" i="66"/>
  <c r="I91" i="66"/>
  <c r="F93" i="66"/>
  <c r="H98" i="66"/>
  <c r="E98" i="66"/>
  <c r="K98" i="66"/>
  <c r="E106" i="66" l="1"/>
  <c r="H105" i="66"/>
  <c r="E107" i="66"/>
  <c r="L91" i="66"/>
  <c r="L93" i="66" s="1"/>
  <c r="I93" i="66"/>
  <c r="K91" i="66"/>
  <c r="K93" i="66" s="1"/>
  <c r="H93" i="66"/>
  <c r="J90" i="66"/>
  <c r="G92" i="66"/>
  <c r="M93" i="82"/>
  <c r="H106" i="66" l="1"/>
  <c r="J92" i="66"/>
  <c r="K106" i="66" s="1"/>
  <c r="K105" i="66"/>
  <c r="H107" i="66"/>
  <c r="K107" i="66" l="1"/>
</calcChain>
</file>

<file path=xl/sharedStrings.xml><?xml version="1.0" encoding="utf-8"?>
<sst xmlns="http://schemas.openxmlformats.org/spreadsheetml/2006/main" count="3405" uniqueCount="642">
  <si>
    <t>MÃO-DE-OBRA</t>
  </si>
  <si>
    <t>VALOR</t>
  </si>
  <si>
    <t>1.3</t>
  </si>
  <si>
    <t>1.0</t>
  </si>
  <si>
    <t>1.1</t>
  </si>
  <si>
    <t>2.0</t>
  </si>
  <si>
    <t>3.0</t>
  </si>
  <si>
    <t>DESCRIÇÃO</t>
  </si>
  <si>
    <t>EQUIPAMENTOS / SERVIÇOS</t>
  </si>
  <si>
    <t>CANTEIRO DE OBRAS</t>
  </si>
  <si>
    <t>COMPOSIÇÃO DAS TAXAS DE BDI</t>
  </si>
  <si>
    <t>ADMINISTRAÇÃO CENTRAL</t>
  </si>
  <si>
    <t>A</t>
  </si>
  <si>
    <t>B</t>
  </si>
  <si>
    <t>C</t>
  </si>
  <si>
    <t>D</t>
  </si>
  <si>
    <t>UNID.</t>
  </si>
  <si>
    <t>MATERIAIS</t>
  </si>
  <si>
    <t>ITEM</t>
  </si>
  <si>
    <t>SERVIÇO</t>
  </si>
  <si>
    <t>QUANT.</t>
  </si>
  <si>
    <t>PREÇO</t>
  </si>
  <si>
    <t>MO</t>
  </si>
  <si>
    <t>%</t>
  </si>
  <si>
    <t>UNIT.(R$)</t>
  </si>
  <si>
    <t>R$</t>
  </si>
  <si>
    <t>TOTAL(R$)</t>
  </si>
  <si>
    <t>SUB-TOTAL</t>
  </si>
  <si>
    <t>SINAPI</t>
  </si>
  <si>
    <t>SABESP</t>
  </si>
  <si>
    <t>LUCRO</t>
  </si>
  <si>
    <t>DESPESAS FINANCEIRAS</t>
  </si>
  <si>
    <t>LS</t>
  </si>
  <si>
    <t>SERVENTE COM ENCARGOS COMPLEMENTARES</t>
  </si>
  <si>
    <t>CARPINTEIRO DE FORMAS COM ENCARGOS COMPLEMENTARES</t>
  </si>
  <si>
    <t>H</t>
  </si>
  <si>
    <t>AJUDANTE DE CARPINTEIRO COM ENCARGOS COMPLEMENTARES</t>
  </si>
  <si>
    <t>CHP</t>
  </si>
  <si>
    <t>AC</t>
  </si>
  <si>
    <t>R</t>
  </si>
  <si>
    <t>RISCOS</t>
  </si>
  <si>
    <t>DF</t>
  </si>
  <si>
    <t>L</t>
  </si>
  <si>
    <t>TOTAL</t>
  </si>
  <si>
    <t>M3</t>
  </si>
  <si>
    <t>UN</t>
  </si>
  <si>
    <t>M</t>
  </si>
  <si>
    <t>KG</t>
  </si>
  <si>
    <t>M2</t>
  </si>
  <si>
    <t>CONCRETO USINADO 150 KG CIMENTO/M3</t>
  </si>
  <si>
    <t>CHI</t>
  </si>
  <si>
    <t>GRUPO</t>
  </si>
  <si>
    <t>MÊS</t>
  </si>
  <si>
    <t>LEIS SOCIAIS HORISTA - JORNADA NORMAL</t>
  </si>
  <si>
    <t>DATA</t>
  </si>
  <si>
    <t>MAT</t>
  </si>
  <si>
    <t>TOTAL DE MÃO DE OBRA</t>
  </si>
  <si>
    <t>TOTAL DE MATERIAIS</t>
  </si>
  <si>
    <t>MÃO DE OBRA</t>
  </si>
  <si>
    <t>COEF.</t>
  </si>
  <si>
    <t>CUSTO UNIT. (R$)</t>
  </si>
  <si>
    <t>TOTAL (R$)</t>
  </si>
  <si>
    <t>UNIDADE:</t>
  </si>
  <si>
    <t>MÊS 1</t>
  </si>
  <si>
    <t>MÊS 2</t>
  </si>
  <si>
    <t>MÊS 3</t>
  </si>
  <si>
    <t>UNID</t>
  </si>
  <si>
    <t>FONTE</t>
  </si>
  <si>
    <t>CDHU</t>
  </si>
  <si>
    <t>SARRAFO 2,5 X 10 CM EM PINUS, MISTA OU EQUIVALENTE DA REGIAO - BRUTA</t>
  </si>
  <si>
    <t>PIS</t>
  </si>
  <si>
    <t>COFINS</t>
  </si>
  <si>
    <t>JARDINEIRO COM ENCARGOS COMPLEMENTARES</t>
  </si>
  <si>
    <t>SICRO</t>
  </si>
  <si>
    <t>CONDUTOR MAQUINISTA FLUVIAL COM ENCARGOS COMPLEMENTARES</t>
  </si>
  <si>
    <t>A1 – PREVIDÊNCIA SOCIAL (INSS)</t>
  </si>
  <si>
    <t>A2 – SERVIÇO SOCIAL DA INDÚSTRIA (SESI)</t>
  </si>
  <si>
    <t>A3 – SERVIÇO NACIONAL DE APRENDIZAGEM INDUSTRIAL (SENAI)</t>
  </si>
  <si>
    <t>A4 – INSTITUTO NACIONAL DE COLONIZAÇÃO E REFORMA AGRÁRIA (INCRA)</t>
  </si>
  <si>
    <t>A5 – SERVIÇO DE APOIO A PEQUENA E MÉDIA EMPRESA (SEBRAE)</t>
  </si>
  <si>
    <t>A6 – SALÁRIO EDUCAÇÃO</t>
  </si>
  <si>
    <t>A7 – SEGURO CONTRA ACIDENTES DE TRABALHO</t>
  </si>
  <si>
    <t>A8 – FUNDO DE GARANTIA POR TEMPO DE SERVIÇO (FGTS)</t>
  </si>
  <si>
    <t>A9 – SECONCI ( APLICÁVEL AS EMPRESAS CONSTANTES DO III GRUPO DA CLT)</t>
  </si>
  <si>
    <t>A – TOTAL DOS ENCARGOS SOCIAIS BÁSICOS</t>
  </si>
  <si>
    <t>B1 – REPOUSO SEMANAL REMUNERADO</t>
  </si>
  <si>
    <t>B2 – FERIADOS</t>
  </si>
  <si>
    <t>B3 – AUXÍLIO - ENFERMIDADE</t>
  </si>
  <si>
    <t>B4 – 13º SALÁRIO</t>
  </si>
  <si>
    <t>B5 –  LICENÇA PATERNIDADE</t>
  </si>
  <si>
    <t>B6 –  FALTAS JUSTIFICADAS</t>
  </si>
  <si>
    <t>B7 –  DIAS DE CHUVA</t>
  </si>
  <si>
    <t>B8 – AUXÍLIO ACIDENTE DE TRABALHO</t>
  </si>
  <si>
    <t>B9 – FÉRIAS GOZADAS</t>
  </si>
  <si>
    <t>B10 – SALÁRIO MATERNIDADE</t>
  </si>
  <si>
    <t>B – TOTAL DOS ENCARGOS QUE RECEBEM AS INCIDÊNCIAS DE A</t>
  </si>
  <si>
    <t>C1 – AVISO PRÉVIO INDENIZADO</t>
  </si>
  <si>
    <t>C2 – AVISO PRÉVIO TRABALHADO</t>
  </si>
  <si>
    <t>C4 – DEPÓSITO RESCISÃO SEM JUSTA CAUSA</t>
  </si>
  <si>
    <t>C5 – INDENIZAÇÃO ADICIONAL</t>
  </si>
  <si>
    <t>C – TOTAL DOS ENCARGOS SOCIAIS QUE NÃO RECEBEM INCIDÊNCIAS DE A</t>
  </si>
  <si>
    <t>D1 – REINCIDÊNCIA DO GRUPO A SOBRE GRUPO B</t>
  </si>
  <si>
    <t>D2 – REINCIDÊNCIA DO GRUPO A SOBRE AVISO PRÉVIO TRABALHADO (C2) E REINCIDÊNCIA DO FGTS (A8) SOBRE AVISO PRÉVIO INDENIZADO (C1)</t>
  </si>
  <si>
    <t>D – TOTAL DE REINCIDÊNCIAS DE UM GRUPO SOBRE O OUTRO</t>
  </si>
  <si>
    <t>PORCENTAGEM TOTAL</t>
  </si>
  <si>
    <t>HORISTA</t>
  </si>
  <si>
    <t>ENCARREGADO GERAL COM ENCARGOS COMPLEMENTARES</t>
  </si>
  <si>
    <t>MEDIÇÕES MENSAIS ACUMULADAS</t>
  </si>
  <si>
    <t>SALDO CONTRATUAL</t>
  </si>
  <si>
    <t>MEDIÇÃO MENSAL</t>
  </si>
  <si>
    <t>MÃO OBRA</t>
  </si>
  <si>
    <t>MATERIAL</t>
  </si>
  <si>
    <t>DATAS-BASE:</t>
  </si>
  <si>
    <t>PEDREIRO COM ENCARGOS COMPLEMENTARES</t>
  </si>
  <si>
    <t>ARMADOR COM ENCARGOS COMPLEMENTARES</t>
  </si>
  <si>
    <t xml:space="preserve">AJUDANTE DE ARMADOR COM ENCARGOS COMPLEMENTARES </t>
  </si>
  <si>
    <t>ARAME RECOZIDO 16 BWG, D = 1,65 MM (0,016 KG/M) OU 18 BWG, D = 1,25 MM (0,01 KG/M)</t>
  </si>
  <si>
    <t>TOTAL DE EQUIPAMENTOS E SERVIÇOS</t>
  </si>
  <si>
    <t>AUXILIAR DE TOPÓGRAFO COM ENCARGOS COMPLEMENTARES</t>
  </si>
  <si>
    <t>CV00238</t>
  </si>
  <si>
    <t>VERGALHÃO (AÇO-CA-50) - (MÉDIA DAS BITOLAS ENTRE 6,3 A 25,0MM)</t>
  </si>
  <si>
    <t>DESMOLDANTE PROTETOR PARA FORMAS DE MADEIRA, DE BASE OLEOSA EMULSIONADA EM ÁGUA</t>
  </si>
  <si>
    <t>CP</t>
  </si>
  <si>
    <t>TRIBUTOS - COFINS E PIS</t>
  </si>
  <si>
    <t>ISS</t>
  </si>
  <si>
    <t>TRIBUTOS - ISS</t>
  </si>
  <si>
    <t>ISS – IMPOSTO SOBRE SERVIÇOS</t>
  </si>
  <si>
    <t>CPRB</t>
  </si>
  <si>
    <t>TRIBUTOS - CONTRIBUIÇÃO PREVIDENCIÁRIA SOBRE A RENDA BRUTA</t>
  </si>
  <si>
    <t>DESONERAÇÃO - 0% OU 4,5%</t>
  </si>
  <si>
    <t>EQUIPAMENTOS E SERVIÇOS</t>
  </si>
  <si>
    <t>GB</t>
  </si>
  <si>
    <t>CAMINHÃO BASCULANTE COM CAPACIDADE DE 6 M³ - 136 KW</t>
  </si>
  <si>
    <r>
      <t xml:space="preserve">Caso a Licitante se enquadre na </t>
    </r>
    <r>
      <rPr>
        <b/>
        <sz val="11"/>
        <rFont val="Times New Roman"/>
        <family val="1"/>
      </rPr>
      <t>Lei Nº 12.244/2013</t>
    </r>
    <r>
      <rPr>
        <sz val="11"/>
        <rFont val="Times New Roman"/>
        <family val="1"/>
      </rPr>
      <t xml:space="preserve"> e apresente </t>
    </r>
    <r>
      <rPr>
        <b/>
        <sz val="11"/>
        <rFont val="Times New Roman"/>
        <family val="1"/>
      </rPr>
      <t>Proposta com Desoneração</t>
    </r>
    <r>
      <rPr>
        <sz val="11"/>
        <rFont val="Times New Roman"/>
        <family val="1"/>
      </rPr>
      <t>, preencher com a alíquota correspondente.</t>
    </r>
  </si>
  <si>
    <r>
      <t xml:space="preserve">Conforme </t>
    </r>
    <r>
      <rPr>
        <b/>
        <sz val="11"/>
        <rFont val="Times New Roman"/>
        <family val="1"/>
      </rPr>
      <t>Lei Complementar nº 178 de 29 de dezembro de 2003 e alterações</t>
    </r>
    <r>
      <rPr>
        <sz val="11"/>
        <rFont val="Times New Roman"/>
        <family val="1"/>
      </rPr>
      <t xml:space="preserve">, que dispõe sobre a instituição do imposto sobre serviços de qualquer natureza – ISSQN no Município de São José do Rio Preto/SP, Art. 31 Inciso I, o ISS para o objeto deste Processo Licitatório será de </t>
    </r>
    <r>
      <rPr>
        <b/>
        <sz val="11"/>
        <rFont val="Times New Roman"/>
        <family val="1"/>
      </rPr>
      <t>5%</t>
    </r>
    <r>
      <rPr>
        <sz val="11"/>
        <rFont val="Times New Roman"/>
        <family val="1"/>
      </rPr>
      <t xml:space="preserve"> conforme </t>
    </r>
    <r>
      <rPr>
        <b/>
        <sz val="11"/>
        <rFont val="Times New Roman"/>
        <family val="1"/>
      </rPr>
      <t>Código de Serviço</t>
    </r>
    <r>
      <rPr>
        <sz val="11"/>
        <rFont val="Times New Roman"/>
        <family val="1"/>
      </rPr>
      <t xml:space="preserve"> </t>
    </r>
    <r>
      <rPr>
        <b/>
        <sz val="11"/>
        <rFont val="Times New Roman"/>
        <family val="1"/>
      </rPr>
      <t>07.18.00 - Limpeza  e  dragagem de rios, portos, canais, baías, lagos, lagoas, represas, açudes e congêneres.</t>
    </r>
  </si>
  <si>
    <r>
      <t xml:space="preserve">Caso a Licitante se enquadre na Lei Nº 12.244/2013 e apresente </t>
    </r>
    <r>
      <rPr>
        <b/>
        <sz val="12"/>
        <rFont val="Times New Roman"/>
        <family val="1"/>
      </rPr>
      <t>Proposta com Desoneração</t>
    </r>
    <r>
      <rPr>
        <sz val="12"/>
        <rFont val="Times New Roman"/>
        <family val="1"/>
      </rPr>
      <t>, preencher com a alíquota correspondente.</t>
    </r>
  </si>
  <si>
    <t>AJUDANTE DE PINTOR COM ENCARGOS COMPLEMENTARES</t>
  </si>
  <si>
    <t>PLACA DE OBRA PADRÃO SeMAE</t>
  </si>
  <si>
    <t>OPERAÇÃO E MANUTENÇÃO DO CANTEIRO DE OBRAS</t>
  </si>
  <si>
    <t>DESMOBILIZAÇÃO DO CANTEIRO DE OBRAS</t>
  </si>
  <si>
    <t>MOBILIZAÇÃO DO CANTEIRO DE OBRAS</t>
  </si>
  <si>
    <t>1.2</t>
  </si>
  <si>
    <t>1.4</t>
  </si>
  <si>
    <t>PINTOR COM ENCARGOS COMPLEMENTARES</t>
  </si>
  <si>
    <t>AUXILIAR DE ELETRICISTA COM ENCARGOS COMPLEMENTARES</t>
  </si>
  <si>
    <t>ELETRICISTA COM ENCARGOS COMPLEMENTARES</t>
  </si>
  <si>
    <t>LIXA D'AGUA EM FOLHA</t>
  </si>
  <si>
    <t>JORNADA NORMAL</t>
  </si>
  <si>
    <t>EL02359</t>
  </si>
  <si>
    <t>ABRAÇADEIRA TIPO D EM AÇO GALV A FOGO D=2" COM CUNHA PARA ELETRODUTO</t>
  </si>
  <si>
    <t>SEGURO E GARANTIA</t>
  </si>
  <si>
    <t>SG</t>
  </si>
  <si>
    <t>2.1</t>
  </si>
  <si>
    <t>3.1</t>
  </si>
  <si>
    <t>3.2</t>
  </si>
  <si>
    <t>4.0</t>
  </si>
  <si>
    <t>4.1</t>
  </si>
  <si>
    <t>4.2</t>
  </si>
  <si>
    <t>COMPOSIÇÃO BASE</t>
  </si>
  <si>
    <t>OBSERVAÇÕES</t>
  </si>
  <si>
    <t>CIMENTO PORTLAND COMPOSTO CP II-32</t>
  </si>
  <si>
    <t>SERVIÇOS COMPLEMENTARES</t>
  </si>
  <si>
    <t>ADEQUAÇÃO ELÉTRICA</t>
  </si>
  <si>
    <t>ALIMENTADOR QGBT - INFRAESTRUTURA ELÉTRICA</t>
  </si>
  <si>
    <t>DESATIVAÇÃO DA SUBESTAÇÃO EXISTENTE</t>
  </si>
  <si>
    <t>PARADA PROGRAMADA PARA TRANSFERÊNCIA DA ENTRADA DE ENERGIA</t>
  </si>
  <si>
    <t>FDE</t>
  </si>
  <si>
    <t>09.01.007</t>
  </si>
  <si>
    <t>IMUNIZANTE PARA MADEIRA, INCOLOR</t>
  </si>
  <si>
    <t>BLOCO DE VEDACAO DE CONCRETO, 9 X 19 X 39 CM (CLASSE C - NBR 6136)</t>
  </si>
  <si>
    <t>CURVA 90 GRAUS, LONGA, DE PVC RIGIDO ROSCAVEL, DE 4", PARA ELETRODUTO</t>
  </si>
  <si>
    <t>LUVA EM PVC RIGIDO ROSCAVEL, DE 4", PARA ELETRODUTO</t>
  </si>
  <si>
    <t>OPERADOR DE BETONEIRA ESTACIONÁRIA/MISTURADOR COM ENCARGOS COMPLEMENTARES</t>
  </si>
  <si>
    <t>FITA ISOLANTE ADESIVA ANTICHAMA, USO ATE 750 V, EM ROLO DE 19 MM X 5 M</t>
  </si>
  <si>
    <t>CARPINTEIRO DE ESQUADRIA COM ENCARGOS COMPLEMENTARES</t>
  </si>
  <si>
    <t>CAL HIDRATADA CH-I PARA ARGAMASSAS</t>
  </si>
  <si>
    <t>CONCRETO ESTRUTURAL USINADO FCK 25 MPA</t>
  </si>
  <si>
    <t>CV00201</t>
  </si>
  <si>
    <t>TINTA LATEX ACRILICA STANDARD, COR BRANCA</t>
  </si>
  <si>
    <t>SELADOR ACRILICO OPACO PREMIUM INTERIOR/EXTERIOR</t>
  </si>
  <si>
    <t>POSTE DE CONCRETO ARMADO DE SECAO CIRCULAR, EXTENSAO DE 13,00 M, RESISTENCIA DE 1000 DAN, TIPO C-23</t>
  </si>
  <si>
    <t>ISOLADOR RÍGIDO DE PINO HI-TOP, PARA 15 KV</t>
  </si>
  <si>
    <t>PINO PARA ISOLADOR RÍGIDO</t>
  </si>
  <si>
    <t xml:space="preserve">SUPORTE PARA 4 ISOLADORES DE BAIXA TENSÃO </t>
  </si>
  <si>
    <t>M0013</t>
  </si>
  <si>
    <t>GRAMPO DE ANCORAGEM EM AÇO CA 50 - D = 12,5 MM</t>
  </si>
  <si>
    <t>CABO DE COBRE NU 16 MM2 MEIO-DURO</t>
  </si>
  <si>
    <t>CABO DE COBRE NU 50 MM2 MEIO-DURO</t>
  </si>
  <si>
    <t>4 CONDUTORES</t>
  </si>
  <si>
    <t>CHAVE FUSÍVEL BASE ´C´ PARA 25KV/100A, COM CAPACIDADE DE RUPTURA ATÉ 6,3KA, COM FUSÍVEL E FERRAGEM DE FIXAÇÃO</t>
  </si>
  <si>
    <t>CHAVE FUSÍVEL BASE ´C´ PARA 15KV/200A, COM CAPACIDADE DE RUPTURA ATÉ 10KA, COM FUSÍVEL E FERRAGEM DE FIXAÇÃO</t>
  </si>
  <si>
    <t>DISPOSITIVO DPS CLASSE II, 1 POLO, TENSAO MAXIMA DE 175 V, CORRENTE MAXIMA DE *45* KA (TIPO AC)</t>
  </si>
  <si>
    <t>DISJUNTOR TERMOMAGNETICO PARA TRILHO DIN (IEC), BIPOLAR, 40 - 50 A</t>
  </si>
  <si>
    <t>TOMADA 2P+T 10A, 250V, CONJUNTO MONTADO PARA EMBUTIR 4" X 2" (PLACA + SUPORTE + MODULO)</t>
  </si>
  <si>
    <t>KIT SOLDA COM CARTUCHO PARA SOLDA EXOTÉRMICA Nº 65 A 115</t>
  </si>
  <si>
    <t>ALICATE PARA SOLDA EXOTÉRMICA; REFERÊNCIA U-L160 DA UNISOLDA OU EQUIVALENTE</t>
  </si>
  <si>
    <t>MOLDE PARA SOLDA EXOTÉRMICA CONEXÃO CABO-CABO HORIZONTAL EM X, BITOLA DO CABO DE 50-25MM² A 95-50MM²; REFERÊNCIA UXA DA UNISOLDA OU EQUIVALENTE</t>
  </si>
  <si>
    <t>CAIXA DE INSPEÇÃO DO TERRA CILÍNDRICA EM PVC RÍGIDO, DIÂMETRO DE 300 MM, H= 400 MM</t>
  </si>
  <si>
    <t>PARA-RAIOS DE DISTRIBUIÇÃO, CLASSE 12 KV / 10 KA, ENCAPSULADO COM POLÍMERO; REF. PBP-1210 BALESTRO OU EQUIVALENTE</t>
  </si>
  <si>
    <t>SUPORTE EM ACO GALVANIZADO PARA TRANSFORMADOR PARA POSTE DUPLO T 185 X 95 MM, CHAPA DE 5/16"</t>
  </si>
  <si>
    <t>TROCAR PARA POSTE CIRCULAR</t>
  </si>
  <si>
    <t>TROCAR PARA 240MM</t>
  </si>
  <si>
    <t>ARRUELA EM ALUMINIO, COM ROSCA, DE 4", PARA ELETRODUTO</t>
  </si>
  <si>
    <t>BUCHA EM ALUMINIO, COM ROSCA, DE 4", PARA ELETRODUTO</t>
  </si>
  <si>
    <t xml:space="preserve">FITA ACO INOX PARA CINTAR POSTE, L = 19 MM, E = 0,5 MM (ROLO DE 30M) </t>
  </si>
  <si>
    <t>4,1m</t>
  </si>
  <si>
    <t>FECHO EM AÇO INOXIDÁVEL PARA FITA DE 19 MM</t>
  </si>
  <si>
    <t>TERMINAL METALICO A PRESSAO PARA 1 CABO DE 25 MM2, COM 1 FURO DE FIXACAO</t>
  </si>
  <si>
    <t>TROCAR PARA PRFV</t>
  </si>
  <si>
    <t>CRUZETA DE CONCRETO LEVE, COMP. 2000 MM SECAO, 90 X 90 MM</t>
  </si>
  <si>
    <t>MÃO FRANCESA PLANA DE 32X5X619MM</t>
  </si>
  <si>
    <t>SELA PARA CRUZETA DE MADEIRA</t>
  </si>
  <si>
    <t>PORCA QUADRADA PARA PARAFUSO M16</t>
  </si>
  <si>
    <t>PORCA OLHAL M 16, EM ACO GALVANIZADO, DIAMETRO = 16 MM</t>
  </si>
  <si>
    <t>TROCAR DIMENSÕES</t>
  </si>
  <si>
    <t>30X40CM</t>
  </si>
  <si>
    <t xml:space="preserve">PLACA DE SINALIZAÇÃO EM CHAPA DE AÇO N.16, COM PINTURA REFLETIVA "PERIGO ALTA TENSÃO" </t>
  </si>
  <si>
    <t xml:space="preserve">GANCHO OLHAL EM ACO GALVANIZADO, ESPESSURA 16MM, ABERTURA 21MM </t>
  </si>
  <si>
    <t>PARAFUSO CABEÇA ABAULADA M16 X 150 MM</t>
  </si>
  <si>
    <t>ARRUELA QUADRADA DE 50 MM COM FURO DE 18 MM</t>
  </si>
  <si>
    <t>CONECTOR METALICO TIPO PARAFUSO FENDIDO (SPLIT BOLT), PARA CABOS ATE 16MM2</t>
  </si>
  <si>
    <t>MASSA EPOXI BICOMPONENTE PARA REPAROS</t>
  </si>
  <si>
    <t>ARMAÇÃO SECUNDÁRIA PARA 1 ESTRIBO</t>
  </si>
  <si>
    <t>MANILHA SAPATILHA DE FERRO</t>
  </si>
  <si>
    <t>MUDAR PARA AÇO</t>
  </si>
  <si>
    <t>BARRAMENTO DE COBRE NU (QUALQUER BITOLA)</t>
  </si>
  <si>
    <t>200A, TEM Q SER 300A</t>
  </si>
  <si>
    <t>H=300</t>
  </si>
  <si>
    <t>SUPORTE ISOLADOR REFORCADO DIAMETRO NOMINAL 5/16", COM ROSCA SOBERBA E BUCHA</t>
  </si>
  <si>
    <t>11M NA PLANILHA</t>
  </si>
  <si>
    <t>SERVIÇOS PARA DESATIVAÇÃO DA SUBESTAÇÃO EXISTENTE</t>
  </si>
  <si>
    <t>SERVIÇOS PARA PARADA PROGRAMADA PARA TRANSFERÊNCIA DA ENTRADA DE ENERGIA</t>
  </si>
  <si>
    <t>LOCACAO DE CONTAINER 2,30 X 6,00 M, ALT. 2,50 M, PARA ESCRITORIO, SEM DIVISORIAS INTERNAS E SEM SANITARIO</t>
  </si>
  <si>
    <t>DATA-BASE DO ORÇAMENTO</t>
  </si>
  <si>
    <t>DATA-BASE ORÇAMENTO</t>
  </si>
  <si>
    <t xml:space="preserve">SINAPI </t>
  </si>
  <si>
    <t>100952 - 93358</t>
  </si>
  <si>
    <t>BETONEIRA CAPACIDADE 400 L, CAPACIDADE DE MISTURA 280 L, MOTOR ELÉTRICO POTÊNCIA 2 CV - CHP</t>
  </si>
  <si>
    <t>BETONEIRA CAPACIDADE 400 L, CAPACIDADE DE MISTURA 280 L, MOTOR ELÉTRICO POTÊNCIA 2 CV - CHI</t>
  </si>
  <si>
    <t>AREIA GROSSA GRANULOMETRIA ENTRE (1,2 E 2,00 MM) LAVADA</t>
  </si>
  <si>
    <t>CV00181</t>
  </si>
  <si>
    <t>AREIA MÉDIA GRANULOMETRIA ENTRE (0,42 E 1,2 MM) LAVADA</t>
  </si>
  <si>
    <t>CV00182</t>
  </si>
  <si>
    <t>97893 - 93358</t>
  </si>
  <si>
    <t>COMPACTADOR DE SOLOS DE PERCUSSÃO COM MOTOR A GASOLINA 4 TEMPOS, POTÊNCIA 4 CV - CHI</t>
  </si>
  <si>
    <t>COMPACTADOR DE SOLOS DE PERCUSSÃO COM MOTOR A GASOLINA 4 TEMPOS, POTÊNCIA 4 CV - CHP</t>
  </si>
  <si>
    <t>CAIXA ENTERRADA ELÉTRICA EM ALVENARIA COM BLOCOS DE CONCRETO, FUNDO COM BRITA, DIMENSÕES INTERNAS 0,80X0,80X0,60 M</t>
  </si>
  <si>
    <t>GUINDAUTO HIDRÁULICO COM CAMINHÃO TOCO 189 CV, CAP. CARGA 6200 KG, ALCANCE 9,70 M - CHP</t>
  </si>
  <si>
    <t>GUINDAUTO HIDRÁULICO COM CAMINHÃO TOCO 189 CV, CAP. CARGA 6200 KG, ALCANCE 9,70 M - CHI</t>
  </si>
  <si>
    <t>CHAVE FUSÍVEL BASE C PARA 15KV/200A, CAPACIDADE DE RUPTURA ATÉ 10KA, COM FUSÍVEL E FERRAGEM DE FIXAÇÃO</t>
  </si>
  <si>
    <t>MOLDE PARA SOLDA EXOTÉRMICA CONEXÃO CABO-CABO HORIZONTAL EM X, CABO DE 50-25MM² A 95-50MM²</t>
  </si>
  <si>
    <t>ADITIVO IMPERMEABILIZANTE PEGA NORMAL PARA ARGAMASSAS E CONCRETOS, ISENTO DE CLORETOS</t>
  </si>
  <si>
    <t>PARA-RAIOS DE DISTRIBUIÇÃO, CLASSE 12 KV / 10 KA, ENCAPSULADO COM POLÍMERO</t>
  </si>
  <si>
    <t>CHAPA/PAINEL DE MADEIRA COMPENSADA PLASTIFICADA PARA FORMA DE CONCRETO, DE 2200 X 1100 MM, E = 12 MM</t>
  </si>
  <si>
    <t>CHAPA/PAINEL DE MADEIRA COMPENSADA RESINADA PARA FORMA DE CONCRETO, DE 2200 X 1100 MM, E = 17 MM</t>
  </si>
  <si>
    <t>PLACA DE OBRA (PARA CONSTRUCAO CIVIL) EM CHAPA GALVANIZADA N. 22, ADESIVADA, DE 2,4 X 1,2 M</t>
  </si>
  <si>
    <t>PORTA DE ABRIR EM ALUMINIO ANODIZADO NATURAL TIPO VENEZIANA, SEM GUARNICAO/ALIZAR/VISTA</t>
  </si>
  <si>
    <t>CINTA CIRCULAR EM ACO GALVANIZADO DIÂMETRO 210 MM PARA INSTALACAO DE TRANSFORMADOR EM POSTE</t>
  </si>
  <si>
    <t>ESPACADOR / DISTANCIADOR CIRCULAR, EM PLASTICO, PARA VERGALHAO 4,2 A 12,5 MM, COBRIMENTO 20 MM</t>
  </si>
  <si>
    <t>SARRAFO 2,5 X 7,5 CM EM PINUS, MISTA OU EQUIVALENTE DA REGIAO - BRUTA</t>
  </si>
  <si>
    <t>PEDRA BRITADA Nº 2 GRANULOMETRIA ENTRE (21,0 E 32,0 MM)</t>
  </si>
  <si>
    <t>CV00210</t>
  </si>
  <si>
    <t>PEDRISCO GRANULOMETRIA ENTRE (0,075 E 4,8 MM) NBR 7225</t>
  </si>
  <si>
    <t>CV00217</t>
  </si>
  <si>
    <t xml:space="preserve">PEDRA BRITADA Nº 1 GRANULOMETRIA ENTRE (9,5 E 25,00 MM) </t>
  </si>
  <si>
    <t>CV00208</t>
  </si>
  <si>
    <t>ENTRADA DE ENERGIA - POSTO SIMPLIFICADO DE SERVIÇO (PPS) - 225,0 KVA</t>
  </si>
  <si>
    <t>PREGO COM CABEÇA AÇO GALV (MÉDIA DAS BITOLAS)</t>
  </si>
  <si>
    <t>CV00521</t>
  </si>
  <si>
    <t>CONECTOR COM RABICHO, PORCA 3/8", ROSCA, EM LATÃO NATURAL, PARA CABO 16 ATÉ 35MM²</t>
  </si>
  <si>
    <t>ISOLADOR DE PORCELANA, TIPO PINO MONOCORPO, PARA TENSAO DE 35 KV</t>
  </si>
  <si>
    <t>ISOLADOR DE PORCELANA, TIPO ROLDANA, DIMENSOES DE 72 X 72 MM, PARA USO EM BAIXA TENSAO</t>
  </si>
  <si>
    <t>GRAMPO LINHA VIVA DE LATAO ESTANHADO - Ø CONDUTOR PRINCIPAL 10 A 120 MM2, Ø DERIVACAO 10 A 70 MM2</t>
  </si>
  <si>
    <t>ELETRODUTO PEAD FLEXIVEL PAREDE SIMPLES, CORRUGACAO HELICOIDAL, COR PRETA, SEM ROSCA, DE 4", CRC 680 N</t>
  </si>
  <si>
    <t>CABO DE COBRE FLEXIVEL CL 4/5, ISOLACAO PVC/A, ANTICHAMA BWF-B, 1 CONDUTOR, 450/750 V, SECAO NOMINAL 16 MM2</t>
  </si>
  <si>
    <t>CABO DE COBRE FLEXIVEL CL 4/5, ISOLACAO PVC/A, ANTICHAMA BWF-B, 1 CONDUTOR, 450/750 V, SECAO NOMINAL 25 MM2</t>
  </si>
  <si>
    <t>CABO DE COBRE FLEXIVEL CL 4/5, ISOLACAO PVC/A, ANTICHAMA BWF-B, 1 CONDUTOR, 450/750 V, SECAO NOMINAL 6 MM2</t>
  </si>
  <si>
    <t>CAIXA DE MEDICAO PARA 1 MEDIDOR TRIFASICO, COM VISOR, EM CHAPA DE ACO 18 USG (PADRAO CONCESSIONARIA)</t>
  </si>
  <si>
    <t>HASTE DE ATERRAMENTO DE 5/8" X 2,4 M, EM AÇO SAE1010/1020, TREFILADO E REVESTIDO DE COBRE ELETROLÍTICO</t>
  </si>
  <si>
    <t>ELETRODUTO FLEXÍVEL CORRUGADO, PEAD, DN 100 (4"), PARA REDE ENTERRADA DE DISTRIBUIÇÃO DE ENERGIA ELÉTRICA</t>
  </si>
  <si>
    <t>ELETRODUTO RÍGIDO ROSCÁVEL, PVC, DN 110 MM (4"), PARA REDE ENTERRADA DE DISTRIBUIÇÃO DE ENERGIA ELÉTRICA</t>
  </si>
  <si>
    <t>CURVA 90 GRAUS PARA ELETRODUTO, PVC, ROSCÁVEL, DN 110 MM (4"), PARA REDE ENTERRADA DE DISTRIBUIÇÃO DE ENERGIA</t>
  </si>
  <si>
    <t>LUVA PARA ELETRODUTO, PVC, ROSCÁVEL, DN 110 MM (4"), PARA REDE ENTERRADA DE DISTRIBUIÇÃO DE ENERGIA ELÉTRICA</t>
  </si>
  <si>
    <t>CONCRETAGEM COMO PROTEÇÃO MECÂNICA NO REATERRO PARA REDE ENTERRADA DE DISTRIBUIÇÃO DE ENERGIA ELÉTRICA</t>
  </si>
  <si>
    <t>ESCAVAÇÃO MANUAL DE VALA</t>
  </si>
  <si>
    <t>REATERRO MANUAL DE VALAS, COM COMPACTADOR DE SOLOS DE PERCUSSÃO</t>
  </si>
  <si>
    <t>2.2</t>
  </si>
  <si>
    <t>CABOS E CONECTORES</t>
  </si>
  <si>
    <t xml:space="preserve">REMOÇÃO DE ENTULHO DE OBRA, TERRA, ALVENARIA, CONCRETO, ARGAMASSA, MADEIRA - CAPACIDADE DE 4M³ </t>
  </si>
  <si>
    <t>TERMINAL OU CONECTOR DE PRESSAO PARA CABO 95MM</t>
  </si>
  <si>
    <t>09.82.031</t>
  </si>
  <si>
    <t>CABO DE COBRE FLEXIVEL CL 4/5, ISOLACAO PVC/A, BWF-B, COB. PVC-ST1, 1 CONDUTOR, 0,6/1 KV, SECAO NOMINAL 95 MM2</t>
  </si>
  <si>
    <t>TERMINAL METALICO A PRESSAO PARA 1 CABO DE 95 MM2, COM 1 FURO DE FIXACAO</t>
  </si>
  <si>
    <t>CABO DE COBRE FLEXÍVEL ISOLADO, 95 MM², ANTI-CHAMA 0,6/1,0 KV, PARA REDE ENTERRADA DE ENERGIA ELÉTRICA - FASES</t>
  </si>
  <si>
    <t>CABO DE COBRE FLEXÍVEL ISOLADO, 95 MM², ANTI-CHAMA 0,6/1,0 KV, PARA REDE ENTERRADA DE ENERGIA ELÉTRICA - NEUTRO</t>
  </si>
  <si>
    <t>CABO DE COBRE FLEXÍVEL ISOLADO, 95 MM², ANTI-CHAMA 0,6/1,0 KV, PARA REDE ENTERRADA DE ENERGIA ELÉTRICA - TERRA</t>
  </si>
  <si>
    <t>ELETRODUTO DE PVC RIGIDO ROSCAVEL DE 4", SEM LUVA</t>
  </si>
  <si>
    <t>ELETRODUTO DE PVC RIGIDO ROSCAVEL DE 3/4", SEM LUVA</t>
  </si>
  <si>
    <t>CABO DE COBRE FLEXIVEL CL 4/5, ISOLACAO PVC/A, ANTICHAMA BWF-B, 1 CONDUTOR, 450/750 V, SECAO NOMINAL 95 MM2</t>
  </si>
  <si>
    <t>CABO BLINDADO 4 X 4,0MM2, BLINDAGEM METÁLICA 750 V NBR 7289 COLORIDO - ISOLAÇÃO NÃO HALOGENADA</t>
  </si>
  <si>
    <t>EL07725</t>
  </si>
  <si>
    <t>DISJUNTOR TERMOMAGNÉTICO EM CAIXA MOLDADA TRIPOLAR 400A, ICC - 50KA/220V</t>
  </si>
  <si>
    <t>AGOSTO/2025</t>
  </si>
  <si>
    <t>SUB-TOTAL DE MÃO DE OBRA</t>
  </si>
  <si>
    <t>SUB-TOTAL DE EQUIPAMENTOS E SERVIÇOS</t>
  </si>
  <si>
    <t>SUB-TOTAL DE MATERIAIS</t>
  </si>
  <si>
    <t>TOTAL - MATERIAIS</t>
  </si>
  <si>
    <t>TOTAL - MÃO DE OBRA</t>
  </si>
  <si>
    <t>TOTAL - SERVIÇOS E CUSTO HORÁRIO DE EQUIPAMENTOS</t>
  </si>
  <si>
    <t>ENTRADA DE ENERGIA 1 - PTB 033 - BAIRRO ELDORADO</t>
  </si>
  <si>
    <t>SUB-TOTAL - ENTRADA DE ENERGIA 01 - PTB 033 - BAIRRO ELDORADO</t>
  </si>
  <si>
    <t>REFORMA DE 3 ENTRADAS DE ENERGIA EM 3 POÇOS TUBULARES DO AQUÍFERO BAURU (PTB) NO MUNÍCIPIO DE SÃO JOSÉ DO RIO PRETO</t>
  </si>
  <si>
    <t>ENTRADA DE ENERGIA 2 - PTB 107 - BAIRRO JOÃO PAULO II</t>
  </si>
  <si>
    <t>SUB-TOTAL - ENTRADA DE ENERGIA 02 - PTB 107 - BAIRRO JOÃO PAULO II</t>
  </si>
  <si>
    <t>ENTRADA DE ENERGIA 3 - PTB 003 - BAIRRO MACENO</t>
  </si>
  <si>
    <t>SUB-TOTAL - ENTRADA DE ENERGIA 03 - PTB 003 - BAIRRO MACENO</t>
  </si>
  <si>
    <t>TE-06 ENTRADA PRIMÁRIA SIMPLIF. POSTE UNICO - CPFL - 225 KVA - 15KV- 220/127 V - INFRAESTRUTURA CIVIL</t>
  </si>
  <si>
    <t>TE-06 ENTRADA PRIMÁRIA SIMPLIF. POSTE UNICO - CPFL - 225 KVA - 15KV- 220/127 V - INFRAESTRUTURA ELÉTRICA - MÉDIA TENSÃO</t>
  </si>
  <si>
    <t>TE-06 ENTRADA PRIMÁRIA SIMPLIF. POSTE UNICO - CPFL - 225 KVA - 15KV- 220/127 V - INFRAESTRUTURA ELÉTRICA - SPDA/ATERRAMENTO</t>
  </si>
  <si>
    <t>TE-06 ENTRADA PRIMÁRIA SIMPLIF. POSTE UNICO - CPFL - 225 KVA - 15KV- 220/127 V - INFRAESTRUTURA ELÉTRICA - BAIXA TENSÃO</t>
  </si>
  <si>
    <t>ELETRODUTO RÍGIDO EM AÇO GALVANIZADO A QUENTE DN 50 MM (2")</t>
  </si>
  <si>
    <t xml:space="preserve">ELETRODUTO GALVANIZADO POR IMERSÃO A QUENTE - DN = 2" - NBR5598 </t>
  </si>
  <si>
    <t>CABO DE COBRE FLEXÍVEL ISOLADO, 185 MM², ANTI-CHAMA 0,6/1,0 KV, PARA REDE ENTERRADA DE ENERGIA ELÉTRICA - FASES</t>
  </si>
  <si>
    <t>CABO DE COBRE FLEXÍVEL ISOLADO, 50 MM², 0,6/1,0 KV, PARA REDE AÉREA DE ENERGIA ELÉTRICA DE BAIXA TENSÃO - FASES</t>
  </si>
  <si>
    <t>CABO DE COBRE FLEXÍVEL ISOLADO, 185 MM², ANTI-CHAMA 0,6/1,0 KV, PARA REDE ENTERRADA DE ENERGIA ELÉTRICA - NEUTRO</t>
  </si>
  <si>
    <t>CABO DE COBRE FLEXÍVEL ISOLADO, 185 MM², ANTI-CHAMA 0,6/1,0 KV, PARA REDE ENTERRADA DE ENERGIA ELÉTRICA - TERRA</t>
  </si>
  <si>
    <t>CABO DE COBRE FLEXÍVEL ISOLADO, 25 MM², 0,6/1,0 KV, PARA REDE AÉREA DE ENERGIA ELÉTRICA DE BAIXA TENSÃO - TERRA</t>
  </si>
  <si>
    <t>CABO DE COBRE, FLEXIVEL, CLASSE 4 OU 5, ISOLACAO EM PVC/A, ANTICHAMA BWF-B, COBERTURA PVC-ST1, ANTICHAMA BWF-B, 1 CONDUTOR, 0,6/1 KV, SECAO NOMINAL 185 MM2</t>
  </si>
  <si>
    <t>CABO DE COBRE, FLEXIVEL, CLASSE 4 OU 5, ISOLACAO EM PVC/A, ANTICHAMA BWF-B, COBERTURA PVC-ST1, ANTICHAMA BWF-B, 1 CONDUTOR, 0,6/1 KV, SECAO NOMINAL 50 MM2</t>
  </si>
  <si>
    <t>CABO DE COBRE, FLEXIVEL, CLASSE 4 OU 5, ISOLACAO EM PVC/A, ANTICHAMA BWF-B, COBERTURA PVC-ST1, ANTICHAMA BWF-B, 1 CONDUTOR, 0,6/1 KV, SECAO NOMINAL 25 MM2</t>
  </si>
  <si>
    <t>TERMINAL OU CONECTOR DE PRESSAO PARA CABO 185MM</t>
  </si>
  <si>
    <t>TERMINAL OU CONECTOR DE PRESSAO PARA CABO 50MM</t>
  </si>
  <si>
    <t>TERMINAL OU CONECTOR DE PRESSAO PARA CABO 25MM</t>
  </si>
  <si>
    <t>09.82.034</t>
  </si>
  <si>
    <t>09.82.029</t>
  </si>
  <si>
    <t>09.82.027</t>
  </si>
  <si>
    <t>TERMINAL METALICO A PRESSAO PARA 1 CABO DE 185 MM2, COM 1 FURO DE FIXACAO</t>
  </si>
  <si>
    <t>TERMINAL METALICO A PRESSAO PARA 1 CABO DE 50 MM2, COM 1 FURO DE FIXACAO</t>
  </si>
  <si>
    <t>3.3</t>
  </si>
  <si>
    <t>PAINEIS ELÉTRICO 220/127V - QGBT</t>
  </si>
  <si>
    <t>3.4</t>
  </si>
  <si>
    <t>PAINEIS ELÉTRICO 220/127V - BANCO DE CAPACITORES</t>
  </si>
  <si>
    <t>3.5</t>
  </si>
  <si>
    <t>QUADRO GERAL - BARRAMENTO DE 600A</t>
  </si>
  <si>
    <t>PLACA DE ACRILICO TRANSPARENTE ESP=5MM PROTECAO A CONTATO ACIDENTAL</t>
  </si>
  <si>
    <t>DISJUNTOR CAIXA MOLDADA TRIPOLAR 630A COM DISPARADOR TERMOMAGNÉTICO AJUSTÁVEL</t>
  </si>
  <si>
    <t>DPS - DISPOSITIVO PROTECAO CONTRA SURTOS (ENERGIA)</t>
  </si>
  <si>
    <t>DISJUNTOR CAIXA MOLDADA TRIPOLAR 100A COM DISPARADOR TERMOMAGNÉTICO AJUSTÁVEL</t>
  </si>
  <si>
    <t>DISJUNTOR CAIXA MOLDADA TRIPOLAR 150A COM DISPARADOR TERMOMAGNÉTICO AJUSTÁVEL</t>
  </si>
  <si>
    <t>DISJUNTOR CAIXA MOLDADA TRIPOLAR 400A COM DISPARADOR TERMOMAGNÉTICO AJUSTÁVEL</t>
  </si>
  <si>
    <t>CORDAO DE COBRE, FLEXIVEL, TORCIDO, CLASSE 4 OU 5, ISOLACAO EM PVC/D, 300 V, 2 CONDUTORES DE 1,0 MM2</t>
  </si>
  <si>
    <t>CAIXA EM CHAPA DE AÇO 16 COM PORTA E FECHO</t>
  </si>
  <si>
    <t>TRANSFORMADOR DE CORRENTE, EM TERMOPLÁSTICO, TIPO JANELA, VMAX=600VCA, RELAÇÃO DE 600/5A</t>
  </si>
  <si>
    <t>CHAVE DE AFERIÇÃO, DE SOBREPOR, VN= 600V, IN=20A, 10 POLOS</t>
  </si>
  <si>
    <t>CONTROLADOR AUTOMÁTICO DE FATOR DE POTÊNCIA, 06 ESTÁGIOS, MEDIÇÃO TRIFÁSICA, LIGAÇÃO PARA ATÉ 3 TCS, FIXAÇÃO DE EMBUTIR, TENSÃO DE ALIMENTAÇÃO 90-270VCA</t>
  </si>
  <si>
    <t>CONTATOR PARA MANOBRA DE CAPACITOR PARA CORREÇÃO DO FATOR DE POTÊNCIA, COM RESITORES DE PRÉ-CARGA, CONTATO AUXILAR 1NA, IN=30A, VN=220VAC, VCOMANDO=220VAC, F=60HZ</t>
  </si>
  <si>
    <t>UNIDADE CAPACITIVA TRIFÁSICA, COM CAPA PROTETORA IP-50, COM RESISTOR INTERNO E PARAFUSO DE FIXAÇÃO E ATERRAMENTO, POTÊNCIA REATIVA DE 10,0 KVAR, VN=220VAC, F=60HZ</t>
  </si>
  <si>
    <t>ADEQUAÇÃO CIVIL - ABRIGO DE PAINÉIS</t>
  </si>
  <si>
    <t>09.04.006</t>
  </si>
  <si>
    <t>09.04.049</t>
  </si>
  <si>
    <t>09.04.043</t>
  </si>
  <si>
    <t>09.04.042</t>
  </si>
  <si>
    <t>09.04.050</t>
  </si>
  <si>
    <t>SIURB</t>
  </si>
  <si>
    <t>09-008-058</t>
  </si>
  <si>
    <t>09.02.043</t>
  </si>
  <si>
    <t>09-008-046</t>
  </si>
  <si>
    <t>09-008-048</t>
  </si>
  <si>
    <t>09-008-055</t>
  </si>
  <si>
    <t>COTAÇÃO
MERCADO</t>
  </si>
  <si>
    <t>CP.001</t>
  </si>
  <si>
    <t>CP.002</t>
  </si>
  <si>
    <t>-</t>
  </si>
  <si>
    <t>CP.006</t>
  </si>
  <si>
    <t>CP.003</t>
  </si>
  <si>
    <t>CP.004</t>
  </si>
  <si>
    <t>CP.005</t>
  </si>
  <si>
    <t>QUADRO GERAL - BARRAMENTO DE 150 A</t>
  </si>
  <si>
    <t>QUADRO GERAL - BARRAMENTO DE 100 A</t>
  </si>
  <si>
    <t>DISJUNTOR TRIPOLAR TIPO DIN, CORRENTE NOMINAL DE 32A</t>
  </si>
  <si>
    <t>CABO DE COBRE FLEXÍVEL ISOLADO, 4 MM², ANTI-CHAMA 450/750 V, PARA CIRCUITOS TERMINAIS</t>
  </si>
  <si>
    <t>CABO DE COBRE FLEXÍVEL ISOLADO, 6 MM², ANTI-CHAMA 450/750 V, PARA CIRCUITOS TERMINAIS</t>
  </si>
  <si>
    <t>PISO CIMENTADO, TRAÇO 1:3 (CIMENTO E AREIA), ACABAMENTO LISO, ESPESSURA 2,0 CM, PREPARO MECÂNICO DA ARGAMASSA</t>
  </si>
  <si>
    <t>ALVENARIA ESTRUTURAL DE BLOCOS CERÂMICOS 14X19X29, (ESPESSURA DE 14 CM), UTILIZANDO COLHER DE PEDREIRO E ARGAMASSA DE ASSENTAMENTO COM PREPARO MANUAL</t>
  </si>
  <si>
    <t>LAJE PRÉ-MOLDADA UNIDIRECIONAL, BIAPOIADA, PARA FORRO, ENCHIMENTO EM CERÂMICA, VIGOTA CONVENCIONAL, ALTURA TOTAL DA LAJE (ENCHIMENTO+CAPA) = (8+3)</t>
  </si>
  <si>
    <t>EL07726</t>
  </si>
  <si>
    <t>DISJUNTOR TERMOMAGNÉTICO EM CAIXA MOLDADA TRIPOLAR 600A, ICC - 50KA</t>
  </si>
  <si>
    <t>CABECOTE DN 4" PARA ELETRODUTO, EM ALUMINIO COM ACABAMENTO ANTI CORROSIVO</t>
  </si>
  <si>
    <t>CURVA 90 GRAUS PARA ELETRODUTO, EM ACO GALVANIZADO ELETROLITICO, COM ROSCA, DIAMETRO DE 100 MM (4")</t>
  </si>
  <si>
    <t>LUVA PARA ELETRODUTO, EM ACO GALVANIZADO ELETROLITICO, COM ROSCA, DIAMETRO DE 100 MM (4")</t>
  </si>
  <si>
    <t xml:space="preserve">ELETRODUTO GALVANIZADO POR IMERSÃO A QUENTE - DN = 4" - NBR5598 </t>
  </si>
  <si>
    <t>BLOCO ESTRUTURAL CERAMICO DE 14 X 19 X 29 CM (L X A X C) E 6,0 MPA</t>
  </si>
  <si>
    <t>CANALETA ESTRUTURAL CERAMICA DE 14 X 19 X 29 CM (L X A X C) E 6,0 MPA</t>
  </si>
  <si>
    <t>MEIO BLOCO ESTRUTURAL CERAMICO DE 14 X 19 X 14 CM (L X A X C) E 6,0 MPA</t>
  </si>
  <si>
    <t>JUNTA PLASTICA DE DILATACAO PARA PISOS, COR CINZA, 17 X 3 MM (ALTURA X ESPESSURA)</t>
  </si>
  <si>
    <t>LAJE PRE-MOLDADA CONVENCIONAL (LAJOTAS + VIGOTAS) PARA FORRO, UNIDIRECIONAL, SOBRECARGA DE 100 KG/M2, VAO ATE 4,5 M (SEM COLOCACAO)</t>
  </si>
  <si>
    <t>TABUA NAO APARELHADA *2,5 X 20* CM, EM MACARANDUBA/MASSARANDUBA, ANGELIM OU EQUIVALENTE DA REGIAO - BRUTA</t>
  </si>
  <si>
    <t>CV00239</t>
  </si>
  <si>
    <t>VERGALHÃO (AÇO-CA-60) - (MÉDIA DAS BITOLAS ENTRE 3,4 A 8,0MM)</t>
  </si>
  <si>
    <t>PONTALETE *7,5 X 7,5* CM EM PINUS, MISTA OU EQUIVALENTE DA REGIAO - BRUTA</t>
  </si>
  <si>
    <t>SERRA CIRCULAR DE BANCADA COM MOTOR ELÉTRICO POTÊNCIA DE 5HP, COM COIFA PARA DISCO 10" - CHP DIURNO</t>
  </si>
  <si>
    <t>SERRA CIRCULAR DE BANCADA COM MOTOR ELÉTRICO POTÊNCIA DE 5HP, COM COIFA PARA DISCO 10" - CHI DIURNO</t>
  </si>
  <si>
    <t>SELANTE ELASTICO MONOCOMPONENTE A BASE DE POLIURETANO (PU) PARA JUNTAS DIVERSAS (310ML)</t>
  </si>
  <si>
    <t>BUCHA DE NYLON SEM ABA S10, COM PARAFUSO DE 6,10 X 65 MM EM ACO ZINCADO COM ROSCA SOBERBA, CABECA CHATA E FENDA PHILLIPS</t>
  </si>
  <si>
    <t>PORTA DE ABRIR EM ACO, TIPO VENEZIANA, 90 X 210 CM, COM FUNDO ANTICORROSIVO</t>
  </si>
  <si>
    <t>TINTA ESMALTE BASE AGUA PREMIUM ACETINADO</t>
  </si>
  <si>
    <t>COTAÇÕES</t>
  </si>
  <si>
    <t>QUADRO RESUMO DE INFORMAÇÕES</t>
  </si>
  <si>
    <t>MUNICÍPIO: SÃO JOSÉ DO RIO PRETO</t>
  </si>
  <si>
    <t>OBJETO:</t>
  </si>
  <si>
    <t>EQUIPAMENTO</t>
  </si>
  <si>
    <t>DADOS - COTAÇÃO Nº 01</t>
  </si>
  <si>
    <t>DADOS - COTAÇÃO Nº 02</t>
  </si>
  <si>
    <t>DADOS - COTAÇÃO Nº 03</t>
  </si>
  <si>
    <t>DADOS - COTAÇÃO Nº 04</t>
  </si>
  <si>
    <t>PREÇO REFERÊNCIA</t>
  </si>
  <si>
    <t>CÓDIGO</t>
  </si>
  <si>
    <t>DESCRITIVO/ESPECIFICAÇÃO</t>
  </si>
  <si>
    <t>ID</t>
  </si>
  <si>
    <t>PREÇO UNIT.</t>
  </si>
  <si>
    <t>CJ</t>
  </si>
  <si>
    <t>FONTES DE CONSULTA</t>
  </si>
  <si>
    <t>NOME DO FORNECEDOR</t>
  </si>
  <si>
    <t>CNPJ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</si>
  <si>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</si>
  <si>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</si>
  <si>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</si>
  <si>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</si>
  <si>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</si>
  <si>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</si>
  <si>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</si>
  <si>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</si>
  <si>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</si>
  <si>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</si>
  <si>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</si>
  <si>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</si>
  <si>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</si>
  <si>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TRANSFORMADOR DE CORRENTE</t>
  </si>
  <si>
    <t>CHAVE DE AFERIÇÃO</t>
  </si>
  <si>
    <t>DISPOSITIVOS ELÉTRICOS DIVERSOS</t>
  </si>
  <si>
    <t>TRA.001</t>
  </si>
  <si>
    <t>TRA.002</t>
  </si>
  <si>
    <t>CHAVE.001</t>
  </si>
  <si>
    <t>DIS.001</t>
  </si>
  <si>
    <t>DIS.002</t>
  </si>
  <si>
    <t>DIS.003</t>
  </si>
  <si>
    <t>DIS.004</t>
  </si>
  <si>
    <t>DIS.005</t>
  </si>
  <si>
    <t>TRANSFORMADOR DE CORRENTE, EM TERMOPLÁSTICO, TIPO JANELA, VMAX=600VCA, RELAÇÃO DE 300/5A</t>
  </si>
  <si>
    <t>CONTATOR PARA MANOBRA DE CAPACITOR PARA CORREÇÃO DO FATOR DE POTÊNCIA, COM RESITORES DE PRÉ CARGA, CONTATO AUXILAR 1NA, IN=16A, VN=220VAC, VCOMANDO=220VAC, F=60HZ</t>
  </si>
  <si>
    <t>UNIDADE CAPACITIVA TRIFÁSICA, COM CAPA PROTETORA IP-50, COM RESISTOR INTERNO E PARAFUSO DE FIXAÇÃO E ATERRAMENTO, POTÊNCIA REATIVA DE 5,0 KVAR, VN=220VAC, F=60HZ</t>
  </si>
  <si>
    <t>COTAÇÃO</t>
  </si>
  <si>
    <t>09.645.744/0001-38</t>
  </si>
  <si>
    <t>KONECITY INDÚSTRIA E COMÉRCIO DE INSTRUMENTOS LTDA</t>
  </si>
  <si>
    <t>34.677.414/0001-71</t>
  </si>
  <si>
    <t>TRIFASICA COMERCIO DE MATERIAL ELETRICO LTDA</t>
  </si>
  <si>
    <t>84.429.695/0001-11</t>
  </si>
  <si>
    <t>WEG SA</t>
  </si>
  <si>
    <t>79.502.563/0001-38</t>
  </si>
  <si>
    <t>SIBRATEC CCA IND. COM. DE MATERIAIS ELÉTRICOS LTDA</t>
  </si>
  <si>
    <t>INDUCAP DO BRASIL CAPACITORES LTDA</t>
  </si>
  <si>
    <t>18.446.430/0001-05</t>
  </si>
  <si>
    <t>07.777.870/0001-10</t>
  </si>
  <si>
    <t>LUKMA COMÉRCIO DE ELETRO ELETRÔNICOS IMPORTAÇÃO E EXPORTAÇÃO LTDA</t>
  </si>
  <si>
    <t>59.750.976/0001-24</t>
  </si>
  <si>
    <t>THS COMPONENTES ELETRICOS LTDA -  EPP</t>
  </si>
  <si>
    <t>JNG (JOINING COMÉRCIO ELETRO-ELETRICOS LTDA)</t>
  </si>
  <si>
    <t>03.317.342/0001-28</t>
  </si>
  <si>
    <t>04.887.278/0001-83</t>
  </si>
  <si>
    <t>FARCEL LTDA</t>
  </si>
  <si>
    <t>DISJUNTOR TERMOMAGNETICO PARA TRILHO DIN (IEC), TRIPOLAR, 10 - 50 A</t>
  </si>
  <si>
    <t>TERMINAL A COMPRESSAO EM COBRE ESTANHADO PARA CABO 6 MM2, 1 FURO E 1 COMPRESSAO, PARA PARAFUSO DE FIXACAO M6</t>
  </si>
  <si>
    <t>ELETROTÉCNICO COM ENCARGOS COMPLEMENTARES</t>
  </si>
  <si>
    <t>JULHO/2025</t>
  </si>
  <si>
    <t>DISJUNTOR CX. MOLD. TRIP. C/ DISPARADOR TÉRMICO AJUSTÁVEL E MAGNÉTICO FIXO - 150A</t>
  </si>
  <si>
    <t>DISJUNTOR CX. MOLD. TRIP. - DISP. TERMOMAG. AJUST. - 630A</t>
  </si>
  <si>
    <t>OUTUBRO/2025</t>
  </si>
  <si>
    <t>CONTATOR PARA MANOBRA DE CAPACITOR PARA CORREÇÃO DO FATOR DE POTÊNCIA, COM RESITORES DE PRÉ CARGA, CONTATO AUXILAR 1NA, IN=30A, VN=220VAC, VCOMANDO=220VAC, F=60HZ</t>
  </si>
  <si>
    <t>PINTURA COM TINTA ACRÍLICA DE ACABAMENTO APLICADA A ROLO OU PINCEL SOBRE SUPERFÍCIES METÁLICAS EXECUTADO EM OBRA (02 DEMÃOS)</t>
  </si>
  <si>
    <t>VIBRADOR DE IMERSÃO, DIÂMETRO DE PONTEIRA 45MM, MOTOR ELÉTRICO TRIFÁSICO POTÊNCIA DE 2 CV - CHP</t>
  </si>
  <si>
    <t>VIBRADOR DE IMERSÃO, DIÂMETRO DE PONTEIRA 45MM, MOTOR ELÉTRICO TRIFÁSICO POTÊNCIA DE 2 CV - CHI</t>
  </si>
  <si>
    <t>PORTA EM AÇO DE ABRIR TIPO VENEZIANA, 87X210CM, FIXAÇÃO COM PARAFUSOS</t>
  </si>
  <si>
    <t>PINTURA LÁTEX ACRÍLICA, APLICAÇÃO MANUAL EM PAREDES, DUAS DEMÃOS (INCLUSIVE PREPARO)</t>
  </si>
  <si>
    <t>CDHU 33.10.020</t>
  </si>
  <si>
    <t>CDHU 33.11.050</t>
  </si>
  <si>
    <t>CABO DE COBRE FLEXIVEL CL 4/5, ISOLACAO PVC/A, ANTICHAMA BWF-B, 1 CONDUTOR, 450/750 V, SECAO NOMINAL 4 MM2</t>
  </si>
  <si>
    <t>PLACA DE MONTAGEM PARA QUADROS EM GERAL, EM CHAPA DE AÇO CARBONO, ESPESSURA 2,25MM, ACABAMENTO PINTURA ELETROSTÁTICA</t>
  </si>
  <si>
    <t>PARAFUSO AUTO-ATARRAXANTE 5,5X38MM COM ARRUELHA E BUCHA TIPO S8</t>
  </si>
  <si>
    <t>PLACA DE ACRILICO TRANSPARENTE ADESIVADA PARA SINALIZACAO DE PORTAS, BORDA POLIDA, E = 6 MM</t>
  </si>
  <si>
    <t>DISPOSITIVO DPS CLASSE II, 1 POLO, TENSAO MAXIMA DE 460 V, CORRENTE MAXIMA DE *45* KA (TIPO AC)</t>
  </si>
  <si>
    <t>DISJUNTOR CX. MOLD. TRIP. C/ DISPARADOR TÉRMICO AJUSTÁVEL E MAGNÉTICO FIXO - 100A</t>
  </si>
  <si>
    <t>DISJUNTOR CX. MOLD. TRIP. - DISP. TERMOMAG. AJUST. - 450A</t>
  </si>
  <si>
    <r>
      <t xml:space="preserve">OBS.2 - Conforme </t>
    </r>
    <r>
      <rPr>
        <b/>
        <sz val="12"/>
        <rFont val="Times New Roman"/>
        <family val="1"/>
      </rPr>
      <t>Lei Complementar nº 178 de 29 de dezembro de 2003 e alterações</t>
    </r>
    <r>
      <rPr>
        <sz val="12"/>
        <rFont val="Times New Roman"/>
        <family val="1"/>
      </rPr>
      <t xml:space="preserve">, que dispõe sobre a instituição do imposto sobre serviços de qualquer natureza – ISSQN no Município de São José do Rio Preto/SP, o ISS para o objeto deste Processo Licitatório </t>
    </r>
    <r>
      <rPr>
        <b/>
        <i/>
        <sz val="12"/>
        <rFont val="Times New Roman"/>
        <family val="1"/>
      </rPr>
      <t>[Sub-item 7.02.00 - Execução, por administração, empreitada ou subempreitada, de obras de construção civil, hidráulica ou elétrica e de outras obras semelhantes, inclusive sondagem, perfuração de poços, escavação, drenagem e irrigação, terraplanagem, pavimentação, concretagem e a instalação e montagem de produtos, peças e equipamentos (exceto o fornecimento de mercadorias produzidas pelo prestador de serviços fora do local da prestação dos serviços, que fica sujeito ao ICMS)]</t>
    </r>
    <r>
      <rPr>
        <sz val="12"/>
        <rFont val="Times New Roman"/>
        <family val="1"/>
      </rPr>
      <t xml:space="preserve"> será de </t>
    </r>
    <r>
      <rPr>
        <b/>
        <sz val="12"/>
        <rFont val="Times New Roman"/>
        <family val="1"/>
      </rPr>
      <t>5% sobre o Valor Total da Obra</t>
    </r>
    <r>
      <rPr>
        <sz val="12"/>
        <rFont val="Times New Roman"/>
        <family val="1"/>
      </rPr>
      <t>, adotada na elaboração do BDI médio, inclusive para o BDI de Fornecimento de Materiais.</t>
    </r>
  </si>
  <si>
    <t>ENTRADA DE ENERGIA - POSTO SIMPLIFICADO DE SERVIÇO (PPS) - 112,5 KVA</t>
  </si>
  <si>
    <t>TE-06 ENTRADA PRIMÁRIA SIMPLIF. POSTE UNICO - CPFL - 112,5 KVA - 15KV- 220/127 V - INFRAESTRUTURA CIVIL</t>
  </si>
  <si>
    <t>TE-06 ENTRADA PRIMÁRIA SIMPLIF. POSTE UNICO - CPFL - 112,5 KVA - 15KV- 220/127 V - INFRAESTRUTURA ELÉTRICA - MÉDIA TENSÃO</t>
  </si>
  <si>
    <t>TE-06 ENTRADA PRIMÁRIA SIMPLIF. POSTE UNICO - CPFL - 112,5 KVA - 15KV- 220/127 V - INFRAESTRUTURA ELÉTRICA - SPDA/ATERRAMENTO</t>
  </si>
  <si>
    <t>TE-06 ENTRADA PRIMÁRIA SIMPLIF. POSTE UNICO - CPFL - 112,5 KVA - 15KV- 220/127 V - INFRAESTRUTURA ELÉTRICA - BAIXA TENSÃO</t>
  </si>
  <si>
    <t>TRANSFORMADOR DE POTÊNCIA TRIFÁSICO DE 225KVA CLASSE 15KV, A ÓLEO</t>
  </si>
  <si>
    <t>TRANSFORMADOR DE POTÊNCIA TRIFÁSICO DE 112,5KVA CLASSE 15KV, A ÓLEO</t>
  </si>
  <si>
    <t>09.01.005</t>
  </si>
  <si>
    <t>ELETRODUTO RÍGIDO ROSCÁVEL, PVC, DN 60 MM (2"), PARA REDE ENTERRADA DE DISTRIBUIÇÃO DE ENERGIA ELÉTRICA</t>
  </si>
  <si>
    <t>ELETRODUTO DE PVC RIGIDO ROSCAVEL DE 2", SEM LUVA</t>
  </si>
  <si>
    <t>CURVA 90 GRAUS PARA ELETRODUTO, PVC, ROSCÁVEL, DN 60 MM (2"), PARA REDE ENTERRADA DE DISTRIBUIÇÃO DE ENERGIA</t>
  </si>
  <si>
    <t>CURVA 90 GRAUS, LONGA, DE PVC RIGIDO ROSCAVEL, DE 2", PARA ELETRODUTO</t>
  </si>
  <si>
    <t>LUVA PARA ELETRODUTO, PVC, ROSCÁVEL, DN 60 MM (2"), PARA REDE ENTERRADA DE DISTRIBUIÇÃO DE ENERGIA ELÉTRICA</t>
  </si>
  <si>
    <t>LUVA EM PVC RIGIDO ROSCAVEL, DE 2", PARA ELETRODUTO</t>
  </si>
  <si>
    <t>38.06.120</t>
  </si>
  <si>
    <t>38.06.100</t>
  </si>
  <si>
    <t>ELETRODUTO RÍGIDO EM AÇO GALVANIZADO A QUENTE DN 40 MM (1 1/2")</t>
  </si>
  <si>
    <t>CABO DE COBRE ISOLADO, 25 MM², ANTI-CHAMA 450/750 V, INSTALADO EM ELETROCALHA OU PERFILADO - FASES</t>
  </si>
  <si>
    <t>CABO DE COBRE ISOLADO, 16 MM², ANTI-CHAMA 450/750 V, INSTALADO EM ELETROCALHA OU PERFILADO - TERRA</t>
  </si>
  <si>
    <t>TERMINAL OU CONECTOR DE PRESSAO PARA CABO 16MM</t>
  </si>
  <si>
    <t>09.82.026</t>
  </si>
  <si>
    <t>TERMINAL METALICO A PRESSAO PARA 1 CABO DE 16 MM2, COM 1 FURO DE FIXACAO</t>
  </si>
  <si>
    <t>09.04.045</t>
  </si>
  <si>
    <t>QUADRO GERAL - BARRAMENTO DE 400A</t>
  </si>
  <si>
    <t>DISJUNTOR TRIPOLAR TERMOMAGNÉTICO 3X300A</t>
  </si>
  <si>
    <t>09.02.047</t>
  </si>
  <si>
    <t>DISJUNTOR TERMOMAGNETICO TRIPOLAR 3 X 350 A/ICC - 25 KA</t>
  </si>
  <si>
    <t>DISJUNTOR TRIPOLAR TIPO DIN, CORRENTE NOMINAL DE 20A</t>
  </si>
  <si>
    <t>TERMINAL A COMPRESSAO EM COBRE ESTANHADO PARA CABO 4 MM2, 1 FURO E 1 COMPRESSAO, PARA PARAFUSO DE FIXACAO M5</t>
  </si>
  <si>
    <t>CABO DE COBRE FLEXÍVEL ISOLADO, 2,5 MM², ANTI-CHAMA 450/750 V, PARA CIRCUITOS TERMINAIS</t>
  </si>
  <si>
    <t>CABO DE COBRE, FLEXIVEL, CLASSE 4 OU 5, ISOLACAO EM PVC/A, ANTICHAMA BWF-B, 1 CONDUTOR, 450/750 V, SECAO NOMINAL 2,5 MM2</t>
  </si>
  <si>
    <t>CONTATOR PARA MANOBRA DE CAPACITOR PARA CORREÇÃO DO FATOR DE POTÊNCIA, COM RESITORES DE PRÉ-CARGA, CONTATO AUXILAR 1NA, IN=16A, VN=220VAC, VCOMANDO=220VAC, F=60HZ</t>
  </si>
  <si>
    <t>MÊS 4</t>
  </si>
  <si>
    <t>MÊS 5</t>
  </si>
  <si>
    <t>MÊS 6</t>
  </si>
  <si>
    <t>MÊS 7</t>
  </si>
  <si>
    <t>MÊS 8</t>
  </si>
  <si>
    <t>MÊS 9</t>
  </si>
  <si>
    <t xml:space="preserve">ELETRODUTO GALVANIZADO POR IMERSÃO A QUENTE - DN = 1 1/2" - NBR5598 </t>
  </si>
  <si>
    <t>2.3</t>
  </si>
  <si>
    <t>2.4</t>
  </si>
  <si>
    <t>2.5</t>
  </si>
  <si>
    <t>2.6</t>
  </si>
  <si>
    <t>2.7</t>
  </si>
  <si>
    <t>2.8</t>
  </si>
  <si>
    <t>EXECUÇÃO DE RADIER, ESPESSURA DE 10 CM, FCK = 30 MPA, COM USO DE FORMAS EM MADEIRA SERRADA</t>
  </si>
  <si>
    <t>TRELICA NERVURADA (ESPACADOR), ALTURA = 120,0 MM, DIAMETRO DOS BANZOS INFERIORES E SUPERIOR = 6,0 MM, DIAMETRO DA DIAGONAL = 4,2 MM</t>
  </si>
  <si>
    <t>TELA DE ACO SOLDADA NERVURADA, CA-60, Q-113, (1,8 KG/M2), DIAMETRO DO FIO = 3,8 MM, LARGURA = 2,45 M, ESPACAMENTO DA MALHA = 10 X 10 CM</t>
  </si>
  <si>
    <t>JANEIRO/2026</t>
  </si>
  <si>
    <t>3.1.1</t>
  </si>
  <si>
    <t>3.1.2</t>
  </si>
  <si>
    <t>3.1.3</t>
  </si>
  <si>
    <t>3.1.5</t>
  </si>
  <si>
    <t>3.1.7</t>
  </si>
  <si>
    <t>3.1.9</t>
  </si>
  <si>
    <t>3.1.10</t>
  </si>
  <si>
    <t>3.1.11</t>
  </si>
  <si>
    <t>3.1.13</t>
  </si>
  <si>
    <t>4.1.1</t>
  </si>
  <si>
    <t>4.2.1</t>
  </si>
  <si>
    <t>4.1.2</t>
  </si>
  <si>
    <t>3.5.1</t>
  </si>
  <si>
    <t>3.5.2</t>
  </si>
  <si>
    <t>3.5.3</t>
  </si>
  <si>
    <t>3.5.4</t>
  </si>
  <si>
    <t>3.5.5</t>
  </si>
  <si>
    <t>3.5.6</t>
  </si>
  <si>
    <t>3.5.7</t>
  </si>
  <si>
    <t>3.2.1</t>
  </si>
  <si>
    <t>3.2.2</t>
  </si>
  <si>
    <t>3.1.4</t>
  </si>
  <si>
    <t>3.1.6</t>
  </si>
  <si>
    <t>3.1.8</t>
  </si>
  <si>
    <t>3.1.12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</si>
  <si>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</si>
  <si>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</si>
  <si>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</si>
  <si>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</si>
  <si>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</si>
  <si>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</si>
  <si>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</si>
  <si>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</si>
  <si>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3.2.11</t>
  </si>
  <si>
    <t>3.2.12</t>
  </si>
  <si>
    <t>3.2.13</t>
  </si>
  <si>
    <t>3.2.14</t>
  </si>
  <si>
    <t>3.2.15</t>
  </si>
  <si>
    <t>3.2.16</t>
  </si>
  <si>
    <t>3.3.1</t>
  </si>
  <si>
    <t>3.3.2</t>
  </si>
  <si>
    <t>3.3.4</t>
  </si>
  <si>
    <t>3.3.5</t>
  </si>
  <si>
    <t>3.3.7</t>
  </si>
  <si>
    <t>3.3.8</t>
  </si>
  <si>
    <t>3.3.9</t>
  </si>
  <si>
    <t>3.3.11</t>
  </si>
  <si>
    <t>3.3.12</t>
  </si>
  <si>
    <t>3.3.13</t>
  </si>
  <si>
    <t>3.3.14</t>
  </si>
  <si>
    <t>3.3.15</t>
  </si>
  <si>
    <t>3.4.1</t>
  </si>
  <si>
    <t>3.4.4</t>
  </si>
  <si>
    <t>3.4.5</t>
  </si>
  <si>
    <t>3.4.7</t>
  </si>
  <si>
    <t>3.3.3</t>
  </si>
  <si>
    <t>3.3.10</t>
  </si>
  <si>
    <t>3.3.16</t>
  </si>
  <si>
    <t>3.4.2</t>
  </si>
  <si>
    <t>3.4.3</t>
  </si>
  <si>
    <t>3.4.6</t>
  </si>
  <si>
    <t>3.4.8</t>
  </si>
  <si>
    <t>C3 - FÉRIAS INDENIZADAS</t>
  </si>
  <si>
    <t>FONTE: SINAPI - VIGÊNCIA A PARTIR DE 01/2026</t>
  </si>
  <si>
    <t>SERVIÇOS PARA DESATIVAÇÃO DA SUBESTAÇÃO EXISTENTE PTB033 E PTB107</t>
  </si>
  <si>
    <t>SERVIÇOS PARA DESATIVAÇÃO DA SUBESTAÇÃO EXISTENTE PTB 003</t>
  </si>
  <si>
    <t>3.2.19</t>
  </si>
  <si>
    <t>3.2.18</t>
  </si>
  <si>
    <t>3.2.17</t>
  </si>
  <si>
    <t>3.3.6</t>
  </si>
  <si>
    <t>3.4.10</t>
  </si>
  <si>
    <t>3.4.9</t>
  </si>
  <si>
    <t>3.4.11</t>
  </si>
  <si>
    <t>FORMA DE PREENCHIMENTO DAS PLANILHAS ELETRÔNICAS</t>
  </si>
  <si>
    <t>1) O presente arquivo eletrônico é composto pelas seguintes planilhas:</t>
  </si>
  <si>
    <r>
      <t xml:space="preserve">  •    PLANILHA DE ORÇAMENTO BASE – LICITANTE </t>
    </r>
    <r>
      <rPr>
        <sz val="10"/>
        <color theme="1"/>
        <rFont val="Arial"/>
        <family val="2"/>
      </rPr>
      <t>– ANEXO 3.A</t>
    </r>
  </si>
  <si>
    <r>
      <t xml:space="preserve">  •    CRONOGRAMA FÍSICO-FINANCEIRO – LICITANTE 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–</t>
    </r>
    <r>
      <rPr>
        <sz val="10"/>
        <color theme="1"/>
        <rFont val="Arial"/>
        <family val="2"/>
      </rPr>
      <t xml:space="preserve"> ANEXO 4.A</t>
    </r>
  </si>
  <si>
    <r>
      <t xml:space="preserve">  •    COMPOSIÇÕES UNITÁRIAS DE SERVIÇOS – LICITANTE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–</t>
    </r>
    <r>
      <rPr>
        <sz val="10"/>
        <color theme="1"/>
        <rFont val="Arial"/>
        <family val="2"/>
      </rPr>
      <t xml:space="preserve"> ANEXO 5.A</t>
    </r>
  </si>
  <si>
    <r>
      <t xml:space="preserve">  •    CUSTOS UNITÁRIOS DE INSUMOS – LICITANTE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–</t>
    </r>
    <r>
      <rPr>
        <sz val="10"/>
        <color theme="1"/>
        <rFont val="Arial"/>
        <family val="2"/>
      </rPr>
      <t xml:space="preserve"> ANEXO 6.A</t>
    </r>
  </si>
  <si>
    <r>
      <t xml:space="preserve">  •    BDI – LICITANTE –</t>
    </r>
    <r>
      <rPr>
        <sz val="10"/>
        <color theme="1"/>
        <rFont val="Arial"/>
        <family val="2"/>
      </rPr>
      <t xml:space="preserve"> ANEXO 7.A</t>
    </r>
  </si>
  <si>
    <r>
      <t xml:space="preserve">  •    ENCARGOS SOCIAIS E TRABALHISTAS – LICITANTE –</t>
    </r>
    <r>
      <rPr>
        <sz val="10"/>
        <color theme="1"/>
        <rFont val="Arial"/>
        <family val="2"/>
      </rPr>
      <t xml:space="preserve"> ANEXO 8.A</t>
    </r>
  </si>
  <si>
    <t>2) A Licitante deverá preencher todos os campos em amarelo com o valor proposto, nas seguintes planilhas, podendo iniciar o preenchimento em qualquer sequência:</t>
  </si>
  <si>
    <r>
      <t xml:space="preserve">  •    PLANILHA DE ORÇAMENTO BASE – LICITANTE –</t>
    </r>
    <r>
      <rPr>
        <sz val="10"/>
        <color theme="1"/>
        <rFont val="Arial"/>
        <family val="2"/>
      </rPr>
      <t xml:space="preserve"> ANEXO 3.A</t>
    </r>
  </si>
  <si>
    <r>
      <t xml:space="preserve">  •    BDI – LICITANTE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–</t>
    </r>
    <r>
      <rPr>
        <sz val="10"/>
        <color theme="1"/>
        <rFont val="Arial"/>
        <family val="2"/>
      </rPr>
      <t xml:space="preserve"> ANEXO 7.A</t>
    </r>
  </si>
  <si>
    <r>
      <t xml:space="preserve">  •    ENCARGOS SOCIAIS E TRABALHISTAS – LICITANTE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–</t>
    </r>
    <r>
      <rPr>
        <sz val="10"/>
        <color theme="1"/>
        <rFont val="Arial"/>
        <family val="2"/>
      </rPr>
      <t xml:space="preserve"> ANEXO 8.A</t>
    </r>
  </si>
  <si>
    <r>
      <t>3) O</t>
    </r>
    <r>
      <rPr>
        <b/>
        <sz val="10"/>
        <color theme="1"/>
        <rFont val="Arial"/>
        <family val="2"/>
      </rPr>
      <t xml:space="preserve"> CRONOGRAMA FÍSICO-FINANCEIRO</t>
    </r>
    <r>
      <rPr>
        <sz val="10"/>
        <color theme="1"/>
        <rFont val="Arial"/>
        <family val="2"/>
      </rPr>
      <t xml:space="preserve"> (ANEXO 4.A) não receberá valores, pois está em conformidade com o Cronograma de Desembolso e Previsão Orçamentária do SeMAE.</t>
    </r>
  </si>
  <si>
    <r>
      <t xml:space="preserve">4) Como sugestão, a Licitante poderá seguir a seguinte sequência: iniciar o preenchimento da Planilha de Orçamento pela definição da Taxa de Benefícios e Despesas Indiretas (BDI) e dos Encargos Sociais e Trabalhistas, a partir das planilhas </t>
    </r>
    <r>
      <rPr>
        <b/>
        <sz val="10"/>
        <color theme="1"/>
        <rFont val="Arial"/>
        <family val="2"/>
      </rPr>
      <t>"BDI – LICITANTE – ANEXO 7.A"</t>
    </r>
    <r>
      <rPr>
        <sz val="10"/>
        <color theme="1"/>
        <rFont val="Arial"/>
        <family val="2"/>
      </rPr>
      <t xml:space="preserve"> e </t>
    </r>
    <r>
      <rPr>
        <b/>
        <sz val="10"/>
        <color theme="1"/>
        <rFont val="Arial"/>
        <family val="2"/>
      </rPr>
      <t>"ENCARGOS SOCIAIS E TRABALHISTAS – LICITANTE – ANEXO 8.A".</t>
    </r>
  </si>
  <si>
    <r>
      <t>5) Em seguida, preencher respectivamente a planilha de "</t>
    </r>
    <r>
      <rPr>
        <b/>
        <sz val="10"/>
        <color theme="1"/>
        <rFont val="Arial"/>
        <family val="2"/>
      </rPr>
      <t>CUSTOS UNITÁRIOS DE INSUMOS – LICITANTE – ANEXO 6.A</t>
    </r>
    <r>
      <rPr>
        <sz val="10"/>
        <color theme="1"/>
        <rFont val="Arial"/>
        <family val="2"/>
      </rPr>
      <t>". A planilha de "</t>
    </r>
    <r>
      <rPr>
        <b/>
        <sz val="10"/>
        <color theme="1"/>
        <rFont val="Arial"/>
        <family val="2"/>
      </rPr>
      <t>COMPOSIÇÕES UNITÁRIAS DE SERVIÇOS – LICITANTE – ANEXO 5.A</t>
    </r>
    <r>
      <rPr>
        <sz val="10"/>
        <color theme="1"/>
        <rFont val="Arial"/>
        <family val="2"/>
      </rPr>
      <t>" mantém os coeficientes utilizados pelo SeMAE na composição dos custos, entretanto os mesmos poderão ser alterados pela Licitante.</t>
    </r>
  </si>
  <si>
    <r>
      <t>6) Por fim, a Licitante deverá complementar o preenchimento da "</t>
    </r>
    <r>
      <rPr>
        <b/>
        <sz val="10"/>
        <color theme="1"/>
        <rFont val="Arial"/>
        <family val="2"/>
      </rPr>
      <t>PLANILHA DE ORÇAMENTO BASE – LICITANTE – ANEXO 3.A</t>
    </r>
    <r>
      <rPr>
        <sz val="10"/>
        <color theme="1"/>
        <rFont val="Arial"/>
        <family val="2"/>
      </rPr>
      <t>" nos campos destinados ao TIMBRE DA LICITANTE e o RESPONSÁVEL TÉCNICO pela Proposta.</t>
    </r>
  </si>
  <si>
    <t>7)  ANEXAR ESTE ARQUIVO ELETRÔNICO NA ENTREGA DA PROPOSTA COMERCIAL COM A FINALIDADE DE FACILITAR A ANÁLISE DA POR PARTE DA EQUIPE DE APOIO.</t>
  </si>
  <si>
    <t>ANEXO 3.A - PLANILHA DE ORÇAMENTO BASE - LICITANTE</t>
  </si>
  <si>
    <t>TIMBRE DO LICITANTE</t>
  </si>
  <si>
    <t>ANEXO 4.A - CRONOGRAMA FÍSICO-FINANCEIRO - LICITANTE</t>
  </si>
  <si>
    <t>ANEXO 5.A - COMPOSIÇÕES UNITÁRIAS DE SERVIÇOS - LICITANTE</t>
  </si>
  <si>
    <t>ANEXO 6.A - CUSTOS UNITÁRIOS DE INSUMOS - LICITANTE</t>
  </si>
  <si>
    <t>ANEXO 7.A - BDI - LICITANTE</t>
  </si>
  <si>
    <t>ANEXO 8.A - ENCARGOS SOCIAIS E TRABALHISTAS - LICITANTE</t>
  </si>
  <si>
    <t>__________________________________</t>
  </si>
  <si>
    <t>ENG.</t>
  </si>
  <si>
    <t>RESPONSÁVEL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</si>
</sst>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 &quot;#,##0.00_);\(&quot;R$ &quot;#,##0.00\)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#,##0.0000"/>
    <numFmt numFmtId="169" formatCode="#,###"/>
    <numFmt numFmtId="170" formatCode="#,##0.00000"/>
    <numFmt numFmtId="171" formatCode="0.000%"/>
    <numFmt numFmtId="172" formatCode="&quot;R$ &quot;#,##0.00"/>
    <numFmt numFmtId="173" formatCode="0#"/>
    <numFmt numFmtId="174" formatCode="[$-416]mmm\-yy;@"/>
    <numFmt numFmtId="175" formatCode="&quot;R$&quot;\ #,##0.00"/>
    <numFmt numFmtId="176" formatCode="0.0000%"/>
    <numFmt numFmtId="177" formatCode="_-&quot;R$&quot;\ * #,##0.0000_-;\-&quot;R$&quot;\ * #,##0.0000_-;_-&quot;R$&quot;\ * &quot;-&quot;????_-;_-@_-"/>
    <numFmt numFmtId="178" formatCode="&quot;R$&quot;#,##0.00"/>
    <numFmt numFmtId="179" formatCode="mm/yyyy"/>
    <numFmt numFmtId="180" formatCode="0.0"/>
    <numFmt numFmtId="181" formatCode="0.00000%"/>
  </numFmts>
  <fonts count="7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u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b/>
      <sz val="14"/>
      <name val="Times New Roman"/>
      <family val="1"/>
    </font>
    <font>
      <b/>
      <sz val="12"/>
      <color indexed="12"/>
      <name val="Times New Roman"/>
      <family val="1"/>
    </font>
    <font>
      <b/>
      <sz val="12"/>
      <color indexed="8"/>
      <name val="Times New Roman"/>
      <family val="1"/>
    </font>
    <font>
      <sz val="10"/>
      <color indexed="9"/>
      <name val="Times New Roman"/>
      <family val="1"/>
    </font>
    <font>
      <sz val="10"/>
      <color indexed="8"/>
      <name val="Times New Roman"/>
      <family val="1"/>
    </font>
    <font>
      <sz val="10"/>
      <color indexed="12"/>
      <name val="Times New Roman"/>
      <family val="1"/>
    </font>
    <font>
      <b/>
      <sz val="10"/>
      <color indexed="8"/>
      <name val="Times New Roman"/>
      <family val="1"/>
    </font>
    <font>
      <b/>
      <sz val="9"/>
      <name val="Times New Roman"/>
      <family val="1"/>
    </font>
    <font>
      <b/>
      <sz val="10"/>
      <color indexed="18"/>
      <name val="Times New Roman"/>
      <family val="1"/>
    </font>
    <font>
      <sz val="10"/>
      <color theme="9" tint="-0.499984740745262"/>
      <name val="Times New Roman"/>
      <family val="1"/>
    </font>
    <font>
      <b/>
      <sz val="10"/>
      <color theme="6" tint="-0.499984740745262"/>
      <name val="Times New Roman"/>
      <family val="1"/>
    </font>
    <font>
      <sz val="11"/>
      <color rgb="FFFF0000"/>
      <name val="Times New Roman"/>
      <family val="1"/>
    </font>
    <font>
      <sz val="10"/>
      <color indexed="8"/>
      <name val="Arial"/>
      <family val="2"/>
    </font>
    <font>
      <sz val="11"/>
      <color theme="1"/>
      <name val="Calibri"/>
      <family val="2"/>
    </font>
    <font>
      <i/>
      <sz val="11"/>
      <name val="Times New Roman"/>
      <family val="1"/>
    </font>
    <font>
      <b/>
      <sz val="10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b/>
      <u/>
      <sz val="11"/>
      <name val="Times New Roman"/>
      <family val="1"/>
    </font>
    <font>
      <i/>
      <sz val="10"/>
      <name val="Arial"/>
      <family val="2"/>
    </font>
    <font>
      <b/>
      <sz val="11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b/>
      <i/>
      <sz val="12"/>
      <name val="Times New Roman"/>
      <family val="1"/>
    </font>
    <font>
      <sz val="11"/>
      <name val="Arial"/>
      <family val="2"/>
    </font>
    <font>
      <b/>
      <u/>
      <sz val="16"/>
      <name val="Times New Roman"/>
      <family val="1"/>
    </font>
    <font>
      <sz val="8"/>
      <name val="Arial"/>
      <family val="2"/>
    </font>
    <font>
      <sz val="11"/>
      <color rgb="FFC00000"/>
      <name val="Times New Roman"/>
      <family val="1"/>
    </font>
    <font>
      <sz val="10"/>
      <color rgb="FFC00000"/>
      <name val="Arial"/>
      <family val="2"/>
    </font>
    <font>
      <b/>
      <sz val="11"/>
      <color rgb="FFFF0000"/>
      <name val="Times New Roman"/>
      <family val="1"/>
    </font>
    <font>
      <b/>
      <sz val="11"/>
      <color rgb="FFC00000"/>
      <name val="Times New Roman"/>
      <family val="1"/>
    </font>
    <font>
      <sz val="8"/>
      <name val="Arial"/>
      <family val="2"/>
    </font>
    <font>
      <sz val="11"/>
      <color theme="1"/>
      <name val="Times New Roman"/>
      <family val="1"/>
    </font>
    <font>
      <b/>
      <sz val="8"/>
      <name val="Times New Roman"/>
      <family val="1"/>
    </font>
    <font>
      <sz val="14"/>
      <name val="Arial"/>
      <family val="2"/>
    </font>
    <font>
      <b/>
      <u/>
      <sz val="12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9"/>
      <color theme="1"/>
      <name val="Times New Roman"/>
      <family val="1"/>
    </font>
    <font>
      <b/>
      <sz val="9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3"/>
        <bgColor indexed="64"/>
      </patternFill>
    </fill>
    <fill>
      <patternFill patternType="solid">
        <fgColor rgb="FFEB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E1"/>
        <bgColor indexed="64"/>
      </patternFill>
    </fill>
  </fills>
  <borders count="1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41">
    <xf numFmtId="174" fontId="0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34" fillId="0" borderId="0"/>
    <xf numFmtId="0" fontId="12" fillId="0" borderId="0"/>
    <xf numFmtId="0" fontId="12" fillId="0" borderId="0"/>
    <xf numFmtId="0" fontId="34" fillId="0" borderId="0"/>
    <xf numFmtId="0" fontId="11" fillId="0" borderId="0"/>
    <xf numFmtId="0" fontId="34" fillId="0" borderId="0"/>
    <xf numFmtId="0" fontId="12" fillId="0" borderId="0"/>
    <xf numFmtId="0" fontId="34" fillId="0" borderId="0"/>
    <xf numFmtId="174" fontId="12" fillId="0" borderId="0"/>
    <xf numFmtId="0" fontId="10" fillId="0" borderId="0"/>
    <xf numFmtId="0" fontId="35" fillId="0" borderId="0"/>
    <xf numFmtId="0" fontId="18" fillId="0" borderId="0"/>
    <xf numFmtId="0" fontId="9" fillId="0" borderId="0"/>
    <xf numFmtId="9" fontId="39" fillId="0" borderId="0" applyFont="0" applyFill="0" applyBorder="0" applyAlignment="0" applyProtection="0"/>
    <xf numFmtId="0" fontId="9" fillId="0" borderId="0"/>
    <xf numFmtId="174" fontId="12" fillId="0" borderId="0"/>
    <xf numFmtId="166" fontId="12" fillId="0" borderId="0"/>
    <xf numFmtId="9" fontId="12" fillId="0" borderId="0" applyFont="0" applyFill="0" applyBorder="0" applyAlignment="0" applyProtection="0"/>
    <xf numFmtId="0" fontId="8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174" fontId="12" fillId="0" borderId="0"/>
    <xf numFmtId="0" fontId="1" fillId="0" borderId="0"/>
  </cellStyleXfs>
  <cellXfs count="939">
    <xf numFmtId="174" fontId="0" fillId="0" borderId="0" xfId="0"/>
    <xf numFmtId="174" fontId="20" fillId="0" borderId="0" xfId="0" applyFont="1" applyAlignment="1">
      <alignment vertical="center"/>
    </xf>
    <xf numFmtId="174" fontId="18" fillId="0" borderId="0" xfId="0" applyFont="1" applyAlignment="1">
      <alignment vertical="center"/>
    </xf>
    <xf numFmtId="169" fontId="14" fillId="0" borderId="0" xfId="0" applyNumberFormat="1" applyFont="1" applyAlignment="1">
      <alignment horizontal="justify" vertical="center" wrapText="1"/>
    </xf>
    <xf numFmtId="4" fontId="13" fillId="2" borderId="0" xfId="0" applyNumberFormat="1" applyFont="1" applyFill="1" applyAlignment="1">
      <alignment vertical="center" wrapText="1"/>
    </xf>
    <xf numFmtId="14" fontId="18" fillId="2" borderId="0" xfId="0" applyNumberFormat="1" applyFont="1" applyFill="1" applyAlignment="1">
      <alignment horizontal="center" vertical="center"/>
    </xf>
    <xf numFmtId="4" fontId="18" fillId="2" borderId="0" xfId="0" applyNumberFormat="1" applyFont="1" applyFill="1" applyAlignment="1">
      <alignment horizontal="center" vertical="center"/>
    </xf>
    <xf numFmtId="9" fontId="23" fillId="0" borderId="0" xfId="4" applyFont="1" applyBorder="1" applyAlignment="1" applyProtection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174" fontId="22" fillId="0" borderId="0" xfId="0" quotePrefix="1" applyFont="1" applyAlignment="1">
      <alignment horizontal="left" vertical="center"/>
    </xf>
    <xf numFmtId="168" fontId="18" fillId="0" borderId="0" xfId="0" applyNumberFormat="1" applyFont="1" applyAlignment="1">
      <alignment vertical="center"/>
    </xf>
    <xf numFmtId="166" fontId="18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 wrapText="1"/>
    </xf>
    <xf numFmtId="174" fontId="13" fillId="3" borderId="5" xfId="0" applyFont="1" applyFill="1" applyBorder="1" applyAlignment="1">
      <alignment horizontal="left" vertical="center" wrapText="1"/>
    </xf>
    <xf numFmtId="166" fontId="24" fillId="3" borderId="5" xfId="0" applyNumberFormat="1" applyFont="1" applyFill="1" applyBorder="1" applyAlignment="1">
      <alignment horizontal="center" vertical="center" wrapText="1"/>
    </xf>
    <xf numFmtId="4" fontId="24" fillId="3" borderId="6" xfId="1" applyNumberFormat="1" applyFont="1" applyFill="1" applyBorder="1" applyAlignment="1" applyProtection="1">
      <alignment vertical="center"/>
    </xf>
    <xf numFmtId="3" fontId="15" fillId="0" borderId="1" xfId="0" applyNumberFormat="1" applyFont="1" applyBorder="1" applyAlignment="1">
      <alignment horizontal="center" vertical="center" wrapText="1"/>
    </xf>
    <xf numFmtId="174" fontId="15" fillId="0" borderId="0" xfId="0" applyFont="1" applyAlignment="1">
      <alignment horizontal="left" vertical="center" wrapText="1"/>
    </xf>
    <xf numFmtId="166" fontId="15" fillId="0" borderId="0" xfId="0" applyNumberFormat="1" applyFont="1" applyAlignment="1">
      <alignment horizontal="center" vertical="center" wrapText="1"/>
    </xf>
    <xf numFmtId="4" fontId="15" fillId="0" borderId="7" xfId="0" applyNumberFormat="1" applyFont="1" applyBorder="1" applyAlignment="1">
      <alignment horizontal="center" vertical="center"/>
    </xf>
    <xf numFmtId="4" fontId="18" fillId="3" borderId="0" xfId="0" applyNumberFormat="1" applyFont="1" applyFill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 wrapText="1"/>
    </xf>
    <xf numFmtId="174" fontId="18" fillId="0" borderId="0" xfId="0" applyFont="1" applyAlignment="1">
      <alignment horizontal="left" vertical="center" wrapText="1"/>
    </xf>
    <xf numFmtId="4" fontId="18" fillId="0" borderId="7" xfId="0" applyNumberFormat="1" applyFont="1" applyBorder="1" applyAlignment="1">
      <alignment horizontal="right" vertical="center"/>
    </xf>
    <xf numFmtId="4" fontId="26" fillId="0" borderId="0" xfId="0" quotePrefix="1" applyNumberFormat="1" applyFont="1" applyAlignment="1">
      <alignment horizontal="center" vertical="center"/>
    </xf>
    <xf numFmtId="9" fontId="27" fillId="0" borderId="0" xfId="0" quotePrefix="1" applyNumberFormat="1" applyFont="1" applyAlignment="1">
      <alignment horizontal="right" vertical="center" wrapText="1"/>
    </xf>
    <xf numFmtId="10" fontId="27" fillId="0" borderId="0" xfId="4" applyNumberFormat="1" applyFont="1" applyFill="1" applyBorder="1" applyAlignment="1" applyProtection="1">
      <alignment vertical="center"/>
    </xf>
    <xf numFmtId="4" fontId="27" fillId="0" borderId="7" xfId="0" applyNumberFormat="1" applyFont="1" applyBorder="1" applyAlignment="1">
      <alignment vertical="center"/>
    </xf>
    <xf numFmtId="174" fontId="18" fillId="0" borderId="0" xfId="0" applyFont="1" applyAlignment="1">
      <alignment horizontal="center" vertical="center" wrapText="1"/>
    </xf>
    <xf numFmtId="3" fontId="18" fillId="3" borderId="1" xfId="0" applyNumberFormat="1" applyFont="1" applyFill="1" applyBorder="1" applyAlignment="1">
      <alignment horizontal="center" vertical="center" wrapText="1"/>
    </xf>
    <xf numFmtId="9" fontId="27" fillId="3" borderId="0" xfId="0" applyNumberFormat="1" applyFont="1" applyFill="1" applyAlignment="1">
      <alignment horizontal="right" vertical="center" wrapText="1"/>
    </xf>
    <xf numFmtId="174" fontId="18" fillId="3" borderId="0" xfId="0" applyFont="1" applyFill="1" applyAlignment="1">
      <alignment vertical="center"/>
    </xf>
    <xf numFmtId="4" fontId="28" fillId="3" borderId="0" xfId="0" quotePrefix="1" applyNumberFormat="1" applyFont="1" applyFill="1" applyAlignment="1">
      <alignment horizontal="right" vertical="center"/>
    </xf>
    <xf numFmtId="166" fontId="28" fillId="3" borderId="0" xfId="0" applyNumberFormat="1" applyFont="1" applyFill="1" applyAlignment="1">
      <alignment horizontal="center" vertical="center" wrapText="1"/>
    </xf>
    <xf numFmtId="4" fontId="27" fillId="3" borderId="7" xfId="0" applyNumberFormat="1" applyFont="1" applyFill="1" applyBorder="1" applyAlignment="1">
      <alignment vertical="center"/>
    </xf>
    <xf numFmtId="168" fontId="18" fillId="3" borderId="0" xfId="0" applyNumberFormat="1" applyFont="1" applyFill="1" applyAlignment="1">
      <alignment vertical="center"/>
    </xf>
    <xf numFmtId="174" fontId="18" fillId="3" borderId="0" xfId="0" applyFont="1" applyFill="1" applyAlignment="1">
      <alignment horizontal="center" vertical="center" wrapText="1"/>
    </xf>
    <xf numFmtId="166" fontId="18" fillId="3" borderId="0" xfId="0" applyNumberFormat="1" applyFont="1" applyFill="1" applyAlignment="1">
      <alignment horizontal="center" vertical="center" wrapText="1"/>
    </xf>
    <xf numFmtId="174" fontId="18" fillId="0" borderId="0" xfId="0" applyFont="1" applyAlignment="1">
      <alignment vertical="center" wrapText="1"/>
    </xf>
    <xf numFmtId="10" fontId="27" fillId="0" borderId="0" xfId="0" quotePrefix="1" applyNumberFormat="1" applyFont="1" applyAlignment="1">
      <alignment horizontal="right" vertical="center"/>
    </xf>
    <xf numFmtId="3" fontId="18" fillId="3" borderId="2" xfId="0" applyNumberFormat="1" applyFont="1" applyFill="1" applyBorder="1" applyAlignment="1">
      <alignment horizontal="center" vertical="center" wrapText="1"/>
    </xf>
    <xf numFmtId="9" fontId="27" fillId="3" borderId="3" xfId="0" applyNumberFormat="1" applyFont="1" applyFill="1" applyBorder="1" applyAlignment="1">
      <alignment horizontal="right" vertical="center" wrapText="1"/>
    </xf>
    <xf numFmtId="9" fontId="27" fillId="3" borderId="3" xfId="4" applyFont="1" applyFill="1" applyBorder="1" applyAlignment="1" applyProtection="1">
      <alignment vertical="center"/>
    </xf>
    <xf numFmtId="174" fontId="18" fillId="3" borderId="3" xfId="0" applyFont="1" applyFill="1" applyBorder="1" applyAlignment="1">
      <alignment horizontal="center" vertical="center"/>
    </xf>
    <xf numFmtId="166" fontId="18" fillId="3" borderId="3" xfId="0" applyNumberFormat="1" applyFont="1" applyFill="1" applyBorder="1" applyAlignment="1">
      <alignment horizontal="center" vertical="center" wrapText="1"/>
    </xf>
    <xf numFmtId="4" fontId="27" fillId="3" borderId="8" xfId="0" applyNumberFormat="1" applyFont="1" applyFill="1" applyBorder="1" applyAlignment="1">
      <alignment vertical="center"/>
    </xf>
    <xf numFmtId="4" fontId="25" fillId="0" borderId="0" xfId="0" applyNumberFormat="1" applyFont="1" applyAlignment="1">
      <alignment horizontal="center" vertical="center"/>
    </xf>
    <xf numFmtId="4" fontId="18" fillId="0" borderId="0" xfId="0" applyNumberFormat="1" applyFont="1" applyAlignment="1">
      <alignment vertical="center"/>
    </xf>
    <xf numFmtId="3" fontId="18" fillId="0" borderId="0" xfId="0" applyNumberFormat="1" applyFont="1" applyAlignment="1">
      <alignment horizontal="center" vertical="center"/>
    </xf>
    <xf numFmtId="174" fontId="21" fillId="0" borderId="0" xfId="0" applyFont="1" applyAlignment="1">
      <alignment horizontal="center" vertical="center"/>
    </xf>
    <xf numFmtId="174" fontId="30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4" fontId="32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horizontal="left" vertical="center" wrapText="1"/>
    </xf>
    <xf numFmtId="174" fontId="15" fillId="0" borderId="0" xfId="0" applyFont="1" applyAlignment="1">
      <alignment horizontal="center" vertical="center"/>
    </xf>
    <xf numFmtId="174" fontId="18" fillId="0" borderId="0" xfId="0" applyFont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172" fontId="30" fillId="0" borderId="0" xfId="0" applyNumberFormat="1" applyFont="1" applyAlignment="1">
      <alignment horizontal="center" vertical="center"/>
    </xf>
    <xf numFmtId="2" fontId="31" fillId="0" borderId="0" xfId="0" applyNumberFormat="1" applyFont="1" applyAlignment="1">
      <alignment horizontal="center" vertical="center"/>
    </xf>
    <xf numFmtId="4" fontId="31" fillId="0" borderId="0" xfId="0" applyNumberFormat="1" applyFont="1" applyAlignment="1">
      <alignment horizontal="center" vertical="center"/>
    </xf>
    <xf numFmtId="0" fontId="20" fillId="0" borderId="0" xfId="0" applyNumberFormat="1" applyFont="1" applyAlignment="1">
      <alignment vertical="center"/>
    </xf>
    <xf numFmtId="4" fontId="18" fillId="3" borderId="0" xfId="0" applyNumberFormat="1" applyFont="1" applyFill="1" applyAlignment="1">
      <alignment vertical="center"/>
    </xf>
    <xf numFmtId="174" fontId="20" fillId="0" borderId="0" xfId="0" applyFont="1" applyAlignment="1">
      <alignment horizontal="center" vertical="center"/>
    </xf>
    <xf numFmtId="2" fontId="18" fillId="0" borderId="0" xfId="0" applyNumberFormat="1" applyFont="1" applyAlignment="1">
      <alignment vertical="center"/>
    </xf>
    <xf numFmtId="4" fontId="20" fillId="0" borderId="0" xfId="0" applyNumberFormat="1" applyFont="1" applyAlignment="1">
      <alignment horizontal="center" vertical="center"/>
    </xf>
    <xf numFmtId="172" fontId="20" fillId="0" borderId="0" xfId="0" applyNumberFormat="1" applyFont="1" applyAlignment="1">
      <alignment vertical="center"/>
    </xf>
    <xf numFmtId="174" fontId="20" fillId="0" borderId="0" xfId="0" applyFont="1" applyAlignment="1">
      <alignment horizontal="justify" vertical="center"/>
    </xf>
    <xf numFmtId="4" fontId="20" fillId="0" borderId="0" xfId="0" applyNumberFormat="1" applyFont="1" applyAlignment="1">
      <alignment vertical="center"/>
    </xf>
    <xf numFmtId="174" fontId="16" fillId="0" borderId="0" xfId="0" applyFont="1" applyAlignment="1">
      <alignment horizontal="center" vertical="center"/>
    </xf>
    <xf numFmtId="174" fontId="19" fillId="0" borderId="0" xfId="0" applyFont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4" fontId="38" fillId="9" borderId="20" xfId="20" applyNumberFormat="1" applyFont="1" applyFill="1" applyBorder="1" applyAlignment="1">
      <alignment vertical="center"/>
    </xf>
    <xf numFmtId="10" fontId="18" fillId="0" borderId="0" xfId="22" applyNumberFormat="1" applyFont="1" applyAlignment="1">
      <alignment vertical="center"/>
    </xf>
    <xf numFmtId="4" fontId="33" fillId="5" borderId="0" xfId="5" applyNumberFormat="1" applyFont="1" applyFill="1" applyBorder="1" applyAlignment="1" applyProtection="1">
      <alignment horizontal="center" vertical="center"/>
    </xf>
    <xf numFmtId="167" fontId="20" fillId="0" borderId="0" xfId="5" applyNumberFormat="1" applyFont="1" applyFill="1" applyBorder="1" applyAlignment="1" applyProtection="1">
      <alignment horizontal="center" vertical="center"/>
    </xf>
    <xf numFmtId="4" fontId="20" fillId="0" borderId="0" xfId="5" applyNumberFormat="1" applyFont="1" applyFill="1" applyBorder="1" applyAlignment="1" applyProtection="1">
      <alignment horizontal="center" vertical="center"/>
    </xf>
    <xf numFmtId="40" fontId="20" fillId="0" borderId="0" xfId="5" applyNumberFormat="1" applyFont="1" applyFill="1" applyBorder="1" applyAlignment="1" applyProtection="1">
      <alignment horizontal="center" vertical="center"/>
    </xf>
    <xf numFmtId="4" fontId="20" fillId="5" borderId="0" xfId="5" applyNumberFormat="1" applyFont="1" applyFill="1" applyBorder="1" applyAlignment="1" applyProtection="1">
      <alignment horizontal="center" vertical="center"/>
    </xf>
    <xf numFmtId="40" fontId="20" fillId="5" borderId="0" xfId="5" applyNumberFormat="1" applyFont="1" applyFill="1" applyBorder="1" applyAlignment="1" applyProtection="1">
      <alignment horizontal="center" vertical="center"/>
    </xf>
    <xf numFmtId="0" fontId="18" fillId="0" borderId="0" xfId="10" applyFont="1" applyAlignment="1">
      <alignment vertical="center"/>
    </xf>
    <xf numFmtId="0" fontId="18" fillId="0" borderId="0" xfId="10" applyFont="1" applyAlignment="1">
      <alignment horizontal="justify" vertical="center"/>
    </xf>
    <xf numFmtId="0" fontId="18" fillId="0" borderId="1" xfId="10" applyFont="1" applyBorder="1" applyAlignment="1">
      <alignment vertical="center" wrapText="1"/>
    </xf>
    <xf numFmtId="0" fontId="15" fillId="0" borderId="2" xfId="10" applyFont="1" applyBorder="1" applyAlignment="1">
      <alignment vertical="center" wrapText="1"/>
    </xf>
    <xf numFmtId="0" fontId="18" fillId="0" borderId="37" xfId="10" applyFont="1" applyBorder="1" applyAlignment="1">
      <alignment vertical="center" wrapText="1"/>
    </xf>
    <xf numFmtId="0" fontId="18" fillId="0" borderId="35" xfId="10" applyFont="1" applyBorder="1" applyAlignment="1">
      <alignment vertical="center" wrapText="1"/>
    </xf>
    <xf numFmtId="0" fontId="15" fillId="0" borderId="36" xfId="10" applyFont="1" applyBorder="1" applyAlignment="1">
      <alignment vertical="center" wrapText="1"/>
    </xf>
    <xf numFmtId="0" fontId="18" fillId="0" borderId="35" xfId="10" applyFont="1" applyBorder="1" applyAlignment="1">
      <alignment horizontal="justify" vertical="center" wrapText="1"/>
    </xf>
    <xf numFmtId="0" fontId="15" fillId="0" borderId="0" xfId="10" applyFont="1" applyAlignment="1">
      <alignment vertical="center"/>
    </xf>
    <xf numFmtId="10" fontId="18" fillId="0" borderId="0" xfId="26" applyNumberFormat="1" applyFont="1" applyAlignment="1" applyProtection="1">
      <alignment vertical="center"/>
    </xf>
    <xf numFmtId="0" fontId="18" fillId="0" borderId="0" xfId="10" quotePrefix="1" applyFont="1" applyAlignment="1">
      <alignment vertical="center"/>
    </xf>
    <xf numFmtId="0" fontId="18" fillId="0" borderId="0" xfId="10" applyFont="1" applyAlignment="1">
      <alignment horizontal="center" vertical="center"/>
    </xf>
    <xf numFmtId="0" fontId="0" fillId="0" borderId="0" xfId="10" applyFont="1" applyAlignment="1">
      <alignment vertical="center"/>
    </xf>
    <xf numFmtId="9" fontId="18" fillId="0" borderId="0" xfId="26" applyFont="1" applyAlignment="1" applyProtection="1">
      <alignment vertical="center"/>
    </xf>
    <xf numFmtId="10" fontId="18" fillId="0" borderId="0" xfId="26" applyNumberFormat="1" applyFont="1" applyAlignment="1" applyProtection="1">
      <alignment horizontal="center" vertical="center"/>
    </xf>
    <xf numFmtId="10" fontId="18" fillId="0" borderId="0" xfId="10" applyNumberFormat="1" applyFont="1" applyAlignment="1">
      <alignment horizontal="center" vertical="center"/>
    </xf>
    <xf numFmtId="170" fontId="18" fillId="12" borderId="0" xfId="0" applyNumberFormat="1" applyFont="1" applyFill="1" applyAlignment="1" applyProtection="1">
      <alignment horizontal="center" vertical="center"/>
      <protection locked="0"/>
    </xf>
    <xf numFmtId="166" fontId="18" fillId="13" borderId="0" xfId="0" applyNumberFormat="1" applyFont="1" applyFill="1" applyAlignment="1">
      <alignment horizontal="center" vertical="center" wrapText="1"/>
    </xf>
    <xf numFmtId="166" fontId="26" fillId="13" borderId="0" xfId="0" applyNumberFormat="1" applyFont="1" applyFill="1" applyAlignment="1">
      <alignment horizontal="center" vertical="center" wrapText="1"/>
    </xf>
    <xf numFmtId="174" fontId="14" fillId="0" borderId="0" xfId="0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166" fontId="18" fillId="6" borderId="0" xfId="25" applyFont="1" applyFill="1" applyAlignment="1">
      <alignment horizontal="center" vertical="center" wrapText="1"/>
    </xf>
    <xf numFmtId="0" fontId="18" fillId="0" borderId="19" xfId="10" applyFont="1" applyBorder="1" applyAlignment="1">
      <alignment vertical="center" wrapText="1"/>
    </xf>
    <xf numFmtId="10" fontId="20" fillId="0" borderId="0" xfId="4" applyNumberFormat="1" applyFont="1" applyAlignment="1" applyProtection="1">
      <alignment horizontal="center" vertical="center"/>
    </xf>
    <xf numFmtId="4" fontId="40" fillId="0" borderId="0" xfId="0" applyNumberFormat="1" applyFont="1" applyAlignment="1">
      <alignment vertical="center"/>
    </xf>
    <xf numFmtId="4" fontId="14" fillId="0" borderId="0" xfId="0" applyNumberFormat="1" applyFont="1" applyAlignment="1">
      <alignment horizontal="right" vertical="center"/>
    </xf>
    <xf numFmtId="4" fontId="14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horizontal="left" vertical="center"/>
    </xf>
    <xf numFmtId="174" fontId="14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174" fontId="20" fillId="0" borderId="0" xfId="0" applyFont="1" applyAlignment="1">
      <alignment horizontal="left" vertical="center"/>
    </xf>
    <xf numFmtId="172" fontId="20" fillId="0" borderId="0" xfId="0" applyNumberFormat="1" applyFont="1" applyAlignment="1">
      <alignment horizontal="left" vertical="center"/>
    </xf>
    <xf numFmtId="174" fontId="14" fillId="6" borderId="21" xfId="3" applyNumberFormat="1" applyFont="1" applyFill="1" applyBorder="1" applyAlignment="1" applyProtection="1">
      <alignment horizontal="center" vertical="center"/>
    </xf>
    <xf numFmtId="4" fontId="18" fillId="0" borderId="0" xfId="0" applyNumberFormat="1" applyFont="1" applyAlignment="1">
      <alignment horizontal="left" vertical="center"/>
    </xf>
    <xf numFmtId="4" fontId="24" fillId="3" borderId="0" xfId="1" applyNumberFormat="1" applyFont="1" applyFill="1" applyAlignment="1">
      <alignment horizontal="center" vertical="center"/>
    </xf>
    <xf numFmtId="3" fontId="14" fillId="4" borderId="65" xfId="0" applyNumberFormat="1" applyFont="1" applyFill="1" applyBorder="1" applyAlignment="1">
      <alignment horizontal="center" vertical="center"/>
    </xf>
    <xf numFmtId="174" fontId="14" fillId="4" borderId="9" xfId="0" applyFont="1" applyFill="1" applyBorder="1" applyAlignment="1">
      <alignment horizontal="center" vertical="center"/>
    </xf>
    <xf numFmtId="166" fontId="14" fillId="4" borderId="9" xfId="3" applyFont="1" applyFill="1" applyBorder="1" applyAlignment="1" applyProtection="1">
      <alignment horizontal="center" vertical="center"/>
    </xf>
    <xf numFmtId="9" fontId="41" fillId="0" borderId="0" xfId="4" applyFont="1" applyProtection="1"/>
    <xf numFmtId="10" fontId="15" fillId="0" borderId="75" xfId="4" applyNumberFormat="1" applyFont="1" applyBorder="1" applyAlignment="1" applyProtection="1">
      <alignment horizontal="center" vertical="center"/>
    </xf>
    <xf numFmtId="10" fontId="15" fillId="0" borderId="76" xfId="4" applyNumberFormat="1" applyFont="1" applyBorder="1" applyAlignment="1" applyProtection="1">
      <alignment horizontal="center" vertical="center"/>
    </xf>
    <xf numFmtId="10" fontId="20" fillId="0" borderId="0" xfId="4" applyNumberFormat="1" applyFont="1" applyFill="1" applyAlignment="1" applyProtection="1">
      <alignment vertical="center"/>
    </xf>
    <xf numFmtId="176" fontId="20" fillId="0" borderId="0" xfId="4" applyNumberFormat="1" applyFont="1" applyFill="1" applyAlignment="1" applyProtection="1">
      <alignment vertical="center"/>
    </xf>
    <xf numFmtId="177" fontId="20" fillId="0" borderId="0" xfId="0" applyNumberFormat="1" applyFont="1" applyAlignment="1">
      <alignment horizontal="left" vertical="center"/>
    </xf>
    <xf numFmtId="10" fontId="20" fillId="0" borderId="0" xfId="4" applyNumberFormat="1" applyFont="1" applyFill="1" applyBorder="1" applyAlignment="1" applyProtection="1">
      <alignment horizontal="center" vertical="center"/>
    </xf>
    <xf numFmtId="165" fontId="20" fillId="0" borderId="0" xfId="2" applyNumberFormat="1" applyFont="1" applyFill="1" applyBorder="1" applyAlignment="1" applyProtection="1">
      <alignment horizontal="center" vertical="center"/>
    </xf>
    <xf numFmtId="44" fontId="20" fillId="0" borderId="0" xfId="2" applyNumberFormat="1" applyFont="1" applyFill="1" applyBorder="1" applyAlignment="1" applyProtection="1">
      <alignment horizontal="center" vertical="center"/>
    </xf>
    <xf numFmtId="43" fontId="20" fillId="0" borderId="10" xfId="2" applyNumberFormat="1" applyFont="1" applyFill="1" applyBorder="1" applyAlignment="1" applyProtection="1">
      <alignment horizontal="center" vertical="center"/>
    </xf>
    <xf numFmtId="43" fontId="20" fillId="0" borderId="45" xfId="4" applyNumberFormat="1" applyFont="1" applyFill="1" applyBorder="1" applyAlignment="1" applyProtection="1">
      <alignment horizontal="center" vertical="center"/>
    </xf>
    <xf numFmtId="3" fontId="20" fillId="0" borderId="0" xfId="0" applyNumberFormat="1" applyFont="1" applyAlignment="1">
      <alignment vertical="center"/>
    </xf>
    <xf numFmtId="170" fontId="18" fillId="12" borderId="0" xfId="0" applyNumberFormat="1" applyFont="1" applyFill="1" applyAlignment="1" applyProtection="1">
      <alignment horizontal="center" vertical="center" wrapText="1"/>
      <protection locked="0"/>
    </xf>
    <xf numFmtId="4" fontId="18" fillId="0" borderId="0" xfId="24" applyNumberFormat="1" applyFont="1" applyAlignment="1">
      <alignment vertical="center"/>
    </xf>
    <xf numFmtId="174" fontId="18" fillId="0" borderId="0" xfId="24" applyFont="1" applyAlignment="1">
      <alignment horizontal="center" vertical="center" wrapText="1"/>
    </xf>
    <xf numFmtId="174" fontId="18" fillId="0" borderId="0" xfId="24" applyFont="1" applyAlignment="1">
      <alignment vertical="center"/>
    </xf>
    <xf numFmtId="174" fontId="18" fillId="0" borderId="0" xfId="24" applyFont="1" applyAlignment="1">
      <alignment horizontal="left" vertical="center" wrapText="1"/>
    </xf>
    <xf numFmtId="4" fontId="18" fillId="0" borderId="0" xfId="24" applyNumberFormat="1" applyFont="1" applyAlignment="1">
      <alignment horizontal="center" vertical="center"/>
    </xf>
    <xf numFmtId="174" fontId="15" fillId="0" borderId="0" xfId="24" applyFont="1" applyAlignment="1">
      <alignment horizontal="center" vertical="center"/>
    </xf>
    <xf numFmtId="174" fontId="18" fillId="0" borderId="0" xfId="24" applyFont="1" applyAlignment="1">
      <alignment horizontal="center" vertical="center"/>
    </xf>
    <xf numFmtId="4" fontId="15" fillId="0" borderId="0" xfId="24" applyNumberFormat="1" applyFont="1" applyAlignment="1">
      <alignment horizontal="center" vertical="center"/>
    </xf>
    <xf numFmtId="174" fontId="21" fillId="0" borderId="0" xfId="24" applyFont="1" applyAlignment="1">
      <alignment horizontal="center" vertical="center"/>
    </xf>
    <xf numFmtId="174" fontId="30" fillId="0" borderId="0" xfId="24" applyFont="1" applyAlignment="1">
      <alignment horizontal="center" vertical="center"/>
    </xf>
    <xf numFmtId="174" fontId="22" fillId="0" borderId="0" xfId="24" quotePrefix="1" applyFont="1" applyAlignment="1">
      <alignment horizontal="left" vertical="center"/>
    </xf>
    <xf numFmtId="168" fontId="18" fillId="0" borderId="0" xfId="24" applyNumberFormat="1" applyFont="1" applyAlignment="1">
      <alignment vertical="center"/>
    </xf>
    <xf numFmtId="166" fontId="18" fillId="0" borderId="0" xfId="24" applyNumberFormat="1" applyFont="1" applyAlignment="1">
      <alignment horizontal="center" vertical="center" wrapText="1"/>
    </xf>
    <xf numFmtId="4" fontId="15" fillId="0" borderId="7" xfId="24" applyNumberFormat="1" applyFont="1" applyBorder="1" applyAlignment="1">
      <alignment horizontal="center" vertical="center"/>
    </xf>
    <xf numFmtId="2" fontId="18" fillId="0" borderId="0" xfId="24" applyNumberFormat="1" applyFont="1" applyAlignment="1">
      <alignment vertical="center"/>
    </xf>
    <xf numFmtId="3" fontId="13" fillId="0" borderId="0" xfId="24" applyNumberFormat="1" applyFont="1" applyAlignment="1">
      <alignment horizontal="center" vertical="center"/>
    </xf>
    <xf numFmtId="3" fontId="13" fillId="3" borderId="4" xfId="24" applyNumberFormat="1" applyFont="1" applyFill="1" applyBorder="1" applyAlignment="1">
      <alignment horizontal="center" vertical="center" wrapText="1"/>
    </xf>
    <xf numFmtId="3" fontId="15" fillId="0" borderId="1" xfId="24" applyNumberFormat="1" applyFont="1" applyBorder="1" applyAlignment="1">
      <alignment horizontal="center" vertical="center" wrapText="1"/>
    </xf>
    <xf numFmtId="174" fontId="15" fillId="0" borderId="0" xfId="24" applyFont="1" applyAlignment="1">
      <alignment horizontal="left" vertical="center" wrapText="1"/>
    </xf>
    <xf numFmtId="166" fontId="15" fillId="0" borderId="0" xfId="24" applyNumberFormat="1" applyFont="1" applyAlignment="1">
      <alignment horizontal="center" vertical="center" wrapText="1"/>
    </xf>
    <xf numFmtId="3" fontId="18" fillId="0" borderId="1" xfId="24" applyNumberFormat="1" applyFont="1" applyBorder="1" applyAlignment="1">
      <alignment horizontal="center" vertical="center" wrapText="1"/>
    </xf>
    <xf numFmtId="170" fontId="18" fillId="12" borderId="0" xfId="24" applyNumberFormat="1" applyFont="1" applyFill="1" applyAlignment="1" applyProtection="1">
      <alignment horizontal="center" vertical="center"/>
      <protection locked="0"/>
    </xf>
    <xf numFmtId="4" fontId="26" fillId="0" borderId="0" xfId="24" applyNumberFormat="1" applyFont="1" applyAlignment="1">
      <alignment horizontal="center" vertical="center"/>
    </xf>
    <xf numFmtId="166" fontId="26" fillId="13" borderId="0" xfId="24" applyNumberFormat="1" applyFont="1" applyFill="1" applyAlignment="1">
      <alignment horizontal="center" vertical="center" wrapText="1"/>
    </xf>
    <xf numFmtId="4" fontId="18" fillId="0" borderId="7" xfId="24" applyNumberFormat="1" applyFont="1" applyBorder="1" applyAlignment="1">
      <alignment horizontal="right" vertical="center"/>
    </xf>
    <xf numFmtId="166" fontId="18" fillId="13" borderId="0" xfId="24" applyNumberFormat="1" applyFont="1" applyFill="1" applyAlignment="1">
      <alignment horizontal="center" vertical="center" wrapText="1"/>
    </xf>
    <xf numFmtId="4" fontId="26" fillId="0" borderId="0" xfId="24" quotePrefix="1" applyNumberFormat="1" applyFont="1" applyAlignment="1">
      <alignment horizontal="center" vertical="center"/>
    </xf>
    <xf numFmtId="4" fontId="27" fillId="0" borderId="7" xfId="24" applyNumberFormat="1" applyFont="1" applyBorder="1" applyAlignment="1">
      <alignment vertical="center"/>
    </xf>
    <xf numFmtId="3" fontId="18" fillId="3" borderId="1" xfId="24" applyNumberFormat="1" applyFont="1" applyFill="1" applyBorder="1" applyAlignment="1">
      <alignment horizontal="center" vertical="center" wrapText="1"/>
    </xf>
    <xf numFmtId="9" fontId="27" fillId="3" borderId="0" xfId="24" applyNumberFormat="1" applyFont="1" applyFill="1" applyAlignment="1">
      <alignment horizontal="right" vertical="center" wrapText="1"/>
    </xf>
    <xf numFmtId="174" fontId="18" fillId="3" borderId="0" xfId="24" applyFont="1" applyFill="1" applyAlignment="1">
      <alignment vertical="center"/>
    </xf>
    <xf numFmtId="4" fontId="28" fillId="3" borderId="0" xfId="24" quotePrefix="1" applyNumberFormat="1" applyFont="1" applyFill="1" applyAlignment="1">
      <alignment horizontal="right" vertical="center"/>
    </xf>
    <xf numFmtId="166" fontId="28" fillId="3" borderId="0" xfId="24" applyNumberFormat="1" applyFont="1" applyFill="1" applyAlignment="1">
      <alignment horizontal="center" vertical="center" wrapText="1"/>
    </xf>
    <xf numFmtId="4" fontId="27" fillId="3" borderId="7" xfId="24" applyNumberFormat="1" applyFont="1" applyFill="1" applyBorder="1" applyAlignment="1">
      <alignment vertical="center"/>
    </xf>
    <xf numFmtId="174" fontId="18" fillId="3" borderId="0" xfId="24" applyFont="1" applyFill="1" applyAlignment="1">
      <alignment horizontal="center" vertical="center" wrapText="1"/>
    </xf>
    <xf numFmtId="166" fontId="18" fillId="3" borderId="0" xfId="24" applyNumberFormat="1" applyFont="1" applyFill="1" applyAlignment="1">
      <alignment horizontal="center" vertical="center" wrapText="1"/>
    </xf>
    <xf numFmtId="174" fontId="18" fillId="0" borderId="0" xfId="24" applyFont="1" applyAlignment="1">
      <alignment vertical="center" wrapText="1"/>
    </xf>
    <xf numFmtId="3" fontId="18" fillId="3" borderId="2" xfId="24" applyNumberFormat="1" applyFont="1" applyFill="1" applyBorder="1" applyAlignment="1">
      <alignment horizontal="center" vertical="center" wrapText="1"/>
    </xf>
    <xf numFmtId="174" fontId="18" fillId="3" borderId="3" xfId="24" applyFont="1" applyFill="1" applyBorder="1" applyAlignment="1">
      <alignment horizontal="center" vertical="center"/>
    </xf>
    <xf numFmtId="166" fontId="18" fillId="3" borderId="3" xfId="24" applyNumberFormat="1" applyFont="1" applyFill="1" applyBorder="1" applyAlignment="1">
      <alignment horizontal="center" vertical="center" wrapText="1"/>
    </xf>
    <xf numFmtId="4" fontId="27" fillId="3" borderId="8" xfId="24" applyNumberFormat="1" applyFont="1" applyFill="1" applyBorder="1" applyAlignment="1">
      <alignment vertical="center"/>
    </xf>
    <xf numFmtId="3" fontId="18" fillId="0" borderId="0" xfId="24" applyNumberFormat="1" applyFont="1" applyAlignment="1">
      <alignment horizontal="left" vertical="center" wrapText="1"/>
    </xf>
    <xf numFmtId="4" fontId="38" fillId="9" borderId="0" xfId="20" applyNumberFormat="1" applyFont="1" applyFill="1" applyAlignment="1">
      <alignment vertical="center"/>
    </xf>
    <xf numFmtId="49" fontId="38" fillId="9" borderId="0" xfId="20" applyNumberFormat="1" applyFont="1" applyFill="1" applyAlignment="1">
      <alignment vertical="center"/>
    </xf>
    <xf numFmtId="4" fontId="20" fillId="0" borderId="0" xfId="0" applyNumberFormat="1" applyFont="1" applyAlignment="1">
      <alignment horizontal="center" vertical="center" wrapText="1"/>
    </xf>
    <xf numFmtId="0" fontId="6" fillId="9" borderId="0" xfId="33" applyFill="1" applyAlignment="1">
      <alignment vertical="center"/>
    </xf>
    <xf numFmtId="4" fontId="37" fillId="9" borderId="0" xfId="20" applyNumberFormat="1" applyFont="1" applyFill="1" applyAlignment="1">
      <alignment horizontal="center" vertical="center"/>
    </xf>
    <xf numFmtId="0" fontId="18" fillId="0" borderId="3" xfId="33" applyFont="1" applyBorder="1" applyAlignment="1">
      <alignment horizontal="center"/>
    </xf>
    <xf numFmtId="0" fontId="18" fillId="0" borderId="3" xfId="33" applyFont="1" applyBorder="1"/>
    <xf numFmtId="0" fontId="18" fillId="0" borderId="0" xfId="33" applyFont="1"/>
    <xf numFmtId="0" fontId="18" fillId="0" borderId="0" xfId="33" applyFont="1" applyAlignment="1">
      <alignment horizontal="center"/>
    </xf>
    <xf numFmtId="0" fontId="15" fillId="0" borderId="0" xfId="33" applyFont="1" applyAlignment="1">
      <alignment horizontal="left" vertical="center"/>
    </xf>
    <xf numFmtId="0" fontId="18" fillId="0" borderId="0" xfId="33" applyFont="1" applyAlignment="1">
      <alignment vertical="center"/>
    </xf>
    <xf numFmtId="10" fontId="14" fillId="3" borderId="32" xfId="22" applyNumberFormat="1" applyFont="1" applyFill="1" applyBorder="1" applyAlignment="1">
      <alignment horizontal="center" vertical="center"/>
    </xf>
    <xf numFmtId="0" fontId="18" fillId="0" borderId="0" xfId="33" applyFont="1" applyAlignment="1">
      <alignment horizontal="center" vertical="center"/>
    </xf>
    <xf numFmtId="0" fontId="18" fillId="5" borderId="20" xfId="33" applyFont="1" applyFill="1" applyBorder="1" applyAlignment="1">
      <alignment horizontal="center"/>
    </xf>
    <xf numFmtId="0" fontId="18" fillId="5" borderId="20" xfId="33" applyFont="1" applyFill="1" applyBorder="1"/>
    <xf numFmtId="0" fontId="15" fillId="5" borderId="0" xfId="33" applyFont="1" applyFill="1" applyAlignment="1">
      <alignment horizontal="left"/>
    </xf>
    <xf numFmtId="0" fontId="18" fillId="5" borderId="0" xfId="33" applyFont="1" applyFill="1"/>
    <xf numFmtId="0" fontId="18" fillId="5" borderId="0" xfId="33" applyFont="1" applyFill="1" applyAlignment="1">
      <alignment horizontal="center"/>
    </xf>
    <xf numFmtId="0" fontId="18" fillId="5" borderId="0" xfId="33" applyFont="1" applyFill="1" applyAlignment="1">
      <alignment horizontal="left"/>
    </xf>
    <xf numFmtId="0" fontId="14" fillId="3" borderId="48" xfId="33" applyFont="1" applyFill="1" applyBorder="1" applyAlignment="1">
      <alignment horizontal="center" vertical="center"/>
    </xf>
    <xf numFmtId="171" fontId="14" fillId="11" borderId="32" xfId="22" applyNumberFormat="1" applyFont="1" applyFill="1" applyBorder="1" applyAlignment="1" applyProtection="1">
      <alignment horizontal="center" vertical="center"/>
      <protection locked="0"/>
    </xf>
    <xf numFmtId="0" fontId="14" fillId="3" borderId="48" xfId="34" applyFont="1" applyFill="1" applyBorder="1" applyAlignment="1">
      <alignment horizontal="center" vertical="center"/>
    </xf>
    <xf numFmtId="171" fontId="14" fillId="3" borderId="32" xfId="22" applyNumberFormat="1" applyFont="1" applyFill="1" applyBorder="1" applyAlignment="1">
      <alignment horizontal="center" vertical="center"/>
    </xf>
    <xf numFmtId="0" fontId="20" fillId="0" borderId="19" xfId="34" applyFont="1" applyBorder="1" applyAlignment="1">
      <alignment horizontal="center" vertical="center"/>
    </xf>
    <xf numFmtId="171" fontId="20" fillId="11" borderId="90" xfId="22" applyNumberFormat="1" applyFont="1" applyFill="1" applyBorder="1" applyAlignment="1" applyProtection="1">
      <alignment horizontal="center" vertical="center"/>
      <protection locked="0"/>
    </xf>
    <xf numFmtId="0" fontId="20" fillId="0" borderId="2" xfId="34" applyFont="1" applyBorder="1" applyAlignment="1">
      <alignment horizontal="center" vertical="center"/>
    </xf>
    <xf numFmtId="171" fontId="20" fillId="11" borderId="88" xfId="22" applyNumberFormat="1" applyFont="1" applyFill="1" applyBorder="1" applyAlignment="1" applyProtection="1">
      <alignment horizontal="center" vertical="center"/>
      <protection locked="0"/>
    </xf>
    <xf numFmtId="0" fontId="20" fillId="0" borderId="1" xfId="34" applyFont="1" applyBorder="1" applyAlignment="1">
      <alignment horizontal="center" vertical="center"/>
    </xf>
    <xf numFmtId="174" fontId="20" fillId="0" borderId="87" xfId="3" applyNumberFormat="1" applyFont="1" applyFill="1" applyBorder="1" applyAlignment="1" applyProtection="1">
      <alignment horizontal="center" vertical="center"/>
    </xf>
    <xf numFmtId="174" fontId="13" fillId="0" borderId="0" xfId="0" applyFont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0" fontId="18" fillId="5" borderId="0" xfId="21" applyFont="1" applyFill="1"/>
    <xf numFmtId="172" fontId="14" fillId="0" borderId="0" xfId="0" applyNumberFormat="1" applyFont="1" applyAlignment="1">
      <alignment vertical="center"/>
    </xf>
    <xf numFmtId="166" fontId="20" fillId="0" borderId="0" xfId="3" applyFont="1" applyFill="1" applyAlignment="1" applyProtection="1">
      <alignment vertical="center"/>
    </xf>
    <xf numFmtId="174" fontId="20" fillId="0" borderId="0" xfId="3" applyNumberFormat="1" applyFont="1" applyFill="1" applyAlignment="1" applyProtection="1">
      <alignment horizontal="center" vertical="center"/>
    </xf>
    <xf numFmtId="4" fontId="20" fillId="0" borderId="0" xfId="0" applyNumberFormat="1" applyFont="1" applyAlignment="1">
      <alignment horizontal="right" vertical="center" wrapText="1"/>
    </xf>
    <xf numFmtId="4" fontId="20" fillId="0" borderId="0" xfId="0" applyNumberFormat="1" applyFont="1" applyAlignment="1">
      <alignment horizontal="left" vertical="center" wrapText="1"/>
    </xf>
    <xf numFmtId="4" fontId="20" fillId="0" borderId="0" xfId="0" applyNumberFormat="1" applyFont="1" applyAlignment="1">
      <alignment vertical="center" wrapText="1"/>
    </xf>
    <xf numFmtId="174" fontId="13" fillId="0" borderId="0" xfId="0" applyFont="1" applyAlignment="1">
      <alignment vertical="center" wrapText="1"/>
    </xf>
    <xf numFmtId="174" fontId="13" fillId="0" borderId="0" xfId="0" applyFont="1" applyAlignment="1">
      <alignment vertical="center"/>
    </xf>
    <xf numFmtId="4" fontId="47" fillId="0" borderId="0" xfId="0" applyNumberFormat="1" applyFont="1" applyAlignment="1">
      <alignment vertical="center"/>
    </xf>
    <xf numFmtId="4" fontId="17" fillId="0" borderId="0" xfId="0" applyNumberFormat="1" applyFont="1" applyAlignment="1">
      <alignment vertical="top"/>
    </xf>
    <xf numFmtId="1" fontId="20" fillId="0" borderId="0" xfId="4" applyNumberFormat="1" applyFont="1" applyAlignment="1" applyProtection="1">
      <alignment horizontal="center" vertical="center"/>
    </xf>
    <xf numFmtId="44" fontId="18" fillId="0" borderId="0" xfId="10" applyNumberFormat="1" applyFont="1" applyAlignment="1">
      <alignment horizontal="center" vertical="center"/>
    </xf>
    <xf numFmtId="174" fontId="14" fillId="6" borderId="37" xfId="3" applyNumberFormat="1" applyFont="1" applyFill="1" applyBorder="1" applyAlignment="1" applyProtection="1">
      <alignment horizontal="center" vertical="center"/>
    </xf>
    <xf numFmtId="10" fontId="18" fillId="7" borderId="35" xfId="26" applyNumberFormat="1" applyFont="1" applyFill="1" applyBorder="1" applyAlignment="1" applyProtection="1">
      <alignment horizontal="center" vertical="center" wrapText="1"/>
      <protection locked="0"/>
    </xf>
    <xf numFmtId="10" fontId="15" fillId="0" borderId="36" xfId="10" applyNumberFormat="1" applyFont="1" applyBorder="1" applyAlignment="1">
      <alignment horizontal="center" vertical="center" wrapText="1"/>
    </xf>
    <xf numFmtId="10" fontId="18" fillId="7" borderId="37" xfId="26" applyNumberFormat="1" applyFont="1" applyFill="1" applyBorder="1" applyAlignment="1" applyProtection="1">
      <alignment horizontal="center" vertical="center" wrapText="1"/>
      <protection locked="0"/>
    </xf>
    <xf numFmtId="10" fontId="15" fillId="0" borderId="36" xfId="26" applyNumberFormat="1" applyFont="1" applyBorder="1" applyAlignment="1" applyProtection="1">
      <alignment horizontal="center" vertical="center" wrapText="1"/>
    </xf>
    <xf numFmtId="10" fontId="18" fillId="0" borderId="37" xfId="26" applyNumberFormat="1" applyFont="1" applyFill="1" applyBorder="1" applyAlignment="1" applyProtection="1">
      <alignment horizontal="center" vertical="center" wrapText="1"/>
    </xf>
    <xf numFmtId="10" fontId="18" fillId="0" borderId="35" xfId="26" applyNumberFormat="1" applyFont="1" applyFill="1" applyBorder="1" applyAlignment="1" applyProtection="1">
      <alignment horizontal="center" vertical="center" wrapText="1"/>
    </xf>
    <xf numFmtId="10" fontId="15" fillId="3" borderId="36" xfId="10" applyNumberFormat="1" applyFont="1" applyFill="1" applyBorder="1" applyAlignment="1">
      <alignment horizontal="center" vertical="center" wrapText="1"/>
    </xf>
    <xf numFmtId="0" fontId="14" fillId="3" borderId="88" xfId="10" applyFont="1" applyFill="1" applyBorder="1" applyAlignment="1">
      <alignment horizontal="center" vertical="center" wrapText="1"/>
    </xf>
    <xf numFmtId="171" fontId="13" fillId="0" borderId="10" xfId="4" applyNumberFormat="1" applyFont="1" applyFill="1" applyBorder="1" applyAlignment="1" applyProtection="1">
      <alignment horizontal="center" vertical="center"/>
    </xf>
    <xf numFmtId="171" fontId="45" fillId="0" borderId="28" xfId="4" applyNumberFormat="1" applyFont="1" applyFill="1" applyBorder="1" applyAlignment="1" applyProtection="1">
      <alignment horizontal="center" vertical="center"/>
    </xf>
    <xf numFmtId="171" fontId="45" fillId="0" borderId="43" xfId="2" applyNumberFormat="1" applyFont="1" applyFill="1" applyBorder="1" applyAlignment="1" applyProtection="1">
      <alignment horizontal="center" vertical="center"/>
    </xf>
    <xf numFmtId="171" fontId="45" fillId="0" borderId="42" xfId="4" applyNumberFormat="1" applyFont="1" applyFill="1" applyBorder="1" applyAlignment="1" applyProtection="1">
      <alignment horizontal="center" vertical="center"/>
    </xf>
    <xf numFmtId="10" fontId="45" fillId="0" borderId="40" xfId="4" applyNumberFormat="1" applyFont="1" applyFill="1" applyBorder="1" applyAlignment="1" applyProtection="1">
      <alignment horizontal="center" vertical="center"/>
    </xf>
    <xf numFmtId="43" fontId="20" fillId="8" borderId="10" xfId="2" applyNumberFormat="1" applyFont="1" applyFill="1" applyBorder="1" applyAlignment="1" applyProtection="1">
      <alignment horizontal="center" vertical="center"/>
    </xf>
    <xf numFmtId="171" fontId="45" fillId="8" borderId="28" xfId="4" applyNumberFormat="1" applyFont="1" applyFill="1" applyBorder="1" applyAlignment="1" applyProtection="1">
      <alignment horizontal="center" vertical="center"/>
    </xf>
    <xf numFmtId="171" fontId="45" fillId="8" borderId="43" xfId="2" applyNumberFormat="1" applyFont="1" applyFill="1" applyBorder="1" applyAlignment="1" applyProtection="1">
      <alignment horizontal="center" vertical="center"/>
    </xf>
    <xf numFmtId="49" fontId="37" fillId="9" borderId="0" xfId="20" applyNumberFormat="1" applyFont="1" applyFill="1" applyAlignment="1">
      <alignment horizontal="center" vertical="center"/>
    </xf>
    <xf numFmtId="166" fontId="14" fillId="4" borderId="16" xfId="3" applyFont="1" applyFill="1" applyBorder="1" applyAlignment="1" applyProtection="1">
      <alignment horizontal="center" vertical="center"/>
    </xf>
    <xf numFmtId="166" fontId="18" fillId="0" borderId="17" xfId="3" applyFont="1" applyFill="1" applyBorder="1" applyAlignment="1" applyProtection="1">
      <alignment horizontal="center" vertical="center"/>
      <protection locked="0"/>
    </xf>
    <xf numFmtId="166" fontId="20" fillId="0" borderId="0" xfId="3" applyFont="1" applyFill="1" applyAlignment="1" applyProtection="1">
      <alignment horizontal="center" vertical="center"/>
    </xf>
    <xf numFmtId="2" fontId="20" fillId="0" borderId="0" xfId="0" applyNumberFormat="1" applyFont="1" applyAlignment="1">
      <alignment vertical="center"/>
    </xf>
    <xf numFmtId="3" fontId="13" fillId="3" borderId="4" xfId="0" quotePrefix="1" applyNumberFormat="1" applyFont="1" applyFill="1" applyBorder="1" applyAlignment="1">
      <alignment horizontal="center" vertical="center" wrapText="1"/>
    </xf>
    <xf numFmtId="167" fontId="20" fillId="0" borderId="49" xfId="5" applyNumberFormat="1" applyFont="1" applyFill="1" applyBorder="1" applyAlignment="1" applyProtection="1">
      <alignment horizontal="center" vertical="center"/>
    </xf>
    <xf numFmtId="4" fontId="20" fillId="14" borderId="13" xfId="5" applyNumberFormat="1" applyFont="1" applyFill="1" applyBorder="1" applyAlignment="1" applyProtection="1">
      <alignment horizontal="center" vertical="center"/>
    </xf>
    <xf numFmtId="4" fontId="20" fillId="14" borderId="15" xfId="5" applyNumberFormat="1" applyFont="1" applyFill="1" applyBorder="1" applyAlignment="1" applyProtection="1">
      <alignment horizontal="center" vertical="center"/>
    </xf>
    <xf numFmtId="4" fontId="20" fillId="14" borderId="25" xfId="5" applyNumberFormat="1" applyFont="1" applyFill="1" applyBorder="1" applyAlignment="1" applyProtection="1">
      <alignment horizontal="center" vertical="center"/>
    </xf>
    <xf numFmtId="171" fontId="14" fillId="14" borderId="13" xfId="4" applyNumberFormat="1" applyFont="1" applyFill="1" applyBorder="1" applyAlignment="1" applyProtection="1">
      <alignment horizontal="center" vertical="center"/>
    </xf>
    <xf numFmtId="171" fontId="14" fillId="14" borderId="15" xfId="4" applyNumberFormat="1" applyFont="1" applyFill="1" applyBorder="1" applyAlignment="1" applyProtection="1">
      <alignment horizontal="center" vertical="center"/>
    </xf>
    <xf numFmtId="171" fontId="14" fillId="14" borderId="25" xfId="4" applyNumberFormat="1" applyFont="1" applyFill="1" applyBorder="1" applyAlignment="1" applyProtection="1">
      <alignment horizontal="center" vertical="center"/>
    </xf>
    <xf numFmtId="40" fontId="14" fillId="14" borderId="68" xfId="4" applyNumberFormat="1" applyFont="1" applyFill="1" applyBorder="1" applyAlignment="1" applyProtection="1">
      <alignment horizontal="center" vertical="center"/>
    </xf>
    <xf numFmtId="40" fontId="14" fillId="14" borderId="15" xfId="4" applyNumberFormat="1" applyFont="1" applyFill="1" applyBorder="1" applyAlignment="1" applyProtection="1">
      <alignment horizontal="center" vertical="center"/>
    </xf>
    <xf numFmtId="40" fontId="14" fillId="14" borderId="25" xfId="4" applyNumberFormat="1" applyFont="1" applyFill="1" applyBorder="1" applyAlignment="1" applyProtection="1">
      <alignment horizontal="center" vertical="center"/>
    </xf>
    <xf numFmtId="174" fontId="20" fillId="0" borderId="90" xfId="3" applyNumberFormat="1" applyFont="1" applyFill="1" applyBorder="1" applyAlignment="1" applyProtection="1">
      <alignment horizontal="center" vertical="center"/>
    </xf>
    <xf numFmtId="174" fontId="20" fillId="0" borderId="88" xfId="3" applyNumberFormat="1" applyFont="1" applyFill="1" applyBorder="1" applyAlignment="1" applyProtection="1">
      <alignment horizontal="center" vertical="center"/>
    </xf>
    <xf numFmtId="40" fontId="20" fillId="14" borderId="68" xfId="5" applyNumberFormat="1" applyFont="1" applyFill="1" applyBorder="1" applyAlignment="1" applyProtection="1">
      <alignment horizontal="center" vertical="center"/>
    </xf>
    <xf numFmtId="40" fontId="20" fillId="14" borderId="15" xfId="5" applyNumberFormat="1" applyFont="1" applyFill="1" applyBorder="1" applyAlignment="1" applyProtection="1">
      <alignment horizontal="center" vertical="center"/>
    </xf>
    <xf numFmtId="40" fontId="20" fillId="14" borderId="25" xfId="5" applyNumberFormat="1" applyFont="1" applyFill="1" applyBorder="1" applyAlignment="1" applyProtection="1">
      <alignment horizontal="center" vertical="center"/>
    </xf>
    <xf numFmtId="171" fontId="45" fillId="8" borderId="44" xfId="4" applyNumberFormat="1" applyFont="1" applyFill="1" applyBorder="1" applyAlignment="1" applyProtection="1">
      <alignment horizontal="center" vertical="center"/>
    </xf>
    <xf numFmtId="171" fontId="45" fillId="8" borderId="42" xfId="2" applyNumberFormat="1" applyFont="1" applyFill="1" applyBorder="1" applyAlignment="1" applyProtection="1">
      <alignment horizontal="center" vertical="center"/>
    </xf>
    <xf numFmtId="3" fontId="18" fillId="0" borderId="4" xfId="0" applyNumberFormat="1" applyFont="1" applyBorder="1" applyAlignment="1">
      <alignment horizontal="center" vertical="center"/>
    </xf>
    <xf numFmtId="174" fontId="18" fillId="0" borderId="5" xfId="0" applyFont="1" applyBorder="1" applyAlignment="1">
      <alignment horizontal="center" vertical="center"/>
    </xf>
    <xf numFmtId="166" fontId="18" fillId="0" borderId="6" xfId="3" applyFont="1" applyFill="1" applyBorder="1" applyAlignment="1" applyProtection="1">
      <alignment horizontal="center" vertical="center"/>
      <protection locked="0"/>
    </xf>
    <xf numFmtId="3" fontId="18" fillId="0" borderId="12" xfId="0" applyNumberFormat="1" applyFont="1" applyBorder="1" applyAlignment="1">
      <alignment horizontal="center" vertical="center"/>
    </xf>
    <xf numFmtId="174" fontId="18" fillId="0" borderId="10" xfId="0" applyFont="1" applyBorder="1" applyAlignment="1">
      <alignment horizontal="center" vertical="center"/>
    </xf>
    <xf numFmtId="3" fontId="18" fillId="0" borderId="11" xfId="0" applyNumberFormat="1" applyFont="1" applyBorder="1" applyAlignment="1">
      <alignment horizontal="center" vertical="center"/>
    </xf>
    <xf numFmtId="3" fontId="18" fillId="0" borderId="29" xfId="0" applyNumberFormat="1" applyFont="1" applyBorder="1" applyAlignment="1">
      <alignment horizontal="center" vertical="center"/>
    </xf>
    <xf numFmtId="3" fontId="18" fillId="0" borderId="13" xfId="0" applyNumberFormat="1" applyFont="1" applyBorder="1" applyAlignment="1">
      <alignment horizontal="center" vertical="center"/>
    </xf>
    <xf numFmtId="174" fontId="18" fillId="0" borderId="15" xfId="0" applyFont="1" applyBorder="1" applyAlignment="1">
      <alignment horizontal="center" vertical="center"/>
    </xf>
    <xf numFmtId="166" fontId="18" fillId="0" borderId="25" xfId="3" applyFont="1" applyFill="1" applyBorder="1" applyAlignment="1" applyProtection="1">
      <alignment horizontal="center" vertical="center"/>
      <protection locked="0"/>
    </xf>
    <xf numFmtId="0" fontId="18" fillId="0" borderId="10" xfId="24" applyNumberFormat="1" applyFont="1" applyBorder="1" applyAlignment="1">
      <alignment horizontal="center" vertical="center"/>
    </xf>
    <xf numFmtId="0" fontId="18" fillId="0" borderId="15" xfId="24" applyNumberFormat="1" applyFont="1" applyBorder="1" applyAlignment="1">
      <alignment horizontal="center" vertical="center"/>
    </xf>
    <xf numFmtId="0" fontId="17" fillId="5" borderId="0" xfId="34" applyFont="1" applyFill="1" applyAlignment="1">
      <alignment vertical="center"/>
    </xf>
    <xf numFmtId="172" fontId="18" fillId="0" borderId="0" xfId="0" applyNumberFormat="1" applyFont="1" applyAlignment="1">
      <alignment horizontal="justify" vertical="center" wrapText="1"/>
    </xf>
    <xf numFmtId="166" fontId="18" fillId="0" borderId="0" xfId="6" applyNumberFormat="1" applyFont="1" applyFill="1" applyBorder="1" applyAlignment="1" applyProtection="1">
      <alignment horizontal="right" vertical="center"/>
      <protection locked="0"/>
    </xf>
    <xf numFmtId="166" fontId="18" fillId="0" borderId="0" xfId="3" applyFont="1" applyFill="1" applyBorder="1" applyAlignment="1" applyProtection="1">
      <alignment horizontal="center" vertical="center"/>
      <protection locked="0"/>
    </xf>
    <xf numFmtId="174" fontId="20" fillId="0" borderId="0" xfId="3" applyNumberFormat="1" applyFont="1" applyBorder="1" applyAlignment="1">
      <alignment horizontal="center" vertical="center"/>
    </xf>
    <xf numFmtId="174" fontId="22" fillId="0" borderId="98" xfId="0" quotePrefix="1" applyFont="1" applyBorder="1" applyAlignment="1">
      <alignment horizontal="justify" vertical="center"/>
    </xf>
    <xf numFmtId="174" fontId="22" fillId="0" borderId="99" xfId="0" quotePrefix="1" applyFont="1" applyBorder="1" applyAlignment="1">
      <alignment horizontal="justify" vertical="center"/>
    </xf>
    <xf numFmtId="174" fontId="22" fillId="0" borderId="104" xfId="0" quotePrefix="1" applyFont="1" applyBorder="1" applyAlignment="1">
      <alignment horizontal="justify" vertical="center"/>
    </xf>
    <xf numFmtId="174" fontId="20" fillId="0" borderId="50" xfId="3" applyNumberFormat="1" applyFont="1" applyFill="1" applyBorder="1" applyAlignment="1" applyProtection="1">
      <alignment horizontal="center" vertical="center"/>
    </xf>
    <xf numFmtId="174" fontId="20" fillId="0" borderId="38" xfId="3" applyNumberFormat="1" applyFont="1" applyBorder="1" applyAlignment="1">
      <alignment horizontal="center" vertical="center"/>
    </xf>
    <xf numFmtId="174" fontId="20" fillId="0" borderId="38" xfId="3" applyNumberFormat="1" applyFont="1" applyFill="1" applyBorder="1" applyAlignment="1" applyProtection="1">
      <alignment horizontal="center" vertical="center"/>
    </xf>
    <xf numFmtId="174" fontId="20" fillId="0" borderId="113" xfId="3" applyNumberFormat="1" applyFont="1" applyBorder="1" applyAlignment="1">
      <alignment horizontal="center" vertical="center"/>
    </xf>
    <xf numFmtId="3" fontId="14" fillId="4" borderId="95" xfId="0" applyNumberFormat="1" applyFont="1" applyFill="1" applyBorder="1" applyAlignment="1">
      <alignment horizontal="center" vertical="center"/>
    </xf>
    <xf numFmtId="174" fontId="14" fillId="4" borderId="96" xfId="0" applyFont="1" applyFill="1" applyBorder="1" applyAlignment="1">
      <alignment horizontal="center" vertical="center"/>
    </xf>
    <xf numFmtId="166" fontId="14" fillId="4" borderId="96" xfId="3" applyFont="1" applyFill="1" applyBorder="1" applyAlignment="1" applyProtection="1">
      <alignment horizontal="center" vertical="center"/>
    </xf>
    <xf numFmtId="166" fontId="14" fillId="4" borderId="14" xfId="3" applyFont="1" applyFill="1" applyBorder="1" applyAlignment="1" applyProtection="1">
      <alignment horizontal="center" vertical="center"/>
    </xf>
    <xf numFmtId="0" fontId="18" fillId="0" borderId="10" xfId="0" applyNumberFormat="1" applyFont="1" applyBorder="1" applyAlignment="1">
      <alignment horizontal="center" vertical="center"/>
    </xf>
    <xf numFmtId="0" fontId="18" fillId="0" borderId="5" xfId="24" applyNumberFormat="1" applyFont="1" applyBorder="1" applyAlignment="1">
      <alignment horizontal="center" vertical="center"/>
    </xf>
    <xf numFmtId="174" fontId="20" fillId="0" borderId="38" xfId="6" applyNumberFormat="1" applyFont="1" applyFill="1" applyBorder="1" applyAlignment="1" applyProtection="1">
      <alignment horizontal="center" vertical="center"/>
    </xf>
    <xf numFmtId="174" fontId="20" fillId="0" borderId="113" xfId="3" applyNumberFormat="1" applyFont="1" applyFill="1" applyBorder="1" applyAlignment="1" applyProtection="1">
      <alignment horizontal="center" vertical="center"/>
    </xf>
    <xf numFmtId="0" fontId="69" fillId="0" borderId="0" xfId="38" applyFont="1" applyAlignment="1">
      <alignment vertical="center"/>
    </xf>
    <xf numFmtId="2" fontId="68" fillId="0" borderId="0" xfId="38" applyNumberFormat="1" applyFont="1" applyAlignment="1">
      <alignment vertical="center"/>
    </xf>
    <xf numFmtId="0" fontId="71" fillId="0" borderId="0" xfId="38" applyFont="1" applyAlignment="1">
      <alignment vertical="center"/>
    </xf>
    <xf numFmtId="0" fontId="71" fillId="0" borderId="0" xfId="38" applyFont="1" applyAlignment="1">
      <alignment horizontal="center" vertical="center"/>
    </xf>
    <xf numFmtId="44" fontId="71" fillId="0" borderId="0" xfId="38" applyNumberFormat="1" applyFont="1" applyAlignment="1">
      <alignment vertical="center"/>
    </xf>
    <xf numFmtId="44" fontId="68" fillId="0" borderId="0" xfId="38" applyNumberFormat="1" applyFont="1" applyAlignment="1">
      <alignment vertical="center"/>
    </xf>
    <xf numFmtId="0" fontId="68" fillId="0" borderId="0" xfId="38" applyFont="1" applyAlignment="1">
      <alignment horizontal="justify" vertical="center"/>
    </xf>
    <xf numFmtId="2" fontId="71" fillId="0" borderId="3" xfId="38" applyNumberFormat="1" applyFont="1" applyBorder="1" applyAlignment="1">
      <alignment vertical="center"/>
    </xf>
    <xf numFmtId="2" fontId="68" fillId="6" borderId="13" xfId="38" applyNumberFormat="1" applyFont="1" applyFill="1" applyBorder="1" applyAlignment="1">
      <alignment horizontal="center" vertical="center" wrapText="1"/>
    </xf>
    <xf numFmtId="0" fontId="68" fillId="6" borderId="15" xfId="38" applyFont="1" applyFill="1" applyBorder="1" applyAlignment="1">
      <alignment horizontal="center" vertical="center"/>
    </xf>
    <xf numFmtId="0" fontId="68" fillId="6" borderId="31" xfId="38" applyFont="1" applyFill="1" applyBorder="1" applyAlignment="1">
      <alignment horizontal="center" vertical="center"/>
    </xf>
    <xf numFmtId="0" fontId="68" fillId="6" borderId="13" xfId="38" applyFont="1" applyFill="1" applyBorder="1" applyAlignment="1">
      <alignment horizontal="center" vertical="center" wrapText="1"/>
    </xf>
    <xf numFmtId="0" fontId="68" fillId="6" borderId="15" xfId="38" applyFont="1" applyFill="1" applyBorder="1" applyAlignment="1">
      <alignment horizontal="center" vertical="center" wrapText="1"/>
    </xf>
    <xf numFmtId="44" fontId="68" fillId="6" borderId="31" xfId="38" applyNumberFormat="1" applyFont="1" applyFill="1" applyBorder="1" applyAlignment="1">
      <alignment horizontal="center" vertical="center" wrapText="1"/>
    </xf>
    <xf numFmtId="44" fontId="68" fillId="6" borderId="25" xfId="38" applyNumberFormat="1" applyFont="1" applyFill="1" applyBorder="1" applyAlignment="1">
      <alignment horizontal="center" vertical="center" wrapText="1"/>
    </xf>
    <xf numFmtId="0" fontId="69" fillId="0" borderId="0" xfId="38" applyFont="1" applyAlignment="1">
      <alignment horizontal="center" vertical="center"/>
    </xf>
    <xf numFmtId="2" fontId="70" fillId="8" borderId="1" xfId="38" applyNumberFormat="1" applyFont="1" applyFill="1" applyBorder="1" applyAlignment="1">
      <alignment horizontal="center" vertical="center" wrapText="1"/>
    </xf>
    <xf numFmtId="0" fontId="70" fillId="8" borderId="0" xfId="38" applyFont="1" applyFill="1" applyAlignment="1">
      <alignment horizontal="center" vertical="center"/>
    </xf>
    <xf numFmtId="0" fontId="70" fillId="8" borderId="0" xfId="38" applyFont="1" applyFill="1" applyAlignment="1">
      <alignment horizontal="center" vertical="center" wrapText="1"/>
    </xf>
    <xf numFmtId="44" fontId="70" fillId="8" borderId="0" xfId="38" applyNumberFormat="1" applyFont="1" applyFill="1" applyAlignment="1">
      <alignment horizontal="center" vertical="center" wrapText="1"/>
    </xf>
    <xf numFmtId="44" fontId="70" fillId="8" borderId="7" xfId="38" applyNumberFormat="1" applyFont="1" applyFill="1" applyBorder="1" applyAlignment="1">
      <alignment horizontal="center" vertical="center" wrapText="1"/>
    </xf>
    <xf numFmtId="2" fontId="71" fillId="0" borderId="12" xfId="38" applyNumberFormat="1" applyFont="1" applyBorder="1" applyAlignment="1">
      <alignment horizontal="center" vertical="center"/>
    </xf>
    <xf numFmtId="0" fontId="71" fillId="0" borderId="10" xfId="38" applyFont="1" applyBorder="1" applyAlignment="1">
      <alignment vertical="center"/>
    </xf>
    <xf numFmtId="0" fontId="71" fillId="0" borderId="28" xfId="38" applyFont="1" applyBorder="1" applyAlignment="1">
      <alignment horizontal="center" vertical="center"/>
    </xf>
    <xf numFmtId="14" fontId="71" fillId="0" borderId="10" xfId="38" applyNumberFormat="1" applyFont="1" applyBorder="1" applyAlignment="1">
      <alignment horizontal="center" vertical="center"/>
    </xf>
    <xf numFmtId="44" fontId="71" fillId="0" borderId="28" xfId="38" applyNumberFormat="1" applyFont="1" applyBorder="1" applyAlignment="1">
      <alignment vertical="center"/>
    </xf>
    <xf numFmtId="44" fontId="71" fillId="0" borderId="17" xfId="38" applyNumberFormat="1" applyFont="1" applyBorder="1" applyAlignment="1">
      <alignment vertical="center"/>
    </xf>
    <xf numFmtId="44" fontId="68" fillId="14" borderId="38" xfId="38" applyNumberFormat="1" applyFont="1" applyFill="1" applyBorder="1" applyAlignment="1">
      <alignment vertical="center"/>
    </xf>
    <xf numFmtId="2" fontId="71" fillId="0" borderId="94" xfId="38" applyNumberFormat="1" applyFont="1" applyBorder="1" applyAlignment="1">
      <alignment horizontal="center" vertical="center"/>
    </xf>
    <xf numFmtId="0" fontId="71" fillId="0" borderId="93" xfId="38" applyFont="1" applyBorder="1" applyAlignment="1">
      <alignment vertical="center"/>
    </xf>
    <xf numFmtId="0" fontId="71" fillId="0" borderId="49" xfId="38" applyFont="1" applyBorder="1" applyAlignment="1">
      <alignment horizontal="center" vertical="center"/>
    </xf>
    <xf numFmtId="0" fontId="71" fillId="0" borderId="94" xfId="38" applyFont="1" applyBorder="1" applyAlignment="1">
      <alignment horizontal="center" vertical="center"/>
    </xf>
    <xf numFmtId="14" fontId="71" fillId="0" borderId="93" xfId="38" applyNumberFormat="1" applyFont="1" applyBorder="1" applyAlignment="1">
      <alignment horizontal="center" vertical="center"/>
    </xf>
    <xf numFmtId="44" fontId="71" fillId="0" borderId="49" xfId="38" applyNumberFormat="1" applyFont="1" applyBorder="1" applyAlignment="1">
      <alignment vertical="center"/>
    </xf>
    <xf numFmtId="44" fontId="71" fillId="0" borderId="24" xfId="38" applyNumberFormat="1" applyFont="1" applyBorder="1" applyAlignment="1">
      <alignment vertical="center"/>
    </xf>
    <xf numFmtId="44" fontId="68" fillId="14" borderId="69" xfId="38" applyNumberFormat="1" applyFont="1" applyFill="1" applyBorder="1" applyAlignment="1">
      <alignment vertical="center"/>
    </xf>
    <xf numFmtId="1" fontId="71" fillId="0" borderId="12" xfId="38" applyNumberFormat="1" applyFont="1" applyBorder="1" applyAlignment="1">
      <alignment horizontal="center" vertical="center"/>
    </xf>
    <xf numFmtId="0" fontId="69" fillId="0" borderId="12" xfId="38" applyFont="1" applyBorder="1" applyAlignment="1">
      <alignment horizontal="center" vertical="center"/>
    </xf>
    <xf numFmtId="14" fontId="69" fillId="0" borderId="10" xfId="38" applyNumberFormat="1" applyFont="1" applyBorder="1" applyAlignment="1">
      <alignment horizontal="center" vertical="center"/>
    </xf>
    <xf numFmtId="44" fontId="69" fillId="0" borderId="17" xfId="38" applyNumberFormat="1" applyFont="1" applyBorder="1" applyAlignment="1">
      <alignment vertical="center"/>
    </xf>
    <xf numFmtId="2" fontId="71" fillId="0" borderId="4" xfId="38" applyNumberFormat="1" applyFont="1" applyBorder="1" applyAlignment="1">
      <alignment horizontal="center" vertical="center"/>
    </xf>
    <xf numFmtId="0" fontId="71" fillId="0" borderId="5" xfId="38" applyFont="1" applyBorder="1" applyAlignment="1">
      <alignment horizontal="justify" vertical="center"/>
    </xf>
    <xf numFmtId="3" fontId="71" fillId="0" borderId="27" xfId="38" applyNumberFormat="1" applyFont="1" applyBorder="1" applyAlignment="1">
      <alignment horizontal="center" vertical="center"/>
    </xf>
    <xf numFmtId="1" fontId="71" fillId="0" borderId="4" xfId="38" applyNumberFormat="1" applyFont="1" applyBorder="1" applyAlignment="1">
      <alignment horizontal="center" vertical="center"/>
    </xf>
    <xf numFmtId="14" fontId="71" fillId="0" borderId="5" xfId="38" applyNumberFormat="1" applyFont="1" applyBorder="1" applyAlignment="1">
      <alignment horizontal="center" vertical="center"/>
    </xf>
    <xf numFmtId="44" fontId="71" fillId="0" borderId="6" xfId="38" applyNumberFormat="1" applyFont="1" applyBorder="1" applyAlignment="1">
      <alignment horizontal="center" vertical="center"/>
    </xf>
    <xf numFmtId="44" fontId="71" fillId="0" borderId="6" xfId="38" applyNumberFormat="1" applyFont="1" applyBorder="1" applyAlignment="1">
      <alignment vertical="center"/>
    </xf>
    <xf numFmtId="44" fontId="68" fillId="14" borderId="21" xfId="38" applyNumberFormat="1" applyFont="1" applyFill="1" applyBorder="1" applyAlignment="1">
      <alignment vertical="center"/>
    </xf>
    <xf numFmtId="0" fontId="71" fillId="0" borderId="10" xfId="38" applyFont="1" applyBorder="1" applyAlignment="1">
      <alignment horizontal="justify" vertical="center"/>
    </xf>
    <xf numFmtId="3" fontId="71" fillId="0" borderId="39" xfId="38" applyNumberFormat="1" applyFont="1" applyBorder="1" applyAlignment="1">
      <alignment horizontal="center" vertical="center"/>
    </xf>
    <xf numFmtId="1" fontId="71" fillId="0" borderId="11" xfId="38" applyNumberFormat="1" applyFont="1" applyBorder="1" applyAlignment="1">
      <alignment horizontal="center" vertical="center"/>
    </xf>
    <xf numFmtId="14" fontId="71" fillId="0" borderId="18" xfId="38" applyNumberFormat="1" applyFont="1" applyBorder="1" applyAlignment="1">
      <alignment horizontal="center" vertical="center"/>
    </xf>
    <xf numFmtId="44" fontId="71" fillId="0" borderId="39" xfId="38" applyNumberFormat="1" applyFont="1" applyBorder="1" applyAlignment="1">
      <alignment horizontal="center" vertical="center"/>
    </xf>
    <xf numFmtId="44" fontId="68" fillId="14" borderId="87" xfId="38" applyNumberFormat="1" applyFont="1" applyFill="1" applyBorder="1" applyAlignment="1">
      <alignment vertical="center"/>
    </xf>
    <xf numFmtId="0" fontId="71" fillId="0" borderId="93" xfId="38" applyFont="1" applyBorder="1" applyAlignment="1">
      <alignment horizontal="justify" vertical="center"/>
    </xf>
    <xf numFmtId="3" fontId="71" fillId="0" borderId="49" xfId="38" applyNumberFormat="1" applyFont="1" applyBorder="1" applyAlignment="1">
      <alignment horizontal="center" vertical="center"/>
    </xf>
    <xf numFmtId="1" fontId="71" fillId="0" borderId="94" xfId="38" applyNumberFormat="1" applyFont="1" applyBorder="1" applyAlignment="1">
      <alignment horizontal="center" vertical="center"/>
    </xf>
    <xf numFmtId="44" fontId="71" fillId="0" borderId="49" xfId="38" applyNumberFormat="1" applyFont="1" applyBorder="1" applyAlignment="1">
      <alignment horizontal="center" vertical="center"/>
    </xf>
    <xf numFmtId="44" fontId="68" fillId="14" borderId="8" xfId="38" applyNumberFormat="1" applyFont="1" applyFill="1" applyBorder="1" applyAlignment="1">
      <alignment vertical="center"/>
    </xf>
    <xf numFmtId="2" fontId="69" fillId="0" borderId="0" xfId="38" applyNumberFormat="1" applyFont="1" applyAlignment="1">
      <alignment horizontal="center" vertical="center"/>
    </xf>
    <xf numFmtId="14" fontId="69" fillId="0" borderId="0" xfId="38" applyNumberFormat="1" applyFont="1" applyAlignment="1">
      <alignment horizontal="center" vertical="center"/>
    </xf>
    <xf numFmtId="44" fontId="69" fillId="0" borderId="0" xfId="38" applyNumberFormat="1" applyFont="1" applyAlignment="1">
      <alignment vertical="center"/>
    </xf>
    <xf numFmtId="44" fontId="70" fillId="0" borderId="0" xfId="38" applyNumberFormat="1" applyFont="1" applyAlignment="1">
      <alignment vertical="center"/>
    </xf>
    <xf numFmtId="2" fontId="69" fillId="0" borderId="0" xfId="38" applyNumberFormat="1" applyFont="1" applyAlignment="1">
      <alignment vertical="center"/>
    </xf>
    <xf numFmtId="2" fontId="72" fillId="14" borderId="65" xfId="38" applyNumberFormat="1" applyFont="1" applyFill="1" applyBorder="1" applyAlignment="1">
      <alignment horizontal="center" vertical="center"/>
    </xf>
    <xf numFmtId="1" fontId="71" fillId="0" borderId="4" xfId="38" quotePrefix="1" applyNumberFormat="1" applyFont="1" applyBorder="1" applyAlignment="1">
      <alignment horizontal="center" vertical="center"/>
    </xf>
    <xf numFmtId="1" fontId="71" fillId="0" borderId="12" xfId="38" quotePrefix="1" applyNumberFormat="1" applyFont="1" applyBorder="1" applyAlignment="1">
      <alignment horizontal="center" vertical="center"/>
    </xf>
    <xf numFmtId="44" fontId="69" fillId="0" borderId="0" xfId="38" applyNumberFormat="1" applyFont="1" applyAlignment="1">
      <alignment horizontal="center" vertical="center"/>
    </xf>
    <xf numFmtId="1" fontId="71" fillId="0" borderId="94" xfId="38" quotePrefix="1" applyNumberFormat="1" applyFont="1" applyBorder="1" applyAlignment="1">
      <alignment horizontal="center" vertical="center"/>
    </xf>
    <xf numFmtId="180" fontId="71" fillId="0" borderId="0" xfId="38" applyNumberFormat="1" applyFont="1" applyAlignment="1">
      <alignment vertical="center"/>
    </xf>
    <xf numFmtId="4" fontId="71" fillId="0" borderId="0" xfId="38" applyNumberFormat="1" applyFont="1" applyAlignment="1">
      <alignment horizontal="center" vertical="center"/>
    </xf>
    <xf numFmtId="2" fontId="71" fillId="0" borderId="0" xfId="38" applyNumberFormat="1" applyFont="1" applyAlignment="1">
      <alignment horizontal="center" vertical="center"/>
    </xf>
    <xf numFmtId="0" fontId="71" fillId="0" borderId="0" xfId="38" applyFont="1" applyAlignment="1">
      <alignment horizontal="right" vertical="center"/>
    </xf>
    <xf numFmtId="0" fontId="69" fillId="0" borderId="0" xfId="38" applyFont="1" applyAlignment="1">
      <alignment vertical="center" wrapText="1"/>
    </xf>
    <xf numFmtId="0" fontId="69" fillId="0" borderId="0" xfId="38" applyFont="1" applyAlignment="1">
      <alignment horizontal="center" vertical="center" wrapText="1"/>
    </xf>
    <xf numFmtId="0" fontId="71" fillId="0" borderId="10" xfId="38" applyFont="1" applyBorder="1" applyAlignment="1">
      <alignment horizontal="justify" vertical="center" wrapText="1"/>
    </xf>
    <xf numFmtId="164" fontId="20" fillId="0" borderId="0" xfId="1" applyFont="1" applyAlignment="1">
      <alignment vertical="center"/>
    </xf>
    <xf numFmtId="2" fontId="20" fillId="0" borderId="0" xfId="0" applyNumberFormat="1" applyFont="1" applyAlignment="1">
      <alignment horizontal="left" vertical="center"/>
    </xf>
    <xf numFmtId="2" fontId="20" fillId="0" borderId="0" xfId="0" applyNumberFormat="1" applyFont="1" applyAlignment="1">
      <alignment vertical="center" wrapText="1"/>
    </xf>
    <xf numFmtId="2" fontId="14" fillId="0" borderId="0" xfId="0" applyNumberFormat="1" applyFont="1" applyAlignment="1">
      <alignment vertical="center"/>
    </xf>
    <xf numFmtId="174" fontId="18" fillId="0" borderId="18" xfId="0" applyFont="1" applyBorder="1" applyAlignment="1">
      <alignment horizontal="center" vertical="center"/>
    </xf>
    <xf numFmtId="166" fontId="18" fillId="0" borderId="115" xfId="3" applyFont="1" applyFill="1" applyBorder="1" applyAlignment="1" applyProtection="1">
      <alignment horizontal="center" vertical="center"/>
      <protection locked="0"/>
    </xf>
    <xf numFmtId="174" fontId="20" fillId="0" borderId="69" xfId="3" applyNumberFormat="1" applyFont="1" applyBorder="1" applyAlignment="1">
      <alignment horizontal="center" vertical="center"/>
    </xf>
    <xf numFmtId="174" fontId="14" fillId="6" borderId="32" xfId="3" applyNumberFormat="1" applyFont="1" applyFill="1" applyBorder="1" applyAlignment="1" applyProtection="1">
      <alignment horizontal="center" vertical="center"/>
    </xf>
    <xf numFmtId="181" fontId="0" fillId="0" borderId="0" xfId="4" applyNumberFormat="1" applyFont="1" applyAlignment="1" applyProtection="1">
      <alignment horizontal="center" vertical="center"/>
    </xf>
    <xf numFmtId="4" fontId="20" fillId="0" borderId="93" xfId="5" applyNumberFormat="1" applyFont="1" applyFill="1" applyBorder="1" applyAlignment="1" applyProtection="1">
      <alignment horizontal="center" vertical="center"/>
    </xf>
    <xf numFmtId="174" fontId="18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174" fontId="18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174" fontId="18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10" fontId="14" fillId="0" borderId="83" xfId="4" applyNumberFormat="1" applyFont="1" applyBorder="1" applyAlignment="1" applyProtection="1">
      <alignment horizontal="center" vertical="center"/>
    </xf>
    <xf numFmtId="10" fontId="14" fillId="0" borderId="74" xfId="4" applyNumberFormat="1" applyFont="1" applyBorder="1" applyAlignment="1" applyProtection="1">
      <alignment horizontal="center" vertical="center"/>
    </xf>
    <xf numFmtId="10" fontId="14" fillId="0" borderId="70" xfId="4" applyNumberFormat="1" applyFont="1" applyBorder="1" applyAlignment="1" applyProtection="1">
      <alignment horizontal="center" vertical="center"/>
    </xf>
    <xf numFmtId="10" fontId="14" fillId="0" borderId="85" xfId="4" applyNumberFormat="1" applyFont="1" applyBorder="1" applyAlignment="1" applyProtection="1">
      <alignment horizontal="center" vertical="center"/>
    </xf>
    <xf numFmtId="10" fontId="14" fillId="0" borderId="105" xfId="4" applyNumberFormat="1" applyFont="1" applyBorder="1" applyAlignment="1" applyProtection="1">
      <alignment horizontal="center" vertical="center"/>
    </xf>
    <xf numFmtId="10" fontId="14" fillId="0" borderId="106" xfId="4" applyNumberFormat="1" applyFont="1" applyBorder="1" applyAlignment="1" applyProtection="1">
      <alignment horizontal="center" vertical="center"/>
    </xf>
    <xf numFmtId="44" fontId="13" fillId="8" borderId="43" xfId="2" applyNumberFormat="1" applyFont="1" applyFill="1" applyBorder="1" applyAlignment="1" applyProtection="1">
      <alignment horizontal="center" vertical="center"/>
    </xf>
    <xf numFmtId="44" fontId="13" fillId="8" borderId="28" xfId="4" applyNumberFormat="1" applyFont="1" applyFill="1" applyBorder="1" applyAlignment="1" applyProtection="1">
      <alignment horizontal="center" vertical="center"/>
    </xf>
    <xf numFmtId="44" fontId="13" fillId="8" borderId="26" xfId="4" applyNumberFormat="1" applyFont="1" applyFill="1" applyBorder="1" applyAlignment="1" applyProtection="1">
      <alignment horizontal="center" vertical="center"/>
    </xf>
    <xf numFmtId="44" fontId="13" fillId="8" borderId="34" xfId="4" applyNumberFormat="1" applyFont="1" applyFill="1" applyBorder="1" applyAlignment="1" applyProtection="1">
      <alignment horizontal="center" vertical="center"/>
    </xf>
    <xf numFmtId="44" fontId="13" fillId="0" borderId="43" xfId="2" applyNumberFormat="1" applyFont="1" applyFill="1" applyBorder="1" applyAlignment="1" applyProtection="1">
      <alignment horizontal="center" vertical="center"/>
    </xf>
    <xf numFmtId="178" fontId="13" fillId="8" borderId="28" xfId="4" applyNumberFormat="1" applyFont="1" applyFill="1" applyBorder="1" applyAlignment="1" applyProtection="1">
      <alignment horizontal="center" vertical="center"/>
    </xf>
    <xf numFmtId="178" fontId="13" fillId="8" borderId="26" xfId="4" applyNumberFormat="1" applyFont="1" applyFill="1" applyBorder="1" applyAlignment="1" applyProtection="1">
      <alignment horizontal="center" vertical="center"/>
    </xf>
    <xf numFmtId="178" fontId="13" fillId="8" borderId="34" xfId="4" applyNumberFormat="1" applyFont="1" applyFill="1" applyBorder="1" applyAlignment="1" applyProtection="1">
      <alignment horizontal="center" vertical="center"/>
    </xf>
    <xf numFmtId="44" fontId="13" fillId="0" borderId="53" xfId="2" applyNumberFormat="1" applyFont="1" applyFill="1" applyBorder="1" applyAlignment="1" applyProtection="1">
      <alignment horizontal="center" vertical="center"/>
    </xf>
    <xf numFmtId="171" fontId="45" fillId="0" borderId="28" xfId="2" applyNumberFormat="1" applyFont="1" applyFill="1" applyBorder="1" applyAlignment="1" applyProtection="1">
      <alignment horizontal="center" vertical="center"/>
    </xf>
    <xf numFmtId="171" fontId="45" fillId="0" borderId="26" xfId="2" applyNumberFormat="1" applyFont="1" applyFill="1" applyBorder="1" applyAlignment="1" applyProtection="1">
      <alignment horizontal="center" vertical="center"/>
    </xf>
    <xf numFmtId="44" fontId="13" fillId="0" borderId="52" xfId="2" applyNumberFormat="1" applyFont="1" applyFill="1" applyBorder="1" applyAlignment="1" applyProtection="1">
      <alignment horizontal="center" vertical="center" wrapText="1"/>
    </xf>
    <xf numFmtId="4" fontId="14" fillId="0" borderId="0" xfId="0" applyNumberFormat="1" applyFont="1" applyAlignment="1">
      <alignment horizontal="center" vertical="center"/>
    </xf>
    <xf numFmtId="171" fontId="45" fillId="0" borderId="44" xfId="4" applyNumberFormat="1" applyFont="1" applyFill="1" applyBorder="1" applyAlignment="1" applyProtection="1">
      <alignment horizontal="center" vertical="center"/>
    </xf>
    <xf numFmtId="171" fontId="45" fillId="0" borderId="61" xfId="4" applyNumberFormat="1" applyFont="1" applyFill="1" applyBorder="1" applyAlignment="1" applyProtection="1">
      <alignment horizontal="center" vertical="center"/>
    </xf>
    <xf numFmtId="44" fontId="13" fillId="5" borderId="57" xfId="4" applyNumberFormat="1" applyFont="1" applyFill="1" applyBorder="1" applyAlignment="1" applyProtection="1">
      <alignment horizontal="center" vertical="center"/>
    </xf>
    <xf numFmtId="44" fontId="13" fillId="5" borderId="58" xfId="4" applyNumberFormat="1" applyFont="1" applyFill="1" applyBorder="1" applyAlignment="1" applyProtection="1">
      <alignment horizontal="center" vertical="center"/>
    </xf>
    <xf numFmtId="44" fontId="13" fillId="0" borderId="28" xfId="4" applyNumberFormat="1" applyFont="1" applyFill="1" applyBorder="1" applyAlignment="1" applyProtection="1">
      <alignment horizontal="center" vertical="center"/>
    </xf>
    <xf numFmtId="44" fontId="13" fillId="0" borderId="26" xfId="4" applyNumberFormat="1" applyFont="1" applyFill="1" applyBorder="1" applyAlignment="1" applyProtection="1">
      <alignment horizontal="center" vertical="center"/>
    </xf>
    <xf numFmtId="44" fontId="13" fillId="0" borderId="34" xfId="4" applyNumberFormat="1" applyFont="1" applyFill="1" applyBorder="1" applyAlignment="1" applyProtection="1">
      <alignment horizontal="center" vertical="center"/>
    </xf>
    <xf numFmtId="44" fontId="13" fillId="0" borderId="59" xfId="2" applyNumberFormat="1" applyFont="1" applyFill="1" applyBorder="1" applyAlignment="1" applyProtection="1">
      <alignment horizontal="center" vertical="center"/>
    </xf>
    <xf numFmtId="44" fontId="13" fillId="0" borderId="60" xfId="2" applyNumberFormat="1" applyFont="1" applyFill="1" applyBorder="1" applyAlignment="1" applyProtection="1">
      <alignment horizontal="center" vertical="center"/>
    </xf>
    <xf numFmtId="4" fontId="24" fillId="3" borderId="5" xfId="0" quotePrefix="1" applyNumberFormat="1" applyFont="1" applyFill="1" applyBorder="1" applyAlignment="1">
      <alignment horizontal="right" vertical="center"/>
    </xf>
    <xf numFmtId="174" fontId="43" fillId="0" borderId="19" xfId="0" applyFont="1" applyBorder="1" applyAlignment="1">
      <alignment horizontal="center" vertical="center"/>
    </xf>
    <xf numFmtId="174" fontId="43" fillId="0" borderId="20" xfId="0" applyFont="1" applyBorder="1" applyAlignment="1">
      <alignment horizontal="center" vertical="center"/>
    </xf>
    <xf numFmtId="174" fontId="43" fillId="0" borderId="21" xfId="0" applyFont="1" applyBorder="1" applyAlignment="1">
      <alignment horizontal="center" vertical="center"/>
    </xf>
    <xf numFmtId="174" fontId="43" fillId="0" borderId="1" xfId="0" applyFont="1" applyBorder="1" applyAlignment="1">
      <alignment horizontal="center" vertical="center"/>
    </xf>
    <xf numFmtId="174" fontId="43" fillId="0" borderId="7" xfId="0" applyFont="1" applyBorder="1" applyAlignment="1">
      <alignment horizontal="center" vertical="center"/>
    </xf>
    <xf numFmtId="9" fontId="13" fillId="0" borderId="2" xfId="4" applyFont="1" applyBorder="1" applyAlignment="1" applyProtection="1">
      <alignment horizontal="center" wrapText="1"/>
    </xf>
    <xf numFmtId="9" fontId="13" fillId="0" borderId="3" xfId="4" applyFont="1" applyBorder="1" applyAlignment="1" applyProtection="1">
      <alignment horizontal="center" wrapText="1"/>
    </xf>
    <xf numFmtId="9" fontId="13" fillId="0" borderId="8" xfId="4" applyFont="1" applyBorder="1" applyAlignment="1" applyProtection="1">
      <alignment horizontal="center" wrapText="1"/>
    </xf>
    <xf numFmtId="174" fontId="18" fillId="0" borderId="77" xfId="0" applyFont="1" applyBorder="1" applyAlignment="1">
      <alignment horizontal="center" vertical="center"/>
    </xf>
    <xf numFmtId="174" fontId="18" fillId="0" borderId="81" xfId="0" applyFont="1" applyBorder="1" applyAlignment="1">
      <alignment horizontal="center" vertical="center"/>
    </xf>
    <xf numFmtId="174" fontId="18" fillId="0" borderId="79" xfId="0" applyFont="1" applyBorder="1" applyAlignment="1">
      <alignment horizontal="center" vertical="center"/>
    </xf>
    <xf numFmtId="174" fontId="18" fillId="0" borderId="82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justify" vertical="center" wrapText="1"/>
    </xf>
    <xf numFmtId="3" fontId="13" fillId="0" borderId="0" xfId="0" applyNumberFormat="1" applyFont="1" applyAlignment="1">
      <alignment horizontal="justify" vertical="center" wrapText="1"/>
    </xf>
    <xf numFmtId="3" fontId="13" fillId="0" borderId="7" xfId="0" applyNumberFormat="1" applyFont="1" applyBorder="1" applyAlignment="1">
      <alignment horizontal="justify" vertical="center" wrapText="1"/>
    </xf>
    <xf numFmtId="9" fontId="15" fillId="0" borderId="83" xfId="4" applyFont="1" applyBorder="1" applyAlignment="1" applyProtection="1">
      <alignment horizontal="justify" vertical="center" wrapText="1"/>
    </xf>
    <xf numFmtId="9" fontId="15" fillId="0" borderId="71" xfId="4" applyFont="1" applyBorder="1" applyAlignment="1" applyProtection="1">
      <alignment horizontal="justify" vertical="center" wrapText="1"/>
    </xf>
    <xf numFmtId="3" fontId="15" fillId="0" borderId="85" xfId="0" applyNumberFormat="1" applyFont="1" applyBorder="1" applyAlignment="1">
      <alignment horizontal="justify" vertical="center" wrapText="1"/>
    </xf>
    <xf numFmtId="3" fontId="15" fillId="0" borderId="72" xfId="0" applyNumberFormat="1" applyFont="1" applyBorder="1" applyAlignment="1">
      <alignment horizontal="justify" vertical="center" wrapText="1"/>
    </xf>
    <xf numFmtId="174" fontId="18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179" fontId="22" fillId="0" borderId="104" xfId="0" applyNumberFormat="1" applyFont="1" applyBorder="1" applyAlignment="1">
      <alignment horizontal="center" vertical="center"/>
    </xf>
    <xf numFmtId="179" fontId="22" fillId="0" borderId="76" xfId="0" applyNumberFormat="1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left" vertical="center" wrapText="1"/>
    </xf>
    <xf numFmtId="3" fontId="18" fillId="0" borderId="10" xfId="0" applyNumberFormat="1" applyFont="1" applyBorder="1" applyAlignment="1">
      <alignment horizontal="justify" vertical="center" wrapText="1"/>
    </xf>
    <xf numFmtId="174" fontId="12" fillId="0" borderId="10" xfId="0" applyFont="1" applyBorder="1" applyAlignment="1">
      <alignment horizontal="justify" vertical="center" wrapText="1"/>
    </xf>
    <xf numFmtId="4" fontId="43" fillId="0" borderId="0" xfId="0" applyNumberFormat="1" applyFont="1" applyAlignment="1">
      <alignment horizontal="center" vertical="center"/>
    </xf>
    <xf numFmtId="3" fontId="17" fillId="0" borderId="0" xfId="0" applyNumberFormat="1" applyFont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174" fontId="13" fillId="0" borderId="0" xfId="0" applyFont="1" applyAlignment="1">
      <alignment horizontal="justify" vertical="center" wrapText="1"/>
    </xf>
    <xf numFmtId="3" fontId="18" fillId="0" borderId="28" xfId="0" applyNumberFormat="1" applyFont="1" applyBorder="1" applyAlignment="1">
      <alignment horizontal="justify" vertical="center"/>
    </xf>
    <xf numFmtId="174" fontId="12" fillId="0" borderId="34" xfId="0" applyFont="1" applyBorder="1" applyAlignment="1">
      <alignment horizontal="justify" vertical="center"/>
    </xf>
    <xf numFmtId="174" fontId="14" fillId="4" borderId="89" xfId="0" applyFont="1" applyFill="1" applyBorder="1" applyAlignment="1">
      <alignment horizontal="justify" vertical="center"/>
    </xf>
    <xf numFmtId="174" fontId="14" fillId="4" borderId="91" xfId="0" applyFont="1" applyFill="1" applyBorder="1" applyAlignment="1">
      <alignment horizontal="justify" vertical="center"/>
    </xf>
    <xf numFmtId="174" fontId="13" fillId="0" borderId="0" xfId="0" applyFont="1" applyAlignment="1">
      <alignment horizontal="center" vertical="center"/>
    </xf>
    <xf numFmtId="3" fontId="18" fillId="0" borderId="5" xfId="0" applyNumberFormat="1" applyFont="1" applyBorder="1" applyAlignment="1">
      <alignment horizontal="justify" vertical="center" wrapText="1"/>
    </xf>
    <xf numFmtId="174" fontId="12" fillId="0" borderId="5" xfId="0" applyFont="1" applyBorder="1" applyAlignment="1">
      <alignment horizontal="justify" vertical="center" wrapText="1"/>
    </xf>
    <xf numFmtId="3" fontId="22" fillId="0" borderId="103" xfId="0" applyNumberFormat="1" applyFont="1" applyBorder="1" applyAlignment="1">
      <alignment horizontal="justify" vertical="center"/>
    </xf>
    <xf numFmtId="174" fontId="56" fillId="0" borderId="104" xfId="0" applyFont="1" applyBorder="1" applyAlignment="1">
      <alignment horizontal="justify" vertical="center"/>
    </xf>
    <xf numFmtId="3" fontId="22" fillId="0" borderId="100" xfId="0" applyNumberFormat="1" applyFont="1" applyBorder="1" applyAlignment="1">
      <alignment horizontal="justify" vertical="center"/>
    </xf>
    <xf numFmtId="3" fontId="22" fillId="0" borderId="98" xfId="0" applyNumberFormat="1" applyFont="1" applyBorder="1" applyAlignment="1">
      <alignment horizontal="justify" vertical="center"/>
    </xf>
    <xf numFmtId="3" fontId="22" fillId="0" borderId="101" xfId="0" applyNumberFormat="1" applyFont="1" applyBorder="1" applyAlignment="1">
      <alignment horizontal="justify" vertical="center"/>
    </xf>
    <xf numFmtId="174" fontId="56" fillId="0" borderId="99" xfId="0" applyFont="1" applyBorder="1" applyAlignment="1">
      <alignment horizontal="justify" vertical="center"/>
    </xf>
    <xf numFmtId="3" fontId="22" fillId="6" borderId="48" xfId="0" applyNumberFormat="1" applyFont="1" applyFill="1" applyBorder="1" applyAlignment="1">
      <alignment horizontal="center" vertical="center"/>
    </xf>
    <xf numFmtId="3" fontId="22" fillId="6" borderId="33" xfId="0" applyNumberFormat="1" applyFont="1" applyFill="1" applyBorder="1" applyAlignment="1">
      <alignment horizontal="center" vertical="center"/>
    </xf>
    <xf numFmtId="3" fontId="22" fillId="6" borderId="51" xfId="0" applyNumberFormat="1" applyFont="1" applyFill="1" applyBorder="1" applyAlignment="1">
      <alignment horizontal="center" vertical="center"/>
    </xf>
    <xf numFmtId="179" fontId="22" fillId="0" borderId="98" xfId="0" applyNumberFormat="1" applyFont="1" applyBorder="1" applyAlignment="1">
      <alignment horizontal="center" vertical="center"/>
    </xf>
    <xf numFmtId="179" fontId="22" fillId="0" borderId="75" xfId="0" applyNumberFormat="1" applyFont="1" applyBorder="1" applyAlignment="1">
      <alignment horizontal="center" vertical="center"/>
    </xf>
    <xf numFmtId="179" fontId="22" fillId="0" borderId="99" xfId="0" applyNumberFormat="1" applyFont="1" applyBorder="1" applyAlignment="1">
      <alignment horizontal="center" vertical="center"/>
    </xf>
    <xf numFmtId="179" fontId="22" fillId="0" borderId="102" xfId="0" applyNumberFormat="1" applyFont="1" applyBorder="1" applyAlignment="1">
      <alignment horizontal="center" vertical="center"/>
    </xf>
    <xf numFmtId="172" fontId="18" fillId="0" borderId="10" xfId="0" applyNumberFormat="1" applyFont="1" applyBorder="1" applyAlignment="1">
      <alignment horizontal="left" vertical="center" wrapText="1"/>
    </xf>
    <xf numFmtId="3" fontId="14" fillId="4" borderId="89" xfId="0" applyNumberFormat="1" applyFont="1" applyFill="1" applyBorder="1" applyAlignment="1">
      <alignment horizontal="justify" vertical="center" wrapText="1"/>
    </xf>
    <xf numFmtId="174" fontId="0" fillId="0" borderId="91" xfId="0" applyBorder="1" applyAlignment="1">
      <alignment horizontal="justify" vertical="center" wrapText="1"/>
    </xf>
    <xf numFmtId="172" fontId="18" fillId="0" borderId="10" xfId="0" applyNumberFormat="1" applyFont="1" applyBorder="1" applyAlignment="1">
      <alignment horizontal="justify" vertical="center" wrapText="1"/>
    </xf>
    <xf numFmtId="172" fontId="12" fillId="0" borderId="10" xfId="0" applyNumberFormat="1" applyFont="1" applyBorder="1" applyAlignment="1">
      <alignment horizontal="justify" vertical="center" wrapText="1"/>
    </xf>
    <xf numFmtId="3" fontId="18" fillId="0" borderId="15" xfId="0" applyNumberFormat="1" applyFont="1" applyBorder="1" applyAlignment="1">
      <alignment horizontal="justify" vertical="center" wrapText="1"/>
    </xf>
    <xf numFmtId="174" fontId="12" fillId="0" borderId="15" xfId="0" applyFont="1" applyBorder="1" applyAlignment="1">
      <alignment horizontal="justify" vertical="center" wrapText="1"/>
    </xf>
    <xf numFmtId="3" fontId="14" fillId="4" borderId="66" xfId="0" applyNumberFormat="1" applyFont="1" applyFill="1" applyBorder="1" applyAlignment="1">
      <alignment horizontal="justify" vertical="center" wrapText="1"/>
    </xf>
    <xf numFmtId="174" fontId="0" fillId="0" borderId="67" xfId="0" applyBorder="1" applyAlignment="1">
      <alignment horizontal="justify" vertical="center" wrapText="1"/>
    </xf>
    <xf numFmtId="172" fontId="18" fillId="0" borderId="15" xfId="0" applyNumberFormat="1" applyFont="1" applyBorder="1" applyAlignment="1">
      <alignment horizontal="justify" vertical="center" wrapText="1"/>
    </xf>
    <xf numFmtId="3" fontId="20" fillId="0" borderId="3" xfId="0" applyNumberFormat="1" applyFont="1" applyBorder="1" applyAlignment="1">
      <alignment horizontal="center" vertical="center"/>
    </xf>
    <xf numFmtId="3" fontId="18" fillId="0" borderId="34" xfId="0" applyNumberFormat="1" applyFont="1" applyBorder="1" applyAlignment="1">
      <alignment horizontal="justify" vertical="center"/>
    </xf>
    <xf numFmtId="3" fontId="18" fillId="0" borderId="27" xfId="0" applyNumberFormat="1" applyFont="1" applyBorder="1" applyAlignment="1">
      <alignment horizontal="justify" vertical="center"/>
    </xf>
    <xf numFmtId="174" fontId="12" fillId="0" borderId="64" xfId="0" applyFont="1" applyBorder="1" applyAlignment="1">
      <alignment horizontal="justify" vertical="center"/>
    </xf>
    <xf numFmtId="3" fontId="18" fillId="0" borderId="31" xfId="0" applyNumberFormat="1" applyFont="1" applyBorder="1" applyAlignment="1">
      <alignment horizontal="justify" vertical="center"/>
    </xf>
    <xf numFmtId="3" fontId="18" fillId="0" borderId="68" xfId="0" applyNumberFormat="1" applyFont="1" applyBorder="1" applyAlignment="1">
      <alignment horizontal="justify" vertical="center"/>
    </xf>
    <xf numFmtId="3" fontId="18" fillId="0" borderId="18" xfId="0" applyNumberFormat="1" applyFont="1" applyBorder="1" applyAlignment="1">
      <alignment horizontal="left" vertical="center" wrapText="1"/>
    </xf>
    <xf numFmtId="172" fontId="18" fillId="0" borderId="5" xfId="0" applyNumberFormat="1" applyFont="1" applyBorder="1" applyAlignment="1">
      <alignment horizontal="justify" vertical="center" wrapText="1"/>
    </xf>
    <xf numFmtId="172" fontId="12" fillId="0" borderId="5" xfId="0" applyNumberFormat="1" applyFont="1" applyBorder="1" applyAlignment="1">
      <alignment horizontal="justify" vertical="center" wrapText="1"/>
    </xf>
    <xf numFmtId="3" fontId="14" fillId="0" borderId="0" xfId="0" applyNumberFormat="1" applyFont="1" applyAlignment="1">
      <alignment horizontal="justify" vertical="center"/>
    </xf>
    <xf numFmtId="0" fontId="17" fillId="5" borderId="0" xfId="33" applyFont="1" applyFill="1" applyAlignment="1">
      <alignment horizontal="justify" vertical="center"/>
    </xf>
    <xf numFmtId="0" fontId="17" fillId="5" borderId="0" xfId="34" applyFont="1" applyFill="1" applyAlignment="1">
      <alignment horizontal="justify" vertical="center"/>
    </xf>
    <xf numFmtId="0" fontId="20" fillId="0" borderId="49" xfId="34" applyFont="1" applyBorder="1" applyAlignment="1">
      <alignment horizontal="justify" vertical="center" wrapText="1"/>
    </xf>
    <xf numFmtId="0" fontId="20" fillId="0" borderId="3" xfId="34" applyFont="1" applyBorder="1" applyAlignment="1">
      <alignment horizontal="justify" vertical="center" wrapText="1"/>
    </xf>
    <xf numFmtId="0" fontId="46" fillId="0" borderId="8" xfId="28" applyFont="1" applyBorder="1" applyAlignment="1">
      <alignment horizontal="justify" vertical="center" wrapText="1"/>
    </xf>
    <xf numFmtId="0" fontId="20" fillId="0" borderId="33" xfId="33" applyFont="1" applyBorder="1" applyAlignment="1">
      <alignment horizontal="center"/>
    </xf>
    <xf numFmtId="0" fontId="14" fillId="3" borderId="89" xfId="33" applyFont="1" applyFill="1" applyBorder="1" applyAlignment="1">
      <alignment horizontal="justify" vertical="center" wrapText="1"/>
    </xf>
    <xf numFmtId="0" fontId="14" fillId="3" borderId="33" xfId="33" applyFont="1" applyFill="1" applyBorder="1" applyAlignment="1">
      <alignment horizontal="justify" vertical="center" wrapText="1"/>
    </xf>
    <xf numFmtId="0" fontId="46" fillId="0" borderId="51" xfId="28" applyFont="1" applyBorder="1" applyAlignment="1">
      <alignment horizontal="justify" vertical="center" wrapText="1"/>
    </xf>
    <xf numFmtId="0" fontId="14" fillId="3" borderId="89" xfId="34" applyFont="1" applyFill="1" applyBorder="1" applyAlignment="1">
      <alignment horizontal="justify" vertical="center" wrapText="1"/>
    </xf>
    <xf numFmtId="0" fontId="14" fillId="3" borderId="33" xfId="34" applyFont="1" applyFill="1" applyBorder="1" applyAlignment="1">
      <alignment horizontal="justify" vertical="center" wrapText="1"/>
    </xf>
    <xf numFmtId="0" fontId="20" fillId="0" borderId="27" xfId="34" applyFont="1" applyBorder="1" applyAlignment="1">
      <alignment horizontal="justify" vertical="center" wrapText="1"/>
    </xf>
    <xf numFmtId="0" fontId="20" fillId="0" borderId="86" xfId="34" applyFont="1" applyBorder="1" applyAlignment="1">
      <alignment horizontal="justify" vertical="center" wrapText="1"/>
    </xf>
    <xf numFmtId="0" fontId="20" fillId="0" borderId="50" xfId="34" applyFont="1" applyBorder="1" applyAlignment="1">
      <alignment horizontal="justify" vertical="center" wrapText="1"/>
    </xf>
    <xf numFmtId="4" fontId="22" fillId="9" borderId="0" xfId="20" applyNumberFormat="1" applyFont="1" applyFill="1" applyAlignment="1">
      <alignment horizontal="center" vertical="center"/>
    </xf>
    <xf numFmtId="2" fontId="42" fillId="9" borderId="0" xfId="20" applyNumberFormat="1" applyFont="1" applyFill="1" applyAlignment="1">
      <alignment horizontal="justify" vertical="center"/>
    </xf>
    <xf numFmtId="0" fontId="20" fillId="5" borderId="0" xfId="21" applyFont="1" applyFill="1" applyAlignment="1">
      <alignment horizontal="justify" vertical="center"/>
    </xf>
    <xf numFmtId="0" fontId="43" fillId="3" borderId="48" xfId="33" applyFont="1" applyFill="1" applyBorder="1" applyAlignment="1">
      <alignment horizontal="center" vertical="center"/>
    </xf>
    <xf numFmtId="0" fontId="43" fillId="3" borderId="33" xfId="33" applyFont="1" applyFill="1" applyBorder="1" applyAlignment="1">
      <alignment horizontal="center" vertical="center"/>
    </xf>
    <xf numFmtId="0" fontId="43" fillId="3" borderId="51" xfId="33" applyFont="1" applyFill="1" applyBorder="1" applyAlignment="1">
      <alignment horizontal="center" vertical="center"/>
    </xf>
    <xf numFmtId="0" fontId="20" fillId="0" borderId="89" xfId="34" applyFont="1" applyBorder="1" applyAlignment="1">
      <alignment horizontal="justify" vertical="center" wrapText="1"/>
    </xf>
    <xf numFmtId="0" fontId="20" fillId="0" borderId="33" xfId="34" applyFont="1" applyBorder="1" applyAlignment="1">
      <alignment horizontal="justify" vertical="center" wrapText="1"/>
    </xf>
    <xf numFmtId="0" fontId="20" fillId="0" borderId="51" xfId="34" applyFont="1" applyBorder="1" applyAlignment="1">
      <alignment horizontal="justify" vertical="center" wrapText="1"/>
    </xf>
    <xf numFmtId="0" fontId="14" fillId="3" borderId="51" xfId="33" applyFont="1" applyFill="1" applyBorder="1" applyAlignment="1">
      <alignment horizontal="justify" vertical="center" wrapText="1"/>
    </xf>
    <xf numFmtId="0" fontId="14" fillId="3" borderId="51" xfId="34" applyFont="1" applyFill="1" applyBorder="1" applyAlignment="1">
      <alignment horizontal="justify" vertical="center" wrapText="1"/>
    </xf>
    <xf numFmtId="0" fontId="15" fillId="0" borderId="37" xfId="10" applyFont="1" applyBorder="1" applyAlignment="1">
      <alignment horizontal="center" vertical="center"/>
    </xf>
    <xf numFmtId="0" fontId="15" fillId="0" borderId="35" xfId="10" applyFont="1" applyBorder="1" applyAlignment="1">
      <alignment horizontal="center" vertical="center"/>
    </xf>
    <xf numFmtId="0" fontId="15" fillId="0" borderId="36" xfId="10" applyFont="1" applyBorder="1" applyAlignment="1">
      <alignment horizontal="center" vertical="center"/>
    </xf>
    <xf numFmtId="0" fontId="15" fillId="3" borderId="48" xfId="10" applyFont="1" applyFill="1" applyBorder="1" applyAlignment="1">
      <alignment horizontal="center" vertical="center" wrapText="1"/>
    </xf>
    <xf numFmtId="0" fontId="15" fillId="3" borderId="51" xfId="10" applyFont="1" applyFill="1" applyBorder="1" applyAlignment="1">
      <alignment horizontal="center" vertical="center" wrapText="1"/>
    </xf>
    <xf numFmtId="0" fontId="14" fillId="3" borderId="37" xfId="10" applyFont="1" applyFill="1" applyBorder="1" applyAlignment="1">
      <alignment horizontal="center" vertical="center" wrapText="1"/>
    </xf>
    <xf numFmtId="0" fontId="14" fillId="3" borderId="92" xfId="10" applyFont="1" applyFill="1" applyBorder="1" applyAlignment="1">
      <alignment horizontal="center" vertical="center" wrapText="1"/>
    </xf>
    <xf numFmtId="0" fontId="29" fillId="0" borderId="0" xfId="10" applyFont="1" applyAlignment="1">
      <alignment horizontal="center" vertical="center"/>
    </xf>
    <xf numFmtId="0" fontId="14" fillId="0" borderId="48" xfId="10" applyFont="1" applyBorder="1" applyAlignment="1">
      <alignment horizontal="justify" vertical="center" wrapText="1"/>
    </xf>
    <xf numFmtId="0" fontId="14" fillId="0" borderId="33" xfId="10" applyFont="1" applyBorder="1" applyAlignment="1">
      <alignment horizontal="justify" vertical="center" wrapText="1"/>
    </xf>
    <xf numFmtId="0" fontId="14" fillId="0" borderId="51" xfId="10" applyFont="1" applyBorder="1" applyAlignment="1">
      <alignment horizontal="justify" vertical="center" wrapText="1"/>
    </xf>
    <xf numFmtId="0" fontId="13" fillId="3" borderId="19" xfId="10" applyFont="1" applyFill="1" applyBorder="1" applyAlignment="1">
      <alignment horizontal="center" vertical="center"/>
    </xf>
    <xf numFmtId="0" fontId="13" fillId="3" borderId="1" xfId="10" applyFont="1" applyFill="1" applyBorder="1" applyAlignment="1">
      <alignment horizontal="center" vertical="center"/>
    </xf>
    <xf numFmtId="0" fontId="13" fillId="3" borderId="2" xfId="10" applyFont="1" applyFill="1" applyBorder="1" applyAlignment="1">
      <alignment horizontal="center" vertical="center"/>
    </xf>
    <xf numFmtId="0" fontId="13" fillId="3" borderId="19" xfId="10" applyFont="1" applyFill="1" applyBorder="1" applyAlignment="1">
      <alignment horizontal="center" vertical="center" wrapText="1"/>
    </xf>
    <xf numFmtId="0" fontId="13" fillId="3" borderId="1" xfId="10" applyFont="1" applyFill="1" applyBorder="1" applyAlignment="1">
      <alignment horizontal="center" vertical="center" wrapText="1"/>
    </xf>
    <xf numFmtId="0" fontId="13" fillId="3" borderId="2" xfId="10" applyFont="1" applyFill="1" applyBorder="1" applyAlignment="1">
      <alignment horizontal="center" vertical="center" wrapText="1"/>
    </xf>
    <xf numFmtId="0" fontId="68" fillId="14" borderId="48" xfId="38" applyFont="1" applyFill="1" applyBorder="1" applyAlignment="1">
      <alignment horizontal="justify" vertical="center"/>
    </xf>
    <xf numFmtId="0" fontId="68" fillId="14" borderId="33" xfId="38" applyFont="1" applyFill="1" applyBorder="1" applyAlignment="1">
      <alignment horizontal="justify" vertical="center"/>
    </xf>
    <xf numFmtId="0" fontId="68" fillId="14" borderId="51" xfId="38" applyFont="1" applyFill="1" applyBorder="1" applyAlignment="1">
      <alignment horizontal="justify" vertical="center"/>
    </xf>
    <xf numFmtId="0" fontId="68" fillId="0" borderId="0" xfId="38" applyFont="1" applyAlignment="1">
      <alignment horizontal="center" vertical="center"/>
    </xf>
    <xf numFmtId="174" fontId="12" fillId="0" borderId="0" xfId="39" applyAlignment="1">
      <alignment horizontal="center" vertical="center"/>
    </xf>
    <xf numFmtId="44" fontId="70" fillId="0" borderId="0" xfId="38" applyNumberFormat="1" applyFont="1" applyAlignment="1">
      <alignment horizontal="center" vertical="center"/>
    </xf>
    <xf numFmtId="0" fontId="68" fillId="0" borderId="0" xfId="38" applyFont="1" applyAlignment="1">
      <alignment horizontal="justify" vertical="center"/>
    </xf>
    <xf numFmtId="0" fontId="68" fillId="6" borderId="114" xfId="38" applyFont="1" applyFill="1" applyBorder="1" applyAlignment="1">
      <alignment horizontal="center" vertical="center"/>
    </xf>
    <xf numFmtId="0" fontId="68" fillId="6" borderId="86" xfId="38" applyFont="1" applyFill="1" applyBorder="1" applyAlignment="1">
      <alignment horizontal="center" vertical="center"/>
    </xf>
    <xf numFmtId="0" fontId="68" fillId="6" borderId="50" xfId="38" applyFont="1" applyFill="1" applyBorder="1" applyAlignment="1">
      <alignment horizontal="center" vertical="center"/>
    </xf>
    <xf numFmtId="44" fontId="68" fillId="6" borderId="37" xfId="38" applyNumberFormat="1" applyFont="1" applyFill="1" applyBorder="1" applyAlignment="1">
      <alignment horizontal="center" vertical="center" wrapText="1"/>
    </xf>
    <xf numFmtId="44" fontId="68" fillId="6" borderId="36" xfId="38" applyNumberFormat="1" applyFont="1" applyFill="1" applyBorder="1" applyAlignment="1">
      <alignment horizontal="center" vertical="center" wrapText="1"/>
    </xf>
    <xf numFmtId="0" fontId="72" fillId="14" borderId="89" xfId="38" applyFont="1" applyFill="1" applyBorder="1" applyAlignment="1">
      <alignment horizontal="justify" vertical="center"/>
    </xf>
    <xf numFmtId="0" fontId="72" fillId="14" borderId="91" xfId="38" applyFont="1" applyFill="1" applyBorder="1" applyAlignment="1">
      <alignment horizontal="justify" vertical="center"/>
    </xf>
    <xf numFmtId="0" fontId="72" fillId="14" borderId="9" xfId="38" applyFont="1" applyFill="1" applyBorder="1" applyAlignment="1">
      <alignment horizontal="center" vertical="center"/>
    </xf>
    <xf numFmtId="0" fontId="72" fillId="14" borderId="16" xfId="38" applyFont="1" applyFill="1" applyBorder="1" applyAlignment="1">
      <alignment horizontal="center" vertical="center"/>
    </xf>
    <xf numFmtId="0" fontId="71" fillId="0" borderId="27" xfId="38" applyFont="1" applyBorder="1" applyAlignment="1">
      <alignment horizontal="justify" vertical="center"/>
    </xf>
    <xf numFmtId="0" fontId="71" fillId="0" borderId="64" xfId="38" applyFont="1" applyBorder="1" applyAlignment="1">
      <alignment horizontal="justify" vertical="center"/>
    </xf>
    <xf numFmtId="0" fontId="71" fillId="0" borderId="27" xfId="38" applyFont="1" applyBorder="1" applyAlignment="1">
      <alignment horizontal="center" vertical="center"/>
    </xf>
    <xf numFmtId="174" fontId="12" fillId="0" borderId="86" xfId="39" applyBorder="1" applyAlignment="1">
      <alignment horizontal="center" vertical="center"/>
    </xf>
    <xf numFmtId="174" fontId="12" fillId="0" borderId="50" xfId="39" applyBorder="1" applyAlignment="1">
      <alignment horizontal="center" vertical="center"/>
    </xf>
    <xf numFmtId="0" fontId="71" fillId="0" borderId="28" xfId="38" applyFont="1" applyBorder="1" applyAlignment="1">
      <alignment horizontal="justify" vertical="center"/>
    </xf>
    <xf numFmtId="174" fontId="12" fillId="0" borderId="34" xfId="39" applyBorder="1" applyAlignment="1">
      <alignment horizontal="justify" vertical="center"/>
    </xf>
    <xf numFmtId="0" fontId="71" fillId="0" borderId="28" xfId="38" applyFont="1" applyBorder="1" applyAlignment="1">
      <alignment horizontal="center" vertical="center"/>
    </xf>
    <xf numFmtId="174" fontId="12" fillId="0" borderId="26" xfId="39" applyBorder="1" applyAlignment="1">
      <alignment horizontal="center" vertical="center"/>
    </xf>
    <xf numFmtId="174" fontId="12" fillId="0" borderId="38" xfId="39" applyBorder="1" applyAlignment="1">
      <alignment horizontal="center" vertical="center"/>
    </xf>
    <xf numFmtId="0" fontId="71" fillId="0" borderId="28" xfId="38" applyFont="1" applyBorder="1" applyAlignment="1">
      <alignment horizontal="center" vertical="center" wrapText="1"/>
    </xf>
    <xf numFmtId="0" fontId="71" fillId="0" borderId="49" xfId="38" applyFont="1" applyBorder="1" applyAlignment="1">
      <alignment horizontal="justify" vertical="center"/>
    </xf>
    <xf numFmtId="174" fontId="12" fillId="0" borderId="23" xfId="39" applyBorder="1" applyAlignment="1">
      <alignment horizontal="justify" vertical="center"/>
    </xf>
    <xf numFmtId="0" fontId="71" fillId="0" borderId="49" xfId="38" applyFont="1" applyBorder="1" applyAlignment="1">
      <alignment horizontal="center" vertical="center" wrapText="1"/>
    </xf>
    <xf numFmtId="174" fontId="12" fillId="0" borderId="3" xfId="39" applyBorder="1" applyAlignment="1">
      <alignment horizontal="center" vertical="center"/>
    </xf>
    <xf numFmtId="174" fontId="12" fillId="0" borderId="8" xfId="39" applyBorder="1" applyAlignment="1">
      <alignment horizontal="center" vertical="center"/>
    </xf>
    <xf numFmtId="174" fontId="44" fillId="15" borderId="0" xfId="0" applyFont="1" applyFill="1" applyAlignment="1" applyProtection="1">
      <alignment horizontal="center" vertical="center"/>
      <protection locked="0"/>
    </xf>
    <xf numFmtId="174" fontId="43" fillId="0" borderId="0" xfId="0" applyFont="1" applyBorder="1" applyAlignment="1">
      <alignment horizontal="center" vertical="center"/>
    </xf>
    <xf numFmtId="4" fontId="43" fillId="9" borderId="0" xfId="20" applyNumberFormat="1" applyFont="1" applyFill="1" applyAlignment="1">
      <alignment horizontal="center" vertical="center"/>
    </xf>
    <xf numFmtId="0" fontId="22" fillId="0" borderId="0" xfId="10" applyFont="1" applyAlignment="1">
      <alignment horizontal="center" vertical="center"/>
    </xf>
    <xf numFmtId="0" fontId="74" fillId="0" borderId="0" xfId="10" applyFont="1" applyAlignment="1" applyProtection="1">
      <alignment horizontal="center"/>
    </xf>
    <xf numFmtId="0" fontId="74" fillId="0" borderId="0" xfId="10" applyFont="1" applyProtection="1"/>
    <xf numFmtId="0" fontId="74" fillId="0" borderId="3" xfId="10" applyFont="1" applyBorder="1" applyAlignment="1" applyProtection="1">
      <alignment horizontal="center"/>
    </xf>
    <xf numFmtId="0" fontId="75" fillId="0" borderId="48" xfId="10" applyFont="1" applyBorder="1" applyAlignment="1" applyProtection="1">
      <alignment horizontal="center" vertical="center"/>
    </xf>
    <xf numFmtId="0" fontId="75" fillId="0" borderId="33" xfId="10" applyFont="1" applyBorder="1" applyAlignment="1" applyProtection="1">
      <alignment horizontal="center" vertical="center"/>
    </xf>
    <xf numFmtId="0" fontId="75" fillId="0" borderId="51" xfId="10" applyFont="1" applyBorder="1" applyAlignment="1" applyProtection="1">
      <alignment horizontal="center" vertical="center"/>
    </xf>
    <xf numFmtId="0" fontId="74" fillId="0" borderId="19" xfId="10" applyFont="1" applyBorder="1" applyProtection="1"/>
    <xf numFmtId="0" fontId="74" fillId="0" borderId="20" xfId="10" applyFont="1" applyBorder="1" applyProtection="1"/>
    <xf numFmtId="0" fontId="74" fillId="0" borderId="21" xfId="10" applyFont="1" applyBorder="1" applyProtection="1"/>
    <xf numFmtId="0" fontId="75" fillId="0" borderId="84" xfId="10" quotePrefix="1" applyFont="1" applyBorder="1" applyProtection="1"/>
    <xf numFmtId="0" fontId="74" fillId="0" borderId="73" xfId="10" applyFont="1" applyBorder="1" applyProtection="1"/>
    <xf numFmtId="0" fontId="74" fillId="0" borderId="116" xfId="10" applyFont="1" applyBorder="1" applyProtection="1"/>
    <xf numFmtId="0" fontId="74" fillId="0" borderId="1" xfId="10" applyFont="1" applyBorder="1" applyProtection="1"/>
    <xf numFmtId="0" fontId="74" fillId="0" borderId="7" xfId="10" applyFont="1" applyBorder="1" applyProtection="1"/>
    <xf numFmtId="0" fontId="74" fillId="0" borderId="84" xfId="10" applyFont="1" applyBorder="1" applyAlignment="1" applyProtection="1">
      <alignment horizontal="justify"/>
    </xf>
    <xf numFmtId="0" fontId="74" fillId="0" borderId="73" xfId="10" applyFont="1" applyBorder="1" applyAlignment="1" applyProtection="1">
      <alignment horizontal="justify"/>
    </xf>
    <xf numFmtId="0" fontId="74" fillId="0" borderId="116" xfId="10" applyFont="1" applyBorder="1" applyAlignment="1" applyProtection="1">
      <alignment horizontal="justify"/>
    </xf>
    <xf numFmtId="0" fontId="74" fillId="0" borderId="84" xfId="10" applyFont="1" applyBorder="1" applyAlignment="1" applyProtection="1">
      <alignment horizontal="justify" vertical="center" wrapText="1"/>
    </xf>
    <xf numFmtId="0" fontId="74" fillId="0" borderId="73" xfId="10" applyFont="1" applyBorder="1" applyAlignment="1" applyProtection="1">
      <alignment horizontal="justify" vertical="center" wrapText="1"/>
    </xf>
    <xf numFmtId="0" fontId="74" fillId="0" borderId="116" xfId="10" applyFont="1" applyBorder="1" applyAlignment="1" applyProtection="1">
      <alignment horizontal="justify" vertical="center" wrapText="1"/>
    </xf>
    <xf numFmtId="0" fontId="74" fillId="0" borderId="0" xfId="10" applyFont="1" applyAlignment="1" applyProtection="1">
      <alignment horizontal="justify"/>
    </xf>
    <xf numFmtId="0" fontId="75" fillId="0" borderId="1" xfId="10" applyFont="1" applyBorder="1" applyAlignment="1" applyProtection="1">
      <alignment vertical="center" wrapText="1"/>
    </xf>
    <xf numFmtId="0" fontId="75" fillId="0" borderId="0" xfId="10" applyFont="1" applyAlignment="1" applyProtection="1">
      <alignment vertical="center" wrapText="1"/>
    </xf>
    <xf numFmtId="0" fontId="75" fillId="0" borderId="7" xfId="10" applyFont="1" applyBorder="1" applyAlignment="1" applyProtection="1">
      <alignment vertical="center" wrapText="1"/>
    </xf>
    <xf numFmtId="0" fontId="75" fillId="0" borderId="1" xfId="10" applyFont="1" applyBorder="1" applyAlignment="1" applyProtection="1">
      <alignment horizontal="center" vertical="center" wrapText="1"/>
    </xf>
    <xf numFmtId="0" fontId="75" fillId="0" borderId="117" xfId="10" applyFont="1" applyBorder="1" applyAlignment="1" applyProtection="1">
      <alignment horizontal="justify" vertical="center" wrapText="1"/>
    </xf>
    <xf numFmtId="0" fontId="75" fillId="0" borderId="118" xfId="10" applyFont="1" applyBorder="1" applyAlignment="1" applyProtection="1">
      <alignment horizontal="justify" vertical="center" wrapText="1"/>
    </xf>
    <xf numFmtId="0" fontId="75" fillId="0" borderId="119" xfId="10" applyFont="1" applyBorder="1" applyAlignment="1" applyProtection="1">
      <alignment horizontal="justify" vertical="center" wrapText="1"/>
    </xf>
    <xf numFmtId="0" fontId="75" fillId="0" borderId="2" xfId="10" applyFont="1" applyBorder="1" applyAlignment="1" applyProtection="1">
      <alignment horizontal="justify" vertical="center" wrapText="1"/>
    </xf>
    <xf numFmtId="0" fontId="75" fillId="0" borderId="3" xfId="10" applyFont="1" applyBorder="1" applyAlignment="1" applyProtection="1">
      <alignment horizontal="justify" vertical="center" wrapText="1"/>
    </xf>
    <xf numFmtId="0" fontId="75" fillId="0" borderId="8" xfId="10" applyFont="1" applyBorder="1" applyAlignment="1" applyProtection="1">
      <alignment horizontal="justify" vertical="center" wrapText="1"/>
    </xf>
    <xf numFmtId="44" fontId="74" fillId="0" borderId="0" xfId="40" applyNumberFormat="1" applyFont="1" applyAlignment="1" applyProtection="1">
      <alignment vertical="center"/>
    </xf>
    <xf numFmtId="0" fontId="12" fillId="0" borderId="0" xfId="10" applyAlignment="1" applyProtection="1">
      <alignment vertical="center"/>
    </xf>
    <xf numFmtId="49" fontId="74" fillId="0" borderId="0" xfId="40" applyNumberFormat="1" applyFont="1" applyAlignment="1" applyProtection="1">
      <alignment vertical="center"/>
    </xf>
    <xf numFmtId="166" fontId="49" fillId="0" borderId="0" xfId="0" applyNumberFormat="1" applyFont="1" applyAlignment="1" applyProtection="1">
      <alignment horizontal="center" vertical="center"/>
    </xf>
    <xf numFmtId="2" fontId="20" fillId="0" borderId="0" xfId="0" applyNumberFormat="1" applyFont="1" applyAlignment="1" applyProtection="1">
      <alignment horizontal="center" vertical="center"/>
    </xf>
    <xf numFmtId="1" fontId="20" fillId="0" borderId="0" xfId="0" applyNumberFormat="1" applyFont="1" applyAlignment="1" applyProtection="1">
      <alignment horizontal="center" vertical="center"/>
    </xf>
    <xf numFmtId="174" fontId="0" fillId="0" borderId="0" xfId="0" applyAlignment="1" applyProtection="1">
      <alignment vertical="center"/>
    </xf>
    <xf numFmtId="174" fontId="0" fillId="0" borderId="0" xfId="0" applyProtection="1"/>
    <xf numFmtId="2" fontId="0" fillId="0" borderId="0" xfId="0" applyNumberFormat="1" applyAlignment="1" applyProtection="1">
      <alignment vertic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/>
    <xf numFmtId="174" fontId="20" fillId="0" borderId="0" xfId="0" applyFont="1" applyAlignment="1" applyProtection="1">
      <alignment vertical="center"/>
    </xf>
    <xf numFmtId="174" fontId="20" fillId="0" borderId="0" xfId="0" applyFont="1" applyAlignment="1" applyProtection="1">
      <alignment vertical="top"/>
    </xf>
    <xf numFmtId="174" fontId="14" fillId="0" borderId="0" xfId="0" applyFont="1" applyAlignment="1" applyProtection="1">
      <alignment horizontal="center" vertical="center"/>
    </xf>
    <xf numFmtId="174" fontId="50" fillId="0" borderId="0" xfId="0" applyFont="1" applyAlignment="1" applyProtection="1">
      <alignment vertical="center"/>
    </xf>
    <xf numFmtId="174" fontId="20" fillId="0" borderId="0" xfId="0" applyFont="1" applyAlignment="1" applyProtection="1">
      <alignment horizontal="center" vertical="center"/>
    </xf>
    <xf numFmtId="174" fontId="20" fillId="0" borderId="0" xfId="0" applyFont="1" applyAlignment="1" applyProtection="1">
      <alignment horizontal="justify" vertical="center"/>
    </xf>
    <xf numFmtId="4" fontId="20" fillId="0" borderId="0" xfId="0" applyNumberFormat="1" applyFont="1" applyAlignment="1" applyProtection="1">
      <alignment horizontal="center" vertical="center"/>
    </xf>
    <xf numFmtId="167" fontId="20" fillId="0" borderId="0" xfId="0" applyNumberFormat="1" applyFont="1" applyAlignment="1" applyProtection="1">
      <alignment vertical="center"/>
    </xf>
    <xf numFmtId="167" fontId="20" fillId="0" borderId="0" xfId="0" applyNumberFormat="1" applyFont="1" applyAlignment="1" applyProtection="1">
      <alignment horizontal="center" vertical="center"/>
    </xf>
    <xf numFmtId="171" fontId="20" fillId="0" borderId="0" xfId="0" applyNumberFormat="1" applyFont="1" applyAlignment="1" applyProtection="1">
      <alignment horizontal="center" vertical="center"/>
    </xf>
    <xf numFmtId="169" fontId="13" fillId="0" borderId="48" xfId="0" applyNumberFormat="1" applyFont="1" applyBorder="1" applyAlignment="1" applyProtection="1">
      <alignment horizontal="justify" vertical="center" wrapText="1"/>
    </xf>
    <xf numFmtId="169" fontId="13" fillId="0" borderId="33" xfId="0" applyNumberFormat="1" applyFont="1" applyBorder="1" applyAlignment="1" applyProtection="1">
      <alignment horizontal="justify" vertical="center" wrapText="1"/>
    </xf>
    <xf numFmtId="169" fontId="13" fillId="0" borderId="51" xfId="0" applyNumberFormat="1" applyFont="1" applyBorder="1" applyAlignment="1" applyProtection="1">
      <alignment horizontal="justify" vertical="center" wrapText="1"/>
    </xf>
    <xf numFmtId="174" fontId="20" fillId="0" borderId="37" xfId="0" applyFont="1" applyBorder="1" applyAlignment="1" applyProtection="1">
      <alignment horizontal="center" vertical="center"/>
    </xf>
    <xf numFmtId="174" fontId="14" fillId="0" borderId="83" xfId="0" applyFont="1" applyBorder="1" applyAlignment="1" applyProtection="1">
      <alignment horizontal="justify" vertical="center"/>
    </xf>
    <xf numFmtId="174" fontId="14" fillId="0" borderId="74" xfId="0" applyFont="1" applyBorder="1" applyAlignment="1" applyProtection="1">
      <alignment horizontal="justify" vertical="center"/>
    </xf>
    <xf numFmtId="174" fontId="14" fillId="0" borderId="70" xfId="0" applyFont="1" applyBorder="1" applyAlignment="1" applyProtection="1">
      <alignment horizontal="justify" vertical="center"/>
    </xf>
    <xf numFmtId="4" fontId="55" fillId="0" borderId="77" xfId="0" applyNumberFormat="1" applyFont="1" applyBorder="1" applyAlignment="1" applyProtection="1">
      <alignment horizontal="center" vertical="center" wrapText="1"/>
    </xf>
    <xf numFmtId="179" fontId="14" fillId="0" borderId="78" xfId="0" applyNumberFormat="1" applyFont="1" applyBorder="1" applyAlignment="1" applyProtection="1">
      <alignment horizontal="center" vertical="center"/>
    </xf>
    <xf numFmtId="174" fontId="20" fillId="0" borderId="36" xfId="0" applyFont="1" applyBorder="1" applyAlignment="1" applyProtection="1">
      <alignment horizontal="center" vertical="center"/>
    </xf>
    <xf numFmtId="174" fontId="14" fillId="0" borderId="85" xfId="0" applyFont="1" applyBorder="1" applyAlignment="1" applyProtection="1">
      <alignment horizontal="justify" vertical="center"/>
    </xf>
    <xf numFmtId="174" fontId="0" fillId="0" borderId="105" xfId="0" applyBorder="1" applyAlignment="1" applyProtection="1">
      <alignment horizontal="justify" vertical="center"/>
    </xf>
    <xf numFmtId="174" fontId="0" fillId="0" borderId="106" xfId="0" applyBorder="1" applyAlignment="1" applyProtection="1">
      <alignment horizontal="justify" vertical="center"/>
    </xf>
    <xf numFmtId="4" fontId="55" fillId="0" borderId="79" xfId="0" applyNumberFormat="1" applyFont="1" applyBorder="1" applyAlignment="1" applyProtection="1">
      <alignment horizontal="center" vertical="center" wrapText="1"/>
    </xf>
    <xf numFmtId="179" fontId="14" fillId="0" borderId="80" xfId="0" applyNumberFormat="1" applyFont="1" applyBorder="1" applyAlignment="1" applyProtection="1">
      <alignment horizontal="center" vertical="center"/>
    </xf>
    <xf numFmtId="167" fontId="20" fillId="0" borderId="0" xfId="0" applyNumberFormat="1" applyFont="1" applyAlignment="1" applyProtection="1">
      <alignment horizontal="right" vertical="center"/>
    </xf>
    <xf numFmtId="174" fontId="57" fillId="0" borderId="48" xfId="0" applyFont="1" applyBorder="1" applyAlignment="1" applyProtection="1">
      <alignment horizontal="center" vertical="center"/>
    </xf>
    <xf numFmtId="174" fontId="57" fillId="0" borderId="33" xfId="0" applyFont="1" applyBorder="1" applyAlignment="1" applyProtection="1">
      <alignment horizontal="center" vertical="center"/>
    </xf>
    <xf numFmtId="174" fontId="57" fillId="0" borderId="51" xfId="0" applyFont="1" applyBorder="1" applyAlignment="1" applyProtection="1">
      <alignment horizontal="center" vertical="center"/>
    </xf>
    <xf numFmtId="169" fontId="14" fillId="14" borderId="4" xfId="0" applyNumberFormat="1" applyFont="1" applyFill="1" applyBorder="1" applyAlignment="1" applyProtection="1">
      <alignment horizontal="center" vertical="center"/>
    </xf>
    <xf numFmtId="174" fontId="14" fillId="14" borderId="5" xfId="0" applyFont="1" applyFill="1" applyBorder="1" applyAlignment="1" applyProtection="1">
      <alignment horizontal="justify" vertical="center"/>
    </xf>
    <xf numFmtId="174" fontId="14" fillId="14" borderId="5" xfId="0" applyFont="1" applyFill="1" applyBorder="1" applyAlignment="1" applyProtection="1">
      <alignment horizontal="center" vertical="center"/>
    </xf>
    <xf numFmtId="4" fontId="14" fillId="14" borderId="5" xfId="0" applyNumberFormat="1" applyFont="1" applyFill="1" applyBorder="1" applyAlignment="1" applyProtection="1">
      <alignment horizontal="center" vertical="center"/>
    </xf>
    <xf numFmtId="167" fontId="14" fillId="14" borderId="27" xfId="0" applyNumberFormat="1" applyFont="1" applyFill="1" applyBorder="1" applyAlignment="1" applyProtection="1">
      <alignment horizontal="center" vertical="center"/>
    </xf>
    <xf numFmtId="4" fontId="14" fillId="14" borderId="4" xfId="0" applyNumberFormat="1" applyFont="1" applyFill="1" applyBorder="1" applyAlignment="1" applyProtection="1">
      <alignment horizontal="center" vertical="center"/>
    </xf>
    <xf numFmtId="4" fontId="14" fillId="14" borderId="5" xfId="0" applyNumberFormat="1" applyFont="1" applyFill="1" applyBorder="1" applyAlignment="1" applyProtection="1">
      <alignment horizontal="center" vertical="center"/>
    </xf>
    <xf numFmtId="4" fontId="14" fillId="14" borderId="6" xfId="0" applyNumberFormat="1" applyFont="1" applyFill="1" applyBorder="1" applyAlignment="1" applyProtection="1">
      <alignment horizontal="center" vertical="center"/>
    </xf>
    <xf numFmtId="167" fontId="14" fillId="14" borderId="5" xfId="0" applyNumberFormat="1" applyFont="1" applyFill="1" applyBorder="1" applyAlignment="1" applyProtection="1">
      <alignment horizontal="center" vertical="center"/>
    </xf>
    <xf numFmtId="171" fontId="14" fillId="14" borderId="6" xfId="0" applyNumberFormat="1" applyFont="1" applyFill="1" applyBorder="1" applyAlignment="1" applyProtection="1">
      <alignment horizontal="center" vertical="center"/>
    </xf>
    <xf numFmtId="174" fontId="14" fillId="14" borderId="13" xfId="0" applyFont="1" applyFill="1" applyBorder="1" applyAlignment="1" applyProtection="1">
      <alignment horizontal="center" vertical="center"/>
    </xf>
    <xf numFmtId="174" fontId="14" fillId="14" borderId="15" xfId="0" applyFont="1" applyFill="1" applyBorder="1" applyAlignment="1" applyProtection="1">
      <alignment horizontal="justify" vertical="center"/>
    </xf>
    <xf numFmtId="174" fontId="14" fillId="14" borderId="15" xfId="0" applyFont="1" applyFill="1" applyBorder="1" applyAlignment="1" applyProtection="1">
      <alignment horizontal="center" vertical="center"/>
    </xf>
    <xf numFmtId="4" fontId="14" fillId="14" borderId="15" xfId="0" applyNumberFormat="1" applyFont="1" applyFill="1" applyBorder="1" applyAlignment="1" applyProtection="1">
      <alignment horizontal="center" vertical="center"/>
    </xf>
    <xf numFmtId="167" fontId="14" fillId="14" borderId="31" xfId="0" applyNumberFormat="1" applyFont="1" applyFill="1" applyBorder="1" applyAlignment="1" applyProtection="1">
      <alignment horizontal="center" vertical="center"/>
    </xf>
    <xf numFmtId="4" fontId="14" fillId="14" borderId="13" xfId="0" applyNumberFormat="1" applyFont="1" applyFill="1" applyBorder="1" applyAlignment="1" applyProtection="1">
      <alignment horizontal="center" vertical="center"/>
    </xf>
    <xf numFmtId="4" fontId="14" fillId="14" borderId="15" xfId="0" applyNumberFormat="1" applyFont="1" applyFill="1" applyBorder="1" applyAlignment="1" applyProtection="1">
      <alignment horizontal="center" vertical="center"/>
    </xf>
    <xf numFmtId="4" fontId="14" fillId="14" borderId="25" xfId="0" applyNumberFormat="1" applyFont="1" applyFill="1" applyBorder="1" applyAlignment="1" applyProtection="1">
      <alignment horizontal="center" vertical="center"/>
    </xf>
    <xf numFmtId="167" fontId="14" fillId="14" borderId="15" xfId="0" applyNumberFormat="1" applyFont="1" applyFill="1" applyBorder="1" applyAlignment="1" applyProtection="1">
      <alignment horizontal="center" vertical="center"/>
    </xf>
    <xf numFmtId="171" fontId="14" fillId="14" borderId="25" xfId="0" applyNumberFormat="1" applyFont="1" applyFill="1" applyBorder="1" applyAlignment="1" applyProtection="1">
      <alignment horizontal="center" vertical="center"/>
    </xf>
    <xf numFmtId="169" fontId="14" fillId="14" borderId="5" xfId="0" applyNumberFormat="1" applyFont="1" applyFill="1" applyBorder="1" applyAlignment="1" applyProtection="1">
      <alignment horizontal="left" vertical="center" wrapText="1"/>
    </xf>
    <xf numFmtId="174" fontId="14" fillId="14" borderId="27" xfId="0" applyFont="1" applyFill="1" applyBorder="1" applyAlignment="1" applyProtection="1">
      <alignment horizontal="center" vertical="center"/>
    </xf>
    <xf numFmtId="40" fontId="14" fillId="14" borderId="64" xfId="0" applyNumberFormat="1" applyFont="1" applyFill="1" applyBorder="1" applyAlignment="1" applyProtection="1">
      <alignment horizontal="center" vertical="center"/>
    </xf>
    <xf numFmtId="40" fontId="14" fillId="14" borderId="5" xfId="0" applyNumberFormat="1" applyFont="1" applyFill="1" applyBorder="1" applyAlignment="1" applyProtection="1">
      <alignment horizontal="center" vertical="center"/>
    </xf>
    <xf numFmtId="40" fontId="14" fillId="14" borderId="6" xfId="0" applyNumberFormat="1" applyFont="1" applyFill="1" applyBorder="1" applyAlignment="1" applyProtection="1">
      <alignment horizontal="center" vertical="center"/>
    </xf>
    <xf numFmtId="167" fontId="14" fillId="14" borderId="4" xfId="0" applyNumberFormat="1" applyFont="1" applyFill="1" applyBorder="1" applyAlignment="1" applyProtection="1">
      <alignment horizontal="center" vertical="center"/>
    </xf>
    <xf numFmtId="2" fontId="20" fillId="0" borderId="0" xfId="0" applyNumberFormat="1" applyFont="1" applyAlignment="1" applyProtection="1">
      <alignment vertical="center"/>
    </xf>
    <xf numFmtId="169" fontId="14" fillId="14" borderId="13" xfId="0" applyNumberFormat="1" applyFont="1" applyFill="1" applyBorder="1" applyAlignment="1" applyProtection="1">
      <alignment horizontal="center" vertical="center"/>
    </xf>
    <xf numFmtId="169" fontId="14" fillId="14" borderId="15" xfId="0" applyNumberFormat="1" applyFont="1" applyFill="1" applyBorder="1" applyAlignment="1" applyProtection="1">
      <alignment horizontal="left" vertical="center" wrapText="1"/>
    </xf>
    <xf numFmtId="174" fontId="14" fillId="14" borderId="31" xfId="0" applyFont="1" applyFill="1" applyBorder="1" applyAlignment="1" applyProtection="1">
      <alignment horizontal="center" vertical="center"/>
    </xf>
    <xf numFmtId="167" fontId="14" fillId="14" borderId="13" xfId="0" applyNumberFormat="1" applyFont="1" applyFill="1" applyBorder="1" applyAlignment="1" applyProtection="1">
      <alignment horizontal="center" vertical="center"/>
    </xf>
    <xf numFmtId="2" fontId="14" fillId="0" borderId="22" xfId="0" applyNumberFormat="1" applyFont="1" applyBorder="1" applyAlignment="1" applyProtection="1">
      <alignment horizontal="center" vertical="center"/>
    </xf>
    <xf numFmtId="174" fontId="14" fillId="0" borderId="0" xfId="0" applyFont="1" applyAlignment="1" applyProtection="1">
      <alignment vertical="center"/>
    </xf>
    <xf numFmtId="174" fontId="20" fillId="0" borderId="4" xfId="24" applyFont="1" applyBorder="1" applyAlignment="1" applyProtection="1">
      <alignment horizontal="center" vertical="center"/>
    </xf>
    <xf numFmtId="174" fontId="20" fillId="0" borderId="27" xfId="24" applyFont="1" applyBorder="1" applyAlignment="1" applyProtection="1">
      <alignment vertical="center"/>
    </xf>
    <xf numFmtId="4" fontId="20" fillId="0" borderId="5" xfId="24" applyNumberFormat="1" applyFont="1" applyBorder="1" applyAlignment="1" applyProtection="1">
      <alignment horizontal="center" vertical="center"/>
    </xf>
    <xf numFmtId="4" fontId="20" fillId="0" borderId="5" xfId="5" applyNumberFormat="1" applyFont="1" applyFill="1" applyBorder="1" applyAlignment="1" applyProtection="1">
      <alignment horizontal="center" vertical="center"/>
    </xf>
    <xf numFmtId="167" fontId="20" fillId="0" borderId="27" xfId="5" applyNumberFormat="1" applyFont="1" applyBorder="1" applyAlignment="1" applyProtection="1">
      <alignment horizontal="center" vertical="center"/>
    </xf>
    <xf numFmtId="4" fontId="20" fillId="14" borderId="4" xfId="5" applyNumberFormat="1" applyFont="1" applyFill="1" applyBorder="1" applyAlignment="1" applyProtection="1">
      <alignment horizontal="center" vertical="center"/>
    </xf>
    <xf numFmtId="4" fontId="20" fillId="14" borderId="5" xfId="5" applyNumberFormat="1" applyFont="1" applyFill="1" applyBorder="1" applyAlignment="1" applyProtection="1">
      <alignment horizontal="center" vertical="center"/>
    </xf>
    <xf numFmtId="4" fontId="20" fillId="14" borderId="27" xfId="5" applyNumberFormat="1" applyFont="1" applyFill="1" applyBorder="1" applyAlignment="1" applyProtection="1">
      <alignment horizontal="center" vertical="center"/>
    </xf>
    <xf numFmtId="40" fontId="20" fillId="14" borderId="4" xfId="5" applyNumberFormat="1" applyFont="1" applyFill="1" applyBorder="1" applyAlignment="1" applyProtection="1">
      <alignment horizontal="center" vertical="center"/>
    </xf>
    <xf numFmtId="40" fontId="20" fillId="14" borderId="5" xfId="5" applyNumberFormat="1" applyFont="1" applyFill="1" applyBorder="1" applyAlignment="1" applyProtection="1">
      <alignment horizontal="center" vertical="center"/>
    </xf>
    <xf numFmtId="40" fontId="20" fillId="14" borderId="6" xfId="5" applyNumberFormat="1" applyFont="1" applyFill="1" applyBorder="1" applyAlignment="1" applyProtection="1">
      <alignment horizontal="center" vertical="center"/>
    </xf>
    <xf numFmtId="167" fontId="20" fillId="0" borderId="4" xfId="24" applyNumberFormat="1" applyFont="1" applyBorder="1" applyAlignment="1" applyProtection="1">
      <alignment horizontal="right" vertical="center"/>
    </xf>
    <xf numFmtId="171" fontId="20" fillId="0" borderId="6" xfId="24" applyNumberFormat="1" applyFont="1" applyBorder="1" applyAlignment="1" applyProtection="1">
      <alignment horizontal="center" vertical="center"/>
    </xf>
    <xf numFmtId="174" fontId="20" fillId="0" borderId="10" xfId="24" applyFont="1" applyBorder="1" applyAlignment="1" applyProtection="1">
      <alignment horizontal="center" vertical="center"/>
    </xf>
    <xf numFmtId="1" fontId="20" fillId="0" borderId="10" xfId="24" applyNumberFormat="1" applyFont="1" applyBorder="1" applyAlignment="1" applyProtection="1">
      <alignment horizontal="center" vertical="center"/>
    </xf>
    <xf numFmtId="174" fontId="12" fillId="0" borderId="0" xfId="0" applyFont="1" applyAlignment="1" applyProtection="1">
      <alignment vertical="center"/>
    </xf>
    <xf numFmtId="0" fontId="12" fillId="0" borderId="0" xfId="0" applyNumberFormat="1" applyFont="1" applyAlignment="1" applyProtection="1">
      <alignment horizontal="center" vertical="center"/>
    </xf>
    <xf numFmtId="174" fontId="0" fillId="0" borderId="0" xfId="0" applyAlignment="1" applyProtection="1">
      <alignment horizontal="center" vertical="center"/>
    </xf>
    <xf numFmtId="174" fontId="20" fillId="0" borderId="0" xfId="24" applyFont="1" applyAlignment="1" applyProtection="1">
      <alignment vertical="center"/>
    </xf>
    <xf numFmtId="174" fontId="20" fillId="0" borderId="11" xfId="24" applyFont="1" applyBorder="1" applyAlignment="1" applyProtection="1">
      <alignment horizontal="center" vertical="center"/>
    </xf>
    <xf numFmtId="174" fontId="20" fillId="0" borderId="28" xfId="24" applyFont="1" applyBorder="1" applyAlignment="1" applyProtection="1">
      <alignment vertical="center"/>
    </xf>
    <xf numFmtId="4" fontId="20" fillId="0" borderId="10" xfId="24" applyNumberFormat="1" applyFont="1" applyBorder="1" applyAlignment="1" applyProtection="1">
      <alignment horizontal="center" vertical="center"/>
    </xf>
    <xf numFmtId="4" fontId="20" fillId="0" borderId="10" xfId="5" applyNumberFormat="1" applyFont="1" applyFill="1" applyBorder="1" applyAlignment="1" applyProtection="1">
      <alignment horizontal="center" vertical="center"/>
    </xf>
    <xf numFmtId="167" fontId="20" fillId="0" borderId="28" xfId="5" applyNumberFormat="1" applyFont="1" applyBorder="1" applyAlignment="1" applyProtection="1">
      <alignment horizontal="center" vertical="center"/>
    </xf>
    <xf numFmtId="4" fontId="20" fillId="14" borderId="12" xfId="5" applyNumberFormat="1" applyFont="1" applyFill="1" applyBorder="1" applyAlignment="1" applyProtection="1">
      <alignment horizontal="center" vertical="center"/>
    </xf>
    <xf numFmtId="4" fontId="20" fillId="14" borderId="10" xfId="5" applyNumberFormat="1" applyFont="1" applyFill="1" applyBorder="1" applyAlignment="1" applyProtection="1">
      <alignment horizontal="center" vertical="center"/>
    </xf>
    <xf numFmtId="4" fontId="20" fillId="14" borderId="28" xfId="5" applyNumberFormat="1" applyFont="1" applyFill="1" applyBorder="1" applyAlignment="1" applyProtection="1">
      <alignment horizontal="center" vertical="center"/>
    </xf>
    <xf numFmtId="40" fontId="20" fillId="14" borderId="12" xfId="5" applyNumberFormat="1" applyFont="1" applyFill="1" applyBorder="1" applyAlignment="1" applyProtection="1">
      <alignment horizontal="center" vertical="center"/>
    </xf>
    <xf numFmtId="40" fontId="20" fillId="14" borderId="10" xfId="5" applyNumberFormat="1" applyFont="1" applyFill="1" applyBorder="1" applyAlignment="1" applyProtection="1">
      <alignment horizontal="center" vertical="center"/>
    </xf>
    <xf numFmtId="40" fontId="20" fillId="14" borderId="17" xfId="5" applyNumberFormat="1" applyFont="1" applyFill="1" applyBorder="1" applyAlignment="1" applyProtection="1">
      <alignment horizontal="center" vertical="center"/>
    </xf>
    <xf numFmtId="167" fontId="20" fillId="0" borderId="12" xfId="24" applyNumberFormat="1" applyFont="1" applyBorder="1" applyAlignment="1" applyProtection="1">
      <alignment horizontal="right" vertical="center"/>
    </xf>
    <xf numFmtId="171" fontId="20" fillId="0" borderId="17" xfId="24" applyNumberFormat="1" applyFont="1" applyBorder="1" applyAlignment="1" applyProtection="1">
      <alignment horizontal="center" vertical="center"/>
    </xf>
    <xf numFmtId="174" fontId="20" fillId="0" borderId="94" xfId="24" applyFont="1" applyBorder="1" applyAlignment="1" applyProtection="1">
      <alignment horizontal="center" vertical="center"/>
    </xf>
    <xf numFmtId="174" fontId="20" fillId="0" borderId="31" xfId="24" applyFont="1" applyBorder="1" applyAlignment="1" applyProtection="1">
      <alignment vertical="center"/>
    </xf>
    <xf numFmtId="4" fontId="20" fillId="0" borderId="15" xfId="24" applyNumberFormat="1" applyFont="1" applyBorder="1" applyAlignment="1" applyProtection="1">
      <alignment horizontal="center" vertical="center"/>
    </xf>
    <xf numFmtId="4" fontId="20" fillId="0" borderId="15" xfId="5" applyNumberFormat="1" applyFont="1" applyFill="1" applyBorder="1" applyAlignment="1" applyProtection="1">
      <alignment horizontal="center" vertical="center"/>
    </xf>
    <xf numFmtId="167" fontId="20" fillId="0" borderId="31" xfId="5" applyNumberFormat="1" applyFont="1" applyFill="1" applyBorder="1" applyAlignment="1" applyProtection="1">
      <alignment horizontal="center" vertical="center"/>
    </xf>
    <xf numFmtId="4" fontId="20" fillId="14" borderId="31" xfId="5" applyNumberFormat="1" applyFont="1" applyFill="1" applyBorder="1" applyAlignment="1" applyProtection="1">
      <alignment horizontal="center" vertical="center"/>
    </xf>
    <xf numFmtId="40" fontId="20" fillId="14" borderId="13" xfId="5" applyNumberFormat="1" applyFont="1" applyFill="1" applyBorder="1" applyAlignment="1" applyProtection="1">
      <alignment horizontal="center" vertical="center"/>
    </xf>
    <xf numFmtId="167" fontId="20" fillId="0" borderId="13" xfId="24" applyNumberFormat="1" applyFont="1" applyBorder="1" applyAlignment="1" applyProtection="1">
      <alignment horizontal="right" vertical="center"/>
    </xf>
    <xf numFmtId="171" fontId="20" fillId="0" borderId="25" xfId="24" applyNumberFormat="1" applyFont="1" applyBorder="1" applyAlignment="1" applyProtection="1">
      <alignment horizontal="center" vertical="center"/>
    </xf>
    <xf numFmtId="174" fontId="20" fillId="0" borderId="0" xfId="0" applyFont="1" applyAlignment="1" applyProtection="1">
      <alignment horizontal="justify" vertical="center" wrapText="1"/>
    </xf>
    <xf numFmtId="174" fontId="12" fillId="0" borderId="0" xfId="0" applyFont="1" applyProtection="1"/>
    <xf numFmtId="169" fontId="14" fillId="14" borderId="95" xfId="0" applyNumberFormat="1" applyFont="1" applyFill="1" applyBorder="1" applyAlignment="1" applyProtection="1">
      <alignment horizontal="center" vertical="center"/>
    </xf>
    <xf numFmtId="174" fontId="14" fillId="14" borderId="96" xfId="0" applyFont="1" applyFill="1" applyBorder="1" applyAlignment="1" applyProtection="1">
      <alignment horizontal="justify" vertical="center" wrapText="1"/>
    </xf>
    <xf numFmtId="174" fontId="14" fillId="14" borderId="66" xfId="0" applyFont="1" applyFill="1" applyBorder="1" applyAlignment="1" applyProtection="1">
      <alignment horizontal="center" vertical="center"/>
    </xf>
    <xf numFmtId="174" fontId="14" fillId="14" borderId="20" xfId="0" applyFont="1" applyFill="1" applyBorder="1" applyAlignment="1" applyProtection="1">
      <alignment horizontal="center" vertical="center"/>
    </xf>
    <xf numFmtId="174" fontId="14" fillId="14" borderId="21" xfId="0" applyFont="1" applyFill="1" applyBorder="1" applyAlignment="1" applyProtection="1">
      <alignment horizontal="center" vertical="center"/>
    </xf>
    <xf numFmtId="167" fontId="14" fillId="14" borderId="95" xfId="0" applyNumberFormat="1" applyFont="1" applyFill="1" applyBorder="1" applyAlignment="1" applyProtection="1">
      <alignment horizontal="center" vertical="center"/>
    </xf>
    <xf numFmtId="169" fontId="14" fillId="14" borderId="94" xfId="0" applyNumberFormat="1" applyFont="1" applyFill="1" applyBorder="1" applyAlignment="1" applyProtection="1">
      <alignment horizontal="center" vertical="center"/>
    </xf>
    <xf numFmtId="174" fontId="14" fillId="14" borderId="93" xfId="0" applyFont="1" applyFill="1" applyBorder="1" applyAlignment="1" applyProtection="1">
      <alignment horizontal="justify" vertical="center" wrapText="1"/>
    </xf>
    <xf numFmtId="174" fontId="14" fillId="14" borderId="49" xfId="0" applyFont="1" applyFill="1" applyBorder="1" applyAlignment="1" applyProtection="1">
      <alignment horizontal="center" vertical="center"/>
    </xf>
    <xf numFmtId="174" fontId="14" fillId="14" borderId="3" xfId="0" applyFont="1" applyFill="1" applyBorder="1" applyAlignment="1" applyProtection="1">
      <alignment horizontal="center" vertical="center"/>
    </xf>
    <xf numFmtId="174" fontId="14" fillId="14" borderId="8" xfId="0" applyFont="1" applyFill="1" applyBorder="1" applyAlignment="1" applyProtection="1">
      <alignment horizontal="center" vertical="center"/>
    </xf>
    <xf numFmtId="167" fontId="14" fillId="14" borderId="94" xfId="0" applyNumberFormat="1" applyFont="1" applyFill="1" applyBorder="1" applyAlignment="1" applyProtection="1">
      <alignment horizontal="center" vertical="center"/>
    </xf>
    <xf numFmtId="174" fontId="54" fillId="0" borderId="28" xfId="24" applyFont="1" applyBorder="1" applyAlignment="1" applyProtection="1">
      <alignment vertical="center"/>
    </xf>
    <xf numFmtId="167" fontId="20" fillId="0" borderId="28" xfId="5" applyNumberFormat="1" applyFont="1" applyFill="1" applyBorder="1" applyAlignment="1" applyProtection="1">
      <alignment horizontal="center" vertical="center"/>
    </xf>
    <xf numFmtId="169" fontId="20" fillId="0" borderId="13" xfId="0" applyNumberFormat="1" applyFont="1" applyBorder="1" applyAlignment="1" applyProtection="1">
      <alignment horizontal="center" vertical="center"/>
    </xf>
    <xf numFmtId="174" fontId="20" fillId="0" borderId="93" xfId="0" applyFont="1" applyBorder="1" applyAlignment="1" applyProtection="1">
      <alignment horizontal="justify" vertical="center" wrapText="1"/>
    </xf>
    <xf numFmtId="4" fontId="20" fillId="0" borderId="93" xfId="0" applyNumberFormat="1" applyFont="1" applyBorder="1" applyAlignment="1" applyProtection="1">
      <alignment horizontal="center" vertical="center" wrapText="1"/>
    </xf>
    <xf numFmtId="167" fontId="20" fillId="0" borderId="13" xfId="0" applyNumberFormat="1" applyFont="1" applyBorder="1" applyAlignment="1" applyProtection="1">
      <alignment horizontal="right" vertical="center"/>
    </xf>
    <xf numFmtId="171" fontId="20" fillId="0" borderId="25" xfId="0" applyNumberFormat="1" applyFont="1" applyBorder="1" applyAlignment="1" applyProtection="1">
      <alignment horizontal="center" vertical="center"/>
    </xf>
    <xf numFmtId="2" fontId="20" fillId="0" borderId="10" xfId="0" applyNumberFormat="1" applyFont="1" applyBorder="1" applyAlignment="1" applyProtection="1">
      <alignment horizontal="center" vertical="center"/>
    </xf>
    <xf numFmtId="1" fontId="20" fillId="0" borderId="10" xfId="0" applyNumberFormat="1" applyFont="1" applyBorder="1" applyAlignment="1" applyProtection="1">
      <alignment horizontal="center" vertical="center"/>
    </xf>
    <xf numFmtId="2" fontId="12" fillId="0" borderId="0" xfId="0" applyNumberFormat="1" applyFont="1" applyAlignment="1" applyProtection="1">
      <alignment vertical="center"/>
    </xf>
    <xf numFmtId="169" fontId="14" fillId="0" borderId="4" xfId="0" applyNumberFormat="1" applyFont="1" applyBorder="1" applyAlignment="1" applyProtection="1">
      <alignment horizontal="center" vertical="center"/>
    </xf>
    <xf numFmtId="174" fontId="14" fillId="0" borderId="27" xfId="0" applyFont="1" applyBorder="1" applyAlignment="1" applyProtection="1">
      <alignment vertical="center" wrapText="1"/>
    </xf>
    <xf numFmtId="174" fontId="51" fillId="0" borderId="86" xfId="0" applyFont="1" applyBorder="1" applyAlignment="1" applyProtection="1">
      <alignment vertical="center" wrapText="1"/>
    </xf>
    <xf numFmtId="174" fontId="51" fillId="0" borderId="50" xfId="0" applyFont="1" applyBorder="1" applyAlignment="1" applyProtection="1">
      <alignment vertical="center" wrapText="1"/>
    </xf>
    <xf numFmtId="166" fontId="52" fillId="0" borderId="0" xfId="0" applyNumberFormat="1" applyFont="1" applyAlignment="1" applyProtection="1">
      <alignment vertical="center"/>
    </xf>
    <xf numFmtId="174" fontId="33" fillId="0" borderId="0" xfId="0" applyFont="1" applyAlignment="1" applyProtection="1">
      <alignment vertical="center"/>
    </xf>
    <xf numFmtId="0" fontId="33" fillId="0" borderId="0" xfId="0" applyNumberFormat="1" applyFont="1" applyAlignment="1" applyProtection="1">
      <alignment vertical="center"/>
    </xf>
    <xf numFmtId="169" fontId="20" fillId="0" borderId="12" xfId="24" applyNumberFormat="1" applyFont="1" applyBorder="1" applyAlignment="1" applyProtection="1">
      <alignment horizontal="center" vertical="center"/>
    </xf>
    <xf numFmtId="174" fontId="20" fillId="5" borderId="39" xfId="24" applyFont="1" applyFill="1" applyBorder="1" applyAlignment="1" applyProtection="1">
      <alignment horizontal="justify" vertical="center" wrapText="1"/>
    </xf>
    <xf numFmtId="0" fontId="20" fillId="0" borderId="18" xfId="24" applyNumberFormat="1" applyFont="1" applyBorder="1" applyAlignment="1" applyProtection="1">
      <alignment horizontal="center" vertical="center" wrapText="1"/>
    </xf>
    <xf numFmtId="2" fontId="20" fillId="0" borderId="18" xfId="5" applyNumberFormat="1" applyFont="1" applyFill="1" applyBorder="1" applyAlignment="1" applyProtection="1">
      <alignment horizontal="center" vertical="center"/>
    </xf>
    <xf numFmtId="4" fontId="20" fillId="14" borderId="11" xfId="5" applyNumberFormat="1" applyFont="1" applyFill="1" applyBorder="1" applyAlignment="1" applyProtection="1">
      <alignment horizontal="center" vertical="center"/>
    </xf>
    <xf numFmtId="4" fontId="20" fillId="14" borderId="17" xfId="5" applyNumberFormat="1" applyFont="1" applyFill="1" applyBorder="1" applyAlignment="1" applyProtection="1">
      <alignment horizontal="center" vertical="center"/>
    </xf>
    <xf numFmtId="40" fontId="20" fillId="14" borderId="34" xfId="5" applyNumberFormat="1" applyFont="1" applyFill="1" applyBorder="1" applyAlignment="1" applyProtection="1">
      <alignment horizontal="center" vertical="center"/>
    </xf>
    <xf numFmtId="171" fontId="20" fillId="0" borderId="30" xfId="24" applyNumberFormat="1" applyFont="1" applyBorder="1" applyAlignment="1" applyProtection="1">
      <alignment horizontal="center" vertical="center"/>
    </xf>
    <xf numFmtId="0" fontId="20" fillId="0" borderId="10" xfId="24" applyNumberFormat="1" applyFont="1" applyBorder="1" applyAlignment="1" applyProtection="1">
      <alignment horizontal="center" vertical="center"/>
    </xf>
    <xf numFmtId="0" fontId="20" fillId="0" borderId="10" xfId="24" applyNumberFormat="1" applyFont="1" applyBorder="1" applyAlignment="1" applyProtection="1">
      <alignment horizontal="center" vertical="center" wrapText="1"/>
    </xf>
    <xf numFmtId="174" fontId="20" fillId="5" borderId="28" xfId="24" applyFont="1" applyFill="1" applyBorder="1" applyAlignment="1" applyProtection="1">
      <alignment horizontal="justify" vertical="center" wrapText="1"/>
    </xf>
    <xf numFmtId="2" fontId="20" fillId="0" borderId="10" xfId="5" applyNumberFormat="1" applyFont="1" applyFill="1" applyBorder="1" applyAlignment="1" applyProtection="1">
      <alignment horizontal="center" vertical="center"/>
    </xf>
    <xf numFmtId="174" fontId="20" fillId="0" borderId="28" xfId="24" applyFont="1" applyBorder="1" applyAlignment="1" applyProtection="1">
      <alignment horizontal="justify" vertical="center" wrapText="1"/>
    </xf>
    <xf numFmtId="169" fontId="14" fillId="0" borderId="12" xfId="0" applyNumberFormat="1" applyFont="1" applyBorder="1" applyAlignment="1" applyProtection="1">
      <alignment horizontal="center" vertical="center"/>
    </xf>
    <xf numFmtId="174" fontId="14" fillId="0" borderId="28" xfId="0" applyFont="1" applyBorder="1" applyAlignment="1" applyProtection="1">
      <alignment vertical="center" wrapText="1"/>
    </xf>
    <xf numFmtId="174" fontId="51" fillId="0" borderId="26" xfId="0" applyFont="1" applyBorder="1" applyAlignment="1" applyProtection="1">
      <alignment vertical="center" wrapText="1"/>
    </xf>
    <xf numFmtId="174" fontId="51" fillId="0" borderId="38" xfId="0" applyFont="1" applyBorder="1" applyAlignment="1" applyProtection="1">
      <alignment vertical="center" wrapText="1"/>
    </xf>
    <xf numFmtId="2" fontId="14" fillId="0" borderId="26" xfId="0" applyNumberFormat="1" applyFont="1" applyBorder="1" applyAlignment="1" applyProtection="1">
      <alignment horizontal="center" vertical="center"/>
    </xf>
    <xf numFmtId="169" fontId="20" fillId="0" borderId="12" xfId="24" applyNumberFormat="1" applyFont="1" applyFill="1" applyBorder="1" applyAlignment="1" applyProtection="1">
      <alignment horizontal="center" vertical="center"/>
    </xf>
    <xf numFmtId="49" fontId="20" fillId="0" borderId="28" xfId="24" applyNumberFormat="1" applyFont="1" applyBorder="1" applyAlignment="1" applyProtection="1">
      <alignment horizontal="justify" vertical="center" wrapText="1"/>
    </xf>
    <xf numFmtId="4" fontId="20" fillId="0" borderId="10" xfId="24" applyNumberFormat="1" applyFont="1" applyBorder="1" applyAlignment="1" applyProtection="1">
      <alignment horizontal="center" vertical="center" wrapText="1"/>
    </xf>
    <xf numFmtId="1" fontId="20" fillId="0" borderId="10" xfId="24" applyNumberFormat="1" applyFont="1" applyBorder="1" applyAlignment="1" applyProtection="1">
      <alignment horizontal="center" vertical="center" wrapText="1"/>
    </xf>
    <xf numFmtId="169" fontId="20" fillId="0" borderId="13" xfId="24" applyNumberFormat="1" applyFont="1" applyBorder="1" applyAlignment="1" applyProtection="1">
      <alignment horizontal="center" vertical="center"/>
    </xf>
    <xf numFmtId="49" fontId="20" fillId="0" borderId="31" xfId="24" applyNumberFormat="1" applyFont="1" applyBorder="1" applyAlignment="1" applyProtection="1">
      <alignment horizontal="justify" vertical="center" wrapText="1"/>
    </xf>
    <xf numFmtId="4" fontId="20" fillId="0" borderId="15" xfId="24" applyNumberFormat="1" applyFont="1" applyBorder="1" applyAlignment="1" applyProtection="1">
      <alignment horizontal="center" vertical="center" wrapText="1"/>
    </xf>
    <xf numFmtId="169" fontId="14" fillId="14" borderId="5" xfId="0" applyNumberFormat="1" applyFont="1" applyFill="1" applyBorder="1" applyAlignment="1" applyProtection="1">
      <alignment horizontal="justify" vertical="center" wrapText="1"/>
    </xf>
    <xf numFmtId="169" fontId="14" fillId="14" borderId="15" xfId="0" applyNumberFormat="1" applyFont="1" applyFill="1" applyBorder="1" applyAlignment="1" applyProtection="1">
      <alignment horizontal="justify" vertical="center" wrapText="1"/>
    </xf>
    <xf numFmtId="169" fontId="14" fillId="0" borderId="11" xfId="0" applyNumberFormat="1" applyFont="1" applyBorder="1" applyAlignment="1" applyProtection="1">
      <alignment horizontal="center" vertical="center"/>
    </xf>
    <xf numFmtId="0" fontId="14" fillId="0" borderId="39" xfId="0" applyNumberFormat="1" applyFont="1" applyBorder="1" applyAlignment="1" applyProtection="1">
      <alignment vertical="center" wrapText="1"/>
    </xf>
    <xf numFmtId="174" fontId="51" fillId="0" borderId="22" xfId="0" applyFont="1" applyBorder="1" applyAlignment="1" applyProtection="1">
      <alignment vertical="center" wrapText="1"/>
    </xf>
    <xf numFmtId="174" fontId="51" fillId="0" borderId="69" xfId="0" applyFont="1" applyBorder="1" applyAlignment="1" applyProtection="1">
      <alignment vertical="center" wrapText="1"/>
    </xf>
    <xf numFmtId="49" fontId="20" fillId="5" borderId="28" xfId="24" applyNumberFormat="1" applyFont="1" applyFill="1" applyBorder="1" applyAlignment="1" applyProtection="1">
      <alignment vertical="center" wrapText="1"/>
    </xf>
    <xf numFmtId="0" fontId="14" fillId="0" borderId="28" xfId="0" applyNumberFormat="1" applyFont="1" applyBorder="1" applyAlignment="1" applyProtection="1">
      <alignment vertical="center" wrapText="1"/>
    </xf>
    <xf numFmtId="49" fontId="20" fillId="5" borderId="31" xfId="24" applyNumberFormat="1" applyFont="1" applyFill="1" applyBorder="1" applyAlignment="1" applyProtection="1">
      <alignment horizontal="justify" vertical="center" wrapText="1"/>
    </xf>
    <xf numFmtId="0" fontId="20" fillId="0" borderId="15" xfId="24" applyNumberFormat="1" applyFont="1" applyBorder="1" applyAlignment="1" applyProtection="1">
      <alignment horizontal="center" vertical="center" wrapText="1"/>
    </xf>
    <xf numFmtId="2" fontId="20" fillId="0" borderId="15" xfId="5" applyNumberFormat="1" applyFont="1" applyFill="1" applyBorder="1" applyAlignment="1" applyProtection="1">
      <alignment horizontal="center" vertical="center"/>
    </xf>
    <xf numFmtId="174" fontId="14" fillId="6" borderId="48" xfId="0" applyFont="1" applyFill="1" applyBorder="1" applyAlignment="1" applyProtection="1">
      <alignment horizontal="justify" vertical="center" wrapText="1"/>
    </xf>
    <xf numFmtId="174" fontId="14" fillId="6" borderId="33" xfId="0" applyFont="1" applyFill="1" applyBorder="1" applyAlignment="1" applyProtection="1">
      <alignment horizontal="justify" vertical="center" wrapText="1"/>
    </xf>
    <xf numFmtId="174" fontId="14" fillId="6" borderId="33" xfId="0" applyFont="1" applyFill="1" applyBorder="1" applyAlignment="1" applyProtection="1">
      <alignment vertical="center" wrapText="1"/>
    </xf>
    <xf numFmtId="174" fontId="14" fillId="6" borderId="51" xfId="0" applyFont="1" applyFill="1" applyBorder="1" applyAlignment="1" applyProtection="1">
      <alignment vertical="center" wrapText="1"/>
    </xf>
    <xf numFmtId="167" fontId="14" fillId="6" borderId="32" xfId="0" applyNumberFormat="1" applyFont="1" applyFill="1" applyBorder="1" applyAlignment="1" applyProtection="1">
      <alignment horizontal="right" vertical="center"/>
    </xf>
    <xf numFmtId="10" fontId="14" fillId="6" borderId="32" xfId="0" applyNumberFormat="1" applyFont="1" applyFill="1" applyBorder="1" applyAlignment="1" applyProtection="1">
      <alignment horizontal="center" vertical="center"/>
    </xf>
    <xf numFmtId="175" fontId="20" fillId="0" borderId="1" xfId="0" applyNumberFormat="1" applyFont="1" applyBorder="1" applyAlignment="1" applyProtection="1">
      <alignment horizontal="center" vertical="center"/>
    </xf>
    <xf numFmtId="174" fontId="14" fillId="8" borderId="48" xfId="0" applyFont="1" applyFill="1" applyBorder="1" applyAlignment="1" applyProtection="1">
      <alignment horizontal="justify" vertical="center" wrapText="1"/>
    </xf>
    <xf numFmtId="174" fontId="46" fillId="0" borderId="33" xfId="0" applyFont="1" applyBorder="1" applyAlignment="1" applyProtection="1">
      <alignment horizontal="justify" vertical="center" wrapText="1"/>
    </xf>
    <xf numFmtId="174" fontId="14" fillId="8" borderId="33" xfId="0" applyFont="1" applyFill="1" applyBorder="1" applyAlignment="1" applyProtection="1">
      <alignment vertical="center" wrapText="1"/>
    </xf>
    <xf numFmtId="167" fontId="14" fillId="8" borderId="32" xfId="0" applyNumberFormat="1" applyFont="1" applyFill="1" applyBorder="1" applyAlignment="1" applyProtection="1">
      <alignment horizontal="right" vertical="center"/>
    </xf>
    <xf numFmtId="10" fontId="14" fillId="8" borderId="32" xfId="0" applyNumberFormat="1" applyFont="1" applyFill="1" applyBorder="1" applyAlignment="1" applyProtection="1">
      <alignment horizontal="center" vertical="center"/>
    </xf>
    <xf numFmtId="166" fontId="20" fillId="0" borderId="1" xfId="0" applyNumberFormat="1" applyFont="1" applyBorder="1" applyAlignment="1" applyProtection="1">
      <alignment horizontal="center" vertical="center"/>
    </xf>
    <xf numFmtId="40" fontId="14" fillId="8" borderId="33" xfId="0" applyNumberFormat="1" applyFont="1" applyFill="1" applyBorder="1" applyAlignment="1" applyProtection="1">
      <alignment horizontal="center" vertical="center" wrapText="1"/>
    </xf>
    <xf numFmtId="44" fontId="20" fillId="0" borderId="0" xfId="0" applyNumberFormat="1" applyFont="1" applyAlignment="1" applyProtection="1">
      <alignment horizontal="center" vertical="center"/>
    </xf>
    <xf numFmtId="174" fontId="14" fillId="8" borderId="51" xfId="0" applyFont="1" applyFill="1" applyBorder="1" applyAlignment="1" applyProtection="1">
      <alignment vertical="center" wrapText="1"/>
    </xf>
    <xf numFmtId="174" fontId="14" fillId="0" borderId="39" xfId="0" applyFont="1" applyBorder="1" applyAlignment="1" applyProtection="1">
      <alignment vertical="center" wrapText="1"/>
    </xf>
    <xf numFmtId="174" fontId="58" fillId="0" borderId="0" xfId="0" applyFont="1" applyAlignment="1" applyProtection="1">
      <alignment vertical="center"/>
    </xf>
    <xf numFmtId="174" fontId="59" fillId="0" borderId="0" xfId="0" applyFont="1" applyAlignment="1" applyProtection="1">
      <alignment horizontal="center" vertical="center"/>
    </xf>
    <xf numFmtId="178" fontId="59" fillId="0" borderId="0" xfId="0" applyNumberFormat="1" applyFont="1" applyAlignment="1" applyProtection="1">
      <alignment vertical="center"/>
    </xf>
    <xf numFmtId="174" fontId="60" fillId="0" borderId="48" xfId="0" applyFont="1" applyBorder="1" applyAlignment="1" applyProtection="1">
      <alignment horizontal="center" vertical="center"/>
    </xf>
    <xf numFmtId="174" fontId="60" fillId="0" borderId="33" xfId="0" applyFont="1" applyBorder="1" applyAlignment="1" applyProtection="1">
      <alignment horizontal="center" vertical="center"/>
    </xf>
    <xf numFmtId="174" fontId="60" fillId="0" borderId="51" xfId="0" applyFont="1" applyBorder="1" applyAlignment="1" applyProtection="1">
      <alignment horizontal="center" vertical="center"/>
    </xf>
    <xf numFmtId="2" fontId="50" fillId="0" borderId="0" xfId="0" applyNumberFormat="1" applyFont="1" applyAlignment="1" applyProtection="1">
      <alignment vertical="center"/>
    </xf>
    <xf numFmtId="174" fontId="61" fillId="0" borderId="4" xfId="0" applyFont="1" applyBorder="1" applyAlignment="1" applyProtection="1">
      <alignment horizontal="justify" vertical="center"/>
    </xf>
    <xf numFmtId="174" fontId="61" fillId="0" borderId="5" xfId="0" applyFont="1" applyBorder="1" applyAlignment="1" applyProtection="1">
      <alignment horizontal="justify" vertical="center"/>
    </xf>
    <xf numFmtId="44" fontId="62" fillId="0" borderId="27" xfId="0" applyNumberFormat="1" applyFont="1" applyBorder="1" applyAlignment="1" applyProtection="1">
      <alignment horizontal="center" vertical="center"/>
    </xf>
    <xf numFmtId="44" fontId="62" fillId="0" borderId="86" xfId="0" applyNumberFormat="1" applyFont="1" applyBorder="1" applyAlignment="1" applyProtection="1">
      <alignment horizontal="center" vertical="center"/>
    </xf>
    <xf numFmtId="44" fontId="62" fillId="0" borderId="64" xfId="0" applyNumberFormat="1" applyFont="1" applyBorder="1" applyAlignment="1" applyProtection="1">
      <alignment horizontal="center" vertical="center"/>
    </xf>
    <xf numFmtId="171" fontId="63" fillId="0" borderId="6" xfId="4" applyNumberFormat="1" applyFont="1" applyBorder="1" applyAlignment="1" applyProtection="1">
      <alignment horizontal="center" vertical="center"/>
    </xf>
    <xf numFmtId="174" fontId="61" fillId="0" borderId="12" xfId="0" applyFont="1" applyBorder="1" applyAlignment="1" applyProtection="1">
      <alignment horizontal="justify" vertical="center"/>
    </xf>
    <xf numFmtId="174" fontId="61" fillId="0" borderId="10" xfId="0" applyFont="1" applyBorder="1" applyAlignment="1" applyProtection="1">
      <alignment horizontal="justify" vertical="center"/>
    </xf>
    <xf numFmtId="44" fontId="62" fillId="0" borderId="28" xfId="0" applyNumberFormat="1" applyFont="1" applyBorder="1" applyAlignment="1" applyProtection="1">
      <alignment horizontal="center" vertical="center"/>
    </xf>
    <xf numFmtId="44" fontId="62" fillId="0" borderId="26" xfId="0" applyNumberFormat="1" applyFont="1" applyBorder="1" applyAlignment="1" applyProtection="1">
      <alignment horizontal="center" vertical="center"/>
    </xf>
    <xf numFmtId="44" fontId="62" fillId="0" borderId="34" xfId="0" applyNumberFormat="1" applyFont="1" applyBorder="1" applyAlignment="1" applyProtection="1">
      <alignment horizontal="center" vertical="center"/>
    </xf>
    <xf numFmtId="171" fontId="63" fillId="0" borderId="17" xfId="4" applyNumberFormat="1" applyFont="1" applyBorder="1" applyAlignment="1" applyProtection="1">
      <alignment horizontal="center" vertical="center"/>
    </xf>
    <xf numFmtId="174" fontId="61" fillId="0" borderId="107" xfId="0" applyFont="1" applyBorder="1" applyAlignment="1" applyProtection="1">
      <alignment horizontal="left" vertical="center"/>
    </xf>
    <xf numFmtId="174" fontId="61" fillId="0" borderId="108" xfId="0" applyFont="1" applyBorder="1" applyAlignment="1" applyProtection="1">
      <alignment horizontal="left" vertical="center"/>
    </xf>
    <xf numFmtId="174" fontId="61" fillId="0" borderId="68" xfId="0" applyFont="1" applyBorder="1" applyAlignment="1" applyProtection="1">
      <alignment horizontal="left" vertical="center"/>
    </xf>
    <xf numFmtId="44" fontId="62" fillId="0" borderId="31" xfId="0" applyNumberFormat="1" applyFont="1" applyBorder="1" applyAlignment="1" applyProtection="1">
      <alignment horizontal="center" vertical="center"/>
    </xf>
    <xf numFmtId="44" fontId="62" fillId="0" borderId="108" xfId="0" applyNumberFormat="1" applyFont="1" applyBorder="1" applyAlignment="1" applyProtection="1">
      <alignment horizontal="center" vertical="center"/>
    </xf>
    <xf numFmtId="44" fontId="62" fillId="0" borderId="68" xfId="0" applyNumberFormat="1" applyFont="1" applyBorder="1" applyAlignment="1" applyProtection="1">
      <alignment horizontal="center" vertical="center"/>
    </xf>
    <xf numFmtId="171" fontId="63" fillId="0" borderId="25" xfId="4" applyNumberFormat="1" applyFont="1" applyBorder="1" applyAlignment="1" applyProtection="1">
      <alignment horizontal="center" vertical="center"/>
    </xf>
    <xf numFmtId="174" fontId="54" fillId="0" borderId="0" xfId="0" applyFont="1" applyAlignment="1" applyProtection="1">
      <alignment vertical="center"/>
    </xf>
    <xf numFmtId="174" fontId="64" fillId="0" borderId="0" xfId="0" applyFont="1" applyAlignment="1" applyProtection="1">
      <alignment horizontal="right" vertical="center"/>
    </xf>
    <xf numFmtId="174" fontId="64" fillId="0" borderId="7" xfId="0" applyFont="1" applyBorder="1" applyAlignment="1" applyProtection="1">
      <alignment horizontal="right" vertical="center"/>
    </xf>
    <xf numFmtId="44" fontId="65" fillId="8" borderId="2" xfId="0" applyNumberFormat="1" applyFont="1" applyFill="1" applyBorder="1" applyAlignment="1" applyProtection="1">
      <alignment horizontal="center" vertical="center"/>
    </xf>
    <xf numFmtId="44" fontId="65" fillId="8" borderId="3" xfId="0" applyNumberFormat="1" applyFont="1" applyFill="1" applyBorder="1" applyAlignment="1" applyProtection="1">
      <alignment horizontal="center" vertical="center"/>
    </xf>
    <xf numFmtId="44" fontId="65" fillId="8" borderId="109" xfId="0" applyNumberFormat="1" applyFont="1" applyFill="1" applyBorder="1" applyAlignment="1" applyProtection="1">
      <alignment horizontal="center" vertical="center"/>
    </xf>
    <xf numFmtId="10" fontId="66" fillId="8" borderId="80" xfId="4" applyNumberFormat="1" applyFont="1" applyFill="1" applyBorder="1" applyAlignment="1" applyProtection="1">
      <alignment horizontal="center" vertical="center"/>
    </xf>
    <xf numFmtId="174" fontId="59" fillId="0" borderId="0" xfId="0" applyFont="1" applyAlignment="1" applyProtection="1">
      <alignment horizontal="left" vertical="center"/>
    </xf>
    <xf numFmtId="178" fontId="67" fillId="0" borderId="0" xfId="0" applyNumberFormat="1" applyFont="1" applyAlignment="1" applyProtection="1">
      <alignment vertical="center"/>
    </xf>
    <xf numFmtId="174" fontId="67" fillId="0" borderId="0" xfId="0" applyFont="1" applyAlignment="1" applyProtection="1">
      <alignment vertical="center"/>
    </xf>
    <xf numFmtId="44" fontId="62" fillId="0" borderId="83" xfId="0" applyNumberFormat="1" applyFont="1" applyBorder="1" applyAlignment="1" applyProtection="1">
      <alignment horizontal="center" vertical="center"/>
    </xf>
    <xf numFmtId="44" fontId="62" fillId="0" borderId="74" xfId="0" applyNumberFormat="1" applyFont="1" applyBorder="1" applyAlignment="1" applyProtection="1">
      <alignment horizontal="center" vertical="center"/>
    </xf>
    <xf numFmtId="44" fontId="62" fillId="0" borderId="71" xfId="0" applyNumberFormat="1" applyFont="1" applyBorder="1" applyAlignment="1" applyProtection="1">
      <alignment horizontal="center" vertical="center"/>
    </xf>
    <xf numFmtId="171" fontId="63" fillId="0" borderId="75" xfId="4" applyNumberFormat="1" applyFont="1" applyBorder="1" applyAlignment="1" applyProtection="1">
      <alignment horizontal="center" vertical="center"/>
    </xf>
    <xf numFmtId="44" fontId="62" fillId="0" borderId="84" xfId="0" applyNumberFormat="1" applyFont="1" applyBorder="1" applyAlignment="1" applyProtection="1">
      <alignment horizontal="center" vertical="center"/>
    </xf>
    <xf numFmtId="44" fontId="62" fillId="0" borderId="73" xfId="0" applyNumberFormat="1" applyFont="1" applyBorder="1" applyAlignment="1" applyProtection="1">
      <alignment horizontal="center" vertical="center"/>
    </xf>
    <xf numFmtId="44" fontId="62" fillId="0" borderId="110" xfId="0" applyNumberFormat="1" applyFont="1" applyBorder="1" applyAlignment="1" applyProtection="1">
      <alignment horizontal="center" vertical="center"/>
    </xf>
    <xf numFmtId="171" fontId="63" fillId="0" borderId="102" xfId="4" applyNumberFormat="1" applyFont="1" applyBorder="1" applyAlignment="1" applyProtection="1">
      <alignment horizontal="center" vertical="center"/>
    </xf>
    <xf numFmtId="44" fontId="65" fillId="8" borderId="48" xfId="0" applyNumberFormat="1" applyFont="1" applyFill="1" applyBorder="1" applyAlignment="1" applyProtection="1">
      <alignment horizontal="center" vertical="center"/>
    </xf>
    <xf numFmtId="44" fontId="65" fillId="8" borderId="33" xfId="0" applyNumberFormat="1" applyFont="1" applyFill="1" applyBorder="1" applyAlignment="1" applyProtection="1">
      <alignment horizontal="center" vertical="center"/>
    </xf>
    <xf numFmtId="44" fontId="65" fillId="8" borderId="111" xfId="0" applyNumberFormat="1" applyFont="1" applyFill="1" applyBorder="1" applyAlignment="1" applyProtection="1">
      <alignment horizontal="center" vertical="center"/>
    </xf>
    <xf numFmtId="10" fontId="66" fillId="8" borderId="112" xfId="4" applyNumberFormat="1" applyFont="1" applyFill="1" applyBorder="1" applyAlignment="1" applyProtection="1">
      <alignment horizontal="center" vertical="center"/>
    </xf>
    <xf numFmtId="4" fontId="33" fillId="5" borderId="0" xfId="0" applyNumberFormat="1" applyFont="1" applyFill="1" applyAlignment="1" applyProtection="1">
      <alignment horizontal="center" vertical="center"/>
    </xf>
    <xf numFmtId="40" fontId="20" fillId="0" borderId="0" xfId="0" applyNumberFormat="1" applyFont="1" applyAlignment="1" applyProtection="1">
      <alignment horizontal="center" vertical="center"/>
    </xf>
    <xf numFmtId="164" fontId="20" fillId="0" borderId="0" xfId="1" applyFont="1" applyAlignment="1" applyProtection="1">
      <alignment horizontal="center" vertical="center"/>
    </xf>
    <xf numFmtId="4" fontId="20" fillId="15" borderId="0" xfId="0" applyNumberFormat="1" applyFont="1" applyFill="1" applyAlignment="1" applyProtection="1">
      <alignment horizontal="center" vertical="center"/>
      <protection locked="0"/>
    </xf>
    <xf numFmtId="174" fontId="44" fillId="0" borderId="0" xfId="0" applyFont="1" applyAlignment="1" applyProtection="1">
      <alignment horizontal="center" vertical="center"/>
    </xf>
    <xf numFmtId="4" fontId="18" fillId="0" borderId="0" xfId="0" applyNumberFormat="1" applyFont="1" applyAlignment="1" applyProtection="1">
      <alignment vertical="center"/>
    </xf>
    <xf numFmtId="4" fontId="14" fillId="0" borderId="0" xfId="0" applyNumberFormat="1" applyFont="1" applyAlignment="1" applyProtection="1">
      <alignment horizontal="center" vertical="center"/>
    </xf>
    <xf numFmtId="4" fontId="16" fillId="0" borderId="0" xfId="0" applyNumberFormat="1" applyFont="1" applyAlignment="1" applyProtection="1">
      <alignment vertical="center"/>
    </xf>
    <xf numFmtId="4" fontId="14" fillId="0" borderId="0" xfId="0" applyNumberFormat="1" applyFont="1" applyAlignment="1" applyProtection="1">
      <alignment horizontal="center" vertical="center"/>
    </xf>
    <xf numFmtId="4" fontId="14" fillId="0" borderId="0" xfId="0" applyNumberFormat="1" applyFont="1" applyAlignment="1" applyProtection="1">
      <alignment horizontal="justify" vertical="center" wrapText="1"/>
    </xf>
    <xf numFmtId="4" fontId="13" fillId="0" borderId="0" xfId="0" applyNumberFormat="1" applyFont="1" applyAlignment="1" applyProtection="1">
      <alignment horizontal="center" vertical="center"/>
    </xf>
    <xf numFmtId="173" fontId="14" fillId="0" borderId="0" xfId="0" applyNumberFormat="1" applyFont="1" applyAlignment="1" applyProtection="1">
      <alignment horizontal="justify" vertical="center" wrapText="1"/>
    </xf>
    <xf numFmtId="173" fontId="14" fillId="0" borderId="62" xfId="0" applyNumberFormat="1" applyFont="1" applyBorder="1" applyAlignment="1" applyProtection="1">
      <alignment horizontal="justify" vertical="center" wrapText="1"/>
    </xf>
    <xf numFmtId="174" fontId="14" fillId="8" borderId="46" xfId="0" applyFont="1" applyFill="1" applyBorder="1" applyAlignment="1" applyProtection="1">
      <alignment horizontal="center" vertical="center"/>
    </xf>
    <xf numFmtId="174" fontId="20" fillId="8" borderId="52" xfId="0" applyFont="1" applyFill="1" applyBorder="1" applyProtection="1"/>
    <xf numFmtId="174" fontId="14" fillId="8" borderId="52" xfId="0" applyFont="1" applyFill="1" applyBorder="1" applyAlignment="1" applyProtection="1">
      <alignment horizontal="center" vertical="center"/>
    </xf>
    <xf numFmtId="174" fontId="20" fillId="8" borderId="53" xfId="0" applyFont="1" applyFill="1" applyBorder="1" applyProtection="1"/>
    <xf numFmtId="174" fontId="14" fillId="0" borderId="63" xfId="0" applyFont="1" applyBorder="1" applyAlignment="1" applyProtection="1">
      <alignment horizontal="center" vertical="center"/>
    </xf>
    <xf numFmtId="4" fontId="0" fillId="0" borderId="0" xfId="0" applyNumberFormat="1" applyProtection="1"/>
    <xf numFmtId="174" fontId="12" fillId="0" borderId="0" xfId="0" applyFont="1" applyAlignment="1" applyProtection="1">
      <alignment horizontal="center" vertical="center"/>
    </xf>
    <xf numFmtId="174" fontId="12" fillId="0" borderId="0" xfId="0" applyFont="1" applyAlignment="1" applyProtection="1">
      <alignment horizontal="center" vertical="center"/>
    </xf>
    <xf numFmtId="174" fontId="14" fillId="8" borderId="40" xfId="0" applyFont="1" applyFill="1" applyBorder="1" applyAlignment="1" applyProtection="1">
      <alignment horizontal="center" vertical="center"/>
    </xf>
    <xf numFmtId="174" fontId="14" fillId="8" borderId="41" xfId="0" applyFont="1" applyFill="1" applyBorder="1" applyAlignment="1" applyProtection="1">
      <alignment horizontal="center" vertical="center"/>
    </xf>
    <xf numFmtId="174" fontId="14" fillId="8" borderId="42" xfId="0" applyFont="1" applyFill="1" applyBorder="1" applyAlignment="1" applyProtection="1">
      <alignment horizontal="center" vertical="center"/>
    </xf>
    <xf numFmtId="174" fontId="20" fillId="0" borderId="63" xfId="0" applyFont="1" applyBorder="1" applyProtection="1"/>
    <xf numFmtId="174" fontId="0" fillId="0" borderId="0" xfId="0" applyAlignment="1" applyProtection="1">
      <alignment horizontal="center" vertical="center"/>
    </xf>
    <xf numFmtId="176" fontId="0" fillId="0" borderId="0" xfId="4" applyNumberFormat="1" applyFont="1" applyProtection="1"/>
    <xf numFmtId="1" fontId="13" fillId="0" borderId="46" xfId="0" applyNumberFormat="1" applyFont="1" applyBorder="1" applyAlignment="1" applyProtection="1">
      <alignment horizontal="center" vertical="center" wrapText="1"/>
    </xf>
    <xf numFmtId="4" fontId="13" fillId="0" borderId="52" xfId="0" applyNumberFormat="1" applyFont="1" applyBorder="1" applyAlignment="1" applyProtection="1">
      <alignment horizontal="left" vertical="center" wrapText="1"/>
    </xf>
    <xf numFmtId="44" fontId="13" fillId="0" borderId="56" xfId="0" applyNumberFormat="1" applyFont="1" applyBorder="1" applyAlignment="1" applyProtection="1">
      <alignment horizontal="center" vertical="center"/>
    </xf>
    <xf numFmtId="44" fontId="13" fillId="0" borderId="54" xfId="0" applyNumberFormat="1" applyFont="1" applyBorder="1" applyAlignment="1" applyProtection="1">
      <alignment horizontal="center" vertical="center"/>
    </xf>
    <xf numFmtId="44" fontId="13" fillId="0" borderId="55" xfId="0" applyNumberFormat="1" applyFont="1" applyBorder="1" applyAlignment="1" applyProtection="1">
      <alignment horizontal="center" vertical="center"/>
    </xf>
    <xf numFmtId="1" fontId="13" fillId="0" borderId="47" xfId="0" applyNumberFormat="1" applyFont="1" applyBorder="1" applyAlignment="1" applyProtection="1">
      <alignment horizontal="center" vertical="center" wrapText="1"/>
    </xf>
    <xf numFmtId="4" fontId="13" fillId="0" borderId="10" xfId="0" applyNumberFormat="1" applyFont="1" applyBorder="1" applyAlignment="1" applyProtection="1">
      <alignment horizontal="left" vertical="center" wrapText="1"/>
    </xf>
    <xf numFmtId="44" fontId="13" fillId="0" borderId="10" xfId="0" applyNumberFormat="1" applyFont="1" applyBorder="1" applyAlignment="1" applyProtection="1">
      <alignment horizontal="center" vertical="center" wrapText="1"/>
    </xf>
    <xf numFmtId="1" fontId="13" fillId="8" borderId="47" xfId="0" applyNumberFormat="1" applyFont="1" applyFill="1" applyBorder="1" applyAlignment="1" applyProtection="1">
      <alignment horizontal="center" vertical="center" wrapText="1"/>
    </xf>
    <xf numFmtId="4" fontId="13" fillId="8" borderId="10" xfId="0" applyNumberFormat="1" applyFont="1" applyFill="1" applyBorder="1" applyAlignment="1" applyProtection="1">
      <alignment horizontal="left" vertical="center" wrapText="1"/>
    </xf>
    <xf numFmtId="44" fontId="13" fillId="8" borderId="10" xfId="0" applyNumberFormat="1" applyFont="1" applyFill="1" applyBorder="1" applyAlignment="1" applyProtection="1">
      <alignment horizontal="center" vertical="center"/>
    </xf>
    <xf numFmtId="171" fontId="45" fillId="8" borderId="28" xfId="0" applyNumberFormat="1" applyFont="1" applyFill="1" applyBorder="1" applyAlignment="1" applyProtection="1">
      <alignment horizontal="center" vertical="center"/>
    </xf>
    <xf numFmtId="171" fontId="45" fillId="8" borderId="26" xfId="0" applyNumberFormat="1" applyFont="1" applyFill="1" applyBorder="1" applyAlignment="1" applyProtection="1">
      <alignment horizontal="center" vertical="center"/>
    </xf>
    <xf numFmtId="171" fontId="45" fillId="8" borderId="34" xfId="0" applyNumberFormat="1" applyFont="1" applyFill="1" applyBorder="1" applyAlignment="1" applyProtection="1">
      <alignment horizontal="center" vertical="center"/>
    </xf>
    <xf numFmtId="4" fontId="41" fillId="0" borderId="0" xfId="0" applyNumberFormat="1" applyFont="1" applyProtection="1"/>
    <xf numFmtId="174" fontId="41" fillId="0" borderId="0" xfId="0" applyFont="1" applyProtection="1"/>
    <xf numFmtId="44" fontId="13" fillId="0" borderId="10" xfId="0" applyNumberFormat="1" applyFont="1" applyBorder="1" applyAlignment="1" applyProtection="1">
      <alignment horizontal="center" vertical="center"/>
    </xf>
    <xf numFmtId="171" fontId="45" fillId="0" borderId="28" xfId="0" applyNumberFormat="1" applyFont="1" applyBorder="1" applyAlignment="1" applyProtection="1">
      <alignment horizontal="center" vertical="center"/>
    </xf>
    <xf numFmtId="171" fontId="45" fillId="0" borderId="26" xfId="0" applyNumberFormat="1" applyFont="1" applyBorder="1" applyAlignment="1" applyProtection="1">
      <alignment horizontal="center" vertical="center"/>
    </xf>
    <xf numFmtId="171" fontId="45" fillId="0" borderId="34" xfId="0" applyNumberFormat="1" applyFont="1" applyBorder="1" applyAlignment="1" applyProtection="1">
      <alignment horizontal="center" vertical="center"/>
    </xf>
    <xf numFmtId="1" fontId="13" fillId="8" borderId="40" xfId="0" applyNumberFormat="1" applyFont="1" applyFill="1" applyBorder="1" applyAlignment="1" applyProtection="1">
      <alignment horizontal="center" vertical="center" wrapText="1"/>
    </xf>
    <xf numFmtId="4" fontId="13" fillId="8" borderId="41" xfId="0" applyNumberFormat="1" applyFont="1" applyFill="1" applyBorder="1" applyAlignment="1" applyProtection="1">
      <alignment horizontal="left" vertical="center" wrapText="1"/>
    </xf>
    <xf numFmtId="171" fontId="45" fillId="8" borderId="44" xfId="0" applyNumberFormat="1" applyFont="1" applyFill="1" applyBorder="1" applyAlignment="1" applyProtection="1">
      <alignment horizontal="center" vertical="center"/>
    </xf>
    <xf numFmtId="171" fontId="45" fillId="8" borderId="61" xfId="0" applyNumberFormat="1" applyFont="1" applyFill="1" applyBorder="1" applyAlignment="1" applyProtection="1">
      <alignment horizontal="center" vertical="center"/>
    </xf>
    <xf numFmtId="171" fontId="45" fillId="8" borderId="97" xfId="0" applyNumberFormat="1" applyFont="1" applyFill="1" applyBorder="1" applyAlignment="1" applyProtection="1">
      <alignment horizontal="center" vertical="center"/>
    </xf>
    <xf numFmtId="174" fontId="20" fillId="0" borderId="0" xfId="0" applyFont="1" applyAlignment="1" applyProtection="1">
      <alignment horizontal="center" vertical="center" wrapText="1"/>
    </xf>
    <xf numFmtId="174" fontId="13" fillId="0" borderId="62" xfId="0" applyFont="1" applyBorder="1" applyAlignment="1" applyProtection="1">
      <alignment horizontal="right" vertical="center" wrapText="1"/>
    </xf>
    <xf numFmtId="44" fontId="13" fillId="5" borderId="56" xfId="0" applyNumberFormat="1" applyFont="1" applyFill="1" applyBorder="1" applyAlignment="1" applyProtection="1">
      <alignment horizontal="center" vertical="center"/>
    </xf>
    <xf numFmtId="44" fontId="13" fillId="5" borderId="54" xfId="0" applyNumberFormat="1" applyFont="1" applyFill="1" applyBorder="1" applyAlignment="1" applyProtection="1">
      <alignment horizontal="center" vertical="center"/>
    </xf>
    <xf numFmtId="174" fontId="36" fillId="0" borderId="0" xfId="0" applyFont="1" applyAlignment="1" applyProtection="1">
      <alignment horizontal="center" vertical="center" wrapText="1"/>
    </xf>
    <xf numFmtId="174" fontId="20" fillId="0" borderId="0" xfId="0" applyFont="1" applyAlignment="1" applyProtection="1">
      <alignment horizontal="left" vertical="center" wrapText="1"/>
    </xf>
    <xf numFmtId="174" fontId="13" fillId="0" borderId="0" xfId="0" applyFont="1" applyAlignment="1" applyProtection="1">
      <alignment horizontal="right" vertical="center"/>
    </xf>
    <xf numFmtId="174" fontId="17" fillId="0" borderId="46" xfId="0" applyFont="1" applyBorder="1" applyAlignment="1" applyProtection="1">
      <alignment horizontal="center" vertical="center"/>
    </xf>
    <xf numFmtId="44" fontId="13" fillId="0" borderId="52" xfId="0" applyNumberFormat="1" applyFont="1" applyBorder="1" applyAlignment="1" applyProtection="1">
      <alignment horizontal="center" vertical="center"/>
    </xf>
    <xf numFmtId="44" fontId="13" fillId="0" borderId="53" xfId="0" applyNumberFormat="1" applyFont="1" applyBorder="1" applyAlignment="1" applyProtection="1">
      <alignment horizontal="center" vertical="center"/>
    </xf>
    <xf numFmtId="174" fontId="17" fillId="0" borderId="47" xfId="0" applyFont="1" applyBorder="1" applyAlignment="1" applyProtection="1">
      <alignment horizontal="center" vertical="center"/>
    </xf>
    <xf numFmtId="43" fontId="20" fillId="0" borderId="10" xfId="0" applyNumberFormat="1" applyFont="1" applyBorder="1" applyAlignment="1" applyProtection="1">
      <alignment horizontal="center" vertical="center"/>
    </xf>
    <xf numFmtId="43" fontId="20" fillId="0" borderId="28" xfId="0" applyNumberFormat="1" applyFont="1" applyBorder="1" applyAlignment="1" applyProtection="1">
      <alignment horizontal="center" vertical="center"/>
    </xf>
    <xf numFmtId="43" fontId="20" fillId="0" borderId="43" xfId="0" applyNumberFormat="1" applyFont="1" applyBorder="1" applyAlignment="1" applyProtection="1">
      <alignment horizontal="center" vertical="center"/>
    </xf>
    <xf numFmtId="44" fontId="13" fillId="0" borderId="28" xfId="0" applyNumberFormat="1" applyFont="1" applyBorder="1" applyAlignment="1" applyProtection="1">
      <alignment horizontal="center" vertical="center"/>
    </xf>
    <xf numFmtId="44" fontId="13" fillId="0" borderId="43" xfId="0" applyNumberFormat="1" applyFont="1" applyBorder="1" applyAlignment="1" applyProtection="1">
      <alignment horizontal="center" vertical="center"/>
    </xf>
    <xf numFmtId="174" fontId="17" fillId="0" borderId="40" xfId="0" applyFont="1" applyBorder="1" applyAlignment="1" applyProtection="1">
      <alignment horizontal="center" vertical="center"/>
    </xf>
    <xf numFmtId="43" fontId="20" fillId="0" borderId="41" xfId="0" applyNumberFormat="1" applyFont="1" applyBorder="1" applyAlignment="1" applyProtection="1">
      <alignment vertical="center"/>
    </xf>
    <xf numFmtId="43" fontId="20" fillId="0" borderId="41" xfId="0" applyNumberFormat="1" applyFont="1" applyBorder="1" applyAlignment="1" applyProtection="1">
      <alignment horizontal="center" vertical="center"/>
    </xf>
    <xf numFmtId="43" fontId="20" fillId="0" borderId="44" xfId="0" applyNumberFormat="1" applyFont="1" applyBorder="1" applyAlignment="1" applyProtection="1">
      <alignment vertical="center"/>
    </xf>
    <xf numFmtId="43" fontId="20" fillId="0" borderId="42" xfId="0" applyNumberFormat="1" applyFont="1" applyBorder="1" applyAlignment="1" applyProtection="1">
      <alignment vertical="center"/>
    </xf>
    <xf numFmtId="174" fontId="14" fillId="0" borderId="0" xfId="0" applyFont="1" applyAlignment="1" applyProtection="1">
      <alignment horizontal="center" vertical="center"/>
    </xf>
    <xf numFmtId="10" fontId="20" fillId="0" borderId="0" xfId="0" applyNumberFormat="1" applyFont="1" applyAlignment="1" applyProtection="1">
      <alignment horizontal="center" vertical="center"/>
    </xf>
    <xf numFmtId="174" fontId="18" fillId="0" borderId="0" xfId="0" applyFont="1" applyAlignment="1" applyProtection="1">
      <alignment horizontal="center" vertical="center"/>
    </xf>
    <xf numFmtId="174" fontId="18" fillId="0" borderId="0" xfId="0" applyFont="1" applyAlignment="1" applyProtection="1">
      <alignment vertical="center"/>
    </xf>
    <xf numFmtId="174" fontId="18" fillId="0" borderId="0" xfId="0" applyFont="1" applyProtection="1"/>
    <xf numFmtId="174" fontId="18" fillId="0" borderId="0" xfId="0" applyFont="1" applyAlignment="1" applyProtection="1">
      <alignment horizontal="center"/>
    </xf>
    <xf numFmtId="174" fontId="15" fillId="0" borderId="78" xfId="0" applyFont="1" applyBorder="1" applyAlignment="1" applyProtection="1">
      <alignment horizontal="center" vertical="center"/>
    </xf>
    <xf numFmtId="174" fontId="15" fillId="0" borderId="80" xfId="0" applyFont="1" applyBorder="1" applyAlignment="1" applyProtection="1">
      <alignment horizontal="center" vertical="center"/>
    </xf>
    <xf numFmtId="166" fontId="18" fillId="0" borderId="0" xfId="6" applyNumberFormat="1" applyFont="1" applyFill="1" applyBorder="1" applyAlignment="1" applyProtection="1">
      <alignment horizontal="right" vertical="center"/>
    </xf>
    <xf numFmtId="166" fontId="18" fillId="15" borderId="5" xfId="3" applyFont="1" applyFill="1" applyBorder="1" applyAlignment="1" applyProtection="1">
      <alignment vertical="center"/>
      <protection locked="0"/>
    </xf>
    <xf numFmtId="166" fontId="18" fillId="15" borderId="10" xfId="3" applyFont="1" applyFill="1" applyBorder="1" applyAlignment="1" applyProtection="1">
      <alignment vertical="center"/>
      <protection locked="0"/>
    </xf>
    <xf numFmtId="166" fontId="18" fillId="15" borderId="15" xfId="6" applyNumberFormat="1" applyFont="1" applyFill="1" applyBorder="1" applyAlignment="1" applyProtection="1">
      <alignment horizontal="right" vertical="center"/>
      <protection locked="0"/>
    </xf>
    <xf numFmtId="166" fontId="18" fillId="15" borderId="15" xfId="3" applyFont="1" applyFill="1" applyBorder="1" applyAlignment="1" applyProtection="1">
      <alignment vertical="center"/>
      <protection locked="0"/>
    </xf>
    <xf numFmtId="166" fontId="18" fillId="15" borderId="5" xfId="6" applyNumberFormat="1" applyFont="1" applyFill="1" applyBorder="1" applyAlignment="1" applyProtection="1">
      <alignment horizontal="right" vertical="center"/>
      <protection locked="0"/>
    </xf>
    <xf numFmtId="166" fontId="18" fillId="15" borderId="6" xfId="3" applyFont="1" applyFill="1" applyBorder="1" applyAlignment="1" applyProtection="1">
      <alignment horizontal="center" vertical="center"/>
      <protection locked="0"/>
    </xf>
    <xf numFmtId="174" fontId="20" fillId="15" borderId="50" xfId="3" applyNumberFormat="1" applyFont="1" applyFill="1" applyBorder="1" applyAlignment="1" applyProtection="1">
      <alignment horizontal="center" vertical="center"/>
    </xf>
    <xf numFmtId="4" fontId="20" fillId="15" borderId="0" xfId="0" applyNumberFormat="1" applyFont="1" applyFill="1" applyAlignment="1">
      <alignment horizontal="center" vertical="center"/>
    </xf>
    <xf numFmtId="174" fontId="20" fillId="15" borderId="0" xfId="0" applyFont="1" applyFill="1" applyAlignment="1">
      <alignment horizontal="center" vertical="center"/>
    </xf>
    <xf numFmtId="172" fontId="20" fillId="15" borderId="0" xfId="0" applyNumberFormat="1" applyFont="1" applyFill="1" applyAlignment="1">
      <alignment vertical="center"/>
    </xf>
    <xf numFmtId="174" fontId="20" fillId="15" borderId="0" xfId="0" applyFont="1" applyFill="1" applyAlignment="1">
      <alignment vertical="center"/>
    </xf>
    <xf numFmtId="166" fontId="18" fillId="15" borderId="10" xfId="6" applyNumberFormat="1" applyFont="1" applyFill="1" applyBorder="1" applyAlignment="1" applyProtection="1">
      <alignment horizontal="right" vertical="center"/>
      <protection locked="0"/>
    </xf>
    <xf numFmtId="166" fontId="18" fillId="15" borderId="17" xfId="3" applyFont="1" applyFill="1" applyBorder="1" applyAlignment="1" applyProtection="1">
      <alignment horizontal="center" vertical="center"/>
      <protection locked="0"/>
    </xf>
    <xf numFmtId="174" fontId="20" fillId="15" borderId="38" xfId="3" applyNumberFormat="1" applyFont="1" applyFill="1" applyBorder="1" applyAlignment="1" applyProtection="1">
      <alignment horizontal="center" vertical="center"/>
    </xf>
    <xf numFmtId="174" fontId="20" fillId="15" borderId="38" xfId="3" applyNumberFormat="1" applyFont="1" applyFill="1" applyBorder="1" applyAlignment="1">
      <alignment horizontal="center" vertical="center"/>
    </xf>
    <xf numFmtId="174" fontId="20" fillId="15" borderId="38" xfId="6" applyNumberFormat="1" applyFont="1" applyFill="1" applyBorder="1" applyAlignment="1" applyProtection="1">
      <alignment horizontal="center" vertical="center"/>
    </xf>
    <xf numFmtId="166" fontId="18" fillId="15" borderId="18" xfId="6" applyNumberFormat="1" applyFont="1" applyFill="1" applyBorder="1" applyAlignment="1" applyProtection="1">
      <alignment horizontal="right" vertical="center"/>
      <protection locked="0"/>
    </xf>
    <xf numFmtId="171" fontId="14" fillId="10" borderId="32" xfId="22" applyNumberFormat="1" applyFont="1" applyFill="1" applyBorder="1" applyAlignment="1" applyProtection="1">
      <alignment horizontal="center" vertical="center"/>
      <protection locked="0"/>
    </xf>
  </cellXfs>
  <cellStyles count="41">
    <cellStyle name="Moeda" xfId="1" builtinId="4"/>
    <cellStyle name="Moeda_Anexo 02 - Orçamento e Cronograma Reforma ETA - Final - Revisão 3" xfId="2" xr:uid="{00000000-0005-0000-0000-000001000000}"/>
    <cellStyle name="Moeda_INSUMOS SeMAE" xfId="3" xr:uid="{00000000-0005-0000-0000-000002000000}"/>
    <cellStyle name="Normal" xfId="0" builtinId="0"/>
    <cellStyle name="Normal 10" xfId="28" xr:uid="{00000000-0005-0000-0000-000004000000}"/>
    <cellStyle name="Normal 19 6 2" xfId="27" xr:uid="{00000000-0005-0000-0000-000005000000}"/>
    <cellStyle name="Normal 19 6 2 2" xfId="32" xr:uid="{00000000-0005-0000-0000-000006000000}"/>
    <cellStyle name="Normal 19 6 2 2 2" xfId="35" xr:uid="{E2AD2C1B-61AD-4F2B-85EB-16389BF3F9AD}"/>
    <cellStyle name="Normal 19 6 2 3" xfId="38" xr:uid="{AEA13D26-341E-4BF0-837D-5468835BE4A7}"/>
    <cellStyle name="Normal 2" xfId="9" xr:uid="{00000000-0005-0000-0000-000007000000}"/>
    <cellStyle name="Normal 2 2" xfId="10" xr:uid="{00000000-0005-0000-0000-000008000000}"/>
    <cellStyle name="Normal 2 2 6" xfId="11" xr:uid="{00000000-0005-0000-0000-000009000000}"/>
    <cellStyle name="Normal 2 4" xfId="24" xr:uid="{00000000-0005-0000-0000-00000A000000}"/>
    <cellStyle name="Normal 2 7" xfId="25" xr:uid="{00000000-0005-0000-0000-00000B000000}"/>
    <cellStyle name="Normal 26" xfId="40" xr:uid="{1B38AB7D-45F7-418F-9F3F-06255F465B74}"/>
    <cellStyle name="Normal 3" xfId="12" xr:uid="{00000000-0005-0000-0000-00000C000000}"/>
    <cellStyle name="Normal 3 2 2" xfId="13" xr:uid="{00000000-0005-0000-0000-00000D000000}"/>
    <cellStyle name="Normal 3 2 2 2" xfId="23" xr:uid="{00000000-0005-0000-0000-00000E000000}"/>
    <cellStyle name="Normal 3 2 2 2 2" xfId="31" xr:uid="{00000000-0005-0000-0000-00000F000000}"/>
    <cellStyle name="Normal 4" xfId="14" xr:uid="{00000000-0005-0000-0000-000010000000}"/>
    <cellStyle name="Normal 4 2" xfId="15" xr:uid="{00000000-0005-0000-0000-000011000000}"/>
    <cellStyle name="Normal 5" xfId="16" xr:uid="{00000000-0005-0000-0000-000012000000}"/>
    <cellStyle name="Normal 5 2" xfId="18" xr:uid="{00000000-0005-0000-0000-000013000000}"/>
    <cellStyle name="Normal 5 3" xfId="39" xr:uid="{134E709D-EC57-4536-AA4B-145FB95272D2}"/>
    <cellStyle name="Normal 6" xfId="7" xr:uid="{00000000-0005-0000-0000-000014000000}"/>
    <cellStyle name="Normal 7" xfId="17" xr:uid="{00000000-0005-0000-0000-000015000000}"/>
    <cellStyle name="Normal 8" xfId="19" xr:uid="{00000000-0005-0000-0000-000016000000}"/>
    <cellStyle name="Normal 8 2 10" xfId="30" xr:uid="{00000000-0005-0000-0000-000017000000}"/>
    <cellStyle name="Normal 9" xfId="21" xr:uid="{00000000-0005-0000-0000-000018000000}"/>
    <cellStyle name="Normal 9 2" xfId="29" xr:uid="{00000000-0005-0000-0000-000019000000}"/>
    <cellStyle name="Normal 9 2 2" xfId="34" xr:uid="{00000000-0005-0000-0000-00001A000000}"/>
    <cellStyle name="Normal 9 3" xfId="33" xr:uid="{00000000-0005-0000-0000-00001B000000}"/>
    <cellStyle name="Normal 9 4" xfId="36" xr:uid="{51E1DC27-96D6-484D-9A32-C452A2E4DACD}"/>
    <cellStyle name="Normal 9 4 2" xfId="37" xr:uid="{49ADA62F-5C05-4016-99F1-04FC599F7D67}"/>
    <cellStyle name="Normal_Bombinhas_SES_ABR_04" xfId="20" xr:uid="{00000000-0005-0000-0000-00001C000000}"/>
    <cellStyle name="Porcentagem" xfId="4" builtinId="5"/>
    <cellStyle name="Porcentagem 2" xfId="8" xr:uid="{00000000-0005-0000-0000-00001E000000}"/>
    <cellStyle name="Porcentagem 2 2" xfId="26" xr:uid="{00000000-0005-0000-0000-00001F000000}"/>
    <cellStyle name="Porcentagem 3" xfId="22" xr:uid="{00000000-0005-0000-0000-000020000000}"/>
    <cellStyle name="Separador de milhares_ANEXO 02, 03, 06, 08 e 10 - Floresta Park - Concreto" xfId="6" xr:uid="{00000000-0005-0000-0000-000021000000}"/>
    <cellStyle name="Vírgula" xfId="5" builtinId="3"/>
  </cellStyles>
  <dxfs count="0"/>
  <tableStyles count="0" defaultTableStyle="TableStyleMedium9" defaultPivotStyle="PivotStyleLight16"/>
  <colors>
    <mruColors>
      <color rgb="FFFFFFE1"/>
      <color rgb="FFEBFFFF"/>
      <color rgb="FFFFFFF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484308</xdr:colOff>
      <xdr:row>0</xdr:row>
      <xdr:rowOff>47337</xdr:rowOff>
    </xdr:from>
    <xdr:to>
      <xdr:col>6</xdr:col>
      <xdr:colOff>119423</xdr:colOff>
      <xdr:row>1</xdr:row>
      <xdr:rowOff>510886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B992075-A8B5-409B-94A8-DC719D2344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82" t="36955" r="4706" b="20812"/>
        <a:stretch/>
      </xdr:blipFill>
      <xdr:spPr bwMode="auto">
        <a:xfrm>
          <a:off x="2313108" y="47337"/>
          <a:ext cx="1463915" cy="6254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95254</xdr:colOff>
      <xdr:row>29</xdr:row>
      <xdr:rowOff>116418</xdr:rowOff>
    </xdr:from>
    <xdr:to>
      <xdr:col>2</xdr:col>
      <xdr:colOff>2590800</xdr:colOff>
      <xdr:row>32</xdr:row>
      <xdr:rowOff>52919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5608AC60-0E78-4ABB-9FB5-29ABF81F1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4" y="8765118"/>
          <a:ext cx="4029071" cy="422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0</xdr:rowOff>
    </xdr:from>
    <xdr:to>
      <xdr:col>1</xdr:col>
      <xdr:colOff>971550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1975" y="0"/>
          <a:ext cx="923925" cy="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0</xdr:row>
      <xdr:rowOff>66676</xdr:rowOff>
    </xdr:from>
    <xdr:to>
      <xdr:col>14</xdr:col>
      <xdr:colOff>32134</xdr:colOff>
      <xdr:row>4</xdr:row>
      <xdr:rowOff>42052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9E91B95-F10D-46A4-80EA-E2F8BAD224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82" t="36955" r="4706" b="20812"/>
        <a:stretch/>
      </xdr:blipFill>
      <xdr:spPr bwMode="auto">
        <a:xfrm>
          <a:off x="13239750" y="66676"/>
          <a:ext cx="1451359" cy="64212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cadelai\Desktop\Manuten&#231;&#227;o%20Eletromec&#226;nica\Arquivos%20Licita&#231;&#227;o\MANUTEN&#199;&#195;O%20ELETROMEC&#194;NICA%20-%20PLANILHA%20DO%20LICITAN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\Relat&#243;rio%205\ORIGINAIS%20-%20N&#195;O%20MEXER\C&#193;LCULOS%20SANCAD\REDE13\Planilhas%20para%20Memorial\REDE14IN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cadelai\Desktop\Licita&#231;&#227;o%20Reforma%20ETA%20-%20PAC-FIN\Originais%20-%202019\REFORMA%20E%20AMPLIA&#199;&#195;O%20ETA%20-%20REV%203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scadelai\Desktop\Manuten&#231;&#227;o%20Civil\Originais\Anexos%20II,%20III,%20IV,%20V,%20VI%20e%20VII%20-%20SeMA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TRATOS\ATIVOS\Centroprojekt%20-%20Contrato%20036.15%20-%20Reforma%20e%20Ampliacao%20ETA%20-%20PAC-FIN\Fiscaliza&#231;&#227;o\Medi&#231;&#245;es\Medi&#231;&#227;o%2007\Caixa\01.%20Boletim%20de%20Medi&#231;&#227;o%20-%207&#170;%20Medi&#231;&#227;o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cadelai\Desktop\Licita&#231;&#227;o%20-%20Interceptores%20PAC-OGU\Arquivos%20Licita&#231;&#227;o\An&#225;lise%20Licita&#231;&#227;o\Constroeste\CONSTROESTE%20-%20REPROG.%20FILADELPHO%20-%20REV%201%20-%20SOMENTE%20ETAPA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ENCHIMENTO"/>
      <sheetName val="AII"/>
      <sheetName val="AIII"/>
      <sheetName val="AIV"/>
      <sheetName val="AV"/>
      <sheetName val="AVI"/>
      <sheetName val="AVII"/>
      <sheetName val="AVI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adrao"/>
      <sheetName val="Resumo"/>
      <sheetName val="Dados"/>
    </sheetNames>
    <sheetDataSet>
      <sheetData sheetId="0"/>
      <sheetData sheetId="1"/>
      <sheetData sheetId="2"/>
      <sheetData sheetId="3">
        <row r="2">
          <cell r="K2">
            <v>150</v>
          </cell>
          <cell r="L2">
            <v>0.45</v>
          </cell>
        </row>
        <row r="3">
          <cell r="K3">
            <v>10150</v>
          </cell>
          <cell r="L3">
            <v>0.5</v>
          </cell>
          <cell r="M3">
            <v>0.5</v>
          </cell>
          <cell r="N3">
            <v>0.6</v>
          </cell>
          <cell r="O3">
            <v>0.65</v>
          </cell>
          <cell r="P3">
            <v>0.85</v>
          </cell>
        </row>
        <row r="4">
          <cell r="K4">
            <v>20150</v>
          </cell>
          <cell r="L4">
            <v>0.6</v>
          </cell>
          <cell r="M4">
            <v>0.6</v>
          </cell>
          <cell r="N4">
            <v>0.7</v>
          </cell>
          <cell r="O4">
            <v>0.75</v>
          </cell>
          <cell r="P4">
            <v>0.85</v>
          </cell>
        </row>
        <row r="5">
          <cell r="K5">
            <v>200</v>
          </cell>
          <cell r="L5">
            <v>0.55000000000000004</v>
          </cell>
          <cell r="M5">
            <v>0.55000000000000004</v>
          </cell>
          <cell r="N5">
            <v>0.65</v>
          </cell>
          <cell r="O5">
            <v>0.7</v>
          </cell>
          <cell r="P5">
            <v>0.9</v>
          </cell>
        </row>
        <row r="6">
          <cell r="K6">
            <v>10200</v>
          </cell>
          <cell r="L6">
            <v>0.55000000000000004</v>
          </cell>
          <cell r="M6">
            <v>0.55000000000000004</v>
          </cell>
          <cell r="N6">
            <v>0.65</v>
          </cell>
          <cell r="O6">
            <v>0.7</v>
          </cell>
          <cell r="P6">
            <v>0.9</v>
          </cell>
        </row>
        <row r="7">
          <cell r="K7">
            <v>20200</v>
          </cell>
          <cell r="L7">
            <v>0.65</v>
          </cell>
          <cell r="M7">
            <v>0.65</v>
          </cell>
          <cell r="N7">
            <v>0.75</v>
          </cell>
          <cell r="O7">
            <v>0.8</v>
          </cell>
          <cell r="P7">
            <v>0.9</v>
          </cell>
        </row>
        <row r="8">
          <cell r="K8">
            <v>250</v>
          </cell>
          <cell r="L8">
            <v>0.6</v>
          </cell>
          <cell r="M8">
            <v>0.6</v>
          </cell>
          <cell r="N8">
            <v>0.7</v>
          </cell>
          <cell r="O8">
            <v>0.75</v>
          </cell>
          <cell r="P8">
            <v>0.95</v>
          </cell>
        </row>
        <row r="9">
          <cell r="K9">
            <v>10250</v>
          </cell>
          <cell r="L9">
            <v>0.6</v>
          </cell>
          <cell r="M9">
            <v>0.6</v>
          </cell>
          <cell r="N9">
            <v>0.7</v>
          </cell>
          <cell r="O9">
            <v>0.75</v>
          </cell>
          <cell r="P9">
            <v>0.95</v>
          </cell>
        </row>
        <row r="10">
          <cell r="K10">
            <v>20250</v>
          </cell>
          <cell r="L10">
            <v>0.7</v>
          </cell>
          <cell r="M10">
            <v>0.7</v>
          </cell>
          <cell r="N10">
            <v>0.8</v>
          </cell>
          <cell r="O10">
            <v>0.85</v>
          </cell>
          <cell r="P10">
            <v>0.95</v>
          </cell>
        </row>
        <row r="11">
          <cell r="K11">
            <v>300</v>
          </cell>
          <cell r="L11">
            <v>0.65</v>
          </cell>
          <cell r="M11">
            <v>0.65</v>
          </cell>
          <cell r="N11">
            <v>0.75</v>
          </cell>
          <cell r="O11">
            <v>0.8</v>
          </cell>
          <cell r="P11">
            <v>1</v>
          </cell>
        </row>
        <row r="12">
          <cell r="K12">
            <v>10300</v>
          </cell>
          <cell r="L12">
            <v>0.65</v>
          </cell>
          <cell r="M12">
            <v>0.65</v>
          </cell>
          <cell r="N12">
            <v>0.75</v>
          </cell>
          <cell r="O12">
            <v>0.8</v>
          </cell>
          <cell r="P12">
            <v>1</v>
          </cell>
        </row>
        <row r="13">
          <cell r="K13">
            <v>20300</v>
          </cell>
          <cell r="L13">
            <v>0.75</v>
          </cell>
          <cell r="M13">
            <v>0.75</v>
          </cell>
          <cell r="N13">
            <v>0.85</v>
          </cell>
          <cell r="O13">
            <v>0.9</v>
          </cell>
          <cell r="P13">
            <v>1</v>
          </cell>
        </row>
        <row r="14">
          <cell r="K14">
            <v>350</v>
          </cell>
          <cell r="L14">
            <v>0.7</v>
          </cell>
          <cell r="M14">
            <v>0.7</v>
          </cell>
          <cell r="N14">
            <v>0.8</v>
          </cell>
          <cell r="O14">
            <v>0.85</v>
          </cell>
          <cell r="P14">
            <v>1.05</v>
          </cell>
        </row>
        <row r="15">
          <cell r="K15">
            <v>10350</v>
          </cell>
          <cell r="L15">
            <v>0.7</v>
          </cell>
          <cell r="M15">
            <v>0.7</v>
          </cell>
          <cell r="N15">
            <v>0.8</v>
          </cell>
          <cell r="O15">
            <v>0.85</v>
          </cell>
          <cell r="P15">
            <v>1.05</v>
          </cell>
        </row>
        <row r="16">
          <cell r="K16">
            <v>20350</v>
          </cell>
          <cell r="L16">
            <v>0.8</v>
          </cell>
          <cell r="M16">
            <v>0.8</v>
          </cell>
          <cell r="N16">
            <v>0.9</v>
          </cell>
          <cell r="O16">
            <v>0.95</v>
          </cell>
          <cell r="P16">
            <v>1.05</v>
          </cell>
        </row>
        <row r="17">
          <cell r="K17">
            <v>400</v>
          </cell>
          <cell r="L17">
            <v>0.75</v>
          </cell>
          <cell r="M17">
            <v>0.75</v>
          </cell>
          <cell r="N17">
            <v>0.85</v>
          </cell>
          <cell r="O17">
            <v>0.9</v>
          </cell>
          <cell r="P17">
            <v>1.1000000000000001</v>
          </cell>
        </row>
        <row r="18">
          <cell r="K18">
            <v>10400</v>
          </cell>
          <cell r="L18">
            <v>0.75</v>
          </cell>
          <cell r="M18">
            <v>0.75</v>
          </cell>
          <cell r="N18">
            <v>0.85</v>
          </cell>
          <cell r="O18">
            <v>0.9</v>
          </cell>
          <cell r="P18">
            <v>1.1000000000000001</v>
          </cell>
        </row>
        <row r="19">
          <cell r="K19">
            <v>20400</v>
          </cell>
          <cell r="L19">
            <v>0.85</v>
          </cell>
          <cell r="M19">
            <v>0.85</v>
          </cell>
          <cell r="N19">
            <v>0.95</v>
          </cell>
          <cell r="O19">
            <v>1</v>
          </cell>
          <cell r="P19">
            <v>1.1000000000000001</v>
          </cell>
        </row>
        <row r="20">
          <cell r="K20">
            <v>500</v>
          </cell>
          <cell r="L20">
            <v>0.85</v>
          </cell>
          <cell r="M20">
            <v>0.85</v>
          </cell>
          <cell r="N20">
            <v>0.95</v>
          </cell>
          <cell r="O20">
            <v>1</v>
          </cell>
          <cell r="P20">
            <v>1.2</v>
          </cell>
        </row>
        <row r="21">
          <cell r="K21">
            <v>10500</v>
          </cell>
          <cell r="L21">
            <v>0.85</v>
          </cell>
          <cell r="M21">
            <v>0.85</v>
          </cell>
          <cell r="N21">
            <v>0.95</v>
          </cell>
          <cell r="O21">
            <v>1</v>
          </cell>
          <cell r="P21">
            <v>1.2</v>
          </cell>
        </row>
        <row r="22">
          <cell r="K22">
            <v>20500</v>
          </cell>
          <cell r="L22">
            <v>0.95</v>
          </cell>
          <cell r="M22">
            <v>0.95</v>
          </cell>
          <cell r="N22">
            <v>1.05</v>
          </cell>
          <cell r="O22">
            <v>1.1000000000000001</v>
          </cell>
          <cell r="P22">
            <v>1.2</v>
          </cell>
        </row>
        <row r="23">
          <cell r="K23">
            <v>600</v>
          </cell>
          <cell r="L23">
            <v>0.95</v>
          </cell>
          <cell r="M23">
            <v>0.95</v>
          </cell>
          <cell r="N23">
            <v>1.05</v>
          </cell>
          <cell r="O23">
            <v>1.1000000000000001</v>
          </cell>
          <cell r="P23">
            <v>1.3</v>
          </cell>
        </row>
        <row r="24">
          <cell r="K24">
            <v>10600</v>
          </cell>
          <cell r="L24">
            <v>0.95</v>
          </cell>
          <cell r="M24">
            <v>0.95</v>
          </cell>
          <cell r="N24">
            <v>1.05</v>
          </cell>
          <cell r="O24">
            <v>1.1000000000000001</v>
          </cell>
          <cell r="P24">
            <v>1.3</v>
          </cell>
        </row>
        <row r="25">
          <cell r="K25">
            <v>20600</v>
          </cell>
          <cell r="L25">
            <v>1.05</v>
          </cell>
          <cell r="M25">
            <v>1.05</v>
          </cell>
          <cell r="N25">
            <v>1.1499999999999999</v>
          </cell>
          <cell r="O25">
            <v>1.2</v>
          </cell>
          <cell r="P25">
            <v>1.3</v>
          </cell>
        </row>
        <row r="26">
          <cell r="K26">
            <v>700</v>
          </cell>
          <cell r="L26">
            <v>1.3</v>
          </cell>
          <cell r="M26">
            <v>1.3</v>
          </cell>
          <cell r="N26">
            <v>1.4</v>
          </cell>
          <cell r="O26">
            <v>1.45</v>
          </cell>
          <cell r="P26">
            <v>1.65</v>
          </cell>
        </row>
        <row r="27">
          <cell r="K27">
            <v>10700</v>
          </cell>
          <cell r="L27">
            <v>1.3</v>
          </cell>
          <cell r="M27">
            <v>1.3</v>
          </cell>
          <cell r="N27">
            <v>1.4</v>
          </cell>
          <cell r="O27">
            <v>1.45</v>
          </cell>
          <cell r="P27">
            <v>1.65</v>
          </cell>
        </row>
        <row r="28">
          <cell r="K28">
            <v>20700</v>
          </cell>
          <cell r="L28">
            <v>1.4</v>
          </cell>
          <cell r="M28">
            <v>1.4</v>
          </cell>
          <cell r="N28">
            <v>1.5</v>
          </cell>
          <cell r="O28">
            <v>1.55</v>
          </cell>
          <cell r="P28">
            <v>1.65</v>
          </cell>
        </row>
        <row r="29">
          <cell r="K29">
            <v>800</v>
          </cell>
          <cell r="L29">
            <v>1.4</v>
          </cell>
          <cell r="M29">
            <v>1.4</v>
          </cell>
          <cell r="N29">
            <v>1.5</v>
          </cell>
          <cell r="O29">
            <v>1.55</v>
          </cell>
          <cell r="P29">
            <v>1.75</v>
          </cell>
        </row>
        <row r="30">
          <cell r="K30">
            <v>10800</v>
          </cell>
          <cell r="L30">
            <v>1.4</v>
          </cell>
          <cell r="M30">
            <v>1.4</v>
          </cell>
          <cell r="N30">
            <v>1.5</v>
          </cell>
          <cell r="O30">
            <v>1.55</v>
          </cell>
          <cell r="P30">
            <v>1.75</v>
          </cell>
        </row>
        <row r="31">
          <cell r="K31">
            <v>20800</v>
          </cell>
          <cell r="L31">
            <v>1.5</v>
          </cell>
          <cell r="M31">
            <v>1.5</v>
          </cell>
          <cell r="N31">
            <v>1.6</v>
          </cell>
          <cell r="O31">
            <v>1.65</v>
          </cell>
          <cell r="P31">
            <v>1.75</v>
          </cell>
        </row>
        <row r="32">
          <cell r="K32">
            <v>900</v>
          </cell>
          <cell r="N32">
            <v>1.6</v>
          </cell>
          <cell r="O32">
            <v>1.65</v>
          </cell>
          <cell r="P32">
            <v>1.85</v>
          </cell>
        </row>
        <row r="33">
          <cell r="K33">
            <v>10900</v>
          </cell>
          <cell r="N33">
            <v>1.6</v>
          </cell>
          <cell r="O33">
            <v>1.65</v>
          </cell>
          <cell r="P33">
            <v>1.85</v>
          </cell>
        </row>
        <row r="34">
          <cell r="K34">
            <v>20900</v>
          </cell>
          <cell r="N34">
            <v>1.7</v>
          </cell>
          <cell r="O34">
            <v>1.75</v>
          </cell>
          <cell r="P34">
            <v>1.85</v>
          </cell>
        </row>
        <row r="35">
          <cell r="K35">
            <v>1000</v>
          </cell>
          <cell r="P35">
            <v>1.95</v>
          </cell>
        </row>
        <row r="36">
          <cell r="K36">
            <v>11000</v>
          </cell>
          <cell r="P36">
            <v>1.95</v>
          </cell>
        </row>
        <row r="37">
          <cell r="K37">
            <v>21000</v>
          </cell>
          <cell r="N37">
            <v>1.85</v>
          </cell>
          <cell r="O37">
            <v>1.85</v>
          </cell>
          <cell r="P37">
            <v>1.95</v>
          </cell>
        </row>
        <row r="38">
          <cell r="K38">
            <v>1200</v>
          </cell>
        </row>
        <row r="39">
          <cell r="K39">
            <v>11200</v>
          </cell>
        </row>
        <row r="40">
          <cell r="K40">
            <v>21200</v>
          </cell>
          <cell r="O40">
            <v>2.0499999999999998</v>
          </cell>
          <cell r="P40">
            <v>2.15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II"/>
      <sheetName val="II.1"/>
      <sheetName val="II.2"/>
      <sheetName val="II.3"/>
      <sheetName val="II.4"/>
      <sheetName val="II.5"/>
      <sheetName val="II.6"/>
      <sheetName val="II.7"/>
      <sheetName val="II.8"/>
      <sheetName val="II.9"/>
      <sheetName val="II.10"/>
      <sheetName val="II.11"/>
      <sheetName val="II.12"/>
      <sheetName val="II.13"/>
      <sheetName val="II.14"/>
      <sheetName val="II.15"/>
      <sheetName val="III"/>
      <sheetName val="IV"/>
      <sheetName val="V"/>
      <sheetName val="VI-1"/>
      <sheetName val="VI-2"/>
      <sheetName val="Anexo VII"/>
      <sheetName val="Anexo VIII"/>
      <sheetName val="Esgotamento"/>
      <sheetName val="MC - PAINÉIS"/>
      <sheetName val="Série Histórica IPCA"/>
      <sheetName val="Justificativas"/>
      <sheetName val="COTAÇÕES"/>
      <sheetName val="MC - ATUADORES"/>
      <sheetName val="MC - ITEM 2.3"/>
      <sheetName val="MC - ITEM 3.3"/>
      <sheetName val="MC - ITEM 4.3"/>
      <sheetName val="MC - ITEM 5.3"/>
      <sheetName val="MC - ITEM 6.3"/>
      <sheetName val="MC - ITEM 7.3"/>
      <sheetName val="MC - ITEM 10.3.1"/>
      <sheetName val="MC - ITEM 10.3.2-10.3.8"/>
      <sheetName val="MC - ITEM 13"/>
      <sheetName val="MC - ITEM 14"/>
      <sheetName val="MC - DESMONTAGEM"/>
      <sheetName val="MC - MB - AT"/>
      <sheetName val="MC - CABOS EQUIP"/>
      <sheetName val="MC - CABOS PAINÉIS"/>
      <sheetName val="MC - CABOS ATUADORES"/>
      <sheetName val="PREENCHI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I"/>
      <sheetName val="Anexo III"/>
      <sheetName val="Anexo IV"/>
      <sheetName val="Anexo V insumos"/>
      <sheetName val="Anexo VI  BDI"/>
      <sheetName val="Anexo VII Leis sociais"/>
      <sheetName val="Anexo VIII"/>
    </sheetNames>
    <sheetDataSet>
      <sheetData sheetId="0">
        <row r="2">
          <cell r="O2">
            <v>0</v>
          </cell>
        </row>
        <row r="12">
          <cell r="A12" t="str">
            <v>ITEM</v>
          </cell>
          <cell r="B12" t="str">
            <v>SERVIÇO</v>
          </cell>
          <cell r="C12" t="str">
            <v>UNID.</v>
          </cell>
          <cell r="D12" t="str">
            <v>QUANT.</v>
          </cell>
          <cell r="E12" t="str">
            <v>PREÇO</v>
          </cell>
          <cell r="F12" t="str">
            <v>MAT</v>
          </cell>
          <cell r="G12">
            <v>0</v>
          </cell>
          <cell r="H12" t="str">
            <v>SERVIÇO</v>
          </cell>
          <cell r="I12">
            <v>0</v>
          </cell>
          <cell r="J12" t="str">
            <v>MO</v>
          </cell>
          <cell r="K12">
            <v>0</v>
          </cell>
          <cell r="L12" t="str">
            <v>PREÇO</v>
          </cell>
          <cell r="M12" t="str">
            <v>%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 t="str">
            <v>UNIT.(R$)</v>
          </cell>
          <cell r="F13" t="str">
            <v>R$</v>
          </cell>
          <cell r="G13">
            <v>0</v>
          </cell>
          <cell r="H13" t="str">
            <v>R$</v>
          </cell>
          <cell r="I13">
            <v>0</v>
          </cell>
          <cell r="J13" t="str">
            <v>R$</v>
          </cell>
          <cell r="K13">
            <v>0</v>
          </cell>
          <cell r="L13" t="str">
            <v>TOTAL(R$)</v>
          </cell>
          <cell r="M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1.0</v>
          </cell>
          <cell r="B15" t="str">
            <v>CANTEIRO DE OBRAS</v>
          </cell>
          <cell r="C15" t="str">
            <v>SUB-TOTAL</v>
          </cell>
          <cell r="D15">
            <v>0</v>
          </cell>
          <cell r="E15">
            <v>0</v>
          </cell>
          <cell r="F15">
            <v>2261.4299999999998</v>
          </cell>
          <cell r="G15">
            <v>2261.4299999999998</v>
          </cell>
          <cell r="H15">
            <v>204869.90000000002</v>
          </cell>
          <cell r="I15">
            <v>204869.90000000002</v>
          </cell>
          <cell r="J15">
            <v>295.56</v>
          </cell>
          <cell r="K15">
            <v>295.56</v>
          </cell>
          <cell r="L15">
            <v>207426.89</v>
          </cell>
          <cell r="M15">
            <v>2.4687000000000001E-2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1.0902E-2</v>
          </cell>
          <cell r="G16" t="str">
            <v>sim</v>
          </cell>
          <cell r="H16">
            <v>0.98767300000000002</v>
          </cell>
          <cell r="I16" t="str">
            <v>sim</v>
          </cell>
          <cell r="J16">
            <v>1.4250000000000001E-3</v>
          </cell>
          <cell r="K16" t="str">
            <v>sim</v>
          </cell>
          <cell r="L16">
            <v>0</v>
          </cell>
          <cell r="M16">
            <v>0</v>
          </cell>
        </row>
        <row r="17">
          <cell r="A17" t="str">
            <v>1.1</v>
          </cell>
          <cell r="B17" t="str">
            <v>Instalação de Canteiro de Obras (DER/SP) (Item 5.1 do MD)</v>
          </cell>
          <cell r="C17" t="str">
            <v>vb</v>
          </cell>
          <cell r="D17">
            <v>1</v>
          </cell>
          <cell r="E17">
            <v>122921.94</v>
          </cell>
          <cell r="F17">
            <v>0</v>
          </cell>
          <cell r="G17">
            <v>0</v>
          </cell>
          <cell r="H17">
            <v>122921.94</v>
          </cell>
          <cell r="I17">
            <v>122921.94</v>
          </cell>
          <cell r="J17">
            <v>0</v>
          </cell>
          <cell r="K17">
            <v>0</v>
          </cell>
          <cell r="L17">
            <v>122921.94</v>
          </cell>
          <cell r="M17">
            <v>1.4630000000000001E-2</v>
          </cell>
        </row>
        <row r="18">
          <cell r="A18" t="str">
            <v>1.2</v>
          </cell>
          <cell r="B18" t="str">
            <v>Operação e Manutenção de Canteiro de Obras (DER/SP) (Item 5.1 do MD)</v>
          </cell>
          <cell r="C18" t="str">
            <v>vb</v>
          </cell>
          <cell r="D18">
            <v>1</v>
          </cell>
          <cell r="E18">
            <v>71704.460000000006</v>
          </cell>
          <cell r="F18">
            <v>0</v>
          </cell>
          <cell r="G18">
            <v>0</v>
          </cell>
          <cell r="H18">
            <v>71704.460000000006</v>
          </cell>
          <cell r="I18">
            <v>71704.460000000006</v>
          </cell>
          <cell r="J18">
            <v>0</v>
          </cell>
          <cell r="K18">
            <v>0</v>
          </cell>
          <cell r="L18">
            <v>71704.460000000006</v>
          </cell>
          <cell r="M18">
            <v>8.5339999999999999E-3</v>
          </cell>
        </row>
        <row r="19">
          <cell r="A19" t="str">
            <v>1.3</v>
          </cell>
          <cell r="B19" t="str">
            <v>Desmobilização de Canteiro de Obras (DER/SP) (Item 5.1 do MD)</v>
          </cell>
          <cell r="C19" t="str">
            <v>vb</v>
          </cell>
          <cell r="D19">
            <v>1</v>
          </cell>
          <cell r="E19">
            <v>10243.5</v>
          </cell>
          <cell r="F19">
            <v>0</v>
          </cell>
          <cell r="G19">
            <v>0</v>
          </cell>
          <cell r="H19">
            <v>10243.5</v>
          </cell>
          <cell r="I19">
            <v>10243.5</v>
          </cell>
          <cell r="J19">
            <v>0</v>
          </cell>
          <cell r="K19">
            <v>0</v>
          </cell>
          <cell r="L19">
            <v>10243.5</v>
          </cell>
          <cell r="M19">
            <v>1.219E-3</v>
          </cell>
        </row>
        <row r="20">
          <cell r="A20" t="str">
            <v>1.4</v>
          </cell>
          <cell r="B20" t="str">
            <v>Placa de identificação de obra, conforme padrão SeMAE (Item 5.1 do MD)</v>
          </cell>
          <cell r="C20" t="str">
            <v>m2</v>
          </cell>
          <cell r="D20">
            <v>9</v>
          </cell>
          <cell r="E20">
            <v>284.11</v>
          </cell>
          <cell r="F20">
            <v>251.27000000000004</v>
          </cell>
          <cell r="G20">
            <v>2261.4299999999998</v>
          </cell>
          <cell r="H20">
            <v>0</v>
          </cell>
          <cell r="I20">
            <v>0</v>
          </cell>
          <cell r="J20">
            <v>32.840000000000003</v>
          </cell>
          <cell r="K20">
            <v>295.56</v>
          </cell>
          <cell r="L20">
            <v>2556.9899999999998</v>
          </cell>
          <cell r="M20">
            <v>3.0400000000000002E-4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A22" t="str">
            <v>2.0</v>
          </cell>
          <cell r="B22" t="str">
            <v>SERVIÇOS INICIAIS</v>
          </cell>
          <cell r="C22" t="str">
            <v>SUB-TOTAL</v>
          </cell>
          <cell r="D22">
            <v>0</v>
          </cell>
          <cell r="E22">
            <v>0</v>
          </cell>
          <cell r="F22">
            <v>13525</v>
          </cell>
          <cell r="G22">
            <v>13525</v>
          </cell>
          <cell r="H22">
            <v>134717</v>
          </cell>
          <cell r="I22">
            <v>134717</v>
          </cell>
          <cell r="J22">
            <v>241867.5</v>
          </cell>
          <cell r="K22">
            <v>241867.5</v>
          </cell>
          <cell r="L22">
            <v>390109.5</v>
          </cell>
          <cell r="M22">
            <v>4.6428999999999998E-2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3.4669999999999999E-2</v>
          </cell>
          <cell r="G23" t="str">
            <v>sim</v>
          </cell>
          <cell r="H23">
            <v>0.345331</v>
          </cell>
          <cell r="I23" t="str">
            <v>sim</v>
          </cell>
          <cell r="J23">
            <v>0.61999899999999997</v>
          </cell>
          <cell r="K23" t="str">
            <v>sim</v>
          </cell>
          <cell r="L23">
            <v>0</v>
          </cell>
          <cell r="M23">
            <v>0</v>
          </cell>
        </row>
        <row r="24">
          <cell r="A24" t="str">
            <v>2.1</v>
          </cell>
          <cell r="B24" t="str">
            <v>Limpeza mecanizada de terreno - remoção de terra vegetal (Item 5.2.1 do MD)</v>
          </cell>
          <cell r="C24" t="str">
            <v>m2</v>
          </cell>
          <cell r="D24">
            <v>5500</v>
          </cell>
          <cell r="E24">
            <v>1.05</v>
          </cell>
          <cell r="F24">
            <v>0</v>
          </cell>
          <cell r="G24">
            <v>0</v>
          </cell>
          <cell r="H24">
            <v>1</v>
          </cell>
          <cell r="I24">
            <v>5500</v>
          </cell>
          <cell r="J24">
            <v>0.05</v>
          </cell>
          <cell r="K24">
            <v>275</v>
          </cell>
          <cell r="L24">
            <v>5775</v>
          </cell>
          <cell r="M24">
            <v>6.87E-4</v>
          </cell>
        </row>
        <row r="25">
          <cell r="A25" t="str">
            <v>2.2</v>
          </cell>
          <cell r="B25" t="str">
            <v>Limpeza de áreas públicas ou áreas do SeMAE para retirada de entulhos ou materiais diversos</v>
          </cell>
          <cell r="C25" t="str">
            <v>un</v>
          </cell>
          <cell r="D25">
            <v>500</v>
          </cell>
          <cell r="E25">
            <v>238.04000000000002</v>
          </cell>
          <cell r="F25">
            <v>0</v>
          </cell>
          <cell r="G25">
            <v>0</v>
          </cell>
          <cell r="H25">
            <v>173.66000000000003</v>
          </cell>
          <cell r="I25">
            <v>86830</v>
          </cell>
          <cell r="J25">
            <v>64.38</v>
          </cell>
          <cell r="K25">
            <v>32190</v>
          </cell>
          <cell r="L25">
            <v>119020</v>
          </cell>
          <cell r="M25">
            <v>1.4165000000000001E-2</v>
          </cell>
        </row>
        <row r="26">
          <cell r="A26" t="str">
            <v>2.3</v>
          </cell>
          <cell r="B26" t="str">
            <v>Limpeza de boca de lobo (Item 5.2.2 do MD)</v>
          </cell>
          <cell r="C26" t="str">
            <v>un</v>
          </cell>
          <cell r="D26">
            <v>500</v>
          </cell>
          <cell r="E26">
            <v>46.44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46.44</v>
          </cell>
          <cell r="K26">
            <v>23220</v>
          </cell>
          <cell r="L26">
            <v>23220</v>
          </cell>
          <cell r="M26">
            <v>2.764E-3</v>
          </cell>
        </row>
        <row r="27">
          <cell r="A27" t="str">
            <v>2.4</v>
          </cell>
          <cell r="B27" t="str">
            <v>Tapume chapa compensada resinada 10 mm (Item 5.2.3 do MD)</v>
          </cell>
          <cell r="C27" t="str">
            <v>m2</v>
          </cell>
          <cell r="D27">
            <v>500</v>
          </cell>
          <cell r="E27">
            <v>45.67</v>
          </cell>
          <cell r="F27">
            <v>19.399999999999999</v>
          </cell>
          <cell r="G27">
            <v>9700</v>
          </cell>
          <cell r="H27">
            <v>0</v>
          </cell>
          <cell r="I27">
            <v>0</v>
          </cell>
          <cell r="J27">
            <v>26.27</v>
          </cell>
          <cell r="K27">
            <v>13135</v>
          </cell>
          <cell r="L27">
            <v>22835</v>
          </cell>
          <cell r="M27">
            <v>2.7179999999999999E-3</v>
          </cell>
        </row>
        <row r="28">
          <cell r="A28" t="str">
            <v>2.5</v>
          </cell>
          <cell r="B28" t="str">
            <v>Escavação manual de valas em solo de 1ª categoria com profundidade até 2,0 m (Item 5.2.4 do MD)</v>
          </cell>
          <cell r="C28" t="str">
            <v>m3</v>
          </cell>
          <cell r="D28">
            <v>100</v>
          </cell>
          <cell r="E28">
            <v>53.379999999999995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53.379999999999995</v>
          </cell>
          <cell r="K28">
            <v>5338</v>
          </cell>
          <cell r="L28">
            <v>5338</v>
          </cell>
          <cell r="M28">
            <v>6.3500000000000004E-4</v>
          </cell>
        </row>
        <row r="29">
          <cell r="A29" t="str">
            <v>2.6</v>
          </cell>
          <cell r="B29" t="str">
            <v>Escavação, carga e transporte de material de 1ª Categoria com trator sobre esteiras - DMT 50 a 200m  (Item 5.2.4 do MD)</v>
          </cell>
          <cell r="C29" t="str">
            <v>m3</v>
          </cell>
          <cell r="D29">
            <v>600</v>
          </cell>
          <cell r="E29">
            <v>4.7999999999999989</v>
          </cell>
          <cell r="F29">
            <v>0</v>
          </cell>
          <cell r="G29">
            <v>0</v>
          </cell>
          <cell r="H29">
            <v>4.629999999999999</v>
          </cell>
          <cell r="I29">
            <v>2778</v>
          </cell>
          <cell r="J29">
            <v>0.17</v>
          </cell>
          <cell r="K29">
            <v>102</v>
          </cell>
          <cell r="L29">
            <v>2880</v>
          </cell>
          <cell r="M29">
            <v>3.4299999999999999E-4</v>
          </cell>
        </row>
        <row r="30">
          <cell r="A30" t="str">
            <v>2.7</v>
          </cell>
          <cell r="B30" t="str">
            <v>Escavação mecanizada de valas em solo de 1ª categoria com profundidade acima de 2,0 m (Item 5.2.4 do MD)</v>
          </cell>
          <cell r="C30" t="str">
            <v>m3</v>
          </cell>
          <cell r="D30">
            <v>200</v>
          </cell>
          <cell r="E30">
            <v>6.49</v>
          </cell>
          <cell r="F30">
            <v>0</v>
          </cell>
          <cell r="G30">
            <v>0</v>
          </cell>
          <cell r="H30">
            <v>5.76</v>
          </cell>
          <cell r="I30">
            <v>1152</v>
          </cell>
          <cell r="J30">
            <v>0.73000000000000009</v>
          </cell>
          <cell r="K30">
            <v>146</v>
          </cell>
          <cell r="L30">
            <v>1298</v>
          </cell>
          <cell r="M30">
            <v>1.54E-4</v>
          </cell>
        </row>
        <row r="31">
          <cell r="A31" t="str">
            <v>2.8</v>
          </cell>
          <cell r="B31" t="str">
            <v>Escoramento contínuo de valas, misto, com perfil I de 8"</v>
          </cell>
          <cell r="C31" t="str">
            <v>m2</v>
          </cell>
          <cell r="D31">
            <v>100</v>
          </cell>
          <cell r="E31">
            <v>116.47</v>
          </cell>
          <cell r="F31">
            <v>38.25</v>
          </cell>
          <cell r="G31">
            <v>3825</v>
          </cell>
          <cell r="H31">
            <v>25.33</v>
          </cell>
          <cell r="I31">
            <v>2533</v>
          </cell>
          <cell r="J31">
            <v>52.89</v>
          </cell>
          <cell r="K31">
            <v>5289</v>
          </cell>
          <cell r="L31">
            <v>11647</v>
          </cell>
          <cell r="M31">
            <v>1.3860000000000001E-3</v>
          </cell>
        </row>
        <row r="32">
          <cell r="A32" t="str">
            <v>2.9</v>
          </cell>
          <cell r="B32" t="str">
            <v>Compactação mecânica com controle do GC &gt;= 95% do PN (Com motoniveladora e rolo compressor) (Item 5.2.5 do MD)</v>
          </cell>
          <cell r="C32" t="str">
            <v>m3</v>
          </cell>
          <cell r="D32">
            <v>600</v>
          </cell>
          <cell r="E32">
            <v>3.66</v>
          </cell>
          <cell r="F32">
            <v>0</v>
          </cell>
          <cell r="G32">
            <v>0</v>
          </cell>
          <cell r="H32">
            <v>3.1900000000000004</v>
          </cell>
          <cell r="I32">
            <v>1914</v>
          </cell>
          <cell r="J32">
            <v>0.47</v>
          </cell>
          <cell r="K32">
            <v>282</v>
          </cell>
          <cell r="L32">
            <v>2196</v>
          </cell>
          <cell r="M32">
            <v>2.61E-4</v>
          </cell>
        </row>
        <row r="33">
          <cell r="A33" t="str">
            <v>2.10</v>
          </cell>
          <cell r="B33" t="str">
            <v>Reaterro manual de valas apiloado (Item 5.2.5 do MD)</v>
          </cell>
          <cell r="C33" t="str">
            <v>m3</v>
          </cell>
          <cell r="D33">
            <v>100</v>
          </cell>
          <cell r="E33">
            <v>42.9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42.9</v>
          </cell>
          <cell r="K33">
            <v>4290</v>
          </cell>
          <cell r="L33">
            <v>4290</v>
          </cell>
          <cell r="M33">
            <v>5.1099999999999995E-4</v>
          </cell>
        </row>
        <row r="34">
          <cell r="A34" t="str">
            <v>2.11</v>
          </cell>
          <cell r="B34" t="str">
            <v>Reaterro mecanizado de valas (Item 5.2.5 do MD)</v>
          </cell>
          <cell r="C34" t="str">
            <v>m3</v>
          </cell>
          <cell r="D34">
            <v>200</v>
          </cell>
          <cell r="E34">
            <v>19.580000000000002</v>
          </cell>
          <cell r="F34">
            <v>0</v>
          </cell>
          <cell r="G34">
            <v>0</v>
          </cell>
          <cell r="H34">
            <v>5.28</v>
          </cell>
          <cell r="I34">
            <v>1056</v>
          </cell>
          <cell r="J34">
            <v>14.3</v>
          </cell>
          <cell r="K34">
            <v>2860</v>
          </cell>
          <cell r="L34">
            <v>3916</v>
          </cell>
          <cell r="M34">
            <v>4.66E-4</v>
          </cell>
        </row>
        <row r="35">
          <cell r="A35" t="str">
            <v>2.12</v>
          </cell>
          <cell r="B35" t="str">
            <v xml:space="preserve">Demolição de calçadas e pisos cimentados (Item 5.2.6 do MD) </v>
          </cell>
          <cell r="C35" t="str">
            <v>m2</v>
          </cell>
          <cell r="D35">
            <v>100</v>
          </cell>
          <cell r="E35">
            <v>23.229999999999997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23.229999999999997</v>
          </cell>
          <cell r="K35">
            <v>2323</v>
          </cell>
          <cell r="L35">
            <v>2323</v>
          </cell>
          <cell r="M35">
            <v>2.7599999999999999E-4</v>
          </cell>
        </row>
        <row r="36">
          <cell r="A36" t="str">
            <v>2.13</v>
          </cell>
          <cell r="B36" t="str">
            <v>Demolição de alvenaria em geral s/ reaproveitamento (Item 5.2.6 do MD)</v>
          </cell>
          <cell r="C36" t="str">
            <v>m2</v>
          </cell>
          <cell r="D36">
            <v>100</v>
          </cell>
          <cell r="E36">
            <v>68.87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68.87</v>
          </cell>
          <cell r="K36">
            <v>6887</v>
          </cell>
          <cell r="L36">
            <v>6887</v>
          </cell>
          <cell r="M36">
            <v>8.1999999999999998E-4</v>
          </cell>
        </row>
        <row r="37">
          <cell r="A37" t="str">
            <v>2.14</v>
          </cell>
          <cell r="B37" t="str">
            <v>Demolição de concreto simples (Item 5.2.6do MD)</v>
          </cell>
          <cell r="C37" t="str">
            <v>m3</v>
          </cell>
          <cell r="D37">
            <v>100</v>
          </cell>
          <cell r="E37">
            <v>223.8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223.8</v>
          </cell>
          <cell r="K37">
            <v>22380</v>
          </cell>
          <cell r="L37">
            <v>22380</v>
          </cell>
          <cell r="M37">
            <v>2.6640000000000001E-3</v>
          </cell>
        </row>
        <row r="38">
          <cell r="A38" t="str">
            <v>2.15</v>
          </cell>
          <cell r="B38" t="str">
            <v>Demolição de concreto armado com utilização de martelo rompedor  (Item 5.2.6 do MD)</v>
          </cell>
          <cell r="C38" t="str">
            <v>m3</v>
          </cell>
          <cell r="D38">
            <v>100</v>
          </cell>
          <cell r="E38">
            <v>295.59000000000003</v>
          </cell>
          <cell r="F38">
            <v>0</v>
          </cell>
          <cell r="G38">
            <v>0</v>
          </cell>
          <cell r="H38">
            <v>121.66000000000001</v>
          </cell>
          <cell r="I38">
            <v>12166</v>
          </cell>
          <cell r="J38">
            <v>173.93</v>
          </cell>
          <cell r="K38">
            <v>17393</v>
          </cell>
          <cell r="L38">
            <v>29559</v>
          </cell>
          <cell r="M38">
            <v>3.5179999999999999E-3</v>
          </cell>
        </row>
        <row r="39">
          <cell r="A39" t="str">
            <v>2.16</v>
          </cell>
          <cell r="B39" t="str">
            <v>Remoção de guias em concreto  (Item 5.2.6 do MD)</v>
          </cell>
          <cell r="C39" t="str">
            <v>m</v>
          </cell>
          <cell r="D39">
            <v>500</v>
          </cell>
          <cell r="E39">
            <v>8.64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8.64</v>
          </cell>
          <cell r="K39">
            <v>4320</v>
          </cell>
          <cell r="L39">
            <v>4320</v>
          </cell>
          <cell r="M39">
            <v>5.1400000000000003E-4</v>
          </cell>
        </row>
        <row r="40">
          <cell r="A40" t="str">
            <v>2.17</v>
          </cell>
          <cell r="B40" t="str">
            <v>Remoção de sarjetas em concreto  (Item 5.2.6 do MD)</v>
          </cell>
          <cell r="C40" t="str">
            <v>m</v>
          </cell>
          <cell r="D40">
            <v>500</v>
          </cell>
          <cell r="E40">
            <v>15.479999999999999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15.479999999999999</v>
          </cell>
          <cell r="K40">
            <v>7740</v>
          </cell>
          <cell r="L40">
            <v>7740</v>
          </cell>
          <cell r="M40">
            <v>9.2100000000000005E-4</v>
          </cell>
        </row>
        <row r="41">
          <cell r="A41" t="str">
            <v>2.18</v>
          </cell>
          <cell r="B41" t="str">
            <v>Remoção de pisos em mosaico português  (Item 5.2.6 do MD)</v>
          </cell>
          <cell r="C41" t="str">
            <v>m2</v>
          </cell>
          <cell r="D41">
            <v>600</v>
          </cell>
          <cell r="E41">
            <v>12.38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12.38</v>
          </cell>
          <cell r="K41">
            <v>7428</v>
          </cell>
          <cell r="L41">
            <v>7428</v>
          </cell>
          <cell r="M41">
            <v>8.8400000000000002E-4</v>
          </cell>
        </row>
        <row r="42">
          <cell r="A42" t="str">
            <v>2.19</v>
          </cell>
          <cell r="B42" t="str">
            <v>Remoção de pisos em paralelepípedos  (Item 5.2.6 do MD)</v>
          </cell>
          <cell r="C42" t="str">
            <v>m2</v>
          </cell>
          <cell r="D42">
            <v>600</v>
          </cell>
          <cell r="E42">
            <v>18.579999999999998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18.579999999999998</v>
          </cell>
          <cell r="K42">
            <v>11148</v>
          </cell>
          <cell r="L42">
            <v>11148</v>
          </cell>
          <cell r="M42">
            <v>1.3270000000000001E-3</v>
          </cell>
        </row>
        <row r="43">
          <cell r="A43" t="str">
            <v>2.20</v>
          </cell>
          <cell r="B43" t="str">
            <v>Remoção de pisos em lajotas sextavadas de concreto, inclusive base (Item 5.2.6 do MD)</v>
          </cell>
          <cell r="C43" t="str">
            <v>m2</v>
          </cell>
          <cell r="D43">
            <v>600</v>
          </cell>
          <cell r="E43">
            <v>22.39</v>
          </cell>
          <cell r="F43">
            <v>0</v>
          </cell>
          <cell r="G43">
            <v>0</v>
          </cell>
          <cell r="H43">
            <v>2.37</v>
          </cell>
          <cell r="I43">
            <v>1422</v>
          </cell>
          <cell r="J43">
            <v>20.02</v>
          </cell>
          <cell r="K43">
            <v>12012</v>
          </cell>
          <cell r="L43">
            <v>13434</v>
          </cell>
          <cell r="M43">
            <v>1.5989999999999999E-3</v>
          </cell>
        </row>
        <row r="44">
          <cell r="A44" t="str">
            <v>2.21</v>
          </cell>
          <cell r="B44" t="str">
            <v>Carga manual de materiais provenientes de demolições em geral  (Item 5.2.7 do MD)</v>
          </cell>
          <cell r="C44" t="str">
            <v>m3</v>
          </cell>
          <cell r="D44">
            <v>100</v>
          </cell>
          <cell r="E44">
            <v>10.84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10.84</v>
          </cell>
          <cell r="K44">
            <v>1084</v>
          </cell>
          <cell r="L44">
            <v>1084</v>
          </cell>
          <cell r="M44">
            <v>1.2899999999999999E-4</v>
          </cell>
        </row>
        <row r="45">
          <cell r="A45" t="str">
            <v>2.22</v>
          </cell>
          <cell r="B45" t="str">
            <v>Carga manual e remoção de entulho com transporte até 1 km em caminhão basculante 8 m3 (Item 5.2.7 do MD)</v>
          </cell>
          <cell r="C45" t="str">
            <v>m3</v>
          </cell>
          <cell r="D45">
            <v>100</v>
          </cell>
          <cell r="E45">
            <v>24.07</v>
          </cell>
          <cell r="F45">
            <v>0</v>
          </cell>
          <cell r="G45">
            <v>0</v>
          </cell>
          <cell r="H45">
            <v>5.49</v>
          </cell>
          <cell r="I45">
            <v>549</v>
          </cell>
          <cell r="J45">
            <v>18.579999999999998</v>
          </cell>
          <cell r="K45">
            <v>1858</v>
          </cell>
          <cell r="L45">
            <v>2407</v>
          </cell>
          <cell r="M45">
            <v>2.8600000000000001E-4</v>
          </cell>
        </row>
        <row r="46">
          <cell r="A46" t="str">
            <v>2.23</v>
          </cell>
          <cell r="B46" t="str">
            <v>Carga mecanizada de materiais provenientes de demolições em geral  (Item 5.2.7 do MD)</v>
          </cell>
          <cell r="C46" t="str">
            <v>m3</v>
          </cell>
          <cell r="D46">
            <v>150</v>
          </cell>
          <cell r="E46">
            <v>3.53</v>
          </cell>
          <cell r="F46">
            <v>0</v>
          </cell>
          <cell r="G46">
            <v>0</v>
          </cell>
          <cell r="H46">
            <v>3.53</v>
          </cell>
          <cell r="I46">
            <v>529.5</v>
          </cell>
          <cell r="J46">
            <v>0</v>
          </cell>
          <cell r="K46">
            <v>0</v>
          </cell>
          <cell r="L46">
            <v>529.5</v>
          </cell>
          <cell r="M46">
            <v>6.3E-5</v>
          </cell>
        </row>
        <row r="47">
          <cell r="A47" t="str">
            <v>2.24</v>
          </cell>
          <cell r="B47" t="str">
            <v>Bota-fora e descarga de materiais provenientes de demolições em geral (Item 5.2.7 do MD)</v>
          </cell>
          <cell r="C47" t="str">
            <v>m³xKm</v>
          </cell>
          <cell r="D47">
            <v>2000</v>
          </cell>
          <cell r="E47">
            <v>1.77</v>
          </cell>
          <cell r="F47">
            <v>0</v>
          </cell>
          <cell r="G47">
            <v>0</v>
          </cell>
          <cell r="H47">
            <v>1.77</v>
          </cell>
          <cell r="I47">
            <v>3540</v>
          </cell>
          <cell r="J47">
            <v>0</v>
          </cell>
          <cell r="K47">
            <v>0</v>
          </cell>
          <cell r="L47">
            <v>3540</v>
          </cell>
          <cell r="M47">
            <v>4.2099999999999999E-4</v>
          </cell>
        </row>
        <row r="48">
          <cell r="A48" t="str">
            <v>2.25</v>
          </cell>
          <cell r="B48" t="str">
            <v>Locação Topográfica  (Item 5.2.8 do MD)</v>
          </cell>
          <cell r="C48" t="str">
            <v>un</v>
          </cell>
          <cell r="D48">
            <v>250</v>
          </cell>
          <cell r="E48">
            <v>267.95999999999998</v>
          </cell>
          <cell r="F48">
            <v>0</v>
          </cell>
          <cell r="G48">
            <v>0</v>
          </cell>
          <cell r="H48">
            <v>32.83</v>
          </cell>
          <cell r="I48">
            <v>8207.5</v>
          </cell>
          <cell r="J48">
            <v>235.13</v>
          </cell>
          <cell r="K48">
            <v>58782.5</v>
          </cell>
          <cell r="L48">
            <v>66990</v>
          </cell>
          <cell r="M48">
            <v>7.9729999999999992E-3</v>
          </cell>
        </row>
        <row r="49">
          <cell r="A49" t="str">
            <v>2.26</v>
          </cell>
          <cell r="B49" t="str">
            <v>Demolição de alambrado (Item 5.2.9 do MD)</v>
          </cell>
          <cell r="C49" t="str">
            <v>m</v>
          </cell>
          <cell r="D49">
            <v>500</v>
          </cell>
          <cell r="E49">
            <v>15.85</v>
          </cell>
          <cell r="F49">
            <v>0</v>
          </cell>
          <cell r="G49">
            <v>0</v>
          </cell>
          <cell r="H49">
            <v>13.08</v>
          </cell>
          <cell r="I49">
            <v>6540</v>
          </cell>
          <cell r="J49">
            <v>2.77</v>
          </cell>
          <cell r="K49">
            <v>1385</v>
          </cell>
          <cell r="L49">
            <v>7925</v>
          </cell>
          <cell r="M49">
            <v>9.4300000000000004E-4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3.0</v>
          </cell>
          <cell r="B51" t="str">
            <v>FECHAMENTOS, PROTEÇÕES E ALVENARIAS EM GERAL</v>
          </cell>
          <cell r="C51" t="str">
            <v>SUB-TOTAL</v>
          </cell>
          <cell r="D51">
            <v>0</v>
          </cell>
          <cell r="E51">
            <v>0</v>
          </cell>
          <cell r="F51">
            <v>2074990.9</v>
          </cell>
          <cell r="G51">
            <v>2074990.9</v>
          </cell>
          <cell r="H51">
            <v>261382.3</v>
          </cell>
          <cell r="I51">
            <v>261382.3</v>
          </cell>
          <cell r="J51">
            <v>877566.00000000012</v>
          </cell>
          <cell r="K51">
            <v>877566.00000000012</v>
          </cell>
          <cell r="L51">
            <v>3213939.2</v>
          </cell>
          <cell r="M51">
            <v>0.38251099999999999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0.64562200000000003</v>
          </cell>
          <cell r="G52" t="str">
            <v>sim</v>
          </cell>
          <cell r="H52">
            <v>8.1327999999999998E-2</v>
          </cell>
          <cell r="I52" t="str">
            <v>sim</v>
          </cell>
          <cell r="J52">
            <v>0.27305000000000001</v>
          </cell>
          <cell r="K52" t="str">
            <v>sim</v>
          </cell>
          <cell r="L52">
            <v>0</v>
          </cell>
          <cell r="M52">
            <v>0</v>
          </cell>
        </row>
        <row r="53">
          <cell r="A53" t="str">
            <v>3.1</v>
          </cell>
          <cell r="B53" t="str">
            <v>Proteção de Área de Reservatório - Portões, Alambrados e Itens Constituintes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</row>
        <row r="54">
          <cell r="A54" t="str">
            <v>3.1.1</v>
          </cell>
          <cell r="B54" t="str">
            <v>Fornecimento e montagem de alambrado em mourões de concreto (Item 5.3.1 do MD)</v>
          </cell>
          <cell r="C54" t="str">
            <v>m</v>
          </cell>
          <cell r="D54">
            <v>2000</v>
          </cell>
          <cell r="E54">
            <v>114.5</v>
          </cell>
          <cell r="F54">
            <v>68.13</v>
          </cell>
          <cell r="G54">
            <v>136260</v>
          </cell>
          <cell r="H54">
            <v>0</v>
          </cell>
          <cell r="I54">
            <v>0</v>
          </cell>
          <cell r="J54">
            <v>46.370000000000005</v>
          </cell>
          <cell r="K54">
            <v>92740</v>
          </cell>
          <cell r="L54">
            <v>229000</v>
          </cell>
          <cell r="M54">
            <v>2.7255000000000001E-2</v>
          </cell>
        </row>
        <row r="55">
          <cell r="A55" t="str">
            <v>3.1.2</v>
          </cell>
          <cell r="B55" t="str">
            <v>Fornecimento e montagem de alambrado em tela eletro-soldada (Item 5.3.2 do MD)</v>
          </cell>
          <cell r="C55" t="str">
            <v>m</v>
          </cell>
          <cell r="D55">
            <v>200</v>
          </cell>
          <cell r="E55">
            <v>269.54000000000002</v>
          </cell>
          <cell r="F55">
            <v>244.25</v>
          </cell>
          <cell r="G55">
            <v>48850</v>
          </cell>
          <cell r="H55">
            <v>0</v>
          </cell>
          <cell r="I55">
            <v>0</v>
          </cell>
          <cell r="J55">
            <v>25.29</v>
          </cell>
          <cell r="K55">
            <v>5058</v>
          </cell>
          <cell r="L55">
            <v>53908</v>
          </cell>
          <cell r="M55">
            <v>6.4159999999999998E-3</v>
          </cell>
        </row>
        <row r="56">
          <cell r="A56" t="str">
            <v>3.1.3</v>
          </cell>
          <cell r="B56" t="str">
            <v>Fornecimento e instalação de portão em tubo metálico (Item 5.3.3 do MD)</v>
          </cell>
          <cell r="C56" t="str">
            <v>m2</v>
          </cell>
          <cell r="D56">
            <v>120</v>
          </cell>
          <cell r="E56">
            <v>400.5</v>
          </cell>
          <cell r="F56">
            <v>296.69</v>
          </cell>
          <cell r="G56">
            <v>35602.800000000003</v>
          </cell>
          <cell r="H56">
            <v>30.05</v>
          </cell>
          <cell r="I56">
            <v>3606</v>
          </cell>
          <cell r="J56">
            <v>73.759999999999991</v>
          </cell>
          <cell r="K56">
            <v>8851.2000000000007</v>
          </cell>
          <cell r="L56">
            <v>48060</v>
          </cell>
          <cell r="M56">
            <v>5.7200000000000003E-3</v>
          </cell>
        </row>
        <row r="57">
          <cell r="A57" t="str">
            <v>3.1.4</v>
          </cell>
          <cell r="B57" t="str">
            <v>Fornecimento e instalação de portão em tela eletro-soldada (Item 5.3.4 do MD)</v>
          </cell>
          <cell r="C57" t="str">
            <v>m2</v>
          </cell>
          <cell r="D57">
            <v>60</v>
          </cell>
          <cell r="E57">
            <v>418.71</v>
          </cell>
          <cell r="F57">
            <v>361.66999999999996</v>
          </cell>
          <cell r="G57">
            <v>21700.2</v>
          </cell>
          <cell r="H57">
            <v>0</v>
          </cell>
          <cell r="I57">
            <v>0</v>
          </cell>
          <cell r="J57">
            <v>57.040000000000006</v>
          </cell>
          <cell r="K57">
            <v>3422.4</v>
          </cell>
          <cell r="L57">
            <v>25122.600000000002</v>
          </cell>
          <cell r="M57">
            <v>2.99E-3</v>
          </cell>
        </row>
        <row r="58">
          <cell r="A58" t="str">
            <v>3.1.5</v>
          </cell>
          <cell r="B58" t="str">
            <v>Fornecimento e instalação de tela de alambrado (Item 5.3.5 do MD)</v>
          </cell>
          <cell r="C58" t="str">
            <v>m</v>
          </cell>
          <cell r="D58">
            <v>600</v>
          </cell>
          <cell r="E58">
            <v>45.269999999999996</v>
          </cell>
          <cell r="F58">
            <v>32.07</v>
          </cell>
          <cell r="G58">
            <v>19242</v>
          </cell>
          <cell r="H58">
            <v>0</v>
          </cell>
          <cell r="I58">
            <v>0</v>
          </cell>
          <cell r="J58">
            <v>13.2</v>
          </cell>
          <cell r="K58">
            <v>7920</v>
          </cell>
          <cell r="L58">
            <v>27162</v>
          </cell>
          <cell r="M58">
            <v>3.2330000000000002E-3</v>
          </cell>
        </row>
        <row r="59">
          <cell r="A59" t="str">
            <v>3.1.6</v>
          </cell>
          <cell r="B59" t="str">
            <v>Fornecimento e instalação de tela eletro-soldada (Item 5.3.5 do MD)</v>
          </cell>
          <cell r="C59" t="str">
            <v>m</v>
          </cell>
          <cell r="D59">
            <v>200</v>
          </cell>
          <cell r="E59">
            <v>140.29</v>
          </cell>
          <cell r="F59">
            <v>125.03999999999999</v>
          </cell>
          <cell r="G59">
            <v>25008</v>
          </cell>
          <cell r="H59">
            <v>0</v>
          </cell>
          <cell r="I59">
            <v>0</v>
          </cell>
          <cell r="J59">
            <v>15.25</v>
          </cell>
          <cell r="K59">
            <v>3050</v>
          </cell>
          <cell r="L59">
            <v>28058</v>
          </cell>
          <cell r="M59">
            <v>3.339E-3</v>
          </cell>
        </row>
        <row r="60">
          <cell r="A60" t="str">
            <v>3.1.7</v>
          </cell>
          <cell r="B60" t="str">
            <v>Revisão de alambrado (Item 5.3.6 do MD)</v>
          </cell>
          <cell r="C60" t="str">
            <v>m</v>
          </cell>
          <cell r="D60">
            <v>1000</v>
          </cell>
          <cell r="E60">
            <v>19.04</v>
          </cell>
          <cell r="F60">
            <v>2.8600000000000003</v>
          </cell>
          <cell r="G60">
            <v>2860</v>
          </cell>
          <cell r="H60">
            <v>0</v>
          </cell>
          <cell r="I60">
            <v>0</v>
          </cell>
          <cell r="J60">
            <v>16.18</v>
          </cell>
          <cell r="K60">
            <v>16180</v>
          </cell>
          <cell r="L60">
            <v>19040</v>
          </cell>
          <cell r="M60">
            <v>2.2659999999999998E-3</v>
          </cell>
        </row>
        <row r="61">
          <cell r="A61" t="str">
            <v>3.1.8</v>
          </cell>
          <cell r="B61" t="str">
            <v>Fornecimento e instalação de mourões avulsos em concreto (Item 5.3.7 do MD)</v>
          </cell>
          <cell r="C61" t="str">
            <v>un</v>
          </cell>
          <cell r="D61">
            <v>80</v>
          </cell>
          <cell r="E61">
            <v>79.47</v>
          </cell>
          <cell r="F61">
            <v>67.36</v>
          </cell>
          <cell r="G61">
            <v>5388.8</v>
          </cell>
          <cell r="H61">
            <v>0</v>
          </cell>
          <cell r="I61">
            <v>0</v>
          </cell>
          <cell r="J61">
            <v>12.11</v>
          </cell>
          <cell r="K61">
            <v>968.8</v>
          </cell>
          <cell r="L61">
            <v>6357.6</v>
          </cell>
          <cell r="M61">
            <v>7.5699999999999997E-4</v>
          </cell>
        </row>
        <row r="62">
          <cell r="A62" t="str">
            <v>3.1.9</v>
          </cell>
          <cell r="B62" t="str">
            <v>Fornecimento e instalação de pilares avulsos metálicos (Item 5.3.7 do MD)</v>
          </cell>
          <cell r="C62" t="str">
            <v>un</v>
          </cell>
          <cell r="D62">
            <v>30</v>
          </cell>
          <cell r="E62">
            <v>165.42000000000002</v>
          </cell>
          <cell r="F62">
            <v>153.31</v>
          </cell>
          <cell r="G62">
            <v>4599.3</v>
          </cell>
          <cell r="H62">
            <v>0</v>
          </cell>
          <cell r="I62">
            <v>0</v>
          </cell>
          <cell r="J62">
            <v>12.11</v>
          </cell>
          <cell r="K62">
            <v>363.3</v>
          </cell>
          <cell r="L62">
            <v>4962.6000000000004</v>
          </cell>
          <cell r="M62">
            <v>5.9100000000000005E-4</v>
          </cell>
        </row>
        <row r="63">
          <cell r="A63" t="str">
            <v>3.1.10</v>
          </cell>
          <cell r="B63" t="str">
            <v>Fornecimento e instalação de trava de segurança para porta "tipo ferrolho" com cadeado E40 e dispositivo anti arrombamento (Item 5.3.8.1 do MD e Anexo XII)</v>
          </cell>
          <cell r="C63" t="str">
            <v>un</v>
          </cell>
          <cell r="D63">
            <v>50</v>
          </cell>
          <cell r="E63">
            <v>147.75</v>
          </cell>
          <cell r="F63">
            <v>79.41</v>
          </cell>
          <cell r="G63">
            <v>3970.5</v>
          </cell>
          <cell r="H63">
            <v>44.85</v>
          </cell>
          <cell r="I63">
            <v>2242.5</v>
          </cell>
          <cell r="J63">
            <v>23.49</v>
          </cell>
          <cell r="K63">
            <v>1174.5</v>
          </cell>
          <cell r="L63">
            <v>7387.5</v>
          </cell>
          <cell r="M63">
            <v>8.7900000000000001E-4</v>
          </cell>
        </row>
        <row r="64">
          <cell r="A64" t="str">
            <v>3.1.11</v>
          </cell>
          <cell r="B64" t="str">
            <v>Fornecimento e instalação de trava de segurança para porta "tipo fechadura" com cadeado E45 e dispositivo anti arrombamento (Item 5.3.8.2 do MD e Anexo XIII )</v>
          </cell>
          <cell r="C64" t="str">
            <v>un</v>
          </cell>
          <cell r="D64">
            <v>50</v>
          </cell>
          <cell r="E64">
            <v>207.58999999999997</v>
          </cell>
          <cell r="F64">
            <v>118.74</v>
          </cell>
          <cell r="G64">
            <v>5937</v>
          </cell>
          <cell r="H64">
            <v>58.3</v>
          </cell>
          <cell r="I64">
            <v>2915</v>
          </cell>
          <cell r="J64">
            <v>30.549999999999997</v>
          </cell>
          <cell r="K64">
            <v>1527.5</v>
          </cell>
          <cell r="L64">
            <v>10379.5</v>
          </cell>
          <cell r="M64">
            <v>1.235E-3</v>
          </cell>
        </row>
        <row r="65">
          <cell r="A65" t="str">
            <v>3.2</v>
          </cell>
          <cell r="B65" t="str">
            <v>Proteção de Área de Poços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A66" t="str">
            <v>3.2.1</v>
          </cell>
          <cell r="B66" t="str">
            <v>Fornecimento abrigo de proteção para poços. (Item 5.3.9 do MD)</v>
          </cell>
          <cell r="C66" t="str">
            <v>un</v>
          </cell>
          <cell r="D66">
            <v>50</v>
          </cell>
          <cell r="E66">
            <v>1498.96</v>
          </cell>
          <cell r="F66">
            <v>609.33999999999992</v>
          </cell>
          <cell r="G66">
            <v>30467</v>
          </cell>
          <cell r="H66">
            <v>365.36</v>
          </cell>
          <cell r="I66">
            <v>18268</v>
          </cell>
          <cell r="J66">
            <v>524.26</v>
          </cell>
          <cell r="K66">
            <v>26213</v>
          </cell>
          <cell r="L66">
            <v>74948</v>
          </cell>
          <cell r="M66">
            <v>8.9200000000000008E-3</v>
          </cell>
        </row>
        <row r="67">
          <cell r="A67" t="str">
            <v>3.2.2</v>
          </cell>
          <cell r="B67" t="str">
            <v>Fornecimento abrigo de proteção para poços (REFORÇADO). (Item 5.3.9 do MD)</v>
          </cell>
          <cell r="C67" t="str">
            <v>un</v>
          </cell>
          <cell r="D67">
            <v>50</v>
          </cell>
          <cell r="E67">
            <v>1931.49</v>
          </cell>
          <cell r="F67">
            <v>692.39</v>
          </cell>
          <cell r="G67">
            <v>34619.5</v>
          </cell>
          <cell r="H67">
            <v>551.29999999999995</v>
          </cell>
          <cell r="I67">
            <v>27565</v>
          </cell>
          <cell r="J67">
            <v>687.8</v>
          </cell>
          <cell r="K67">
            <v>34390</v>
          </cell>
          <cell r="L67">
            <v>96574.5</v>
          </cell>
          <cell r="M67">
            <v>1.1494000000000001E-2</v>
          </cell>
        </row>
        <row r="68">
          <cell r="A68" t="str">
            <v>3.3</v>
          </cell>
          <cell r="B68" t="str">
            <v xml:space="preserve">Esquadrias e Elementos Metálicos para Proteção de Reservatórios 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A69" t="str">
            <v>3.3.1</v>
          </cell>
          <cell r="B69" t="str">
            <v>Execução de porta para Reservatórios (Item 5.3.10 do MD)</v>
          </cell>
          <cell r="C69" t="str">
            <v>un</v>
          </cell>
          <cell r="D69">
            <v>100</v>
          </cell>
          <cell r="E69">
            <v>1766.6200000000001</v>
          </cell>
          <cell r="F69">
            <v>1720.6000000000001</v>
          </cell>
          <cell r="G69">
            <v>172060</v>
          </cell>
          <cell r="H69">
            <v>0</v>
          </cell>
          <cell r="I69">
            <v>0</v>
          </cell>
          <cell r="J69">
            <v>46.019999999999996</v>
          </cell>
          <cell r="K69">
            <v>4602</v>
          </cell>
          <cell r="L69">
            <v>176662</v>
          </cell>
          <cell r="M69">
            <v>2.1026E-2</v>
          </cell>
        </row>
        <row r="70">
          <cell r="A70" t="str">
            <v>3.3.2</v>
          </cell>
          <cell r="B70" t="str">
            <v>Recuperação de porta de Reservatórios (Item 5.3.11 do MD)</v>
          </cell>
          <cell r="C70" t="str">
            <v>m2</v>
          </cell>
          <cell r="D70">
            <v>20</v>
          </cell>
          <cell r="E70">
            <v>224.24</v>
          </cell>
          <cell r="F70">
            <v>56.6</v>
          </cell>
          <cell r="G70">
            <v>1132</v>
          </cell>
          <cell r="H70">
            <v>89.7</v>
          </cell>
          <cell r="I70">
            <v>1794</v>
          </cell>
          <cell r="J70">
            <v>77.94</v>
          </cell>
          <cell r="K70">
            <v>1558.8</v>
          </cell>
          <cell r="L70">
            <v>4484.8</v>
          </cell>
          <cell r="M70">
            <v>5.3399999999999997E-4</v>
          </cell>
        </row>
        <row r="71">
          <cell r="A71" t="str">
            <v>3.3.3</v>
          </cell>
          <cell r="B71" t="str">
            <v>Execução de escada tipo marinheiro com guarda corpo (Item 5.3.12 do MD)</v>
          </cell>
          <cell r="C71" t="str">
            <v>m</v>
          </cell>
          <cell r="D71">
            <v>40</v>
          </cell>
          <cell r="E71">
            <v>180.72000000000003</v>
          </cell>
          <cell r="F71">
            <v>79.510000000000005</v>
          </cell>
          <cell r="G71">
            <v>3180.4</v>
          </cell>
          <cell r="H71">
            <v>44.85</v>
          </cell>
          <cell r="I71">
            <v>1794</v>
          </cell>
          <cell r="J71">
            <v>56.36</v>
          </cell>
          <cell r="K71">
            <v>2254.4</v>
          </cell>
          <cell r="L71">
            <v>7228.7999999999993</v>
          </cell>
          <cell r="M71">
            <v>8.5999999999999998E-4</v>
          </cell>
        </row>
        <row r="72">
          <cell r="A72" t="str">
            <v>3.3.4</v>
          </cell>
          <cell r="B72" t="str">
            <v>Fornecimento e instalação de alçapão para reservatório elevado ou apoiado em alumínio (Item 5.3.13.1 do MD)</v>
          </cell>
          <cell r="C72" t="str">
            <v>m2</v>
          </cell>
          <cell r="D72">
            <v>40</v>
          </cell>
          <cell r="E72">
            <v>355.57000000000005</v>
          </cell>
          <cell r="F72">
            <v>243.90000000000003</v>
          </cell>
          <cell r="G72">
            <v>9756</v>
          </cell>
          <cell r="H72">
            <v>22.43</v>
          </cell>
          <cell r="I72">
            <v>897.2</v>
          </cell>
          <cell r="J72">
            <v>89.24</v>
          </cell>
          <cell r="K72">
            <v>3569.6</v>
          </cell>
          <cell r="L72">
            <v>14222.800000000001</v>
          </cell>
          <cell r="M72">
            <v>1.6930000000000001E-3</v>
          </cell>
        </row>
        <row r="73">
          <cell r="A73" t="str">
            <v>3.3.5</v>
          </cell>
          <cell r="B73" t="str">
            <v>Fornecimento e instalação de alçapão para reservatório elevado ou apoiado ferro galvanizado (Item 5.3.13.2 do MD)</v>
          </cell>
          <cell r="C73" t="str">
            <v>m2</v>
          </cell>
          <cell r="D73">
            <v>40</v>
          </cell>
          <cell r="E73">
            <v>210.76</v>
          </cell>
          <cell r="F73">
            <v>99.090000000000018</v>
          </cell>
          <cell r="G73">
            <v>3963.6</v>
          </cell>
          <cell r="H73">
            <v>22.43</v>
          </cell>
          <cell r="I73">
            <v>897.2</v>
          </cell>
          <cell r="J73">
            <v>89.24</v>
          </cell>
          <cell r="K73">
            <v>3569.6</v>
          </cell>
          <cell r="L73">
            <v>8430.4</v>
          </cell>
          <cell r="M73">
            <v>1.003E-3</v>
          </cell>
        </row>
        <row r="74">
          <cell r="A74" t="str">
            <v>3.3.6</v>
          </cell>
          <cell r="B74" t="str">
            <v>Grade externa de proteção (Item 5.3.15 do MD)</v>
          </cell>
          <cell r="C74" t="str">
            <v>m2</v>
          </cell>
          <cell r="D74">
            <v>50</v>
          </cell>
          <cell r="E74">
            <v>279.01</v>
          </cell>
          <cell r="F74">
            <v>98.55</v>
          </cell>
          <cell r="G74">
            <v>4927.5</v>
          </cell>
          <cell r="H74">
            <v>89.7</v>
          </cell>
          <cell r="I74">
            <v>4485</v>
          </cell>
          <cell r="J74">
            <v>90.759999999999991</v>
          </cell>
          <cell r="K74">
            <v>4538</v>
          </cell>
          <cell r="L74">
            <v>13950.5</v>
          </cell>
          <cell r="M74">
            <v>1.66E-3</v>
          </cell>
        </row>
        <row r="75">
          <cell r="A75" t="str">
            <v>3.3.7</v>
          </cell>
          <cell r="B75" t="str">
            <v>Tela de proteção para caixilhos (Item 5.3.16)</v>
          </cell>
          <cell r="C75" t="str">
            <v>m2</v>
          </cell>
          <cell r="D75">
            <v>40</v>
          </cell>
          <cell r="E75">
            <v>173.06</v>
          </cell>
          <cell r="F75">
            <v>116.02</v>
          </cell>
          <cell r="G75">
            <v>4640.8</v>
          </cell>
          <cell r="H75">
            <v>0</v>
          </cell>
          <cell r="I75">
            <v>0</v>
          </cell>
          <cell r="J75">
            <v>57.040000000000006</v>
          </cell>
          <cell r="K75">
            <v>2281.6</v>
          </cell>
          <cell r="L75">
            <v>6922.4</v>
          </cell>
          <cell r="M75">
            <v>8.2399999999999997E-4</v>
          </cell>
        </row>
        <row r="76">
          <cell r="A76" t="str">
            <v>3.3.8</v>
          </cell>
          <cell r="B76" t="str">
            <v>Alçapão de acesso (Item 5.3.14 do MD)</v>
          </cell>
          <cell r="C76" t="str">
            <v>m2</v>
          </cell>
          <cell r="D76">
            <v>20</v>
          </cell>
          <cell r="E76">
            <v>396.04999999999995</v>
          </cell>
          <cell r="F76">
            <v>270.28999999999996</v>
          </cell>
          <cell r="G76">
            <v>5405.8</v>
          </cell>
          <cell r="H76">
            <v>67.28</v>
          </cell>
          <cell r="I76">
            <v>1345.6</v>
          </cell>
          <cell r="J76">
            <v>58.48</v>
          </cell>
          <cell r="K76">
            <v>1169.5999999999999</v>
          </cell>
          <cell r="L76">
            <v>7921</v>
          </cell>
          <cell r="M76">
            <v>9.4300000000000004E-4</v>
          </cell>
        </row>
        <row r="77">
          <cell r="A77" t="str">
            <v>3.3.9</v>
          </cell>
          <cell r="B77" t="str">
            <v>Porta veneziana em alumínio, batente em alumínio, conforme memorial, inclusive ferragens (três dobradiças e dois ferrolhos com porta-cadeado) (Item 5.3.44 do MD)</v>
          </cell>
          <cell r="C77" t="str">
            <v>un</v>
          </cell>
          <cell r="D77">
            <v>20</v>
          </cell>
          <cell r="E77">
            <v>911.47</v>
          </cell>
          <cell r="F77">
            <v>846.12</v>
          </cell>
          <cell r="G77">
            <v>16922.400000000001</v>
          </cell>
          <cell r="H77">
            <v>0</v>
          </cell>
          <cell r="I77">
            <v>0</v>
          </cell>
          <cell r="J77">
            <v>65.349999999999994</v>
          </cell>
          <cell r="K77">
            <v>1307</v>
          </cell>
          <cell r="L77">
            <v>18229.400000000001</v>
          </cell>
          <cell r="M77">
            <v>2.1700000000000001E-3</v>
          </cell>
        </row>
        <row r="78">
          <cell r="A78" t="str">
            <v>3.3.10</v>
          </cell>
          <cell r="B78" t="str">
            <v>Porta abrir tipo veneziana em alumínio anodizado, batente em alumínio, conforme memorial, inclusive ferragens (três dobradiças e fechadura) (Item 5.3.45 do MD)</v>
          </cell>
          <cell r="C78" t="str">
            <v>m2</v>
          </cell>
          <cell r="D78">
            <v>120</v>
          </cell>
          <cell r="E78">
            <v>558.66</v>
          </cell>
          <cell r="F78">
            <v>495.85999999999996</v>
          </cell>
          <cell r="G78">
            <v>59503.199999999997</v>
          </cell>
          <cell r="H78">
            <v>0</v>
          </cell>
          <cell r="I78">
            <v>0</v>
          </cell>
          <cell r="J78">
            <v>62.8</v>
          </cell>
          <cell r="K78">
            <v>7536</v>
          </cell>
          <cell r="L78">
            <v>67039.199999999997</v>
          </cell>
          <cell r="M78">
            <v>7.979E-3</v>
          </cell>
        </row>
        <row r="79">
          <cell r="A79" t="str">
            <v>3.3.11</v>
          </cell>
          <cell r="B79" t="str">
            <v>Janela em alumínio anodizado tipo "maxim-ar"  com vidro temperado incolor e=6mm  (item 5.3.46 do MD)</v>
          </cell>
          <cell r="C79" t="str">
            <v>m2</v>
          </cell>
          <cell r="D79">
            <v>120</v>
          </cell>
          <cell r="E79">
            <v>750.24000000000012</v>
          </cell>
          <cell r="F79">
            <v>718.55000000000007</v>
          </cell>
          <cell r="G79">
            <v>86226</v>
          </cell>
          <cell r="H79">
            <v>0</v>
          </cell>
          <cell r="I79">
            <v>0</v>
          </cell>
          <cell r="J79">
            <v>31.69</v>
          </cell>
          <cell r="K79">
            <v>3802.8</v>
          </cell>
          <cell r="L79">
            <v>90028.800000000003</v>
          </cell>
          <cell r="M79">
            <v>1.0715000000000001E-2</v>
          </cell>
        </row>
        <row r="80">
          <cell r="A80" t="str">
            <v>3.3.12</v>
          </cell>
          <cell r="B80" t="str">
            <v xml:space="preserve">Instalação sem fornecimento de material de gradil com corrimão de fibra de vidro (conforme item 5.3.47 do MD) </v>
          </cell>
          <cell r="C80" t="str">
            <v>m</v>
          </cell>
          <cell r="D80">
            <v>2500</v>
          </cell>
          <cell r="E80">
            <v>29.450000000000003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29.450000000000003</v>
          </cell>
          <cell r="K80">
            <v>73625</v>
          </cell>
          <cell r="L80">
            <v>73625</v>
          </cell>
          <cell r="M80">
            <v>8.763E-3</v>
          </cell>
        </row>
        <row r="81">
          <cell r="A81" t="str">
            <v>3.3.13</v>
          </cell>
          <cell r="B81" t="str">
            <v>Instalação com fornecimento de material de Veneziana PVC tipo COMOVENT (conforme item 5.3.48 do MD)</v>
          </cell>
          <cell r="C81" t="str">
            <v>m2</v>
          </cell>
          <cell r="D81">
            <v>350</v>
          </cell>
          <cell r="E81">
            <v>182.03</v>
          </cell>
          <cell r="F81">
            <v>0</v>
          </cell>
          <cell r="G81">
            <v>0</v>
          </cell>
          <cell r="H81">
            <v>182.03</v>
          </cell>
          <cell r="I81">
            <v>63710.5</v>
          </cell>
          <cell r="J81">
            <v>0</v>
          </cell>
          <cell r="K81">
            <v>0</v>
          </cell>
          <cell r="L81">
            <v>63710.5</v>
          </cell>
          <cell r="M81">
            <v>7.5830000000000003E-3</v>
          </cell>
        </row>
        <row r="82">
          <cell r="A82" t="str">
            <v>3.4</v>
          </cell>
          <cell r="B82" t="str">
            <v>Placas de identificação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3">
          <cell r="A83" t="str">
            <v>3.4.1</v>
          </cell>
          <cell r="B83" t="str">
            <v>Fornecimento  de placa de identificação (Item 5.3.17 do MD)</v>
          </cell>
          <cell r="C83" t="str">
            <v>un</v>
          </cell>
          <cell r="D83">
            <v>30</v>
          </cell>
          <cell r="E83">
            <v>196.65</v>
          </cell>
          <cell r="F83">
            <v>196.65</v>
          </cell>
          <cell r="G83">
            <v>5899.5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5899.5</v>
          </cell>
          <cell r="M83">
            <v>7.0200000000000004E-4</v>
          </cell>
        </row>
        <row r="84">
          <cell r="A84" t="str">
            <v>3.4.2</v>
          </cell>
          <cell r="B84" t="str">
            <v>Base de fixação de placa de identificação  (Item 5.3.17 do MD)</v>
          </cell>
          <cell r="C84" t="str">
            <v>un</v>
          </cell>
          <cell r="D84">
            <v>30</v>
          </cell>
          <cell r="E84">
            <v>60.669999999999995</v>
          </cell>
          <cell r="F84">
            <v>8.9499999999999993</v>
          </cell>
          <cell r="G84">
            <v>268.5</v>
          </cell>
          <cell r="H84">
            <v>18.849999999999998</v>
          </cell>
          <cell r="I84">
            <v>565.5</v>
          </cell>
          <cell r="J84">
            <v>32.869999999999997</v>
          </cell>
          <cell r="K84">
            <v>986.1</v>
          </cell>
          <cell r="L84">
            <v>1820.1</v>
          </cell>
          <cell r="M84">
            <v>2.1699999999999999E-4</v>
          </cell>
        </row>
        <row r="85">
          <cell r="A85" t="str">
            <v>3.4.3</v>
          </cell>
          <cell r="B85" t="str">
            <v>Fixação de placa de identificação (Item 5.3.17 do MD)</v>
          </cell>
          <cell r="C85" t="str">
            <v>un</v>
          </cell>
          <cell r="D85">
            <v>60</v>
          </cell>
          <cell r="E85">
            <v>18.95</v>
          </cell>
          <cell r="F85">
            <v>3.4699999999999998</v>
          </cell>
          <cell r="G85">
            <v>208.2</v>
          </cell>
          <cell r="H85">
            <v>0</v>
          </cell>
          <cell r="I85">
            <v>0</v>
          </cell>
          <cell r="J85">
            <v>15.479999999999999</v>
          </cell>
          <cell r="K85">
            <v>928.8</v>
          </cell>
          <cell r="L85">
            <v>1137</v>
          </cell>
          <cell r="M85">
            <v>1.35E-4</v>
          </cell>
        </row>
        <row r="86">
          <cell r="A86" t="str">
            <v>3.5</v>
          </cell>
          <cell r="B86" t="str">
            <v>Alvenarias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A87" t="str">
            <v>3.5.1</v>
          </cell>
          <cell r="B87" t="str">
            <v>Recuperação e execução de mureta (Item 5.3.18 do MD)</v>
          </cell>
          <cell r="C87" t="str">
            <v>m</v>
          </cell>
          <cell r="D87">
            <v>30</v>
          </cell>
          <cell r="E87">
            <v>24.970000000000006</v>
          </cell>
          <cell r="F87">
            <v>7.3800000000000008</v>
          </cell>
          <cell r="G87">
            <v>221.4</v>
          </cell>
          <cell r="H87">
            <v>0</v>
          </cell>
          <cell r="I87">
            <v>0</v>
          </cell>
          <cell r="J87">
            <v>17.590000000000003</v>
          </cell>
          <cell r="K87">
            <v>527.70000000000005</v>
          </cell>
          <cell r="L87">
            <v>749.1</v>
          </cell>
          <cell r="M87">
            <v>8.8999999999999995E-5</v>
          </cell>
        </row>
        <row r="88">
          <cell r="A88" t="str">
            <v>3.5.2</v>
          </cell>
          <cell r="B88" t="str">
            <v>Alvenaria de tijolo pó de mico 1/2 vez (Item 5.3.19.1 do MD)</v>
          </cell>
          <cell r="C88" t="str">
            <v>m2</v>
          </cell>
          <cell r="D88">
            <v>100</v>
          </cell>
          <cell r="E88">
            <v>92.23</v>
          </cell>
          <cell r="F88">
            <v>45.03</v>
          </cell>
          <cell r="G88">
            <v>4503</v>
          </cell>
          <cell r="H88">
            <v>0</v>
          </cell>
          <cell r="I88">
            <v>0</v>
          </cell>
          <cell r="J88">
            <v>47.2</v>
          </cell>
          <cell r="K88">
            <v>4720</v>
          </cell>
          <cell r="L88">
            <v>9223</v>
          </cell>
          <cell r="M88">
            <v>1.098E-3</v>
          </cell>
        </row>
        <row r="89">
          <cell r="A89" t="str">
            <v>3.5.3</v>
          </cell>
          <cell r="B89" t="str">
            <v>Alvenaria de tijolo pó de mico 1 vez (Item 5.3.19.1 do MD)</v>
          </cell>
          <cell r="C89" t="str">
            <v>m2</v>
          </cell>
          <cell r="D89">
            <v>100</v>
          </cell>
          <cell r="E89">
            <v>149.63</v>
          </cell>
          <cell r="F89">
            <v>77.699999999999989</v>
          </cell>
          <cell r="G89">
            <v>7770</v>
          </cell>
          <cell r="H89">
            <v>0</v>
          </cell>
          <cell r="I89">
            <v>0</v>
          </cell>
          <cell r="J89">
            <v>71.929999999999993</v>
          </cell>
          <cell r="K89">
            <v>7193</v>
          </cell>
          <cell r="L89">
            <v>14963</v>
          </cell>
          <cell r="M89">
            <v>1.781E-3</v>
          </cell>
        </row>
        <row r="90">
          <cell r="A90" t="str">
            <v>3.5.4</v>
          </cell>
          <cell r="B90" t="str">
            <v>Alvenaria em bloco de concreto 9 x 19 x 39 cm (Item 5.3.19.2 do MD)</v>
          </cell>
          <cell r="C90" t="str">
            <v>m2</v>
          </cell>
          <cell r="D90">
            <v>100</v>
          </cell>
          <cell r="E90">
            <v>48.67</v>
          </cell>
          <cell r="F90">
            <v>27.39</v>
          </cell>
          <cell r="G90">
            <v>2739</v>
          </cell>
          <cell r="H90">
            <v>0</v>
          </cell>
          <cell r="I90">
            <v>0</v>
          </cell>
          <cell r="J90">
            <v>21.28</v>
          </cell>
          <cell r="K90">
            <v>2128</v>
          </cell>
          <cell r="L90">
            <v>4867</v>
          </cell>
          <cell r="M90">
            <v>5.7899999999999998E-4</v>
          </cell>
        </row>
        <row r="91">
          <cell r="A91" t="str">
            <v>3.5.5</v>
          </cell>
          <cell r="B91" t="str">
            <v>Alvenaria em bloco de concreto 14 x 19 x 39 cm (Item 5.3.19.2 do MD)</v>
          </cell>
          <cell r="C91" t="str">
            <v>m2</v>
          </cell>
          <cell r="D91">
            <v>170</v>
          </cell>
          <cell r="E91">
            <v>56.48</v>
          </cell>
          <cell r="F91">
            <v>33.459999999999994</v>
          </cell>
          <cell r="G91">
            <v>5688.2</v>
          </cell>
          <cell r="H91">
            <v>0</v>
          </cell>
          <cell r="I91">
            <v>0</v>
          </cell>
          <cell r="J91">
            <v>23.020000000000003</v>
          </cell>
          <cell r="K91">
            <v>3913.4</v>
          </cell>
          <cell r="L91">
            <v>9601.6</v>
          </cell>
          <cell r="M91">
            <v>1.1429999999999999E-3</v>
          </cell>
        </row>
        <row r="92">
          <cell r="A92" t="str">
            <v>3.5.6</v>
          </cell>
          <cell r="B92" t="str">
            <v>Alvenaria em bloco de concreto 19 x 19 x 39 cm (Item 5.3.19.2 do MD)</v>
          </cell>
          <cell r="C92" t="str">
            <v>m2</v>
          </cell>
          <cell r="D92">
            <v>500</v>
          </cell>
          <cell r="E92">
            <v>65.09</v>
          </cell>
          <cell r="F92">
            <v>41.099999999999994</v>
          </cell>
          <cell r="G92">
            <v>20550</v>
          </cell>
          <cell r="H92">
            <v>0</v>
          </cell>
          <cell r="I92">
            <v>0</v>
          </cell>
          <cell r="J92">
            <v>23.990000000000002</v>
          </cell>
          <cell r="K92">
            <v>11995</v>
          </cell>
          <cell r="L92">
            <v>32545</v>
          </cell>
          <cell r="M92">
            <v>3.8730000000000001E-3</v>
          </cell>
        </row>
        <row r="93">
          <cell r="A93" t="str">
            <v>3.5.7</v>
          </cell>
          <cell r="B93" t="str">
            <v>Alvenaria de vedação com bloco de concreto, 9 x 19 x 39 cm, esp. da parede 9cm, juntas de 10 mm com argamassa de  cimento, cal e areia traço 1:0,5:8, incluindo ferragens e grout (Item 5.3.19.2 do MD)</v>
          </cell>
          <cell r="C93" t="str">
            <v>m2</v>
          </cell>
          <cell r="D93">
            <v>190</v>
          </cell>
          <cell r="E93">
            <v>55.030000000000008</v>
          </cell>
          <cell r="F93">
            <v>31.350000000000005</v>
          </cell>
          <cell r="G93">
            <v>5956.5</v>
          </cell>
          <cell r="H93">
            <v>0</v>
          </cell>
          <cell r="I93">
            <v>0</v>
          </cell>
          <cell r="J93">
            <v>23.680000000000003</v>
          </cell>
          <cell r="K93">
            <v>4499.2</v>
          </cell>
          <cell r="L93">
            <v>10455.700000000001</v>
          </cell>
          <cell r="M93">
            <v>1.2440000000000001E-3</v>
          </cell>
        </row>
        <row r="94">
          <cell r="A94" t="str">
            <v>3.5.8</v>
          </cell>
          <cell r="B94" t="str">
            <v>Alvenaria com elemento vazado de concreto (cobogó), espessura da parede 9cm (Item 5.3.19.2 do MD)</v>
          </cell>
          <cell r="C94" t="str">
            <v>m2</v>
          </cell>
          <cell r="D94">
            <v>20</v>
          </cell>
          <cell r="E94">
            <v>210.31</v>
          </cell>
          <cell r="F94">
            <v>177.44</v>
          </cell>
          <cell r="G94">
            <v>3548.8</v>
          </cell>
          <cell r="H94">
            <v>0</v>
          </cell>
          <cell r="I94">
            <v>0</v>
          </cell>
          <cell r="J94">
            <v>32.869999999999997</v>
          </cell>
          <cell r="K94">
            <v>657.4</v>
          </cell>
          <cell r="L94">
            <v>4206.2</v>
          </cell>
          <cell r="M94">
            <v>5.0100000000000003E-4</v>
          </cell>
        </row>
        <row r="95">
          <cell r="A95" t="str">
            <v>3.5.9</v>
          </cell>
          <cell r="B95" t="str">
            <v>Alvenaria de tijolo cerâmico 9 x 19 x 19 cm 1/2 vez (Item 5.3.19.3 do MD)</v>
          </cell>
          <cell r="C95" t="str">
            <v>m2</v>
          </cell>
          <cell r="D95">
            <v>30</v>
          </cell>
          <cell r="E95">
            <v>58.26</v>
          </cell>
          <cell r="F95">
            <v>25.39</v>
          </cell>
          <cell r="G95">
            <v>761.7</v>
          </cell>
          <cell r="H95">
            <v>0</v>
          </cell>
          <cell r="I95">
            <v>0</v>
          </cell>
          <cell r="J95">
            <v>32.869999999999997</v>
          </cell>
          <cell r="K95">
            <v>986.1</v>
          </cell>
          <cell r="L95">
            <v>1747.8000000000002</v>
          </cell>
          <cell r="M95">
            <v>2.0799999999999999E-4</v>
          </cell>
        </row>
        <row r="96">
          <cell r="A96" t="str">
            <v>3.5.10</v>
          </cell>
          <cell r="B96" t="str">
            <v>Alvenaria de tijolo cerâmico 9 x 19 x 19 cm  1 vez (Item 5.3.19.3 do MD)</v>
          </cell>
          <cell r="C96" t="str">
            <v>m2</v>
          </cell>
          <cell r="D96">
            <v>30</v>
          </cell>
          <cell r="E96">
            <v>99.53</v>
          </cell>
          <cell r="F96">
            <v>56.79</v>
          </cell>
          <cell r="G96">
            <v>1703.7</v>
          </cell>
          <cell r="H96">
            <v>0</v>
          </cell>
          <cell r="I96">
            <v>0</v>
          </cell>
          <cell r="J96">
            <v>42.74</v>
          </cell>
          <cell r="K96">
            <v>1282.2</v>
          </cell>
          <cell r="L96">
            <v>2985.9</v>
          </cell>
          <cell r="M96">
            <v>3.5500000000000001E-4</v>
          </cell>
        </row>
        <row r="97">
          <cell r="A97" t="str">
            <v>3.5.11</v>
          </cell>
          <cell r="B97" t="str">
            <v>Caixa de inspeção 0,50x0,75x0,50m em alvenaria de 1/2 tijolo, com tampa de concreto pré-moldada removível com requadro metálico e fundo em brita. (Item 5.3.49 do MD)</v>
          </cell>
          <cell r="C97" t="str">
            <v>un</v>
          </cell>
          <cell r="D97">
            <v>200</v>
          </cell>
          <cell r="E97">
            <v>211.67000000000002</v>
          </cell>
          <cell r="F97">
            <v>63.749999999999993</v>
          </cell>
          <cell r="G97">
            <v>12750</v>
          </cell>
          <cell r="H97">
            <v>0</v>
          </cell>
          <cell r="I97">
            <v>0</v>
          </cell>
          <cell r="J97">
            <v>147.92000000000002</v>
          </cell>
          <cell r="K97">
            <v>29584</v>
          </cell>
          <cell r="L97">
            <v>42334</v>
          </cell>
          <cell r="M97">
            <v>5.0379999999999999E-3</v>
          </cell>
        </row>
        <row r="98">
          <cell r="A98" t="str">
            <v>3.6</v>
          </cell>
          <cell r="B98" t="str">
            <v>Movimento de terra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A99" t="str">
            <v>3.6.1</v>
          </cell>
          <cell r="B99" t="str">
            <v>Fornecimento de solo de 1º categoria - aterro (Item 5.3.20 do MD)</v>
          </cell>
          <cell r="C99" t="str">
            <v>m3</v>
          </cell>
          <cell r="D99">
            <v>50</v>
          </cell>
          <cell r="E99">
            <v>15.73</v>
          </cell>
          <cell r="F99">
            <v>0</v>
          </cell>
          <cell r="G99">
            <v>0</v>
          </cell>
          <cell r="H99">
            <v>15.73</v>
          </cell>
          <cell r="I99">
            <v>786.5</v>
          </cell>
          <cell r="J99">
            <v>0</v>
          </cell>
          <cell r="K99">
            <v>0</v>
          </cell>
          <cell r="L99">
            <v>786.5</v>
          </cell>
          <cell r="M99">
            <v>9.3999999999999994E-5</v>
          </cell>
        </row>
        <row r="100">
          <cell r="A100" t="str">
            <v>3.6.2</v>
          </cell>
          <cell r="B100" t="str">
            <v>Apiloamento manual de solo (Item 5.3.21 do MD)</v>
          </cell>
          <cell r="C100" t="str">
            <v>m2</v>
          </cell>
          <cell r="D100">
            <v>110</v>
          </cell>
          <cell r="E100">
            <v>5.0999999999999996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5.0999999999999996</v>
          </cell>
          <cell r="K100">
            <v>561</v>
          </cell>
          <cell r="L100">
            <v>561</v>
          </cell>
          <cell r="M100">
            <v>6.7000000000000002E-5</v>
          </cell>
        </row>
        <row r="101">
          <cell r="A101" t="str">
            <v>3.6.3</v>
          </cell>
          <cell r="B101" t="str">
            <v>Compactação mecanizada de solo, sem controle tecnológico (Item 5.3.22 do MD)</v>
          </cell>
          <cell r="C101" t="str">
            <v>m3</v>
          </cell>
          <cell r="D101">
            <v>320</v>
          </cell>
          <cell r="E101">
            <v>19.580000000000002</v>
          </cell>
          <cell r="F101">
            <v>0</v>
          </cell>
          <cell r="G101">
            <v>0</v>
          </cell>
          <cell r="H101">
            <v>5.28</v>
          </cell>
          <cell r="I101">
            <v>1689.6</v>
          </cell>
          <cell r="J101">
            <v>14.3</v>
          </cell>
          <cell r="K101">
            <v>4576</v>
          </cell>
          <cell r="L101">
            <v>6265.6</v>
          </cell>
          <cell r="M101">
            <v>7.4600000000000003E-4</v>
          </cell>
        </row>
        <row r="102">
          <cell r="A102" t="str">
            <v>3.6.4</v>
          </cell>
          <cell r="B102" t="str">
            <v>Estaca a trado (broca) D=25cm c/ concreto Fck=15MPa (Item 5.3.23 do MD)</v>
          </cell>
          <cell r="C102" t="str">
            <v>m</v>
          </cell>
          <cell r="D102">
            <v>350</v>
          </cell>
          <cell r="E102">
            <v>61.36</v>
          </cell>
          <cell r="F102">
            <v>23.09</v>
          </cell>
          <cell r="G102">
            <v>8081.5</v>
          </cell>
          <cell r="H102">
            <v>0</v>
          </cell>
          <cell r="I102">
            <v>0</v>
          </cell>
          <cell r="J102">
            <v>38.270000000000003</v>
          </cell>
          <cell r="K102">
            <v>13394.5</v>
          </cell>
          <cell r="L102">
            <v>21476</v>
          </cell>
          <cell r="M102">
            <v>2.5560000000000001E-3</v>
          </cell>
        </row>
        <row r="103">
          <cell r="A103" t="str">
            <v>3.6.5</v>
          </cell>
          <cell r="B103" t="str">
            <v>Lastro de areia lavada tipo média (Item 5.3.24 do MD)</v>
          </cell>
          <cell r="C103" t="str">
            <v>m3</v>
          </cell>
          <cell r="D103">
            <v>330</v>
          </cell>
          <cell r="E103">
            <v>110.86</v>
          </cell>
          <cell r="F103">
            <v>79.91</v>
          </cell>
          <cell r="G103">
            <v>26370.3</v>
          </cell>
          <cell r="H103">
            <v>0</v>
          </cell>
          <cell r="I103">
            <v>0</v>
          </cell>
          <cell r="J103">
            <v>30.95</v>
          </cell>
          <cell r="K103">
            <v>10213.5</v>
          </cell>
          <cell r="L103">
            <v>36583.800000000003</v>
          </cell>
          <cell r="M103">
            <v>4.3540000000000002E-3</v>
          </cell>
        </row>
        <row r="104">
          <cell r="A104" t="str">
            <v>3.6.6</v>
          </cell>
          <cell r="B104" t="str">
            <v>Lastro de brita 1 apiloado (Item 5.3.25 do MD)</v>
          </cell>
          <cell r="C104" t="str">
            <v>m3</v>
          </cell>
          <cell r="D104">
            <v>330</v>
          </cell>
          <cell r="E104">
            <v>101.49000000000001</v>
          </cell>
          <cell r="F104">
            <v>70.540000000000006</v>
          </cell>
          <cell r="G104">
            <v>23278.2</v>
          </cell>
          <cell r="H104">
            <v>0</v>
          </cell>
          <cell r="I104">
            <v>0</v>
          </cell>
          <cell r="J104">
            <v>30.95</v>
          </cell>
          <cell r="K104">
            <v>10213.5</v>
          </cell>
          <cell r="L104">
            <v>33491.699999999997</v>
          </cell>
          <cell r="M104">
            <v>3.986E-3</v>
          </cell>
        </row>
        <row r="105">
          <cell r="A105" t="str">
            <v>3.6.7</v>
          </cell>
          <cell r="B105" t="str">
            <v>Transporte de terra por caminhão basculante, à partir de 1 Km (Item 5.3.26 do MD)</v>
          </cell>
          <cell r="C105" t="str">
            <v>m3xkm</v>
          </cell>
          <cell r="D105">
            <v>1400</v>
          </cell>
          <cell r="E105">
            <v>1.77</v>
          </cell>
          <cell r="F105">
            <v>0</v>
          </cell>
          <cell r="G105">
            <v>0</v>
          </cell>
          <cell r="H105">
            <v>1.77</v>
          </cell>
          <cell r="I105">
            <v>2478</v>
          </cell>
          <cell r="J105">
            <v>0</v>
          </cell>
          <cell r="K105">
            <v>0</v>
          </cell>
          <cell r="L105">
            <v>2478</v>
          </cell>
          <cell r="M105">
            <v>2.9500000000000001E-4</v>
          </cell>
        </row>
        <row r="106">
          <cell r="A106" t="str">
            <v>3.7</v>
          </cell>
          <cell r="B106" t="str">
            <v>Concreto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A107" t="str">
            <v>3.7.1</v>
          </cell>
          <cell r="B107" t="str">
            <v>Concreto estrutural usinado, Fck=15 MPa (Item 5.3.27 do MD)</v>
          </cell>
          <cell r="C107" t="str">
            <v>m3</v>
          </cell>
          <cell r="D107">
            <v>60</v>
          </cell>
          <cell r="E107">
            <v>443.26</v>
          </cell>
          <cell r="F107">
            <v>313.43</v>
          </cell>
          <cell r="G107">
            <v>18805.8</v>
          </cell>
          <cell r="H107">
            <v>0.26</v>
          </cell>
          <cell r="I107">
            <v>15.6</v>
          </cell>
          <cell r="J107">
            <v>129.57000000000002</v>
          </cell>
          <cell r="K107">
            <v>7774.2</v>
          </cell>
          <cell r="L107">
            <v>26595.599999999999</v>
          </cell>
          <cell r="M107">
            <v>3.1649999999999998E-3</v>
          </cell>
        </row>
        <row r="108">
          <cell r="A108" t="str">
            <v>3.7.2</v>
          </cell>
          <cell r="B108" t="str">
            <v>Concreto estrutural usinado, Fck=20 MPa (Item 5.3.27 do MD)</v>
          </cell>
          <cell r="C108" t="str">
            <v>m3</v>
          </cell>
          <cell r="D108">
            <v>110</v>
          </cell>
          <cell r="E108">
            <v>453.90999999999997</v>
          </cell>
          <cell r="F108">
            <v>324.08</v>
          </cell>
          <cell r="G108">
            <v>35648.800000000003</v>
          </cell>
          <cell r="H108">
            <v>0.26</v>
          </cell>
          <cell r="I108">
            <v>28.6</v>
          </cell>
          <cell r="J108">
            <v>129.57000000000002</v>
          </cell>
          <cell r="K108">
            <v>14252.7</v>
          </cell>
          <cell r="L108">
            <v>49930.100000000006</v>
          </cell>
          <cell r="M108">
            <v>5.9420000000000002E-3</v>
          </cell>
        </row>
        <row r="109">
          <cell r="A109" t="str">
            <v>3.7.3</v>
          </cell>
          <cell r="B109" t="str">
            <v>Concreto estrutural usinado, Fck=25 MPa (Item 5.3.27 do MD)</v>
          </cell>
          <cell r="C109" t="str">
            <v>m3</v>
          </cell>
          <cell r="D109">
            <v>50</v>
          </cell>
          <cell r="E109">
            <v>502.21000000000004</v>
          </cell>
          <cell r="F109">
            <v>354.61</v>
          </cell>
          <cell r="G109">
            <v>17730.5</v>
          </cell>
          <cell r="H109">
            <v>2.56</v>
          </cell>
          <cell r="I109">
            <v>128</v>
          </cell>
          <cell r="J109">
            <v>145.04</v>
          </cell>
          <cell r="K109">
            <v>7252</v>
          </cell>
          <cell r="L109">
            <v>25110.5</v>
          </cell>
          <cell r="M109">
            <v>2.9889999999999999E-3</v>
          </cell>
        </row>
        <row r="110">
          <cell r="A110" t="str">
            <v>3.7.4</v>
          </cell>
          <cell r="B110" t="str">
            <v>Envelopamento de tubulação (Item 5.3.28 do MD)</v>
          </cell>
          <cell r="C110" t="str">
            <v>m</v>
          </cell>
          <cell r="D110">
            <v>50</v>
          </cell>
          <cell r="E110">
            <v>29.36</v>
          </cell>
          <cell r="F110">
            <v>13.73</v>
          </cell>
          <cell r="G110">
            <v>686.5</v>
          </cell>
          <cell r="H110">
            <v>0</v>
          </cell>
          <cell r="I110">
            <v>0</v>
          </cell>
          <cell r="J110">
            <v>15.629999999999999</v>
          </cell>
          <cell r="K110">
            <v>781.5</v>
          </cell>
          <cell r="L110">
            <v>1468</v>
          </cell>
          <cell r="M110">
            <v>1.75E-4</v>
          </cell>
        </row>
        <row r="111">
          <cell r="A111" t="str">
            <v>3.7.5</v>
          </cell>
          <cell r="B111" t="str">
            <v>Execução de calçada em concreto 1:3:5 em concreto (Fck=12 MPa) preparo mecânico E=7 cm (Item 5.3.29 do MD)</v>
          </cell>
          <cell r="C111" t="str">
            <v>m2</v>
          </cell>
          <cell r="D111">
            <v>1000</v>
          </cell>
          <cell r="E111">
            <v>45.28</v>
          </cell>
          <cell r="F111">
            <v>24.200000000000003</v>
          </cell>
          <cell r="G111">
            <v>24200</v>
          </cell>
          <cell r="H111">
            <v>1.98</v>
          </cell>
          <cell r="I111">
            <v>1980</v>
          </cell>
          <cell r="J111">
            <v>19.100000000000001</v>
          </cell>
          <cell r="K111">
            <v>19100</v>
          </cell>
          <cell r="L111">
            <v>45280</v>
          </cell>
          <cell r="M111">
            <v>5.3889999999999997E-3</v>
          </cell>
        </row>
        <row r="112">
          <cell r="A112" t="str">
            <v>3.7.6</v>
          </cell>
          <cell r="B112" t="str">
            <v>Grout (preparo e lançamento de argamassa de cimento, areia e pedrisco 1:3:2) (Item 5.3.30 do MD)</v>
          </cell>
          <cell r="C112" t="str">
            <v>m3</v>
          </cell>
          <cell r="D112">
            <v>60</v>
          </cell>
          <cell r="E112">
            <v>509.84000000000003</v>
          </cell>
          <cell r="F112">
            <v>266.87</v>
          </cell>
          <cell r="G112">
            <v>16012.2</v>
          </cell>
          <cell r="H112">
            <v>1.23</v>
          </cell>
          <cell r="I112">
            <v>73.8</v>
          </cell>
          <cell r="J112">
            <v>241.73999999999998</v>
          </cell>
          <cell r="K112">
            <v>14504.4</v>
          </cell>
          <cell r="L112">
            <v>30590.400000000001</v>
          </cell>
          <cell r="M112">
            <v>3.6410000000000001E-3</v>
          </cell>
        </row>
        <row r="113">
          <cell r="A113" t="str">
            <v>3.7.7</v>
          </cell>
          <cell r="B113" t="str">
            <v>Lastro de concreto traço 1:2,5:5 - espessura 10 cm, preparo mecânico (Item 5.3.31 do MD)</v>
          </cell>
          <cell r="C113" t="str">
            <v>m2</v>
          </cell>
          <cell r="D113">
            <v>100</v>
          </cell>
          <cell r="E113">
            <v>51.91</v>
          </cell>
          <cell r="F113">
            <v>30.83</v>
          </cell>
          <cell r="G113">
            <v>3083</v>
          </cell>
          <cell r="H113">
            <v>1.98</v>
          </cell>
          <cell r="I113">
            <v>198</v>
          </cell>
          <cell r="J113">
            <v>19.100000000000001</v>
          </cell>
          <cell r="K113">
            <v>1910</v>
          </cell>
          <cell r="L113">
            <v>5191</v>
          </cell>
          <cell r="M113">
            <v>6.1799999999999995E-4</v>
          </cell>
        </row>
        <row r="114">
          <cell r="A114" t="str">
            <v>3.8</v>
          </cell>
          <cell r="B114" t="str">
            <v>Formas e Armaduras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A115" t="str">
            <v>3.8.1</v>
          </cell>
          <cell r="B115" t="str">
            <v>Forma plana comum (Item 5.3.32 do MD)</v>
          </cell>
          <cell r="C115" t="str">
            <v>m2</v>
          </cell>
          <cell r="D115">
            <v>120</v>
          </cell>
          <cell r="E115">
            <v>52.86</v>
          </cell>
          <cell r="F115">
            <v>29.42</v>
          </cell>
          <cell r="G115">
            <v>3530.4</v>
          </cell>
          <cell r="H115">
            <v>0</v>
          </cell>
          <cell r="I115">
            <v>0</v>
          </cell>
          <cell r="J115">
            <v>23.439999999999998</v>
          </cell>
          <cell r="K115">
            <v>2812.8</v>
          </cell>
          <cell r="L115">
            <v>6343.2000000000007</v>
          </cell>
          <cell r="M115">
            <v>7.5500000000000003E-4</v>
          </cell>
        </row>
        <row r="116">
          <cell r="A116" t="str">
            <v>3.8.2</v>
          </cell>
          <cell r="B116" t="str">
            <v>Armadura de aço CA 50/60 (corte, dobra e montagem) (Item 5.3.33 do MD)</v>
          </cell>
          <cell r="C116" t="str">
            <v>kg</v>
          </cell>
          <cell r="D116">
            <v>2500</v>
          </cell>
          <cell r="E116">
            <v>8.09</v>
          </cell>
          <cell r="F116">
            <v>4.79</v>
          </cell>
          <cell r="G116">
            <v>11975</v>
          </cell>
          <cell r="H116">
            <v>0</v>
          </cell>
          <cell r="I116">
            <v>0</v>
          </cell>
          <cell r="J116">
            <v>3.3</v>
          </cell>
          <cell r="K116">
            <v>8250</v>
          </cell>
          <cell r="L116">
            <v>20225</v>
          </cell>
          <cell r="M116">
            <v>2.4069999999999999E-3</v>
          </cell>
        </row>
        <row r="117">
          <cell r="A117" t="str">
            <v>3.9</v>
          </cell>
          <cell r="B117" t="str">
            <v>Revestimentos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A118" t="str">
            <v>3.9.1</v>
          </cell>
          <cell r="B118" t="str">
            <v>CHAPISCO com argamassa de cimento e areia traço 1:3, e=5 mm (Item 5.3.34 do MD)</v>
          </cell>
          <cell r="C118" t="str">
            <v>m2</v>
          </cell>
          <cell r="D118">
            <v>2300</v>
          </cell>
          <cell r="E118">
            <v>5.63</v>
          </cell>
          <cell r="F118">
            <v>1.5700000000000003</v>
          </cell>
          <cell r="G118">
            <v>3611</v>
          </cell>
          <cell r="H118">
            <v>0</v>
          </cell>
          <cell r="I118">
            <v>0</v>
          </cell>
          <cell r="J118">
            <v>4.0599999999999996</v>
          </cell>
          <cell r="K118">
            <v>9338</v>
          </cell>
          <cell r="L118">
            <v>12949</v>
          </cell>
          <cell r="M118">
            <v>1.5410000000000001E-3</v>
          </cell>
        </row>
        <row r="119">
          <cell r="A119" t="str">
            <v>3.9.2</v>
          </cell>
          <cell r="B119" t="str">
            <v>EMBOÇO desempenado - argamassa mista cimento, cal e areia - traço 1:2:8 e = 20mm (Item 5.3.35 do MD)</v>
          </cell>
          <cell r="C119" t="str">
            <v>m2</v>
          </cell>
          <cell r="D119">
            <v>2300</v>
          </cell>
          <cell r="E119">
            <v>28.55</v>
          </cell>
          <cell r="F119">
            <v>5.7400000000000011</v>
          </cell>
          <cell r="G119">
            <v>13202</v>
          </cell>
          <cell r="H119">
            <v>0</v>
          </cell>
          <cell r="I119">
            <v>0</v>
          </cell>
          <cell r="J119">
            <v>22.81</v>
          </cell>
          <cell r="K119">
            <v>52463</v>
          </cell>
          <cell r="L119">
            <v>65665</v>
          </cell>
          <cell r="M119">
            <v>7.8150000000000008E-3</v>
          </cell>
        </row>
        <row r="120">
          <cell r="A120" t="str">
            <v>3.9.3</v>
          </cell>
          <cell r="B120" t="str">
            <v>REBOCO - parede interna com argamassa de cal e areia traço 1:4,5, e=5 mm (Item 5.3.36 do MD)</v>
          </cell>
          <cell r="C120" t="str">
            <v>m2</v>
          </cell>
          <cell r="D120">
            <v>3000</v>
          </cell>
          <cell r="E120">
            <v>18.66</v>
          </cell>
          <cell r="F120">
            <v>0.88</v>
          </cell>
          <cell r="G120">
            <v>2640</v>
          </cell>
          <cell r="H120">
            <v>0</v>
          </cell>
          <cell r="I120">
            <v>0</v>
          </cell>
          <cell r="J120">
            <v>17.78</v>
          </cell>
          <cell r="K120">
            <v>53340</v>
          </cell>
          <cell r="L120">
            <v>55980</v>
          </cell>
          <cell r="M120">
            <v>6.6629999999999997E-3</v>
          </cell>
        </row>
        <row r="121">
          <cell r="A121" t="str">
            <v>3.9.4</v>
          </cell>
          <cell r="B121" t="str">
            <v>Recuperação e regularização do revestimento em reboco (Item 5.3.37 do MD)</v>
          </cell>
          <cell r="C121" t="str">
            <v>m2</v>
          </cell>
          <cell r="D121">
            <v>500</v>
          </cell>
          <cell r="E121">
            <v>22.669999999999998</v>
          </cell>
          <cell r="F121">
            <v>1.35</v>
          </cell>
          <cell r="G121">
            <v>675</v>
          </cell>
          <cell r="H121">
            <v>0</v>
          </cell>
          <cell r="I121">
            <v>0</v>
          </cell>
          <cell r="J121">
            <v>21.319999999999997</v>
          </cell>
          <cell r="K121">
            <v>10660</v>
          </cell>
          <cell r="L121">
            <v>11335</v>
          </cell>
          <cell r="M121">
            <v>1.3489999999999999E-3</v>
          </cell>
        </row>
        <row r="122">
          <cell r="A122" t="str">
            <v>3.9.5</v>
          </cell>
          <cell r="B122" t="str">
            <v>Execução de piso cimentado, e=5cm (Item 5.3.38 do MD)</v>
          </cell>
          <cell r="C122" t="str">
            <v>m2</v>
          </cell>
          <cell r="D122">
            <v>480</v>
          </cell>
          <cell r="E122">
            <v>42.36</v>
          </cell>
          <cell r="F122">
            <v>21.28</v>
          </cell>
          <cell r="G122">
            <v>10214.4</v>
          </cell>
          <cell r="H122">
            <v>1.98</v>
          </cell>
          <cell r="I122">
            <v>950.4</v>
          </cell>
          <cell r="J122">
            <v>19.100000000000001</v>
          </cell>
          <cell r="K122">
            <v>9168</v>
          </cell>
          <cell r="L122">
            <v>20332.8</v>
          </cell>
          <cell r="M122">
            <v>2.4199999999999998E-3</v>
          </cell>
        </row>
        <row r="123">
          <cell r="A123" t="str">
            <v>3.10</v>
          </cell>
          <cell r="B123" t="str">
            <v>Laje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A124" t="str">
            <v>3.10.1</v>
          </cell>
          <cell r="B124" t="str">
            <v>Laje pré-fabricada treliçada para piso/cobertura, largura 25 cm, e=10 cm, maciça (capeamento 3 cm e laje 7 cm) (Item 5.3.39 do MD)</v>
          </cell>
          <cell r="C124" t="str">
            <v>m2</v>
          </cell>
          <cell r="D124">
            <v>140</v>
          </cell>
          <cell r="E124">
            <v>110.12</v>
          </cell>
          <cell r="F124">
            <v>69.61</v>
          </cell>
          <cell r="G124">
            <v>9745.4</v>
          </cell>
          <cell r="H124">
            <v>0</v>
          </cell>
          <cell r="I124">
            <v>0</v>
          </cell>
          <cell r="J124">
            <v>40.51</v>
          </cell>
          <cell r="K124">
            <v>5671.4</v>
          </cell>
          <cell r="L124">
            <v>15416.8</v>
          </cell>
          <cell r="M124">
            <v>1.835E-3</v>
          </cell>
        </row>
        <row r="125">
          <cell r="A125" t="str">
            <v>3.11</v>
          </cell>
          <cell r="B125" t="str">
            <v>Revestimentos Cerâmicos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A126" t="str">
            <v>3.11.1</v>
          </cell>
          <cell r="B126" t="str">
            <v>Azulejo branco 15 x 15 cm, assentado com argamassa colante, juntas a prumo, inclusive rejuntamento. (Item 5.3.40 do MD)</v>
          </cell>
          <cell r="C126" t="str">
            <v>m2</v>
          </cell>
          <cell r="D126">
            <v>320</v>
          </cell>
          <cell r="E126">
            <v>36.039999999999992</v>
          </cell>
          <cell r="F126">
            <v>26.519999999999996</v>
          </cell>
          <cell r="G126">
            <v>8486.4</v>
          </cell>
          <cell r="H126">
            <v>0</v>
          </cell>
          <cell r="I126">
            <v>0</v>
          </cell>
          <cell r="J126">
            <v>9.52</v>
          </cell>
          <cell r="K126">
            <v>3046.4</v>
          </cell>
          <cell r="L126">
            <v>11532.8</v>
          </cell>
          <cell r="M126">
            <v>1.3730000000000001E-3</v>
          </cell>
        </row>
        <row r="127">
          <cell r="A127" t="str">
            <v>3.11.2</v>
          </cell>
          <cell r="B127" t="str">
            <v>Litocerâmica assentada com cimento colante (Item 5.3.41 do MD)</v>
          </cell>
          <cell r="C127" t="str">
            <v>m2</v>
          </cell>
          <cell r="D127">
            <v>1200</v>
          </cell>
          <cell r="E127">
            <v>38.699999999999996</v>
          </cell>
          <cell r="F127">
            <v>27.179999999999996</v>
          </cell>
          <cell r="G127">
            <v>32616</v>
          </cell>
          <cell r="H127">
            <v>0</v>
          </cell>
          <cell r="I127">
            <v>0</v>
          </cell>
          <cell r="J127">
            <v>11.52</v>
          </cell>
          <cell r="K127">
            <v>13824</v>
          </cell>
          <cell r="L127">
            <v>46440</v>
          </cell>
          <cell r="M127">
            <v>5.5269999999999998E-3</v>
          </cell>
        </row>
        <row r="128">
          <cell r="A128" t="str">
            <v>3.11.3</v>
          </cell>
          <cell r="B128" t="str">
            <v>Piso com cerâmica esmaltada PEI-5 (Item 5.3.42 do MD)</v>
          </cell>
          <cell r="C128" t="str">
            <v>m2</v>
          </cell>
          <cell r="D128">
            <v>60</v>
          </cell>
          <cell r="E128">
            <v>65.089999999999989</v>
          </cell>
          <cell r="F128">
            <v>44.599999999999994</v>
          </cell>
          <cell r="G128">
            <v>2676</v>
          </cell>
          <cell r="H128">
            <v>0</v>
          </cell>
          <cell r="I128">
            <v>0</v>
          </cell>
          <cell r="J128">
            <v>20.49</v>
          </cell>
          <cell r="K128">
            <v>1229.4000000000001</v>
          </cell>
          <cell r="L128">
            <v>3905.4</v>
          </cell>
          <cell r="M128">
            <v>4.6500000000000003E-4</v>
          </cell>
        </row>
        <row r="129">
          <cell r="A129" t="str">
            <v>3.11.4</v>
          </cell>
          <cell r="B129" t="str">
            <v>Camada de regularização em argamassa desempenada e=3cm, impermeabilizante e aditivo adesivo (Item 5.3.43 do MD)</v>
          </cell>
          <cell r="C129" t="str">
            <v>m2</v>
          </cell>
          <cell r="D129">
            <v>7500</v>
          </cell>
          <cell r="E129">
            <v>28.79</v>
          </cell>
          <cell r="F129">
            <v>20.57</v>
          </cell>
          <cell r="G129">
            <v>154275</v>
          </cell>
          <cell r="H129">
            <v>0</v>
          </cell>
          <cell r="I129">
            <v>0</v>
          </cell>
          <cell r="J129">
            <v>8.2199999999999989</v>
          </cell>
          <cell r="K129">
            <v>61650</v>
          </cell>
          <cell r="L129">
            <v>215925</v>
          </cell>
          <cell r="M129">
            <v>2.5699E-2</v>
          </cell>
        </row>
        <row r="130">
          <cell r="A130" t="str">
            <v>3.12</v>
          </cell>
          <cell r="B130" t="str">
            <v>Cobertura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A131" t="str">
            <v>3.12.1</v>
          </cell>
          <cell r="B131" t="str">
            <v>Fornecimento de estrutura metálica aço ASTM A-36 (Item 5.3.50 do MD)</v>
          </cell>
          <cell r="C131" t="str">
            <v>kg</v>
          </cell>
          <cell r="D131">
            <v>25000</v>
          </cell>
          <cell r="E131">
            <v>11.2</v>
          </cell>
          <cell r="F131">
            <v>11.2</v>
          </cell>
          <cell r="G131">
            <v>280000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280000</v>
          </cell>
          <cell r="M131">
            <v>3.3325E-2</v>
          </cell>
        </row>
        <row r="132">
          <cell r="A132" t="str">
            <v>3.12.2</v>
          </cell>
          <cell r="B132" t="str">
            <v>Montagem e pintura de estrutura metálica (Item 5.3.51 do MD)</v>
          </cell>
          <cell r="C132" t="str">
            <v>kg</v>
          </cell>
          <cell r="D132">
            <v>25000</v>
          </cell>
          <cell r="E132">
            <v>7.2900000000000009</v>
          </cell>
          <cell r="F132">
            <v>3.3600000000000003</v>
          </cell>
          <cell r="G132">
            <v>84000</v>
          </cell>
          <cell r="H132">
            <v>3.93</v>
          </cell>
          <cell r="I132">
            <v>98250</v>
          </cell>
          <cell r="J132">
            <v>0</v>
          </cell>
          <cell r="K132">
            <v>0</v>
          </cell>
          <cell r="L132">
            <v>182250</v>
          </cell>
          <cell r="M132">
            <v>2.1690999999999998E-2</v>
          </cell>
        </row>
        <row r="133">
          <cell r="A133" t="str">
            <v>3.12.3</v>
          </cell>
          <cell r="B133" t="str">
            <v>Fechamento lateral com placa cimentícia CRFS 300cm x 120cm x 10mm</v>
          </cell>
          <cell r="C133" t="str">
            <v>m2</v>
          </cell>
          <cell r="D133">
            <v>180</v>
          </cell>
          <cell r="E133">
            <v>60.57</v>
          </cell>
          <cell r="F133">
            <v>44.39</v>
          </cell>
          <cell r="G133">
            <v>7990.2</v>
          </cell>
          <cell r="H133">
            <v>0</v>
          </cell>
          <cell r="I133">
            <v>0</v>
          </cell>
          <cell r="J133">
            <v>16.18</v>
          </cell>
          <cell r="K133">
            <v>2912.4</v>
          </cell>
          <cell r="L133">
            <v>10902.6</v>
          </cell>
          <cell r="M133">
            <v>1.2979999999999999E-3</v>
          </cell>
        </row>
        <row r="134">
          <cell r="A134" t="str">
            <v>3.12.4</v>
          </cell>
          <cell r="B134" t="str">
            <v>Telha aço galvanizado acabamento natural ondulada E=0,65mm (Item 5.3.52 do MD)</v>
          </cell>
          <cell r="C134" t="str">
            <v>m2</v>
          </cell>
          <cell r="D134">
            <v>500</v>
          </cell>
          <cell r="E134">
            <v>61.15</v>
          </cell>
          <cell r="F134">
            <v>44.97</v>
          </cell>
          <cell r="G134">
            <v>22485</v>
          </cell>
          <cell r="H134">
            <v>0</v>
          </cell>
          <cell r="I134">
            <v>0</v>
          </cell>
          <cell r="J134">
            <v>16.18</v>
          </cell>
          <cell r="K134">
            <v>8090</v>
          </cell>
          <cell r="L134">
            <v>30575</v>
          </cell>
          <cell r="M134">
            <v>3.6389999999999999E-3</v>
          </cell>
        </row>
        <row r="135">
          <cell r="A135" t="str">
            <v>3.12.5</v>
          </cell>
          <cell r="B135" t="str">
            <v>Telha aço galvanizado acabamento natural ondulada E=0,8mm (Item 5.3.52 do MD)</v>
          </cell>
          <cell r="C135" t="str">
            <v>m2</v>
          </cell>
          <cell r="D135">
            <v>500</v>
          </cell>
          <cell r="E135">
            <v>71.19</v>
          </cell>
          <cell r="F135">
            <v>55.010000000000005</v>
          </cell>
          <cell r="G135">
            <v>27505</v>
          </cell>
          <cell r="H135">
            <v>0</v>
          </cell>
          <cell r="I135">
            <v>0</v>
          </cell>
          <cell r="J135">
            <v>16.18</v>
          </cell>
          <cell r="K135">
            <v>8090</v>
          </cell>
          <cell r="L135">
            <v>35595</v>
          </cell>
          <cell r="M135">
            <v>4.2360000000000002E-3</v>
          </cell>
        </row>
        <row r="136">
          <cell r="A136" t="str">
            <v>3.12.6</v>
          </cell>
          <cell r="B136" t="str">
            <v>Telha de aço galvanizada pintada 1 face pó ou coil-coating ondulada E=0,8mm (Item 5.3.52 do MD)</v>
          </cell>
          <cell r="C136" t="str">
            <v>m2</v>
          </cell>
          <cell r="D136">
            <v>500</v>
          </cell>
          <cell r="E136">
            <v>75.27000000000001</v>
          </cell>
          <cell r="F136">
            <v>59.09</v>
          </cell>
          <cell r="G136">
            <v>29545</v>
          </cell>
          <cell r="H136">
            <v>0</v>
          </cell>
          <cell r="I136">
            <v>0</v>
          </cell>
          <cell r="J136">
            <v>16.18</v>
          </cell>
          <cell r="K136">
            <v>8090</v>
          </cell>
          <cell r="L136">
            <v>37635</v>
          </cell>
          <cell r="M136">
            <v>4.4790000000000003E-3</v>
          </cell>
        </row>
        <row r="137">
          <cell r="A137" t="str">
            <v>3.12.7</v>
          </cell>
          <cell r="B137" t="str">
            <v>Telha de aço galvanizado pintada 2 faces auto portante e=0,8mm H=180mm (Item 5.3.52 do MD)</v>
          </cell>
          <cell r="C137" t="str">
            <v>m2</v>
          </cell>
          <cell r="D137">
            <v>1230</v>
          </cell>
          <cell r="E137">
            <v>83.19</v>
          </cell>
          <cell r="F137">
            <v>58.92</v>
          </cell>
          <cell r="G137">
            <v>72471.600000000006</v>
          </cell>
          <cell r="H137">
            <v>0</v>
          </cell>
          <cell r="I137">
            <v>0</v>
          </cell>
          <cell r="J137">
            <v>24.269999999999996</v>
          </cell>
          <cell r="K137">
            <v>29852.1</v>
          </cell>
          <cell r="L137">
            <v>102323.70000000001</v>
          </cell>
          <cell r="M137">
            <v>1.2178E-2</v>
          </cell>
        </row>
        <row r="138">
          <cell r="A138" t="str">
            <v>3.12.8</v>
          </cell>
          <cell r="B138" t="str">
            <v>Telha de aço galvanizado pintada 2 faces auto portante e=0,8mm H=260mm (Item 5.3.52 do MD)</v>
          </cell>
          <cell r="C138" t="str">
            <v>m2</v>
          </cell>
          <cell r="D138">
            <v>630</v>
          </cell>
          <cell r="E138">
            <v>71.28</v>
          </cell>
          <cell r="F138">
            <v>55.1</v>
          </cell>
          <cell r="G138">
            <v>34713</v>
          </cell>
          <cell r="H138">
            <v>0</v>
          </cell>
          <cell r="I138">
            <v>0</v>
          </cell>
          <cell r="J138">
            <v>16.18</v>
          </cell>
          <cell r="K138">
            <v>10193.4</v>
          </cell>
          <cell r="L138">
            <v>44906.400000000001</v>
          </cell>
          <cell r="M138">
            <v>5.3449999999999999E-3</v>
          </cell>
        </row>
        <row r="139">
          <cell r="A139" t="str">
            <v>3.12.9</v>
          </cell>
          <cell r="B139" t="str">
            <v>Telha de aço galvanizado trapezoidal sand poliuretano pintura 2 faces chapa 0,5mm E=30mm (Item 5.3.52 do MD)</v>
          </cell>
          <cell r="C139" t="str">
            <v>m2</v>
          </cell>
          <cell r="D139">
            <v>320</v>
          </cell>
          <cell r="E139">
            <v>128.59</v>
          </cell>
          <cell r="F139">
            <v>112.41</v>
          </cell>
          <cell r="G139">
            <v>35971.199999999997</v>
          </cell>
          <cell r="H139">
            <v>0</v>
          </cell>
          <cell r="I139">
            <v>0</v>
          </cell>
          <cell r="J139">
            <v>16.18</v>
          </cell>
          <cell r="K139">
            <v>5177.6000000000004</v>
          </cell>
          <cell r="L139">
            <v>41148.799999999996</v>
          </cell>
          <cell r="M139">
            <v>4.8970000000000003E-3</v>
          </cell>
        </row>
        <row r="140">
          <cell r="A140" t="str">
            <v>3.12.10</v>
          </cell>
          <cell r="B140" t="str">
            <v>Telha de aço galvanizado trapezoidal sand poliuretano pintura 2 faces chapa 0,5mm E=50mm (Item 5.3.52 do MD)</v>
          </cell>
          <cell r="C140" t="str">
            <v>m2</v>
          </cell>
          <cell r="D140">
            <v>320</v>
          </cell>
          <cell r="E140">
            <v>144.70000000000002</v>
          </cell>
          <cell r="F140">
            <v>128.52000000000001</v>
          </cell>
          <cell r="G140">
            <v>41126.400000000001</v>
          </cell>
          <cell r="H140">
            <v>0</v>
          </cell>
          <cell r="I140">
            <v>0</v>
          </cell>
          <cell r="J140">
            <v>16.18</v>
          </cell>
          <cell r="K140">
            <v>5177.6000000000004</v>
          </cell>
          <cell r="L140">
            <v>46304</v>
          </cell>
          <cell r="M140">
            <v>5.5110000000000003E-3</v>
          </cell>
        </row>
        <row r="141">
          <cell r="A141" t="str">
            <v>3.12.11</v>
          </cell>
          <cell r="B141" t="str">
            <v>Telha tecnologia CRFS ondulada E=6mm (Item 5.3.52 do MD)</v>
          </cell>
          <cell r="C141" t="str">
            <v>m2</v>
          </cell>
          <cell r="D141">
            <v>1000</v>
          </cell>
          <cell r="E141">
            <v>31.659999999999997</v>
          </cell>
          <cell r="F141">
            <v>22.759999999999998</v>
          </cell>
          <cell r="G141">
            <v>22760</v>
          </cell>
          <cell r="H141">
            <v>0</v>
          </cell>
          <cell r="I141">
            <v>0</v>
          </cell>
          <cell r="J141">
            <v>8.9</v>
          </cell>
          <cell r="K141">
            <v>8900</v>
          </cell>
          <cell r="L141">
            <v>31660</v>
          </cell>
          <cell r="M141">
            <v>3.7680000000000001E-3</v>
          </cell>
        </row>
        <row r="142">
          <cell r="A142" t="str">
            <v>3.12.12</v>
          </cell>
          <cell r="B142" t="str">
            <v>Telha tecnologia CRFS ondulada E=8mm (Item 5.3.52 do MD)</v>
          </cell>
          <cell r="C142" t="str">
            <v>m2</v>
          </cell>
          <cell r="D142">
            <v>1000</v>
          </cell>
          <cell r="E142">
            <v>39.339999999999996</v>
          </cell>
          <cell r="F142">
            <v>30.439999999999998</v>
          </cell>
          <cell r="G142">
            <v>30440</v>
          </cell>
          <cell r="H142">
            <v>0</v>
          </cell>
          <cell r="I142">
            <v>0</v>
          </cell>
          <cell r="J142">
            <v>8.9</v>
          </cell>
          <cell r="K142">
            <v>8900</v>
          </cell>
          <cell r="L142">
            <v>39340</v>
          </cell>
          <cell r="M142">
            <v>4.6820000000000004E-3</v>
          </cell>
        </row>
        <row r="143">
          <cell r="A143" t="str">
            <v>3.12.13</v>
          </cell>
          <cell r="B143" t="str">
            <v>Cumeeira de aço galvanizado natural perfil trapezoidal E=0,5mm H=100mm (Item 5.3.53 do MD)</v>
          </cell>
          <cell r="C143" t="str">
            <v>m</v>
          </cell>
          <cell r="D143">
            <v>300</v>
          </cell>
          <cell r="E143">
            <v>59.2</v>
          </cell>
          <cell r="F143">
            <v>30.93</v>
          </cell>
          <cell r="G143">
            <v>9279</v>
          </cell>
          <cell r="H143">
            <v>0</v>
          </cell>
          <cell r="I143">
            <v>0</v>
          </cell>
          <cell r="J143">
            <v>28.270000000000003</v>
          </cell>
          <cell r="K143">
            <v>8481</v>
          </cell>
          <cell r="L143">
            <v>17760</v>
          </cell>
          <cell r="M143">
            <v>2.114E-3</v>
          </cell>
        </row>
        <row r="144">
          <cell r="A144" t="str">
            <v>3.12.14</v>
          </cell>
          <cell r="B144" t="str">
            <v>Cumeeira perfil para telha autoportante  aço galvanizado natural E=0,80mm perfil 700/800 (Item 5.3.53 do MD)</v>
          </cell>
          <cell r="C144" t="str">
            <v>m</v>
          </cell>
          <cell r="D144">
            <v>60</v>
          </cell>
          <cell r="E144">
            <v>477.56</v>
          </cell>
          <cell r="F144">
            <v>464.41</v>
          </cell>
          <cell r="G144">
            <v>27864.6</v>
          </cell>
          <cell r="H144">
            <v>0</v>
          </cell>
          <cell r="I144">
            <v>0</v>
          </cell>
          <cell r="J144">
            <v>13.150000000000002</v>
          </cell>
          <cell r="K144">
            <v>789</v>
          </cell>
          <cell r="L144">
            <v>28653.599999999999</v>
          </cell>
          <cell r="M144">
            <v>3.4099999999999998E-3</v>
          </cell>
        </row>
        <row r="145">
          <cell r="A145" t="str">
            <v>3.12.15</v>
          </cell>
          <cell r="B145" t="str">
            <v>Contra rufo trapezoidal de alumínio espessura 0,8mm (Item 5.3.54 do MD)</v>
          </cell>
          <cell r="C145" t="str">
            <v>m</v>
          </cell>
          <cell r="D145">
            <v>300</v>
          </cell>
          <cell r="E145">
            <v>66.459999999999994</v>
          </cell>
          <cell r="F145">
            <v>39.659999999999997</v>
          </cell>
          <cell r="G145">
            <v>11898</v>
          </cell>
          <cell r="H145">
            <v>0</v>
          </cell>
          <cell r="I145">
            <v>0</v>
          </cell>
          <cell r="J145">
            <v>26.799999999999997</v>
          </cell>
          <cell r="K145">
            <v>8040</v>
          </cell>
          <cell r="L145">
            <v>19938</v>
          </cell>
          <cell r="M145">
            <v>2.3730000000000001E-3</v>
          </cell>
        </row>
        <row r="146">
          <cell r="A146" t="str">
            <v>3.12.16</v>
          </cell>
          <cell r="B146" t="str">
            <v>Rufo liso de alumínio acabamento natural E=0,8mm corte 0,50mm (Item 5.3.54 do MD)</v>
          </cell>
          <cell r="C146" t="str">
            <v>m</v>
          </cell>
          <cell r="D146">
            <v>300</v>
          </cell>
          <cell r="E146">
            <v>77.08</v>
          </cell>
          <cell r="F146">
            <v>27.12</v>
          </cell>
          <cell r="G146">
            <v>8136</v>
          </cell>
          <cell r="H146">
            <v>0</v>
          </cell>
          <cell r="I146">
            <v>0</v>
          </cell>
          <cell r="J146">
            <v>49.96</v>
          </cell>
          <cell r="K146">
            <v>14988</v>
          </cell>
          <cell r="L146">
            <v>23124</v>
          </cell>
          <cell r="M146">
            <v>2.7520000000000001E-3</v>
          </cell>
        </row>
        <row r="147">
          <cell r="A147" t="str">
            <v>3.12.17</v>
          </cell>
          <cell r="B147" t="str">
            <v>Rufo trapezoidal de alumínio acabamento natural espessura 0,8mm (Item 5.3.54 do MD)</v>
          </cell>
          <cell r="C147" t="str">
            <v>m</v>
          </cell>
          <cell r="D147">
            <v>300</v>
          </cell>
          <cell r="E147">
            <v>70.599999999999994</v>
          </cell>
          <cell r="F147">
            <v>31.310000000000002</v>
          </cell>
          <cell r="G147">
            <v>9393</v>
          </cell>
          <cell r="H147">
            <v>0</v>
          </cell>
          <cell r="I147">
            <v>0</v>
          </cell>
          <cell r="J147">
            <v>39.29</v>
          </cell>
          <cell r="K147">
            <v>11787</v>
          </cell>
          <cell r="L147">
            <v>21180</v>
          </cell>
          <cell r="M147">
            <v>2.5209999999999998E-3</v>
          </cell>
        </row>
        <row r="148">
          <cell r="A148" t="str">
            <v>3.12.18</v>
          </cell>
          <cell r="B148" t="str">
            <v>Rufo para telha tecnologia CRFS ondulada (Item 5.3.54 do MD)</v>
          </cell>
          <cell r="C148" t="str">
            <v>m</v>
          </cell>
          <cell r="D148">
            <v>300</v>
          </cell>
          <cell r="E148">
            <v>32.94</v>
          </cell>
          <cell r="F148">
            <v>30.32</v>
          </cell>
          <cell r="G148">
            <v>9096</v>
          </cell>
          <cell r="H148">
            <v>0</v>
          </cell>
          <cell r="I148">
            <v>0</v>
          </cell>
          <cell r="J148">
            <v>2.62</v>
          </cell>
          <cell r="K148">
            <v>786</v>
          </cell>
          <cell r="L148">
            <v>9882</v>
          </cell>
          <cell r="M148">
            <v>1.176E-3</v>
          </cell>
        </row>
        <row r="149">
          <cell r="A149" t="str">
            <v>3.12.19</v>
          </cell>
          <cell r="B149" t="str">
            <v>Sub-cobertura com manta aluminizada</v>
          </cell>
          <cell r="C149" t="str">
            <v>m2</v>
          </cell>
          <cell r="D149">
            <v>2500</v>
          </cell>
          <cell r="E149">
            <v>24.54</v>
          </cell>
          <cell r="F149">
            <v>17.97</v>
          </cell>
          <cell r="G149">
            <v>44925</v>
          </cell>
          <cell r="H149">
            <v>0</v>
          </cell>
          <cell r="I149">
            <v>0</v>
          </cell>
          <cell r="J149">
            <v>6.57</v>
          </cell>
          <cell r="K149">
            <v>16425</v>
          </cell>
          <cell r="L149">
            <v>61350</v>
          </cell>
          <cell r="M149">
            <v>7.3020000000000003E-3</v>
          </cell>
        </row>
        <row r="150">
          <cell r="A150" t="str">
            <v>3.13</v>
          </cell>
          <cell r="B150" t="str">
            <v>Vidro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A151" t="str">
            <v>3.13.1</v>
          </cell>
          <cell r="B151" t="str">
            <v>Vidro cristal comum liso, colocado em caixilho com ou sem baguete, duas demãos de massa e= 3 mm (Item 5.3.56 do MD)</v>
          </cell>
          <cell r="C151" t="str">
            <v>m2</v>
          </cell>
          <cell r="D151">
            <v>100</v>
          </cell>
          <cell r="E151">
            <v>76.31</v>
          </cell>
          <cell r="F151">
            <v>62.400000000000006</v>
          </cell>
          <cell r="G151">
            <v>6240</v>
          </cell>
          <cell r="H151">
            <v>0</v>
          </cell>
          <cell r="I151">
            <v>0</v>
          </cell>
          <cell r="J151">
            <v>13.91</v>
          </cell>
          <cell r="K151">
            <v>1391</v>
          </cell>
          <cell r="L151">
            <v>7631</v>
          </cell>
          <cell r="M151">
            <v>9.0799999999999995E-4</v>
          </cell>
        </row>
        <row r="152">
          <cell r="A152" t="str">
            <v>3.13.2</v>
          </cell>
          <cell r="B152" t="str">
            <v>Vidro temperado transparente, colocado em caixilho de alumínio e= 6 mm (Item 5.3.56 do MD)</v>
          </cell>
          <cell r="C152" t="str">
            <v>m2</v>
          </cell>
          <cell r="D152">
            <v>100</v>
          </cell>
          <cell r="E152">
            <v>172.49</v>
          </cell>
          <cell r="F152">
            <v>155.09</v>
          </cell>
          <cell r="G152">
            <v>15509</v>
          </cell>
          <cell r="H152">
            <v>0</v>
          </cell>
          <cell r="I152">
            <v>0</v>
          </cell>
          <cell r="J152">
            <v>17.399999999999999</v>
          </cell>
          <cell r="K152">
            <v>1740</v>
          </cell>
          <cell r="L152">
            <v>17249</v>
          </cell>
          <cell r="M152">
            <v>2.0530000000000001E-3</v>
          </cell>
        </row>
        <row r="153">
          <cell r="A153" t="str">
            <v>3.14</v>
          </cell>
          <cell r="B153" t="str">
            <v>Perfurações e Cortes em Estruturas de Concreto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3.14.1</v>
          </cell>
          <cell r="B154" t="str">
            <v>Execução de furo em reservatório com perfuratriz de coroa diamantada de 2"a 8" - Com mobilização (Item 5.3.57 do MD)</v>
          </cell>
          <cell r="C154" t="str">
            <v>un</v>
          </cell>
          <cell r="D154">
            <v>14</v>
          </cell>
          <cell r="E154">
            <v>327.75</v>
          </cell>
          <cell r="F154">
            <v>0</v>
          </cell>
          <cell r="G154">
            <v>0</v>
          </cell>
          <cell r="H154">
            <v>327.75</v>
          </cell>
          <cell r="I154">
            <v>4588.5</v>
          </cell>
          <cell r="J154">
            <v>0</v>
          </cell>
          <cell r="K154">
            <v>0</v>
          </cell>
          <cell r="L154">
            <v>4588.5</v>
          </cell>
          <cell r="M154">
            <v>5.4600000000000004E-4</v>
          </cell>
        </row>
        <row r="155">
          <cell r="A155" t="str">
            <v>3.14.2</v>
          </cell>
          <cell r="B155" t="str">
            <v>Execução de furo em reservatório com perfuratriz de coroa diamantada de 2"a 8" - Sem mobilização (Item 5.3.57 do MD)</v>
          </cell>
          <cell r="C155" t="str">
            <v>un</v>
          </cell>
          <cell r="D155">
            <v>10</v>
          </cell>
          <cell r="E155">
            <v>131.1</v>
          </cell>
          <cell r="F155">
            <v>0</v>
          </cell>
          <cell r="G155">
            <v>0</v>
          </cell>
          <cell r="H155">
            <v>131.1</v>
          </cell>
          <cell r="I155">
            <v>1311</v>
          </cell>
          <cell r="J155">
            <v>0</v>
          </cell>
          <cell r="K155">
            <v>0</v>
          </cell>
          <cell r="L155">
            <v>1311</v>
          </cell>
          <cell r="M155">
            <v>1.56E-4</v>
          </cell>
        </row>
        <row r="156">
          <cell r="A156" t="str">
            <v>3.14.3</v>
          </cell>
          <cell r="B156" t="str">
            <v>Execução de furo em reservatório com perfuratriz de coroa diamantada 10"a 16" (Item 5.3.57 do MD)</v>
          </cell>
          <cell r="C156" t="str">
            <v>un</v>
          </cell>
          <cell r="D156">
            <v>10</v>
          </cell>
          <cell r="E156">
            <v>1321.49</v>
          </cell>
          <cell r="F156">
            <v>0</v>
          </cell>
          <cell r="G156">
            <v>0</v>
          </cell>
          <cell r="H156">
            <v>1321.49</v>
          </cell>
          <cell r="I156">
            <v>13214.9</v>
          </cell>
          <cell r="J156">
            <v>0</v>
          </cell>
          <cell r="K156">
            <v>0</v>
          </cell>
          <cell r="L156">
            <v>13214.9</v>
          </cell>
          <cell r="M156">
            <v>1.573E-3</v>
          </cell>
        </row>
        <row r="157">
          <cell r="A157" t="str">
            <v>3.14.4</v>
          </cell>
          <cell r="B157" t="str">
            <v>Corte com serra diamantada em estrutura de concreto com profundidade até 15 cm (Item 5.3.57 do MD)</v>
          </cell>
          <cell r="C157" t="str">
            <v>m</v>
          </cell>
          <cell r="D157">
            <v>20</v>
          </cell>
          <cell r="E157">
            <v>72.489999999999995</v>
          </cell>
          <cell r="F157">
            <v>0</v>
          </cell>
          <cell r="G157">
            <v>0</v>
          </cell>
          <cell r="H157">
            <v>72.489999999999995</v>
          </cell>
          <cell r="I157">
            <v>1449.8</v>
          </cell>
          <cell r="J157">
            <v>0</v>
          </cell>
          <cell r="K157">
            <v>0</v>
          </cell>
          <cell r="L157">
            <v>1449.8</v>
          </cell>
          <cell r="M157">
            <v>1.73E-4</v>
          </cell>
        </row>
        <row r="158">
          <cell r="A158" t="str">
            <v>3.14.5</v>
          </cell>
          <cell r="B158" t="str">
            <v>Corte com serra diamantada em estrutura de concreto com profundidade até 40 cm (Item 5.3.57 do MD)</v>
          </cell>
          <cell r="C158" t="str">
            <v>m</v>
          </cell>
          <cell r="D158">
            <v>15</v>
          </cell>
          <cell r="E158">
            <v>276.94</v>
          </cell>
          <cell r="F158">
            <v>0</v>
          </cell>
          <cell r="G158">
            <v>0</v>
          </cell>
          <cell r="H158">
            <v>276.94</v>
          </cell>
          <cell r="I158">
            <v>4154.1000000000004</v>
          </cell>
          <cell r="J158">
            <v>0</v>
          </cell>
          <cell r="K158">
            <v>0</v>
          </cell>
          <cell r="L158">
            <v>4154.1000000000004</v>
          </cell>
          <cell r="M158">
            <v>4.9399999999999997E-4</v>
          </cell>
        </row>
        <row r="159">
          <cell r="A159" t="str">
            <v>3.15</v>
          </cell>
          <cell r="B159" t="str">
            <v>Tamponamento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3.15.1</v>
          </cell>
          <cell r="B160" t="str">
            <v>Tamponamento de abertura em estrutura de concreto (face lateral/superior de reservatório) com espuma expansiva (2"a 8") (Item 5.3.58 do MD)</v>
          </cell>
          <cell r="C160" t="str">
            <v>un</v>
          </cell>
          <cell r="D160">
            <v>20</v>
          </cell>
          <cell r="E160">
            <v>100.19</v>
          </cell>
          <cell r="F160">
            <v>65.41</v>
          </cell>
          <cell r="G160">
            <v>1308.2</v>
          </cell>
          <cell r="H160">
            <v>0</v>
          </cell>
          <cell r="I160">
            <v>0</v>
          </cell>
          <cell r="J160">
            <v>34.78</v>
          </cell>
          <cell r="K160">
            <v>695.6</v>
          </cell>
          <cell r="L160">
            <v>2003.8000000000002</v>
          </cell>
          <cell r="M160">
            <v>2.3800000000000001E-4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A162" t="str">
            <v>4.0</v>
          </cell>
          <cell r="B162" t="str">
            <v>INSTALAÇÕES ELÉTRICAS</v>
          </cell>
          <cell r="C162" t="str">
            <v>SUB-TOTAL</v>
          </cell>
          <cell r="D162">
            <v>0</v>
          </cell>
          <cell r="E162">
            <v>0</v>
          </cell>
          <cell r="F162">
            <v>127364.8</v>
          </cell>
          <cell r="G162">
            <v>127364.8</v>
          </cell>
          <cell r="H162">
            <v>289.2</v>
          </cell>
          <cell r="I162">
            <v>289.2</v>
          </cell>
          <cell r="J162">
            <v>69264.7</v>
          </cell>
          <cell r="K162">
            <v>69264.7</v>
          </cell>
          <cell r="L162">
            <v>196918.7</v>
          </cell>
          <cell r="M162">
            <v>2.3435999999999998E-2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0.64678899999999995</v>
          </cell>
          <cell r="G163" t="str">
            <v>sim</v>
          </cell>
          <cell r="H163">
            <v>1.469E-3</v>
          </cell>
          <cell r="I163" t="str">
            <v>sim</v>
          </cell>
          <cell r="J163">
            <v>0.35174299999999997</v>
          </cell>
          <cell r="K163" t="str">
            <v>sim</v>
          </cell>
          <cell r="L163">
            <v>0</v>
          </cell>
          <cell r="M163">
            <v>0</v>
          </cell>
        </row>
        <row r="164">
          <cell r="A164" t="str">
            <v>4.1</v>
          </cell>
          <cell r="B164" t="str">
            <v>Eletrodutos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A165" t="str">
            <v>4.1.1</v>
          </cell>
          <cell r="B165" t="str">
            <v xml:space="preserve">Fornecimento e Lançamento de Eletroduto Flexível 3/4" (Item 5.4.1 do MD)   </v>
          </cell>
          <cell r="C165" t="str">
            <v>m</v>
          </cell>
          <cell r="D165">
            <v>1500</v>
          </cell>
          <cell r="E165">
            <v>2.7700000000000005</v>
          </cell>
          <cell r="F165">
            <v>1.4700000000000002</v>
          </cell>
          <cell r="G165">
            <v>2205</v>
          </cell>
          <cell r="H165">
            <v>0</v>
          </cell>
          <cell r="I165">
            <v>0</v>
          </cell>
          <cell r="J165">
            <v>1.3</v>
          </cell>
          <cell r="K165">
            <v>1950</v>
          </cell>
          <cell r="L165">
            <v>4155</v>
          </cell>
          <cell r="M165">
            <v>4.95E-4</v>
          </cell>
        </row>
        <row r="166">
          <cell r="A166" t="str">
            <v>4.1.2</v>
          </cell>
          <cell r="B166" t="str">
            <v xml:space="preserve">Fornecimento e Lançamento de Eletroduto Flexível 1" (Item 5.4.1 do MD)   </v>
          </cell>
          <cell r="C166" t="str">
            <v>m</v>
          </cell>
          <cell r="D166">
            <v>1500</v>
          </cell>
          <cell r="E166">
            <v>3.23</v>
          </cell>
          <cell r="F166">
            <v>1.93</v>
          </cell>
          <cell r="G166">
            <v>2895</v>
          </cell>
          <cell r="H166">
            <v>0</v>
          </cell>
          <cell r="I166">
            <v>0</v>
          </cell>
          <cell r="J166">
            <v>1.3</v>
          </cell>
          <cell r="K166">
            <v>1950</v>
          </cell>
          <cell r="L166">
            <v>4845</v>
          </cell>
          <cell r="M166">
            <v>5.7700000000000004E-4</v>
          </cell>
        </row>
        <row r="167">
          <cell r="A167" t="str">
            <v>4.1.3</v>
          </cell>
          <cell r="B167" t="str">
            <v xml:space="preserve">Fornecimento e Lançamento de Eletroduto Flexível 2" (Item 5.4.1 do MD)     </v>
          </cell>
          <cell r="C167" t="str">
            <v>m</v>
          </cell>
          <cell r="D167">
            <v>600</v>
          </cell>
          <cell r="E167">
            <v>10.030000000000001</v>
          </cell>
          <cell r="F167">
            <v>8.73</v>
          </cell>
          <cell r="G167">
            <v>5238</v>
          </cell>
          <cell r="H167">
            <v>0</v>
          </cell>
          <cell r="I167">
            <v>0</v>
          </cell>
          <cell r="J167">
            <v>1.3</v>
          </cell>
          <cell r="K167">
            <v>780</v>
          </cell>
          <cell r="L167">
            <v>6018</v>
          </cell>
          <cell r="M167">
            <v>7.1599999999999995E-4</v>
          </cell>
        </row>
        <row r="168">
          <cell r="A168" t="str">
            <v>4.2</v>
          </cell>
          <cell r="B168" t="str">
            <v>Luminárias, Tomadas, Interruptores, Pontos de Automação e Caixas de Passagem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4.2.1</v>
          </cell>
          <cell r="B169" t="str">
            <v>Fornecimento e Instalação de arandela em alumínio fundido pintado (Epóxi), com grade de proteção e vidro óptico, para lâmpada de 100W. (Item 5.4.2 do MD)</v>
          </cell>
          <cell r="C169" t="str">
            <v>un</v>
          </cell>
          <cell r="D169">
            <v>250</v>
          </cell>
          <cell r="E169">
            <v>158.56</v>
          </cell>
          <cell r="F169">
            <v>133.15</v>
          </cell>
          <cell r="G169">
            <v>33287.5</v>
          </cell>
          <cell r="H169">
            <v>0</v>
          </cell>
          <cell r="I169">
            <v>0</v>
          </cell>
          <cell r="J169">
            <v>25.410000000000004</v>
          </cell>
          <cell r="K169">
            <v>6352.5</v>
          </cell>
          <cell r="L169">
            <v>39640</v>
          </cell>
          <cell r="M169">
            <v>4.718E-3</v>
          </cell>
        </row>
        <row r="170">
          <cell r="A170" t="str">
            <v>4.2.2</v>
          </cell>
          <cell r="B170" t="str">
            <v>Instalação de ponto com tomada alta simples, dois pólos + terra 20 A/250 V, completa, fiação 2,5 mm² (Item 5.4.2 do MD)</v>
          </cell>
          <cell r="C170" t="str">
            <v>un</v>
          </cell>
          <cell r="D170">
            <v>200</v>
          </cell>
          <cell r="E170">
            <v>81.92</v>
          </cell>
          <cell r="F170">
            <v>46.58</v>
          </cell>
          <cell r="G170">
            <v>9316</v>
          </cell>
          <cell r="H170">
            <v>0</v>
          </cell>
          <cell r="I170">
            <v>0</v>
          </cell>
          <cell r="J170">
            <v>35.340000000000003</v>
          </cell>
          <cell r="K170">
            <v>7068</v>
          </cell>
          <cell r="L170">
            <v>16384</v>
          </cell>
          <cell r="M170">
            <v>1.9499999999999999E-3</v>
          </cell>
        </row>
        <row r="171">
          <cell r="A171" t="str">
            <v>4.2.3</v>
          </cell>
          <cell r="B171" t="str">
            <v>Instalação de ponto com interruptor 1  tecla paralelo 10 A - 250 V, completo, fiação 1,5 mm² (Item 5.4.2 do MD)</v>
          </cell>
          <cell r="C171" t="str">
            <v>un</v>
          </cell>
          <cell r="D171">
            <v>200</v>
          </cell>
          <cell r="E171">
            <v>67.11</v>
          </cell>
          <cell r="F171">
            <v>31.769999999999996</v>
          </cell>
          <cell r="G171">
            <v>6354</v>
          </cell>
          <cell r="H171">
            <v>0</v>
          </cell>
          <cell r="I171">
            <v>0</v>
          </cell>
          <cell r="J171">
            <v>35.340000000000003</v>
          </cell>
          <cell r="K171">
            <v>7068</v>
          </cell>
          <cell r="L171">
            <v>13422</v>
          </cell>
          <cell r="M171">
            <v>1.5969999999999999E-3</v>
          </cell>
        </row>
        <row r="172">
          <cell r="A172" t="str">
            <v>4.2.4</v>
          </cell>
          <cell r="B172" t="str">
            <v>Instalação de ponto de automação (Item 5.4.2 do MD)</v>
          </cell>
          <cell r="C172" t="str">
            <v>un</v>
          </cell>
          <cell r="D172">
            <v>50</v>
          </cell>
          <cell r="E172">
            <v>65.75</v>
          </cell>
          <cell r="F172">
            <v>14.04</v>
          </cell>
          <cell r="G172">
            <v>702</v>
          </cell>
          <cell r="H172">
            <v>0</v>
          </cell>
          <cell r="I172">
            <v>0</v>
          </cell>
          <cell r="J172">
            <v>51.709999999999994</v>
          </cell>
          <cell r="K172">
            <v>2585.5</v>
          </cell>
          <cell r="L172">
            <v>3287.5</v>
          </cell>
          <cell r="M172">
            <v>3.9100000000000002E-4</v>
          </cell>
        </row>
        <row r="173">
          <cell r="A173" t="str">
            <v>4.2.5</v>
          </cell>
          <cell r="B173" t="str">
            <v>Caixa de passagem elétrica 15 x15 cm (Item 5.4.2 do MD)</v>
          </cell>
          <cell r="C173" t="str">
            <v>un</v>
          </cell>
          <cell r="D173">
            <v>50</v>
          </cell>
          <cell r="E173">
            <v>35.82</v>
          </cell>
          <cell r="F173">
            <v>11.059999999999999</v>
          </cell>
          <cell r="G173">
            <v>553</v>
          </cell>
          <cell r="H173">
            <v>0</v>
          </cell>
          <cell r="I173">
            <v>0</v>
          </cell>
          <cell r="J173">
            <v>24.76</v>
          </cell>
          <cell r="K173">
            <v>1238</v>
          </cell>
          <cell r="L173">
            <v>1791</v>
          </cell>
          <cell r="M173">
            <v>2.13E-4</v>
          </cell>
        </row>
        <row r="174">
          <cell r="A174" t="str">
            <v>4.3</v>
          </cell>
          <cell r="B174" t="str">
            <v>Iluminação de Poços e Reservatórios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A175" t="str">
            <v>4.3.1</v>
          </cell>
          <cell r="B175" t="str">
            <v>Fornecimento e instalação de luminária no poste ou no Reservatório (Item 5.4.3 do MD)</v>
          </cell>
          <cell r="C175" t="str">
            <v>un</v>
          </cell>
          <cell r="D175">
            <v>250</v>
          </cell>
          <cell r="E175">
            <v>340.71000000000004</v>
          </cell>
          <cell r="F175">
            <v>234.33</v>
          </cell>
          <cell r="G175">
            <v>58582.5</v>
          </cell>
          <cell r="H175">
            <v>0.35000000000000003</v>
          </cell>
          <cell r="I175">
            <v>87.5</v>
          </cell>
          <cell r="J175">
            <v>106.03</v>
          </cell>
          <cell r="K175">
            <v>26507.5</v>
          </cell>
          <cell r="L175">
            <v>85177.5</v>
          </cell>
          <cell r="M175">
            <v>1.0137E-2</v>
          </cell>
        </row>
        <row r="176">
          <cell r="A176" t="str">
            <v>4.3.2</v>
          </cell>
          <cell r="B176" t="str">
            <v>Instalação do ramal em eletroduto rígido (Item 5.4.3 do MD)</v>
          </cell>
          <cell r="C176" t="str">
            <v>m</v>
          </cell>
          <cell r="D176">
            <v>500</v>
          </cell>
          <cell r="E176">
            <v>40.21</v>
          </cell>
          <cell r="F176">
            <v>14.45</v>
          </cell>
          <cell r="G176">
            <v>7225</v>
          </cell>
          <cell r="H176">
            <v>0.35000000000000003</v>
          </cell>
          <cell r="I176">
            <v>175</v>
          </cell>
          <cell r="J176">
            <v>25.410000000000004</v>
          </cell>
          <cell r="K176">
            <v>12705</v>
          </cell>
          <cell r="L176">
            <v>20105</v>
          </cell>
          <cell r="M176">
            <v>2.3930000000000002E-3</v>
          </cell>
        </row>
        <row r="177">
          <cell r="A177" t="str">
            <v>4.3.3</v>
          </cell>
          <cell r="B177" t="str">
            <v>Montagem e alimentação no painel (Item 5.4.3 do MD)</v>
          </cell>
          <cell r="C177" t="str">
            <v>un</v>
          </cell>
          <cell r="D177">
            <v>30</v>
          </cell>
          <cell r="E177">
            <v>69.790000000000006</v>
          </cell>
          <cell r="F177">
            <v>33.56</v>
          </cell>
          <cell r="G177">
            <v>1006.8</v>
          </cell>
          <cell r="H177">
            <v>0.89</v>
          </cell>
          <cell r="I177">
            <v>26.7</v>
          </cell>
          <cell r="J177">
            <v>35.340000000000003</v>
          </cell>
          <cell r="K177">
            <v>1060.2</v>
          </cell>
          <cell r="L177">
            <v>2093.6999999999998</v>
          </cell>
          <cell r="M177">
            <v>2.4899999999999998E-4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A179" t="str">
            <v>5.0</v>
          </cell>
          <cell r="B179" t="str">
            <v>INSTALAÇÕES HIDRAULICAS</v>
          </cell>
          <cell r="C179" t="str">
            <v>SUB-TOTAL</v>
          </cell>
          <cell r="D179">
            <v>0</v>
          </cell>
          <cell r="E179">
            <v>0</v>
          </cell>
          <cell r="F179">
            <v>83090.100000000006</v>
          </cell>
          <cell r="G179">
            <v>83090.100000000006</v>
          </cell>
          <cell r="H179">
            <v>60693.599999999999</v>
          </cell>
          <cell r="I179">
            <v>60693.599999999999</v>
          </cell>
          <cell r="J179">
            <v>317263.09999999998</v>
          </cell>
          <cell r="K179">
            <v>317263.09999999998</v>
          </cell>
          <cell r="L179">
            <v>461046.80000000005</v>
          </cell>
          <cell r="M179">
            <v>5.4871999999999997E-2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0.18022099999999999</v>
          </cell>
          <cell r="G180" t="str">
            <v>sim</v>
          </cell>
          <cell r="H180">
            <v>0.13164300000000001</v>
          </cell>
          <cell r="I180" t="str">
            <v>sim</v>
          </cell>
          <cell r="J180">
            <v>0.68813599999999997</v>
          </cell>
          <cell r="K180" t="str">
            <v>sim</v>
          </cell>
          <cell r="L180">
            <v>0</v>
          </cell>
          <cell r="M180">
            <v>0</v>
          </cell>
        </row>
        <row r="181">
          <cell r="A181" t="str">
            <v>5.1</v>
          </cell>
          <cell r="B181" t="str">
            <v>Casas de Cloro e Flúor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A182" t="str">
            <v>5.1.1</v>
          </cell>
          <cell r="B182" t="str">
            <v>Instalação de ralo seco de PVC rígido, altura de 50mm, diâmetro de entrada de 40mm, com grelha quadrada de PVC branco, nas dimensões 100x100mm. (Item 5.5.1 do MD)</v>
          </cell>
          <cell r="C182" t="str">
            <v>un</v>
          </cell>
          <cell r="D182">
            <v>200</v>
          </cell>
          <cell r="E182">
            <v>22.049999999999997</v>
          </cell>
          <cell r="F182">
            <v>7.7900000000000009</v>
          </cell>
          <cell r="G182">
            <v>1558</v>
          </cell>
          <cell r="H182">
            <v>0</v>
          </cell>
          <cell r="I182">
            <v>0</v>
          </cell>
          <cell r="J182">
            <v>14.259999999999998</v>
          </cell>
          <cell r="K182">
            <v>2852</v>
          </cell>
          <cell r="L182">
            <v>4410</v>
          </cell>
          <cell r="M182">
            <v>5.2499999999999997E-4</v>
          </cell>
        </row>
        <row r="183">
          <cell r="A183" t="str">
            <v>5.1.2</v>
          </cell>
          <cell r="B183" t="str">
            <v>Instalação tubo em PVC, com conexões Ø 40 mm, da bomba dosadora até a caixa de dosagem química ou do ralo até a caixa de drenagem (Item 5.5.1 do MD)</v>
          </cell>
          <cell r="C183" t="str">
            <v>m</v>
          </cell>
          <cell r="D183">
            <v>200</v>
          </cell>
          <cell r="E183">
            <v>24.060000000000002</v>
          </cell>
          <cell r="F183">
            <v>6.1899999999999995</v>
          </cell>
          <cell r="G183">
            <v>1238</v>
          </cell>
          <cell r="H183">
            <v>0</v>
          </cell>
          <cell r="I183">
            <v>0</v>
          </cell>
          <cell r="J183">
            <v>17.87</v>
          </cell>
          <cell r="K183">
            <v>3574</v>
          </cell>
          <cell r="L183">
            <v>4812</v>
          </cell>
          <cell r="M183">
            <v>5.7300000000000005E-4</v>
          </cell>
        </row>
        <row r="184">
          <cell r="A184" t="str">
            <v>5.1.3</v>
          </cell>
          <cell r="B184" t="str">
            <v>Fornecimento e Instalação de abraçadeira completa para ponto de dosagem (Item 5.5.1 do MD)</v>
          </cell>
          <cell r="C184" t="str">
            <v>un</v>
          </cell>
          <cell r="D184">
            <v>250</v>
          </cell>
          <cell r="E184">
            <v>105.11999999999998</v>
          </cell>
          <cell r="F184">
            <v>69.419999999999987</v>
          </cell>
          <cell r="G184">
            <v>17355</v>
          </cell>
          <cell r="H184">
            <v>0</v>
          </cell>
          <cell r="I184">
            <v>0</v>
          </cell>
          <cell r="J184">
            <v>35.699999999999996</v>
          </cell>
          <cell r="K184">
            <v>8925</v>
          </cell>
          <cell r="L184">
            <v>26280</v>
          </cell>
          <cell r="M184">
            <v>3.1280000000000001E-3</v>
          </cell>
        </row>
        <row r="185">
          <cell r="A185" t="str">
            <v>5.1.4</v>
          </cell>
          <cell r="B185" t="str">
            <v>Fornecimento e Instalação de mangueira de polietileno de baixa densidade 1/4"  entre bomba dosadora e ponto de aplicação do produto químico (Item 5.5.1 do MD)</v>
          </cell>
          <cell r="C185" t="str">
            <v>m</v>
          </cell>
          <cell r="D185">
            <v>2000</v>
          </cell>
          <cell r="E185">
            <v>5.5200000000000005</v>
          </cell>
          <cell r="F185">
            <v>1.93</v>
          </cell>
          <cell r="G185">
            <v>3860</v>
          </cell>
          <cell r="H185">
            <v>0</v>
          </cell>
          <cell r="I185">
            <v>0</v>
          </cell>
          <cell r="J185">
            <v>3.5900000000000003</v>
          </cell>
          <cell r="K185">
            <v>7180</v>
          </cell>
          <cell r="L185">
            <v>11040</v>
          </cell>
          <cell r="M185">
            <v>1.3140000000000001E-3</v>
          </cell>
        </row>
        <row r="186">
          <cell r="A186" t="str">
            <v>5.2</v>
          </cell>
          <cell r="B186" t="str">
            <v>Cavaletes e Poços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A187" t="str">
            <v>5.2.1</v>
          </cell>
          <cell r="B187" t="str">
            <v>Desmontagem de cavalete. (Item 5.5.2 do MD)</v>
          </cell>
          <cell r="C187" t="str">
            <v>un</v>
          </cell>
          <cell r="D187">
            <v>200</v>
          </cell>
          <cell r="E187">
            <v>133.30000000000001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133.30000000000001</v>
          </cell>
          <cell r="K187">
            <v>26660</v>
          </cell>
          <cell r="L187">
            <v>26660</v>
          </cell>
          <cell r="M187">
            <v>3.173E-3</v>
          </cell>
        </row>
        <row r="188">
          <cell r="A188" t="str">
            <v>5.2.2</v>
          </cell>
          <cell r="B188" t="str">
            <v>Montagem de cavalete 2" (modelo I) (Item 5.5.2 do MD)</v>
          </cell>
          <cell r="C188" t="str">
            <v>un</v>
          </cell>
          <cell r="D188">
            <v>100</v>
          </cell>
          <cell r="E188">
            <v>279.19</v>
          </cell>
          <cell r="F188">
            <v>12.59</v>
          </cell>
          <cell r="G188">
            <v>1259</v>
          </cell>
          <cell r="H188">
            <v>0</v>
          </cell>
          <cell r="I188">
            <v>0</v>
          </cell>
          <cell r="J188">
            <v>266.60000000000002</v>
          </cell>
          <cell r="K188">
            <v>26660</v>
          </cell>
          <cell r="L188">
            <v>27919</v>
          </cell>
          <cell r="M188">
            <v>3.323E-3</v>
          </cell>
        </row>
        <row r="189">
          <cell r="A189" t="str">
            <v>5.2.3</v>
          </cell>
          <cell r="B189" t="str">
            <v>Montagem de cavalete 3" (modelo III) (Item 5.5.2 do MD)</v>
          </cell>
          <cell r="C189" t="str">
            <v>un</v>
          </cell>
          <cell r="D189">
            <v>100</v>
          </cell>
          <cell r="E189">
            <v>351.3</v>
          </cell>
          <cell r="F189">
            <v>18.04</v>
          </cell>
          <cell r="G189">
            <v>1804</v>
          </cell>
          <cell r="H189">
            <v>0</v>
          </cell>
          <cell r="I189">
            <v>0</v>
          </cell>
          <cell r="J189">
            <v>333.26</v>
          </cell>
          <cell r="K189">
            <v>33326</v>
          </cell>
          <cell r="L189">
            <v>35130</v>
          </cell>
          <cell r="M189">
            <v>4.1809999999999998E-3</v>
          </cell>
        </row>
        <row r="190">
          <cell r="A190" t="str">
            <v>5.3</v>
          </cell>
          <cell r="B190" t="str">
            <v>Execução de rosca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A191" t="str">
            <v>5.3.1</v>
          </cell>
          <cell r="B191" t="str">
            <v>Execução de rosca em tubo de aço carbono galvanizado 2" (Item 5.5.2 do MD)</v>
          </cell>
          <cell r="C191" t="str">
            <v>un</v>
          </cell>
          <cell r="D191">
            <v>200</v>
          </cell>
          <cell r="E191">
            <v>18.920000000000002</v>
          </cell>
          <cell r="F191">
            <v>0</v>
          </cell>
          <cell r="G191">
            <v>0</v>
          </cell>
          <cell r="H191">
            <v>18.920000000000002</v>
          </cell>
          <cell r="I191">
            <v>3784</v>
          </cell>
          <cell r="J191">
            <v>0</v>
          </cell>
          <cell r="K191">
            <v>0</v>
          </cell>
          <cell r="L191">
            <v>3784</v>
          </cell>
          <cell r="M191">
            <v>4.4999999999999999E-4</v>
          </cell>
        </row>
        <row r="192">
          <cell r="A192" t="str">
            <v>5.3.2</v>
          </cell>
          <cell r="B192" t="str">
            <v>Execução de rosca em tubo de aço carbono galvanizado 3" (Item 5.5.2 do MD)</v>
          </cell>
          <cell r="C192" t="str">
            <v>un</v>
          </cell>
          <cell r="D192">
            <v>200</v>
          </cell>
          <cell r="E192">
            <v>23.65</v>
          </cell>
          <cell r="F192">
            <v>0</v>
          </cell>
          <cell r="G192">
            <v>0</v>
          </cell>
          <cell r="H192">
            <v>23.65</v>
          </cell>
          <cell r="I192">
            <v>4730</v>
          </cell>
          <cell r="J192">
            <v>0</v>
          </cell>
          <cell r="K192">
            <v>0</v>
          </cell>
          <cell r="L192">
            <v>4730</v>
          </cell>
          <cell r="M192">
            <v>5.6300000000000002E-4</v>
          </cell>
        </row>
        <row r="193">
          <cell r="A193" t="str">
            <v>5.3.3</v>
          </cell>
          <cell r="B193" t="str">
            <v>Execução de rosca em tubo de aço carbono galvanizado 4" (Item 5.5.2 do MD)</v>
          </cell>
          <cell r="C193" t="str">
            <v>un</v>
          </cell>
          <cell r="D193">
            <v>200</v>
          </cell>
          <cell r="E193">
            <v>28.37</v>
          </cell>
          <cell r="F193">
            <v>0</v>
          </cell>
          <cell r="G193">
            <v>0</v>
          </cell>
          <cell r="H193">
            <v>28.37</v>
          </cell>
          <cell r="I193">
            <v>5674</v>
          </cell>
          <cell r="J193">
            <v>0</v>
          </cell>
          <cell r="K193">
            <v>0</v>
          </cell>
          <cell r="L193">
            <v>5674</v>
          </cell>
          <cell r="M193">
            <v>6.7500000000000004E-4</v>
          </cell>
        </row>
        <row r="194">
          <cell r="A194" t="str">
            <v>5.3.4</v>
          </cell>
          <cell r="B194" t="str">
            <v>Execução de rosca em tubo de aço carbono galvanizado 6" (Item 5.5.2 do MD)</v>
          </cell>
          <cell r="C194" t="str">
            <v>un</v>
          </cell>
          <cell r="D194">
            <v>200</v>
          </cell>
          <cell r="E194">
            <v>37.840000000000003</v>
          </cell>
          <cell r="F194">
            <v>0</v>
          </cell>
          <cell r="G194">
            <v>0</v>
          </cell>
          <cell r="H194">
            <v>37.840000000000003</v>
          </cell>
          <cell r="I194">
            <v>7568</v>
          </cell>
          <cell r="J194">
            <v>0</v>
          </cell>
          <cell r="K194">
            <v>0</v>
          </cell>
          <cell r="L194">
            <v>7568</v>
          </cell>
          <cell r="M194">
            <v>9.01E-4</v>
          </cell>
        </row>
        <row r="195">
          <cell r="A195" t="str">
            <v>5.4</v>
          </cell>
          <cell r="B195" t="str">
            <v>Rebaixamento e Alteamento de Poços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A196" t="str">
            <v>5.4.1</v>
          </cell>
          <cell r="B196" t="str">
            <v>Rebaixamento do tubo de boca do poço (Item 5.5.2 do MD)</v>
          </cell>
          <cell r="C196" t="str">
            <v>un</v>
          </cell>
          <cell r="D196">
            <v>30</v>
          </cell>
          <cell r="E196">
            <v>309.27</v>
          </cell>
          <cell r="F196">
            <v>0</v>
          </cell>
          <cell r="G196">
            <v>0</v>
          </cell>
          <cell r="H196">
            <v>192.35999999999999</v>
          </cell>
          <cell r="I196">
            <v>5770.8</v>
          </cell>
          <cell r="J196">
            <v>116.91000000000001</v>
          </cell>
          <cell r="K196">
            <v>3507.3</v>
          </cell>
          <cell r="L196">
            <v>9278.1</v>
          </cell>
          <cell r="M196">
            <v>1.1039999999999999E-3</v>
          </cell>
        </row>
        <row r="197">
          <cell r="A197" t="str">
            <v>5.4.2</v>
          </cell>
          <cell r="B197" t="str">
            <v>Alteamento do tubo de boca do poço (Item 5.5.2 do MD)</v>
          </cell>
          <cell r="C197" t="str">
            <v>un</v>
          </cell>
          <cell r="D197">
            <v>30</v>
          </cell>
          <cell r="E197">
            <v>333.69</v>
          </cell>
          <cell r="F197">
            <v>24.419999999999998</v>
          </cell>
          <cell r="G197">
            <v>732.6</v>
          </cell>
          <cell r="H197">
            <v>192.35999999999999</v>
          </cell>
          <cell r="I197">
            <v>5770.8</v>
          </cell>
          <cell r="J197">
            <v>116.91000000000001</v>
          </cell>
          <cell r="K197">
            <v>3507.3</v>
          </cell>
          <cell r="L197">
            <v>10010.700000000001</v>
          </cell>
          <cell r="M197">
            <v>1.191E-3</v>
          </cell>
        </row>
        <row r="198">
          <cell r="A198" t="str">
            <v>5.5</v>
          </cell>
          <cell r="B198" t="str">
            <v>Içamento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A199" t="str">
            <v>5.5.1</v>
          </cell>
          <cell r="B199" t="str">
            <v>Içamento do conjunto moto-bomba para substituição de conexões do poço (Item 5.5.2 do MD)</v>
          </cell>
          <cell r="C199" t="str">
            <v>un</v>
          </cell>
          <cell r="D199">
            <v>30</v>
          </cell>
          <cell r="E199">
            <v>321.39999999999998</v>
          </cell>
          <cell r="F199">
            <v>0</v>
          </cell>
          <cell r="G199">
            <v>0</v>
          </cell>
          <cell r="H199">
            <v>321.39999999999998</v>
          </cell>
          <cell r="I199">
            <v>9642</v>
          </cell>
          <cell r="J199">
            <v>0</v>
          </cell>
          <cell r="K199">
            <v>0</v>
          </cell>
          <cell r="L199">
            <v>9642</v>
          </cell>
          <cell r="M199">
            <v>1.1479999999999999E-3</v>
          </cell>
        </row>
        <row r="200">
          <cell r="A200" t="str">
            <v>5.6</v>
          </cell>
          <cell r="B200" t="str">
            <v>Barrilete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A201" t="str">
            <v>5.6.1</v>
          </cell>
          <cell r="B201" t="str">
            <v>Execução de barrilete com duas unificações (Item 5.5.2 do MD)</v>
          </cell>
          <cell r="C201" t="str">
            <v>un</v>
          </cell>
          <cell r="D201">
            <v>50</v>
          </cell>
          <cell r="E201">
            <v>202.98000000000002</v>
          </cell>
          <cell r="F201">
            <v>3.41</v>
          </cell>
          <cell r="G201">
            <v>170.5</v>
          </cell>
          <cell r="H201">
            <v>0</v>
          </cell>
          <cell r="I201">
            <v>0</v>
          </cell>
          <cell r="J201">
            <v>199.57000000000002</v>
          </cell>
          <cell r="K201">
            <v>9978.5</v>
          </cell>
          <cell r="L201">
            <v>10149</v>
          </cell>
          <cell r="M201">
            <v>1.2080000000000001E-3</v>
          </cell>
        </row>
        <row r="202">
          <cell r="A202" t="str">
            <v>5.6.2</v>
          </cell>
          <cell r="B202" t="str">
            <v>Execução de barrilete com três unificações (Item 5.5.2 do MD)</v>
          </cell>
          <cell r="C202" t="str">
            <v>un</v>
          </cell>
          <cell r="D202">
            <v>50</v>
          </cell>
          <cell r="E202">
            <v>320.91000000000003</v>
          </cell>
          <cell r="F202">
            <v>4.6100000000000003</v>
          </cell>
          <cell r="G202">
            <v>230.5</v>
          </cell>
          <cell r="H202">
            <v>0</v>
          </cell>
          <cell r="I202">
            <v>0</v>
          </cell>
          <cell r="J202">
            <v>316.3</v>
          </cell>
          <cell r="K202">
            <v>15815</v>
          </cell>
          <cell r="L202">
            <v>16045.5</v>
          </cell>
          <cell r="M202">
            <v>1.91E-3</v>
          </cell>
        </row>
        <row r="203">
          <cell r="A203" t="str">
            <v>5.6.3</v>
          </cell>
          <cell r="B203" t="str">
            <v>Execução de barrilete com quatro unificações (Item 5.5.2 do MD)</v>
          </cell>
          <cell r="C203" t="str">
            <v>un</v>
          </cell>
          <cell r="D203">
            <v>50</v>
          </cell>
          <cell r="E203">
            <v>472.82</v>
          </cell>
          <cell r="F203">
            <v>5.87</v>
          </cell>
          <cell r="G203">
            <v>293.5</v>
          </cell>
          <cell r="H203">
            <v>0</v>
          </cell>
          <cell r="I203">
            <v>0</v>
          </cell>
          <cell r="J203">
            <v>466.95</v>
          </cell>
          <cell r="K203">
            <v>23347.5</v>
          </cell>
          <cell r="L203">
            <v>23641</v>
          </cell>
          <cell r="M203">
            <v>2.8140000000000001E-3</v>
          </cell>
        </row>
        <row r="204">
          <cell r="A204" t="str">
            <v>5.7</v>
          </cell>
          <cell r="B204" t="str">
            <v>Tubulações para Unificação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5.7.1</v>
          </cell>
          <cell r="B205" t="str">
            <v>Execução de tubulação para unificação de poços no Reservatório (Horizontal - PVC 2") com conexões (Item 5.5.2 do MD)</v>
          </cell>
          <cell r="C205" t="str">
            <v>m</v>
          </cell>
          <cell r="D205">
            <v>30</v>
          </cell>
          <cell r="E205">
            <v>16.18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16.18</v>
          </cell>
          <cell r="K205">
            <v>485.4</v>
          </cell>
          <cell r="L205">
            <v>485.4</v>
          </cell>
          <cell r="M205">
            <v>5.8E-5</v>
          </cell>
        </row>
        <row r="206">
          <cell r="A206" t="str">
            <v>5.7.2</v>
          </cell>
          <cell r="B206" t="str">
            <v>Execução de tubulação para unificação de poços no Reservatório (Horizontal - PVC 2 1/2") com conexões (Item 5.5.2 do MD)</v>
          </cell>
          <cell r="C206" t="str">
            <v>m</v>
          </cell>
          <cell r="D206">
            <v>30</v>
          </cell>
          <cell r="E206">
            <v>16.95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16.95</v>
          </cell>
          <cell r="K206">
            <v>508.5</v>
          </cell>
          <cell r="L206">
            <v>508.5</v>
          </cell>
          <cell r="M206">
            <v>6.0999999999999999E-5</v>
          </cell>
        </row>
        <row r="207">
          <cell r="A207" t="str">
            <v>5.7.3</v>
          </cell>
          <cell r="B207" t="str">
            <v>Execução de tubulação para unificação dos poços no Reservatório (Horizontal - PVC 3") com conexões (Item 5.5.2 do MD)</v>
          </cell>
          <cell r="C207" t="str">
            <v>m</v>
          </cell>
          <cell r="D207">
            <v>60</v>
          </cell>
          <cell r="E207">
            <v>17.71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17.71</v>
          </cell>
          <cell r="K207">
            <v>1062.5999999999999</v>
          </cell>
          <cell r="L207">
            <v>1062.5999999999999</v>
          </cell>
          <cell r="M207">
            <v>1.26E-4</v>
          </cell>
        </row>
        <row r="208">
          <cell r="A208" t="str">
            <v>5.7.4</v>
          </cell>
          <cell r="B208" t="str">
            <v>Execução de tubulação para unificação dos poços no Reservatório (Horizontal - PVC 4") com conexões (Item 5.5.2 do MD)</v>
          </cell>
          <cell r="C208" t="str">
            <v>m</v>
          </cell>
          <cell r="D208">
            <v>300</v>
          </cell>
          <cell r="E208">
            <v>17.71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17.71</v>
          </cell>
          <cell r="K208">
            <v>5313</v>
          </cell>
          <cell r="L208">
            <v>5313</v>
          </cell>
          <cell r="M208">
            <v>6.3199999999999997E-4</v>
          </cell>
        </row>
        <row r="209">
          <cell r="A209" t="str">
            <v>5.7.5</v>
          </cell>
          <cell r="B209" t="str">
            <v>Execução de tubulação para unificação dos poços no Reservatório (Horizontal - PVC 6") com conexões (Item 5.5.2 do MD)</v>
          </cell>
          <cell r="C209" t="str">
            <v>m</v>
          </cell>
          <cell r="D209">
            <v>300</v>
          </cell>
          <cell r="E209">
            <v>21.16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21.16</v>
          </cell>
          <cell r="K209">
            <v>6348</v>
          </cell>
          <cell r="L209">
            <v>6348</v>
          </cell>
          <cell r="M209">
            <v>7.5600000000000005E-4</v>
          </cell>
        </row>
        <row r="210">
          <cell r="A210" t="str">
            <v>5.7.6</v>
          </cell>
          <cell r="B210" t="str">
            <v>Execução de tubulação para unificação dos poços no Reservatório (Horizontal - FoGo 4") com conexões (Item 5.5.2 do MD)</v>
          </cell>
          <cell r="C210" t="str">
            <v>m</v>
          </cell>
          <cell r="D210">
            <v>300</v>
          </cell>
          <cell r="E210">
            <v>79.05</v>
          </cell>
          <cell r="F210">
            <v>0.52</v>
          </cell>
          <cell r="G210">
            <v>156</v>
          </cell>
          <cell r="H210">
            <v>0</v>
          </cell>
          <cell r="I210">
            <v>0</v>
          </cell>
          <cell r="J210">
            <v>78.53</v>
          </cell>
          <cell r="K210">
            <v>23559</v>
          </cell>
          <cell r="L210">
            <v>23715</v>
          </cell>
          <cell r="M210">
            <v>2.8219999999999999E-3</v>
          </cell>
        </row>
        <row r="211">
          <cell r="A211" t="str">
            <v>5.7.7</v>
          </cell>
          <cell r="B211" t="str">
            <v>Execução de tubulação para unificação dos poços no Reservatório (Horizontal - FoGo 6") com conexões (Item 5.5.2 do MD)</v>
          </cell>
          <cell r="C211" t="str">
            <v>m</v>
          </cell>
          <cell r="D211">
            <v>300</v>
          </cell>
          <cell r="E211">
            <v>95.309999999999988</v>
          </cell>
          <cell r="F211">
            <v>0.71000000000000008</v>
          </cell>
          <cell r="G211">
            <v>213</v>
          </cell>
          <cell r="H211">
            <v>0</v>
          </cell>
          <cell r="I211">
            <v>0</v>
          </cell>
          <cell r="J211">
            <v>94.6</v>
          </cell>
          <cell r="K211">
            <v>28380</v>
          </cell>
          <cell r="L211">
            <v>28593</v>
          </cell>
          <cell r="M211">
            <v>3.4030000000000002E-3</v>
          </cell>
        </row>
        <row r="212">
          <cell r="A212" t="str">
            <v>5.7.8</v>
          </cell>
          <cell r="B212" t="str">
            <v>Execução de tubulação para unificação dos poços no Reservatório (Vertical - FoGo 4") com conexões (Item 5.5.2 do MD)</v>
          </cell>
          <cell r="C212" t="str">
            <v>m</v>
          </cell>
          <cell r="D212">
            <v>300</v>
          </cell>
          <cell r="E212">
            <v>99.23</v>
          </cell>
          <cell r="F212">
            <v>6.66</v>
          </cell>
          <cell r="G212">
            <v>1998</v>
          </cell>
          <cell r="H212">
            <v>14.04</v>
          </cell>
          <cell r="I212">
            <v>4212</v>
          </cell>
          <cell r="J212">
            <v>78.53</v>
          </cell>
          <cell r="K212">
            <v>23559</v>
          </cell>
          <cell r="L212">
            <v>29769</v>
          </cell>
          <cell r="M212">
            <v>3.5430000000000001E-3</v>
          </cell>
        </row>
        <row r="213">
          <cell r="A213" t="str">
            <v>5.7.9</v>
          </cell>
          <cell r="B213" t="str">
            <v>Execução de tubulação para unificação dos poços no Reservatório (Vertical - FoGo 6") com conexões (Item 5.5.2 do MD)</v>
          </cell>
          <cell r="C213" t="str">
            <v>m</v>
          </cell>
          <cell r="D213">
            <v>500</v>
          </cell>
          <cell r="E213">
            <v>115.3</v>
          </cell>
          <cell r="F213">
            <v>6.66</v>
          </cell>
          <cell r="G213">
            <v>3330</v>
          </cell>
          <cell r="H213">
            <v>14.04</v>
          </cell>
          <cell r="I213">
            <v>7020</v>
          </cell>
          <cell r="J213">
            <v>94.6</v>
          </cell>
          <cell r="K213">
            <v>47300</v>
          </cell>
          <cell r="L213">
            <v>57650</v>
          </cell>
          <cell r="M213">
            <v>6.8609999999999999E-3</v>
          </cell>
        </row>
        <row r="214">
          <cell r="A214" t="str">
            <v>5.7.10</v>
          </cell>
          <cell r="B214" t="str">
            <v>Retirada de tubulação desativada do Reservatório (Item 5.5.2 do MD)</v>
          </cell>
          <cell r="C214" t="str">
            <v>m</v>
          </cell>
          <cell r="D214">
            <v>600</v>
          </cell>
          <cell r="E214">
            <v>13.2</v>
          </cell>
          <cell r="F214">
            <v>0</v>
          </cell>
          <cell r="G214">
            <v>0</v>
          </cell>
          <cell r="H214">
            <v>10.87</v>
          </cell>
          <cell r="I214">
            <v>6522</v>
          </cell>
          <cell r="J214">
            <v>2.33</v>
          </cell>
          <cell r="K214">
            <v>1398</v>
          </cell>
          <cell r="L214">
            <v>7920</v>
          </cell>
          <cell r="M214">
            <v>9.4300000000000004E-4</v>
          </cell>
        </row>
        <row r="215">
          <cell r="A215" t="str">
            <v>5.7.11</v>
          </cell>
          <cell r="B215" t="str">
            <v>Laje de proteção para poços (Item 5.5.2 do MD)</v>
          </cell>
          <cell r="C215" t="str">
            <v>m3</v>
          </cell>
          <cell r="D215">
            <v>100</v>
          </cell>
          <cell r="E215">
            <v>629.09</v>
          </cell>
          <cell r="F215">
            <v>488.92</v>
          </cell>
          <cell r="G215">
            <v>48892</v>
          </cell>
          <cell r="H215">
            <v>0</v>
          </cell>
          <cell r="I215">
            <v>0</v>
          </cell>
          <cell r="J215">
            <v>140.16999999999999</v>
          </cell>
          <cell r="K215">
            <v>14017</v>
          </cell>
          <cell r="L215">
            <v>62909</v>
          </cell>
          <cell r="M215">
            <v>7.4869999999999997E-3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A217" t="str">
            <v>6.0</v>
          </cell>
          <cell r="B217" t="str">
            <v>RECUPERAÇÃO E TRATAMENTO DE SUPERFÍCIES EM CONCRETO ARMADO</v>
          </cell>
          <cell r="C217" t="str">
            <v>SUB-TOTAL</v>
          </cell>
          <cell r="D217">
            <v>0</v>
          </cell>
          <cell r="E217">
            <v>0</v>
          </cell>
          <cell r="F217">
            <v>176496.25</v>
          </cell>
          <cell r="G217">
            <v>176496.25</v>
          </cell>
          <cell r="H217">
            <v>69447</v>
          </cell>
          <cell r="I217">
            <v>69447</v>
          </cell>
          <cell r="J217">
            <v>191311.75</v>
          </cell>
          <cell r="K217">
            <v>191311.75</v>
          </cell>
          <cell r="L217">
            <v>437255</v>
          </cell>
          <cell r="M217">
            <v>5.2040000000000003E-2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0.403646</v>
          </cell>
          <cell r="G218" t="str">
            <v>sim</v>
          </cell>
          <cell r="H218">
            <v>0.15882499999999999</v>
          </cell>
          <cell r="I218" t="str">
            <v>sim</v>
          </cell>
          <cell r="J218">
            <v>0.437529</v>
          </cell>
          <cell r="K218" t="str">
            <v>sim</v>
          </cell>
          <cell r="L218">
            <v>0</v>
          </cell>
          <cell r="M218">
            <v>0</v>
          </cell>
        </row>
        <row r="219">
          <cell r="A219" t="str">
            <v>6.1</v>
          </cell>
          <cell r="B219" t="str">
            <v>Tratamento e Recuperação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A220" t="str">
            <v>6.1.1</v>
          </cell>
          <cell r="B220" t="str">
            <v>Tratamento  das paredes e lajes, com retirada de materiais soltos e desagregados através de hidrojateamento (Item 5.6 do MD)</v>
          </cell>
          <cell r="C220" t="str">
            <v>m2</v>
          </cell>
          <cell r="D220">
            <v>4000</v>
          </cell>
          <cell r="E220">
            <v>12.830000000000002</v>
          </cell>
          <cell r="F220">
            <v>0</v>
          </cell>
          <cell r="G220">
            <v>0</v>
          </cell>
          <cell r="H220">
            <v>12.830000000000002</v>
          </cell>
          <cell r="I220">
            <v>51320</v>
          </cell>
          <cell r="J220">
            <v>0</v>
          </cell>
          <cell r="K220">
            <v>0</v>
          </cell>
          <cell r="L220">
            <v>51320</v>
          </cell>
          <cell r="M220">
            <v>6.1079999999999997E-3</v>
          </cell>
        </row>
        <row r="221">
          <cell r="A221" t="str">
            <v>6.1.2</v>
          </cell>
          <cell r="B221" t="str">
            <v>Identificação de trincas, mapeamento, preparação  e tratamento com  aplicação de mástique (Item 5.6 do MD)</v>
          </cell>
          <cell r="C221" t="str">
            <v>m</v>
          </cell>
          <cell r="D221">
            <v>500</v>
          </cell>
          <cell r="E221">
            <v>37.51</v>
          </cell>
          <cell r="F221">
            <v>17.399999999999999</v>
          </cell>
          <cell r="G221">
            <v>8700</v>
          </cell>
          <cell r="H221">
            <v>0</v>
          </cell>
          <cell r="I221">
            <v>0</v>
          </cell>
          <cell r="J221">
            <v>20.11</v>
          </cell>
          <cell r="K221">
            <v>10055</v>
          </cell>
          <cell r="L221">
            <v>18755</v>
          </cell>
          <cell r="M221">
            <v>2.232E-3</v>
          </cell>
        </row>
        <row r="222">
          <cell r="A222" t="str">
            <v>6.1.3</v>
          </cell>
          <cell r="B222" t="str">
            <v>Escarificação mecânica até a profundidade de 4,0 cm (Item 5.6 do MD)</v>
          </cell>
          <cell r="C222" t="str">
            <v>m2</v>
          </cell>
          <cell r="D222">
            <v>500</v>
          </cell>
          <cell r="E222">
            <v>5.97</v>
          </cell>
          <cell r="F222">
            <v>0</v>
          </cell>
          <cell r="G222">
            <v>0</v>
          </cell>
          <cell r="H222">
            <v>5.97</v>
          </cell>
          <cell r="I222">
            <v>2985</v>
          </cell>
          <cell r="J222">
            <v>0</v>
          </cell>
          <cell r="K222">
            <v>0</v>
          </cell>
          <cell r="L222">
            <v>2985</v>
          </cell>
          <cell r="M222">
            <v>3.5500000000000001E-4</v>
          </cell>
        </row>
        <row r="223">
          <cell r="A223" t="str">
            <v>6.1.4</v>
          </cell>
          <cell r="B223" t="str">
            <v>Limpeza manual da ferragem (para tirar a oxidação) e tratamento com primer anti-corrosivo (Item 5.6 do MD)</v>
          </cell>
          <cell r="C223" t="str">
            <v>m</v>
          </cell>
          <cell r="D223">
            <v>1050</v>
          </cell>
          <cell r="E223">
            <v>14.499999999999998</v>
          </cell>
          <cell r="F223">
            <v>2.82</v>
          </cell>
          <cell r="G223">
            <v>2961</v>
          </cell>
          <cell r="H223">
            <v>3.46</v>
          </cell>
          <cell r="I223">
            <v>3633</v>
          </cell>
          <cell r="J223">
            <v>8.2199999999999989</v>
          </cell>
          <cell r="K223">
            <v>8631</v>
          </cell>
          <cell r="L223">
            <v>15225</v>
          </cell>
          <cell r="M223">
            <v>1.812E-3</v>
          </cell>
        </row>
        <row r="224">
          <cell r="A224" t="str">
            <v>6.1.5</v>
          </cell>
          <cell r="B224" t="str">
            <v>Argamassa à base de cimento modificada com polímeros espessura até 3 cm (Item 5.6 do MD)</v>
          </cell>
          <cell r="C224" t="str">
            <v>m2</v>
          </cell>
          <cell r="D224">
            <v>500</v>
          </cell>
          <cell r="E224">
            <v>194.34</v>
          </cell>
          <cell r="F224">
            <v>158.01</v>
          </cell>
          <cell r="G224">
            <v>79005</v>
          </cell>
          <cell r="H224">
            <v>3.46</v>
          </cell>
          <cell r="I224">
            <v>1730</v>
          </cell>
          <cell r="J224">
            <v>32.869999999999997</v>
          </cell>
          <cell r="K224">
            <v>16435</v>
          </cell>
          <cell r="L224">
            <v>97170</v>
          </cell>
          <cell r="M224">
            <v>1.1565000000000001E-2</v>
          </cell>
        </row>
        <row r="225">
          <cell r="A225" t="str">
            <v>6.1.6</v>
          </cell>
          <cell r="B225" t="str">
            <v>Recuperação estrutural com substituição/complementação de armaduras (Item 5.6 do MD)</v>
          </cell>
          <cell r="C225" t="str">
            <v>kg</v>
          </cell>
          <cell r="D225">
            <v>525</v>
          </cell>
          <cell r="E225">
            <v>11.96</v>
          </cell>
          <cell r="F225">
            <v>4.5500000000000007</v>
          </cell>
          <cell r="G225">
            <v>2388.75</v>
          </cell>
          <cell r="H225">
            <v>3.46</v>
          </cell>
          <cell r="I225">
            <v>1816.5</v>
          </cell>
          <cell r="J225">
            <v>3.9499999999999997</v>
          </cell>
          <cell r="K225">
            <v>2073.75</v>
          </cell>
          <cell r="L225">
            <v>6279</v>
          </cell>
          <cell r="M225">
            <v>7.4700000000000005E-4</v>
          </cell>
        </row>
        <row r="226">
          <cell r="A226" t="str">
            <v>6.1.7</v>
          </cell>
          <cell r="B226" t="str">
            <v>Execução de mísula com tela de poliéster reforçada, malha 2 x 2 mm (Item 5.6 do MD)</v>
          </cell>
          <cell r="C226" t="str">
            <v>m</v>
          </cell>
          <cell r="D226">
            <v>250</v>
          </cell>
          <cell r="E226">
            <v>34.43</v>
          </cell>
          <cell r="F226">
            <v>1.56</v>
          </cell>
          <cell r="G226">
            <v>390</v>
          </cell>
          <cell r="H226">
            <v>0</v>
          </cell>
          <cell r="I226">
            <v>0</v>
          </cell>
          <cell r="J226">
            <v>32.869999999999997</v>
          </cell>
          <cell r="K226">
            <v>8217.5</v>
          </cell>
          <cell r="L226">
            <v>8607.5</v>
          </cell>
          <cell r="M226">
            <v>1.024E-3</v>
          </cell>
        </row>
        <row r="227">
          <cell r="A227" t="str">
            <v>6.1.8</v>
          </cell>
          <cell r="B227" t="str">
            <v>Tratamento Rápido de trinca localizada (Item 5.6 do MD )</v>
          </cell>
          <cell r="C227" t="str">
            <v>un</v>
          </cell>
          <cell r="D227">
            <v>250</v>
          </cell>
          <cell r="E227">
            <v>48.95</v>
          </cell>
          <cell r="F227">
            <v>10.71</v>
          </cell>
          <cell r="G227">
            <v>2677.5</v>
          </cell>
          <cell r="H227">
            <v>4.17</v>
          </cell>
          <cell r="I227">
            <v>1042.5</v>
          </cell>
          <cell r="J227">
            <v>34.07</v>
          </cell>
          <cell r="K227">
            <v>8517.5</v>
          </cell>
          <cell r="L227">
            <v>12237.5</v>
          </cell>
          <cell r="M227">
            <v>1.456E-3</v>
          </cell>
        </row>
        <row r="228">
          <cell r="A228" t="str">
            <v>6.2</v>
          </cell>
          <cell r="B228" t="str">
            <v>Impermeabilização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6.2.1</v>
          </cell>
          <cell r="B229" t="str">
            <v>Aplicação de impermeabilização semi-flexível na laje de fundo e paredes, consumo de 2,5 kg/m2 de impermeabilizante semi-flexível, aplicado em duas demãos cruzadas, estruturada com tela de reforço em poliéster entre demãos  (Item 5.6 do MD )</v>
          </cell>
          <cell r="C229" t="str">
            <v>m2</v>
          </cell>
          <cell r="D229">
            <v>2000</v>
          </cell>
          <cell r="E229">
            <v>49.83</v>
          </cell>
          <cell r="F229">
            <v>13.32</v>
          </cell>
          <cell r="G229">
            <v>26640</v>
          </cell>
          <cell r="H229">
            <v>1.73</v>
          </cell>
          <cell r="I229">
            <v>3460</v>
          </cell>
          <cell r="J229">
            <v>34.78</v>
          </cell>
          <cell r="K229">
            <v>69560</v>
          </cell>
          <cell r="L229">
            <v>99660</v>
          </cell>
          <cell r="M229">
            <v>1.1861E-2</v>
          </cell>
        </row>
        <row r="230">
          <cell r="A230" t="str">
            <v>6.2.2</v>
          </cell>
          <cell r="B230" t="str">
            <v>Aplicação de impermeabilização semi-flexível interna à laje de tampa, uma demão, consumo de 2,0 kg/m2 de impermeabilizante, para proteção à corrosão.  (Item 5.6 do MD )</v>
          </cell>
          <cell r="C230" t="str">
            <v>m2</v>
          </cell>
          <cell r="D230">
            <v>1000</v>
          </cell>
          <cell r="E230">
            <v>30.04</v>
          </cell>
          <cell r="F230">
            <v>7.4499999999999993</v>
          </cell>
          <cell r="G230">
            <v>7450</v>
          </cell>
          <cell r="H230">
            <v>3.46</v>
          </cell>
          <cell r="I230">
            <v>3460</v>
          </cell>
          <cell r="J230">
            <v>19.13</v>
          </cell>
          <cell r="K230">
            <v>19130</v>
          </cell>
          <cell r="L230">
            <v>30040</v>
          </cell>
          <cell r="M230">
            <v>3.5750000000000001E-3</v>
          </cell>
        </row>
        <row r="231">
          <cell r="A231" t="str">
            <v>6.2.3</v>
          </cell>
          <cell r="B231" t="str">
            <v>Aplicação de impermeabilização flexível na laje de fundo e 1/3 paredes, consumo de 3,5 kg/m2 de impermeabilizante flexível, aplicado em duas demãos cruzadas, estruturada com tela de reforço em poliéster entre demãos  (Item 5.6 do MD )</v>
          </cell>
          <cell r="C231" t="str">
            <v>m2</v>
          </cell>
          <cell r="D231">
            <v>1400</v>
          </cell>
          <cell r="E231">
            <v>67.84</v>
          </cell>
          <cell r="F231">
            <v>33.06</v>
          </cell>
          <cell r="G231">
            <v>46284</v>
          </cell>
          <cell r="H231">
            <v>0</v>
          </cell>
          <cell r="I231">
            <v>0</v>
          </cell>
          <cell r="J231">
            <v>34.78</v>
          </cell>
          <cell r="K231">
            <v>48692</v>
          </cell>
          <cell r="L231">
            <v>94976</v>
          </cell>
          <cell r="M231">
            <v>1.1304E-2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A233" t="str">
            <v>7.0</v>
          </cell>
          <cell r="B233" t="str">
            <v>PINTURAS</v>
          </cell>
          <cell r="C233" t="str">
            <v>SUB-TOTAL</v>
          </cell>
          <cell r="D233">
            <v>0</v>
          </cell>
          <cell r="E233">
            <v>0</v>
          </cell>
          <cell r="F233">
            <v>756462.8</v>
          </cell>
          <cell r="G233">
            <v>756462.8</v>
          </cell>
          <cell r="H233">
            <v>245401.8</v>
          </cell>
          <cell r="I233">
            <v>245401.8</v>
          </cell>
          <cell r="J233">
            <v>1915515</v>
          </cell>
          <cell r="K233">
            <v>1915515</v>
          </cell>
          <cell r="L233">
            <v>2917379.5999999996</v>
          </cell>
          <cell r="M233">
            <v>0.347215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0.259295</v>
          </cell>
          <cell r="G234" t="str">
            <v>sim</v>
          </cell>
          <cell r="H234">
            <v>8.4116999999999997E-2</v>
          </cell>
          <cell r="I234" t="str">
            <v>sim</v>
          </cell>
          <cell r="J234">
            <v>0.65658799999999995</v>
          </cell>
          <cell r="K234" t="str">
            <v>sim</v>
          </cell>
          <cell r="L234">
            <v>0</v>
          </cell>
          <cell r="M234">
            <v>0</v>
          </cell>
        </row>
        <row r="235">
          <cell r="A235" t="str">
            <v>7.1</v>
          </cell>
          <cell r="B235" t="str">
            <v>Preparação de superfícies para pintura, com retirada de limos, materiais soltos e desagregados (cascas de materiais cimentícios) através de hidrojateamento (Reservatório Apoiado e Edificações Térreas)(Item 5.7 do MD)</v>
          </cell>
          <cell r="C235" t="str">
            <v>m2</v>
          </cell>
          <cell r="D235">
            <v>1300</v>
          </cell>
          <cell r="E235">
            <v>3.71</v>
          </cell>
          <cell r="F235">
            <v>0</v>
          </cell>
          <cell r="G235">
            <v>0</v>
          </cell>
          <cell r="H235">
            <v>0.26</v>
          </cell>
          <cell r="I235">
            <v>338</v>
          </cell>
          <cell r="J235">
            <v>3.4499999999999997</v>
          </cell>
          <cell r="K235">
            <v>4485</v>
          </cell>
          <cell r="L235">
            <v>4823</v>
          </cell>
          <cell r="M235">
            <v>5.7399999999999997E-4</v>
          </cell>
        </row>
        <row r="236">
          <cell r="A236" t="str">
            <v>7.2</v>
          </cell>
          <cell r="B236" t="str">
            <v>Preparação de superfícies para pintura, com retirada de limos, materiais soltos e desagregados (cascas de materiais cimentícios) através de hidrojateamento (Reservatório Elevado)(Item 5.7 do MD)</v>
          </cell>
          <cell r="C236" t="str">
            <v>m2</v>
          </cell>
          <cell r="D236">
            <v>800</v>
          </cell>
          <cell r="E236">
            <v>5.15</v>
          </cell>
          <cell r="F236">
            <v>0</v>
          </cell>
          <cell r="G236">
            <v>0</v>
          </cell>
          <cell r="H236">
            <v>0.85000000000000009</v>
          </cell>
          <cell r="I236">
            <v>680</v>
          </cell>
          <cell r="J236">
            <v>4.3000000000000007</v>
          </cell>
          <cell r="K236">
            <v>3440</v>
          </cell>
          <cell r="L236">
            <v>4120</v>
          </cell>
          <cell r="M236">
            <v>4.8999999999999998E-4</v>
          </cell>
        </row>
        <row r="237">
          <cell r="A237" t="str">
            <v>7.3</v>
          </cell>
          <cell r="B237" t="str">
            <v>Emassamento de parede com massa acrílica para pintura látex com 1 demão (Item 5.7 do MD)</v>
          </cell>
          <cell r="C237" t="str">
            <v>m2</v>
          </cell>
          <cell r="D237">
            <v>600</v>
          </cell>
          <cell r="E237">
            <v>8.6900000000000013</v>
          </cell>
          <cell r="F237">
            <v>3.38</v>
          </cell>
          <cell r="G237">
            <v>2028</v>
          </cell>
          <cell r="H237">
            <v>0</v>
          </cell>
          <cell r="I237">
            <v>0</v>
          </cell>
          <cell r="J237">
            <v>5.3100000000000005</v>
          </cell>
          <cell r="K237">
            <v>3186</v>
          </cell>
          <cell r="L237">
            <v>5214</v>
          </cell>
          <cell r="M237">
            <v>6.2100000000000002E-4</v>
          </cell>
        </row>
        <row r="238">
          <cell r="A238" t="str">
            <v>7.4</v>
          </cell>
          <cell r="B238" t="str">
            <v>Esmalte com massa niveladora em esquadrias de madeira (Item 5.7 do MD)</v>
          </cell>
          <cell r="C238" t="str">
            <v>m2</v>
          </cell>
          <cell r="D238">
            <v>200</v>
          </cell>
          <cell r="E238">
            <v>38.19</v>
          </cell>
          <cell r="F238">
            <v>12.66</v>
          </cell>
          <cell r="G238">
            <v>2532</v>
          </cell>
          <cell r="H238">
            <v>0</v>
          </cell>
          <cell r="I238">
            <v>0</v>
          </cell>
          <cell r="J238">
            <v>25.529999999999998</v>
          </cell>
          <cell r="K238">
            <v>5106</v>
          </cell>
          <cell r="L238">
            <v>7638</v>
          </cell>
          <cell r="M238">
            <v>9.0899999999999998E-4</v>
          </cell>
        </row>
        <row r="239">
          <cell r="A239" t="str">
            <v>7.5</v>
          </cell>
          <cell r="B239" t="str">
            <v>Esmalte a base de água em esquadrias de ferro (Item 5.7 do MD)</v>
          </cell>
          <cell r="C239" t="str">
            <v>m2</v>
          </cell>
          <cell r="D239">
            <v>200</v>
          </cell>
          <cell r="E239">
            <v>28.72</v>
          </cell>
          <cell r="F239">
            <v>9.7899999999999991</v>
          </cell>
          <cell r="G239">
            <v>1958</v>
          </cell>
          <cell r="H239">
            <v>0</v>
          </cell>
          <cell r="I239">
            <v>0</v>
          </cell>
          <cell r="J239">
            <v>18.93</v>
          </cell>
          <cell r="K239">
            <v>3786</v>
          </cell>
          <cell r="L239">
            <v>5744</v>
          </cell>
          <cell r="M239">
            <v>6.8400000000000004E-4</v>
          </cell>
        </row>
        <row r="240">
          <cell r="A240" t="str">
            <v>7.6</v>
          </cell>
          <cell r="B240" t="str">
            <v>Fundo anti-oxidante em esquadrias (Item 5.7 do MD)</v>
          </cell>
          <cell r="C240" t="str">
            <v>m2</v>
          </cell>
          <cell r="D240">
            <v>600</v>
          </cell>
          <cell r="E240">
            <v>26.97</v>
          </cell>
          <cell r="F240">
            <v>8.0399999999999991</v>
          </cell>
          <cell r="G240">
            <v>4824</v>
          </cell>
          <cell r="H240">
            <v>0</v>
          </cell>
          <cell r="I240">
            <v>0</v>
          </cell>
          <cell r="J240">
            <v>18.93</v>
          </cell>
          <cell r="K240">
            <v>11358</v>
          </cell>
          <cell r="L240">
            <v>16182</v>
          </cell>
          <cell r="M240">
            <v>1.926E-3</v>
          </cell>
        </row>
        <row r="241">
          <cell r="A241" t="str">
            <v>7.7</v>
          </cell>
          <cell r="B241" t="str">
            <v>Pintura látex PVA em alvenaria em geral (Item 5.7 do MD)</v>
          </cell>
          <cell r="C241" t="str">
            <v>m2</v>
          </cell>
          <cell r="D241">
            <v>3000</v>
          </cell>
          <cell r="E241">
            <v>18.2</v>
          </cell>
          <cell r="F241">
            <v>5.4300000000000006</v>
          </cell>
          <cell r="G241">
            <v>16290</v>
          </cell>
          <cell r="H241">
            <v>0</v>
          </cell>
          <cell r="I241">
            <v>0</v>
          </cell>
          <cell r="J241">
            <v>12.77</v>
          </cell>
          <cell r="K241">
            <v>38310</v>
          </cell>
          <cell r="L241">
            <v>54600</v>
          </cell>
          <cell r="M241">
            <v>6.4980000000000003E-3</v>
          </cell>
        </row>
        <row r="242">
          <cell r="A242" t="str">
            <v>7.8</v>
          </cell>
          <cell r="B242" t="str">
            <v>Pintura látex acrílica em alvenaria em geral (Item 5.7 do MD)</v>
          </cell>
          <cell r="C242" t="str">
            <v>m2</v>
          </cell>
          <cell r="D242">
            <v>3700</v>
          </cell>
          <cell r="E242">
            <v>18.55</v>
          </cell>
          <cell r="F242">
            <v>5.78</v>
          </cell>
          <cell r="G242">
            <v>21386</v>
          </cell>
          <cell r="H242">
            <v>0</v>
          </cell>
          <cell r="I242">
            <v>0</v>
          </cell>
          <cell r="J242">
            <v>12.77</v>
          </cell>
          <cell r="K242">
            <v>47249</v>
          </cell>
          <cell r="L242">
            <v>68635</v>
          </cell>
          <cell r="M242">
            <v>8.1689999999999992E-3</v>
          </cell>
        </row>
        <row r="243">
          <cell r="A243" t="str">
            <v>7.9</v>
          </cell>
          <cell r="B243" t="str">
            <v>Pintura látex acrílica na cor branca em pilaretes e muretas  (Item 5.7 do MD)</v>
          </cell>
          <cell r="C243" t="str">
            <v>m2</v>
          </cell>
          <cell r="D243">
            <v>2500</v>
          </cell>
          <cell r="E243">
            <v>18.55</v>
          </cell>
          <cell r="F243">
            <v>5.78</v>
          </cell>
          <cell r="G243">
            <v>14450</v>
          </cell>
          <cell r="H243">
            <v>0</v>
          </cell>
          <cell r="I243">
            <v>0</v>
          </cell>
          <cell r="J243">
            <v>12.77</v>
          </cell>
          <cell r="K243">
            <v>31925</v>
          </cell>
          <cell r="L243">
            <v>46375</v>
          </cell>
          <cell r="M243">
            <v>5.5189999999999996E-3</v>
          </cell>
        </row>
        <row r="244">
          <cell r="A244" t="str">
            <v>7.10</v>
          </cell>
          <cell r="B244" t="str">
            <v>Pintura de sinalização horizontal para vaga acessível (acessibilidade) (Item 5.7 do MD)</v>
          </cell>
          <cell r="C244" t="str">
            <v>un</v>
          </cell>
          <cell r="D244">
            <v>100</v>
          </cell>
          <cell r="E244">
            <v>286.95</v>
          </cell>
          <cell r="F244">
            <v>84.07</v>
          </cell>
          <cell r="G244">
            <v>8407</v>
          </cell>
          <cell r="H244">
            <v>0</v>
          </cell>
          <cell r="I244">
            <v>0</v>
          </cell>
          <cell r="J244">
            <v>202.88</v>
          </cell>
          <cell r="K244">
            <v>20288</v>
          </cell>
          <cell r="L244">
            <v>28695</v>
          </cell>
          <cell r="M244">
            <v>3.4150000000000001E-3</v>
          </cell>
        </row>
        <row r="245">
          <cell r="A245" t="str">
            <v>7.11</v>
          </cell>
          <cell r="B245" t="str">
            <v>Pintura do reservatório de concreto em látex acrílico fosco na cor branca 02 (duas) demãos, com faixas azuis conforme Padrão SeMAE (Res. Elevado) (Item 5.7 do MD)</v>
          </cell>
          <cell r="C245" t="str">
            <v>m2</v>
          </cell>
          <cell r="D245">
            <v>32000</v>
          </cell>
          <cell r="E245">
            <v>27.03</v>
          </cell>
          <cell r="F245">
            <v>5.78</v>
          </cell>
          <cell r="G245">
            <v>184960</v>
          </cell>
          <cell r="H245">
            <v>2.5</v>
          </cell>
          <cell r="I245">
            <v>80000</v>
          </cell>
          <cell r="J245">
            <v>18.75</v>
          </cell>
          <cell r="K245">
            <v>600000</v>
          </cell>
          <cell r="L245">
            <v>864960</v>
          </cell>
          <cell r="M245">
            <v>0.10294399999999999</v>
          </cell>
        </row>
        <row r="246">
          <cell r="A246" t="str">
            <v>7.12</v>
          </cell>
          <cell r="B246" t="str">
            <v>Pintura do reservatório de concreto em látex acrílico fosco na cor branca 02 (duas) demãos, com faixas azuis conforme Padrão SeMAE (Res. Apoiado) (Item 5.7 do MD)</v>
          </cell>
          <cell r="C246" t="str">
            <v>m2</v>
          </cell>
          <cell r="D246">
            <v>25000</v>
          </cell>
          <cell r="E246">
            <v>20.23</v>
          </cell>
          <cell r="F246">
            <v>5.78</v>
          </cell>
          <cell r="G246">
            <v>144500</v>
          </cell>
          <cell r="H246">
            <v>0</v>
          </cell>
          <cell r="I246">
            <v>0</v>
          </cell>
          <cell r="J246">
            <v>14.45</v>
          </cell>
          <cell r="K246">
            <v>361250</v>
          </cell>
          <cell r="L246">
            <v>505750</v>
          </cell>
          <cell r="M246">
            <v>6.0192000000000002E-2</v>
          </cell>
        </row>
        <row r="247">
          <cell r="A247" t="str">
            <v>7.13</v>
          </cell>
          <cell r="B247" t="str">
            <v>Pintura do reservatório de concreto em látex acrílico fosco na cor branca 02 (duas) demãos, com faixas azuis conforme Padrão SeMAE (Res. Taça) (Item 5.7 do MD)</v>
          </cell>
          <cell r="C247" t="str">
            <v>m2</v>
          </cell>
          <cell r="D247">
            <v>8000</v>
          </cell>
          <cell r="E247">
            <v>31.959999999999997</v>
          </cell>
          <cell r="F247">
            <v>5.78</v>
          </cell>
          <cell r="G247">
            <v>46240</v>
          </cell>
          <cell r="H247">
            <v>3.13</v>
          </cell>
          <cell r="I247">
            <v>25040</v>
          </cell>
          <cell r="J247">
            <v>23.049999999999997</v>
          </cell>
          <cell r="K247">
            <v>184400</v>
          </cell>
          <cell r="L247">
            <v>255680</v>
          </cell>
          <cell r="M247">
            <v>3.0429999999999999E-2</v>
          </cell>
        </row>
        <row r="248">
          <cell r="A248" t="str">
            <v>7.14</v>
          </cell>
          <cell r="B248" t="str">
            <v>Pintura do reservatório metálico em esmalte alquídico na cor branca, com faixas azuis conforme Padrão SeMAE (Res. Elevado) (Item 5.7 do MD)</v>
          </cell>
          <cell r="C248" t="str">
            <v>m2</v>
          </cell>
          <cell r="D248">
            <v>5000</v>
          </cell>
          <cell r="E248">
            <v>43.349999999999994</v>
          </cell>
          <cell r="F248">
            <v>17.170000000000002</v>
          </cell>
          <cell r="G248">
            <v>85850</v>
          </cell>
          <cell r="H248">
            <v>3.13</v>
          </cell>
          <cell r="I248">
            <v>15650</v>
          </cell>
          <cell r="J248">
            <v>23.049999999999997</v>
          </cell>
          <cell r="K248">
            <v>115250</v>
          </cell>
          <cell r="L248">
            <v>216750</v>
          </cell>
          <cell r="M248">
            <v>2.5797E-2</v>
          </cell>
        </row>
        <row r="249">
          <cell r="A249" t="str">
            <v>7.15</v>
          </cell>
          <cell r="B249" t="str">
            <v>Pintura do reservatório metálico em esmalte alquídico na cor branca, com faixas azuis conforme Padrão SeMAE (Res. Apoiado) (Item 5.7 do MD)</v>
          </cell>
          <cell r="C249" t="str">
            <v>m2</v>
          </cell>
          <cell r="D249">
            <v>5000</v>
          </cell>
          <cell r="E249">
            <v>37.97</v>
          </cell>
          <cell r="F249">
            <v>18.299999999999997</v>
          </cell>
          <cell r="G249">
            <v>91500</v>
          </cell>
          <cell r="H249">
            <v>0</v>
          </cell>
          <cell r="I249">
            <v>0</v>
          </cell>
          <cell r="J249">
            <v>19.670000000000002</v>
          </cell>
          <cell r="K249">
            <v>98350</v>
          </cell>
          <cell r="L249">
            <v>189850</v>
          </cell>
          <cell r="M249">
            <v>2.2595000000000001E-2</v>
          </cell>
        </row>
        <row r="250">
          <cell r="A250" t="str">
            <v>7.16</v>
          </cell>
          <cell r="B250" t="str">
            <v>Pintura  de proteção em tubulação metálica aérea (tinta betuminosa alcatrão de hulha), incluindo conexões (Item 5.7 do MD)</v>
          </cell>
          <cell r="C250" t="str">
            <v>m2</v>
          </cell>
          <cell r="D250">
            <v>1000</v>
          </cell>
          <cell r="E250">
            <v>45.6</v>
          </cell>
          <cell r="F250">
            <v>0</v>
          </cell>
          <cell r="G250">
            <v>0</v>
          </cell>
          <cell r="H250">
            <v>45.6</v>
          </cell>
          <cell r="I250">
            <v>45600</v>
          </cell>
          <cell r="J250">
            <v>0</v>
          </cell>
          <cell r="K250">
            <v>0</v>
          </cell>
          <cell r="L250">
            <v>45600</v>
          </cell>
          <cell r="M250">
            <v>5.4270000000000004E-3</v>
          </cell>
        </row>
        <row r="251">
          <cell r="A251" t="str">
            <v>7.17</v>
          </cell>
          <cell r="B251" t="str">
            <v>Pintura em esmalte sintético AZUL FRANÇA sobre fundo anticorrosivo - 02 demãos (Item 5.7 do MD)</v>
          </cell>
          <cell r="C251" t="str">
            <v>m2</v>
          </cell>
          <cell r="D251">
            <v>600</v>
          </cell>
          <cell r="E251">
            <v>26.57</v>
          </cell>
          <cell r="F251">
            <v>9.64</v>
          </cell>
          <cell r="G251">
            <v>5784</v>
          </cell>
          <cell r="H251">
            <v>0</v>
          </cell>
          <cell r="I251">
            <v>0</v>
          </cell>
          <cell r="J251">
            <v>16.93</v>
          </cell>
          <cell r="K251">
            <v>10158</v>
          </cell>
          <cell r="L251">
            <v>15942</v>
          </cell>
          <cell r="M251">
            <v>1.897E-3</v>
          </cell>
        </row>
        <row r="252">
          <cell r="A252" t="str">
            <v>7.18</v>
          </cell>
          <cell r="B252" t="str">
            <v>Pintura de tubulações elevadas em esmalte sintético AZUL FRANÇA sobre fundo anticorrosivo 2 demãos (Item 5.7 do MD)</v>
          </cell>
          <cell r="C252" t="str">
            <v>m2</v>
          </cell>
          <cell r="D252">
            <v>500</v>
          </cell>
          <cell r="E252">
            <v>43.21</v>
          </cell>
          <cell r="F252">
            <v>9.01</v>
          </cell>
          <cell r="G252">
            <v>4505</v>
          </cell>
          <cell r="H252">
            <v>3.75</v>
          </cell>
          <cell r="I252">
            <v>1875</v>
          </cell>
          <cell r="J252">
            <v>30.45</v>
          </cell>
          <cell r="K252">
            <v>15225</v>
          </cell>
          <cell r="L252">
            <v>21605</v>
          </cell>
          <cell r="M252">
            <v>2.5709999999999999E-3</v>
          </cell>
        </row>
        <row r="253">
          <cell r="A253" t="str">
            <v>7.19</v>
          </cell>
          <cell r="B253" t="str">
            <v>Pintura em alambrado de tela eletro-soldada em esmalte sintético na cor BRANCA sob fundo anti-corrosivo (Item 5.7 do MD)</v>
          </cell>
          <cell r="C253" t="str">
            <v>m</v>
          </cell>
          <cell r="D253">
            <v>1000</v>
          </cell>
          <cell r="E253">
            <v>20.62</v>
          </cell>
          <cell r="F253">
            <v>5.410000000000001</v>
          </cell>
          <cell r="G253">
            <v>5410</v>
          </cell>
          <cell r="H253">
            <v>0</v>
          </cell>
          <cell r="I253">
            <v>0</v>
          </cell>
          <cell r="J253">
            <v>15.21</v>
          </cell>
          <cell r="K253">
            <v>15210</v>
          </cell>
          <cell r="L253">
            <v>20620</v>
          </cell>
          <cell r="M253">
            <v>2.454E-3</v>
          </cell>
        </row>
        <row r="254">
          <cell r="A254" t="str">
            <v>7.20</v>
          </cell>
          <cell r="B254" t="str">
            <v>Pintura da escada e gradil em esmalte sintético AZUL FRANÇA sobre fundo anticorrosivo - 02 demãos (Item 5.7 do MD)</v>
          </cell>
          <cell r="C254" t="str">
            <v>m2</v>
          </cell>
          <cell r="D254">
            <v>1200</v>
          </cell>
          <cell r="E254">
            <v>24.630000000000003</v>
          </cell>
          <cell r="F254">
            <v>7.55</v>
          </cell>
          <cell r="G254">
            <v>9060</v>
          </cell>
          <cell r="H254">
            <v>1.8699999999999999</v>
          </cell>
          <cell r="I254">
            <v>2244</v>
          </cell>
          <cell r="J254">
            <v>15.21</v>
          </cell>
          <cell r="K254">
            <v>18252</v>
          </cell>
          <cell r="L254">
            <v>29556</v>
          </cell>
          <cell r="M254">
            <v>3.5179999999999999E-3</v>
          </cell>
        </row>
        <row r="255">
          <cell r="A255" t="str">
            <v>7.21</v>
          </cell>
          <cell r="B255" t="str">
            <v>Pintura impermeabilizante interna para laje de forro com primer e 2 demãos de verniz acrílico incolor base água (Item 5.7 do MD)</v>
          </cell>
          <cell r="C255" t="str">
            <v>m2</v>
          </cell>
          <cell r="D255">
            <v>600</v>
          </cell>
          <cell r="E255">
            <v>27.54</v>
          </cell>
          <cell r="F255">
            <v>13.45</v>
          </cell>
          <cell r="G255">
            <v>8070</v>
          </cell>
          <cell r="H255">
            <v>0</v>
          </cell>
          <cell r="I255">
            <v>0</v>
          </cell>
          <cell r="J255">
            <v>14.09</v>
          </cell>
          <cell r="K255">
            <v>8454</v>
          </cell>
          <cell r="L255">
            <v>16524</v>
          </cell>
          <cell r="M255">
            <v>1.967E-3</v>
          </cell>
        </row>
        <row r="256">
          <cell r="A256" t="str">
            <v>7.22</v>
          </cell>
          <cell r="B256" t="str">
            <v>Pintura impermeabilizante externa para gradil corrimão de fibra de vidro com duas demãos de verniz acrílico incolor base silicone. (Item 5.7 do MD)</v>
          </cell>
          <cell r="C256" t="str">
            <v>m2</v>
          </cell>
          <cell r="D256">
            <v>800</v>
          </cell>
          <cell r="E256">
            <v>32.33</v>
          </cell>
          <cell r="F256">
            <v>26.080000000000002</v>
          </cell>
          <cell r="G256">
            <v>20864</v>
          </cell>
          <cell r="H256">
            <v>0</v>
          </cell>
          <cell r="I256">
            <v>0</v>
          </cell>
          <cell r="J256">
            <v>6.25</v>
          </cell>
          <cell r="K256">
            <v>5000</v>
          </cell>
          <cell r="L256">
            <v>25864</v>
          </cell>
          <cell r="M256">
            <v>3.078E-3</v>
          </cell>
        </row>
        <row r="257">
          <cell r="A257" t="str">
            <v>7.23</v>
          </cell>
          <cell r="B257" t="str">
            <v>Pintura do logotipo “SeMAE“ na face do reservatório.  (Item 5.7 do MD)</v>
          </cell>
          <cell r="C257" t="str">
            <v>un</v>
          </cell>
          <cell r="D257">
            <v>260</v>
          </cell>
          <cell r="E257">
            <v>861.68000000000006</v>
          </cell>
          <cell r="F257">
            <v>141.44</v>
          </cell>
          <cell r="G257">
            <v>36774.400000000001</v>
          </cell>
          <cell r="H257">
            <v>133.49</v>
          </cell>
          <cell r="I257">
            <v>34707.4</v>
          </cell>
          <cell r="J257">
            <v>586.75</v>
          </cell>
          <cell r="K257">
            <v>152555</v>
          </cell>
          <cell r="L257">
            <v>224036.8</v>
          </cell>
          <cell r="M257">
            <v>2.6664E-2</v>
          </cell>
        </row>
        <row r="258">
          <cell r="A258" t="str">
            <v>7.24</v>
          </cell>
          <cell r="B258" t="str">
            <v>Pintura da logomarca do Município de São José do Rio Preto (Item 5.7 do MD)</v>
          </cell>
          <cell r="C258" t="str">
            <v>un</v>
          </cell>
          <cell r="D258">
            <v>260</v>
          </cell>
          <cell r="E258">
            <v>861.68000000000006</v>
          </cell>
          <cell r="F258">
            <v>141.44</v>
          </cell>
          <cell r="G258">
            <v>36774.400000000001</v>
          </cell>
          <cell r="H258">
            <v>133.49</v>
          </cell>
          <cell r="I258">
            <v>34707.4</v>
          </cell>
          <cell r="J258">
            <v>586.75</v>
          </cell>
          <cell r="K258">
            <v>152555</v>
          </cell>
          <cell r="L258">
            <v>224036.8</v>
          </cell>
          <cell r="M258">
            <v>2.6664E-2</v>
          </cell>
        </row>
        <row r="259">
          <cell r="A259" t="str">
            <v>7.25</v>
          </cell>
          <cell r="B259" t="str">
            <v>Pintura de piso na cor grafite (Item 5.7 do MD)</v>
          </cell>
          <cell r="C259" t="str">
            <v>m2</v>
          </cell>
          <cell r="D259">
            <v>1000</v>
          </cell>
          <cell r="E259">
            <v>12.78</v>
          </cell>
          <cell r="F259">
            <v>4.17</v>
          </cell>
          <cell r="G259">
            <v>4170</v>
          </cell>
          <cell r="H259">
            <v>0</v>
          </cell>
          <cell r="I259">
            <v>0</v>
          </cell>
          <cell r="J259">
            <v>8.61</v>
          </cell>
          <cell r="K259">
            <v>8610</v>
          </cell>
          <cell r="L259">
            <v>12780</v>
          </cell>
          <cell r="M259">
            <v>1.521E-3</v>
          </cell>
        </row>
        <row r="260">
          <cell r="A260" t="str">
            <v>7.26</v>
          </cell>
          <cell r="B260" t="str">
            <v>Pintura tipo caiação de guias (Item 5.7 do MD)</v>
          </cell>
          <cell r="C260" t="str">
            <v>m</v>
          </cell>
          <cell r="D260">
            <v>700</v>
          </cell>
          <cell r="E260">
            <v>1.7699999999999998</v>
          </cell>
          <cell r="F260">
            <v>0.18000000000000002</v>
          </cell>
          <cell r="G260">
            <v>126</v>
          </cell>
          <cell r="H260">
            <v>0</v>
          </cell>
          <cell r="I260">
            <v>0</v>
          </cell>
          <cell r="J260">
            <v>1.5899999999999999</v>
          </cell>
          <cell r="K260">
            <v>1113</v>
          </cell>
          <cell r="L260">
            <v>1239</v>
          </cell>
          <cell r="M260">
            <v>1.47E-4</v>
          </cell>
        </row>
        <row r="261">
          <cell r="A261" t="str">
            <v>7.27</v>
          </cell>
          <cell r="B261" t="str">
            <v>Pintura  para proteção de tubulação enterrada galvanizada (tinta betuminosa), incluído conexões (Item 5.7 do MD)</v>
          </cell>
          <cell r="C261" t="str">
            <v>m2</v>
          </cell>
          <cell r="D261">
            <v>100</v>
          </cell>
          <cell r="E261">
            <v>45.6</v>
          </cell>
          <cell r="F261">
            <v>0</v>
          </cell>
          <cell r="G261">
            <v>0</v>
          </cell>
          <cell r="H261">
            <v>45.6</v>
          </cell>
          <cell r="I261">
            <v>4560</v>
          </cell>
          <cell r="J261">
            <v>0</v>
          </cell>
          <cell r="K261">
            <v>0</v>
          </cell>
          <cell r="L261">
            <v>4560</v>
          </cell>
          <cell r="M261">
            <v>5.4299999999999997E-4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A263" t="str">
            <v>8.0</v>
          </cell>
          <cell r="B263" t="str">
            <v>SERVIÇOS COMPLEMENTARES</v>
          </cell>
          <cell r="C263" t="str">
            <v>SUB-TOTAL</v>
          </cell>
          <cell r="D263">
            <v>0</v>
          </cell>
          <cell r="E263">
            <v>0</v>
          </cell>
          <cell r="F263">
            <v>342484.6</v>
          </cell>
          <cell r="G263">
            <v>342484.6</v>
          </cell>
          <cell r="H263">
            <v>32990.81</v>
          </cell>
          <cell r="I263">
            <v>32990.81</v>
          </cell>
          <cell r="J263">
            <v>202672.03999999998</v>
          </cell>
          <cell r="K263">
            <v>202672.03999999998</v>
          </cell>
          <cell r="L263">
            <v>578147.44999999995</v>
          </cell>
          <cell r="M263">
            <v>6.8808999999999995E-2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0.59238299999999999</v>
          </cell>
          <cell r="G264" t="str">
            <v>sim</v>
          </cell>
          <cell r="H264">
            <v>5.7063000000000003E-2</v>
          </cell>
          <cell r="I264" t="str">
            <v>sim</v>
          </cell>
          <cell r="J264">
            <v>0.35055399999999998</v>
          </cell>
          <cell r="K264" t="str">
            <v>sim</v>
          </cell>
          <cell r="L264">
            <v>0</v>
          </cell>
          <cell r="M264">
            <v>0</v>
          </cell>
        </row>
        <row r="265">
          <cell r="A265" t="str">
            <v>8.1</v>
          </cell>
          <cell r="B265" t="str">
            <v>Esgotamento com bombas de superfície ou submersas (Item 5.8.1 do MD)</v>
          </cell>
          <cell r="C265" t="str">
            <v>h</v>
          </cell>
          <cell r="D265">
            <v>200</v>
          </cell>
          <cell r="E265">
            <v>4.2799999999999994</v>
          </cell>
          <cell r="F265">
            <v>0</v>
          </cell>
          <cell r="G265">
            <v>0</v>
          </cell>
          <cell r="H265">
            <v>2.25</v>
          </cell>
          <cell r="I265">
            <v>450</v>
          </cell>
          <cell r="J265">
            <v>2.0299999999999998</v>
          </cell>
          <cell r="K265">
            <v>406</v>
          </cell>
          <cell r="L265">
            <v>856</v>
          </cell>
          <cell r="M265">
            <v>1.02E-4</v>
          </cell>
        </row>
        <row r="266">
          <cell r="A266" t="str">
            <v>8.2</v>
          </cell>
          <cell r="B266" t="str">
            <v>Impermeabilização de calhas ou lajes com manta asfáltica pré fabricada e=4mm (Item 5.8.2 do MD)</v>
          </cell>
          <cell r="C266" t="str">
            <v>m2</v>
          </cell>
          <cell r="D266">
            <v>198</v>
          </cell>
          <cell r="E266">
            <v>97.79</v>
          </cell>
          <cell r="F266">
            <v>0</v>
          </cell>
          <cell r="G266">
            <v>0</v>
          </cell>
          <cell r="H266">
            <v>97.79</v>
          </cell>
          <cell r="I266">
            <v>19362.419999999998</v>
          </cell>
          <cell r="J266">
            <v>0</v>
          </cell>
          <cell r="K266">
            <v>0</v>
          </cell>
          <cell r="L266">
            <v>19362.419999999998</v>
          </cell>
          <cell r="M266">
            <v>2.3040000000000001E-3</v>
          </cell>
        </row>
        <row r="267">
          <cell r="A267" t="str">
            <v>8.3</v>
          </cell>
          <cell r="B267" t="str">
            <v>Locação de andaime metálico tipo fachadeiro - Inclusive montagem/desmontagem</v>
          </cell>
          <cell r="C267" t="str">
            <v>m2/mês</v>
          </cell>
          <cell r="D267">
            <v>250</v>
          </cell>
          <cell r="E267">
            <v>9.8800000000000008</v>
          </cell>
          <cell r="F267">
            <v>0</v>
          </cell>
          <cell r="G267">
            <v>0</v>
          </cell>
          <cell r="H267">
            <v>5.58</v>
          </cell>
          <cell r="I267">
            <v>1395</v>
          </cell>
          <cell r="J267">
            <v>4.3000000000000007</v>
          </cell>
          <cell r="K267">
            <v>1075</v>
          </cell>
          <cell r="L267">
            <v>2470</v>
          </cell>
          <cell r="M267">
            <v>2.9399999999999999E-4</v>
          </cell>
        </row>
        <row r="268">
          <cell r="A268" t="str">
            <v>8.4</v>
          </cell>
          <cell r="B268" t="str">
            <v>Locação de andaimes metálicos tipo torre (Item 5.8.3 do MD)</v>
          </cell>
          <cell r="C268" t="str">
            <v>m/mês</v>
          </cell>
          <cell r="D268">
            <v>300</v>
          </cell>
          <cell r="E268">
            <v>19.009999999999998</v>
          </cell>
          <cell r="F268">
            <v>0</v>
          </cell>
          <cell r="G268">
            <v>0</v>
          </cell>
          <cell r="H268">
            <v>19.009999999999998</v>
          </cell>
          <cell r="I268">
            <v>5703</v>
          </cell>
          <cell r="J268">
            <v>0</v>
          </cell>
          <cell r="K268">
            <v>0</v>
          </cell>
          <cell r="L268">
            <v>5703</v>
          </cell>
          <cell r="M268">
            <v>6.7900000000000002E-4</v>
          </cell>
        </row>
        <row r="269">
          <cell r="A269" t="str">
            <v>8.5</v>
          </cell>
          <cell r="B269" t="str">
            <v>Andaimes metálicos tipo torre - montagem e desmontagem (Item 5.8.3 do MD)</v>
          </cell>
          <cell r="C269" t="str">
            <v>m</v>
          </cell>
          <cell r="D269">
            <v>300</v>
          </cell>
          <cell r="E269">
            <v>8.57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8.57</v>
          </cell>
          <cell r="K269">
            <v>2571</v>
          </cell>
          <cell r="L269">
            <v>2571</v>
          </cell>
          <cell r="M269">
            <v>3.0600000000000001E-4</v>
          </cell>
        </row>
        <row r="270">
          <cell r="A270" t="str">
            <v>8.6</v>
          </cell>
          <cell r="B270" t="str">
            <v>Banco de concreto Banco de concreto (BC-22 - FDE)  (Item 5.8.4 do MD)</v>
          </cell>
          <cell r="C270" t="str">
            <v>m</v>
          </cell>
          <cell r="D270">
            <v>200</v>
          </cell>
          <cell r="E270">
            <v>228.96999999999997</v>
          </cell>
          <cell r="F270">
            <v>100.69999999999997</v>
          </cell>
          <cell r="G270">
            <v>20140</v>
          </cell>
          <cell r="H270">
            <v>0</v>
          </cell>
          <cell r="I270">
            <v>0</v>
          </cell>
          <cell r="J270">
            <v>128.27000000000001</v>
          </cell>
          <cell r="K270">
            <v>25654</v>
          </cell>
          <cell r="L270">
            <v>45794</v>
          </cell>
          <cell r="M270">
            <v>5.45E-3</v>
          </cell>
        </row>
        <row r="271">
          <cell r="A271" t="str">
            <v>8.7</v>
          </cell>
          <cell r="B271" t="str">
            <v>Cimbramento de madeira (Item 5.8.5 do MD)</v>
          </cell>
          <cell r="C271" t="str">
            <v>m3</v>
          </cell>
          <cell r="D271">
            <v>200</v>
          </cell>
          <cell r="E271">
            <v>35.28</v>
          </cell>
          <cell r="F271">
            <v>18.830000000000002</v>
          </cell>
          <cell r="G271">
            <v>3766</v>
          </cell>
          <cell r="H271">
            <v>0</v>
          </cell>
          <cell r="I271">
            <v>0</v>
          </cell>
          <cell r="J271">
            <v>16.45</v>
          </cell>
          <cell r="K271">
            <v>3290</v>
          </cell>
          <cell r="L271">
            <v>7056</v>
          </cell>
          <cell r="M271">
            <v>8.4000000000000003E-4</v>
          </cell>
        </row>
        <row r="272">
          <cell r="A272" t="str">
            <v>8.8</v>
          </cell>
          <cell r="B272" t="str">
            <v>Taxa de mobilização de equipamento para estaca escavada</v>
          </cell>
          <cell r="C272" t="str">
            <v>un</v>
          </cell>
          <cell r="D272">
            <v>1</v>
          </cell>
          <cell r="E272">
            <v>1693.23</v>
          </cell>
          <cell r="F272">
            <v>0</v>
          </cell>
          <cell r="G272">
            <v>0</v>
          </cell>
          <cell r="H272">
            <v>1691.79</v>
          </cell>
          <cell r="I272">
            <v>1691.79</v>
          </cell>
          <cell r="J272">
            <v>1.4400000000000002</v>
          </cell>
          <cell r="K272">
            <v>1.44</v>
          </cell>
          <cell r="L272">
            <v>1693.23</v>
          </cell>
          <cell r="M272">
            <v>2.02E-4</v>
          </cell>
        </row>
        <row r="273">
          <cell r="A273" t="str">
            <v>8.9</v>
          </cell>
          <cell r="B273" t="str">
            <v>Estaca escavada mecanicamente - Diâmetro 25cm - Capacidade até 20 tf</v>
          </cell>
          <cell r="C273" t="str">
            <v>m</v>
          </cell>
          <cell r="D273">
            <v>240</v>
          </cell>
          <cell r="E273">
            <v>35.099999999999994</v>
          </cell>
          <cell r="F273">
            <v>16.75</v>
          </cell>
          <cell r="G273">
            <v>4020</v>
          </cell>
          <cell r="H273">
            <v>16.91</v>
          </cell>
          <cell r="I273">
            <v>4058.4</v>
          </cell>
          <cell r="J273">
            <v>1.4400000000000002</v>
          </cell>
          <cell r="K273">
            <v>345.6</v>
          </cell>
          <cell r="L273">
            <v>8424</v>
          </cell>
          <cell r="M273">
            <v>1.003E-3</v>
          </cell>
        </row>
        <row r="274">
          <cell r="A274" t="str">
            <v>8.10</v>
          </cell>
          <cell r="B274" t="str">
            <v>Estaca escavada mecanicamente - Diâmetro 30cm - Capacidade até 30 tf</v>
          </cell>
          <cell r="C274" t="str">
            <v>m</v>
          </cell>
          <cell r="D274">
            <v>120</v>
          </cell>
          <cell r="E274">
            <v>49.989999999999995</v>
          </cell>
          <cell r="F274">
            <v>18.39</v>
          </cell>
          <cell r="G274">
            <v>2206.8000000000002</v>
          </cell>
          <cell r="H274">
            <v>1.56</v>
          </cell>
          <cell r="I274">
            <v>187.2</v>
          </cell>
          <cell r="J274">
            <v>30.039999999999996</v>
          </cell>
          <cell r="K274">
            <v>3604.8</v>
          </cell>
          <cell r="L274">
            <v>5998.8</v>
          </cell>
          <cell r="M274">
            <v>7.1400000000000001E-4</v>
          </cell>
        </row>
        <row r="275">
          <cell r="A275" t="str">
            <v>8.11</v>
          </cell>
          <cell r="B275" t="str">
            <v>Pavimentação de concreto armado para pátio industrial, Fck = 25 MPa, e = 12 cm, sobre lastro de brita graduada e = 10 cm, capacidade para cargas de até 4 t/m² e empilhadeiras com cargas de até 1 t</v>
          </cell>
          <cell r="C275" t="str">
            <v>m2</v>
          </cell>
          <cell r="D275">
            <v>1400</v>
          </cell>
          <cell r="E275">
            <v>130.94999999999999</v>
          </cell>
          <cell r="F275">
            <v>106.57</v>
          </cell>
          <cell r="G275">
            <v>149198</v>
          </cell>
          <cell r="H275">
            <v>0</v>
          </cell>
          <cell r="I275">
            <v>0</v>
          </cell>
          <cell r="J275">
            <v>24.380000000000003</v>
          </cell>
          <cell r="K275">
            <v>34132</v>
          </cell>
          <cell r="L275">
            <v>183330</v>
          </cell>
          <cell r="M275">
            <v>2.1819000000000002E-2</v>
          </cell>
        </row>
        <row r="276">
          <cell r="A276" t="str">
            <v>8.12</v>
          </cell>
          <cell r="B276" t="str">
            <v>Guia pré-fabricada de concreto, assentada com concreto Fck=15MPa (Item 5.8.6 do MD)</v>
          </cell>
          <cell r="C276" t="str">
            <v>m</v>
          </cell>
          <cell r="D276">
            <v>300</v>
          </cell>
          <cell r="E276">
            <v>37.44</v>
          </cell>
          <cell r="F276">
            <v>30.589999999999996</v>
          </cell>
          <cell r="G276">
            <v>9177</v>
          </cell>
          <cell r="H276">
            <v>0.28000000000000003</v>
          </cell>
          <cell r="I276">
            <v>84</v>
          </cell>
          <cell r="J276">
            <v>6.57</v>
          </cell>
          <cell r="K276">
            <v>1971</v>
          </cell>
          <cell r="L276">
            <v>11232</v>
          </cell>
          <cell r="M276">
            <v>1.3370000000000001E-3</v>
          </cell>
        </row>
        <row r="277">
          <cell r="A277" t="str">
            <v>8.13</v>
          </cell>
          <cell r="B277" t="str">
            <v>Sarjeta de concreto incluindo preparo de caixa, concreto Fck=15MPa (Item 5.8.7 do MD)</v>
          </cell>
          <cell r="C277" t="str">
            <v>m3</v>
          </cell>
          <cell r="D277">
            <v>20</v>
          </cell>
          <cell r="E277">
            <v>453.05</v>
          </cell>
          <cell r="F277">
            <v>351.49</v>
          </cell>
          <cell r="G277">
            <v>7029.8</v>
          </cell>
          <cell r="H277">
            <v>2.95</v>
          </cell>
          <cell r="I277">
            <v>59</v>
          </cell>
          <cell r="J277">
            <v>98.61</v>
          </cell>
          <cell r="K277">
            <v>1972.2</v>
          </cell>
          <cell r="L277">
            <v>9061</v>
          </cell>
          <cell r="M277">
            <v>1.078E-3</v>
          </cell>
        </row>
        <row r="278">
          <cell r="A278" t="str">
            <v>8.14</v>
          </cell>
          <cell r="B278" t="str">
            <v>Recomposição de pavimentação em lajotas de concreto sextavado para pavimentação (30 x 30 e=10cm) rejuntado com areia , sem fornecimento da lajota (Item 5.8.8 do MD)</v>
          </cell>
          <cell r="C278" t="str">
            <v>m2</v>
          </cell>
          <cell r="D278">
            <v>1000</v>
          </cell>
          <cell r="E278">
            <v>34.949999999999996</v>
          </cell>
          <cell r="F278">
            <v>13.899999999999999</v>
          </cell>
          <cell r="G278">
            <v>13900</v>
          </cell>
          <cell r="H278">
            <v>0</v>
          </cell>
          <cell r="I278">
            <v>0</v>
          </cell>
          <cell r="J278">
            <v>21.049999999999997</v>
          </cell>
          <cell r="K278">
            <v>21050</v>
          </cell>
          <cell r="L278">
            <v>34950</v>
          </cell>
          <cell r="M278">
            <v>4.1599999999999996E-3</v>
          </cell>
        </row>
        <row r="279">
          <cell r="A279" t="str">
            <v>8.15</v>
          </cell>
          <cell r="B279" t="str">
            <v>Recomposição de pavimentação em lajotas de concreto sextavado para pavimentação (30 x 30 e=10cm) rejuntado com areia , com fornecimento da lajota (Item 5.8.8 do MD)</v>
          </cell>
          <cell r="C279" t="str">
            <v>m2</v>
          </cell>
          <cell r="D279">
            <v>700</v>
          </cell>
          <cell r="E279">
            <v>84.96</v>
          </cell>
          <cell r="F279">
            <v>68.55</v>
          </cell>
          <cell r="G279">
            <v>47985</v>
          </cell>
          <cell r="H279">
            <v>0</v>
          </cell>
          <cell r="I279">
            <v>0</v>
          </cell>
          <cell r="J279">
            <v>16.41</v>
          </cell>
          <cell r="K279">
            <v>11487</v>
          </cell>
          <cell r="L279">
            <v>59472</v>
          </cell>
          <cell r="M279">
            <v>7.0780000000000001E-3</v>
          </cell>
        </row>
        <row r="280">
          <cell r="A280" t="str">
            <v>8.16</v>
          </cell>
          <cell r="B280" t="str">
            <v>Recomposição de pavimentação em paralelepípedo com argamassa, sem fornecimento do paralelepípedo (Item 5.8.8 do MD)</v>
          </cell>
          <cell r="C280" t="str">
            <v>m2</v>
          </cell>
          <cell r="D280">
            <v>200</v>
          </cell>
          <cell r="E280">
            <v>36.53</v>
          </cell>
          <cell r="F280">
            <v>9.44</v>
          </cell>
          <cell r="G280">
            <v>1888</v>
          </cell>
          <cell r="H280">
            <v>0</v>
          </cell>
          <cell r="I280">
            <v>0</v>
          </cell>
          <cell r="J280">
            <v>27.09</v>
          </cell>
          <cell r="K280">
            <v>5418</v>
          </cell>
          <cell r="L280">
            <v>7306</v>
          </cell>
          <cell r="M280">
            <v>8.7000000000000001E-4</v>
          </cell>
        </row>
        <row r="281">
          <cell r="A281" t="str">
            <v>8.17</v>
          </cell>
          <cell r="B281" t="str">
            <v>Recomposição de pavimentação em paralelepípedo com argamassa, com fornecimento do paralelepípedo (Item 5.8.8 do MD)</v>
          </cell>
          <cell r="C281" t="str">
            <v>m2</v>
          </cell>
          <cell r="D281">
            <v>1000</v>
          </cell>
          <cell r="E281">
            <v>75.47</v>
          </cell>
          <cell r="F281">
            <v>48.379999999999995</v>
          </cell>
          <cell r="G281">
            <v>48380</v>
          </cell>
          <cell r="H281">
            <v>0</v>
          </cell>
          <cell r="I281">
            <v>0</v>
          </cell>
          <cell r="J281">
            <v>27.09</v>
          </cell>
          <cell r="K281">
            <v>27090</v>
          </cell>
          <cell r="L281">
            <v>75470</v>
          </cell>
          <cell r="M281">
            <v>8.9820000000000004E-3</v>
          </cell>
        </row>
        <row r="282">
          <cell r="A282" t="str">
            <v>8.18</v>
          </cell>
          <cell r="B282" t="str">
            <v>Recomposição de mosaico português, sem fornecimento do mosaico (Item 5.8.9 do MD)</v>
          </cell>
          <cell r="C282" t="str">
            <v>m2</v>
          </cell>
          <cell r="D282">
            <v>900</v>
          </cell>
          <cell r="E282">
            <v>38.700000000000003</v>
          </cell>
          <cell r="F282">
            <v>3.9200000000000004</v>
          </cell>
          <cell r="G282">
            <v>3528</v>
          </cell>
          <cell r="H282">
            <v>0</v>
          </cell>
          <cell r="I282">
            <v>0</v>
          </cell>
          <cell r="J282">
            <v>34.78</v>
          </cell>
          <cell r="K282">
            <v>31302</v>
          </cell>
          <cell r="L282">
            <v>34830</v>
          </cell>
          <cell r="M282">
            <v>4.1450000000000002E-3</v>
          </cell>
        </row>
        <row r="283">
          <cell r="A283" t="str">
            <v>8.19</v>
          </cell>
          <cell r="B283" t="str">
            <v>Recomposição de mosaico português, com fornecimento do mosaico (Item 5.8.9 do MD)</v>
          </cell>
          <cell r="C283" t="str">
            <v>m2</v>
          </cell>
          <cell r="D283">
            <v>900</v>
          </cell>
          <cell r="E283">
            <v>69.52000000000001</v>
          </cell>
          <cell r="F283">
            <v>34.74</v>
          </cell>
          <cell r="G283">
            <v>31266</v>
          </cell>
          <cell r="H283">
            <v>0</v>
          </cell>
          <cell r="I283">
            <v>0</v>
          </cell>
          <cell r="J283">
            <v>34.78</v>
          </cell>
          <cell r="K283">
            <v>31302</v>
          </cell>
          <cell r="L283">
            <v>62568</v>
          </cell>
          <cell r="M283">
            <v>7.4469999999999996E-3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A285" t="str">
            <v>TOTAL GERAL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8402223.1400000006</v>
          </cell>
          <cell r="M285">
            <v>1</v>
          </cell>
        </row>
        <row r="286">
          <cell r="A286" t="str">
            <v>Total de materiais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3576675.8800000004</v>
          </cell>
          <cell r="M286">
            <v>0.42568</v>
          </cell>
        </row>
        <row r="287">
          <cell r="A287" t="str">
            <v>Total de empreiteiros e serviços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1009791.61</v>
          </cell>
          <cell r="M287">
            <v>0.12018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>
        <row r="32">
          <cell r="A32" t="str">
            <v>Empreitada por Preço Unitário ou Tarefa</v>
          </cell>
        </row>
      </sheetData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ENCHIMENTO"/>
      <sheetName val="A II.A"/>
      <sheetName val="A II.A (2)"/>
      <sheetName val="A II.A.1 - OS 3"/>
      <sheetName val="A II.A.2 - OS 4"/>
      <sheetName val="A II.A.3 - OS 5"/>
      <sheetName val="Trechos"/>
      <sheetName val="Galeria"/>
      <sheetName val="LAJE"/>
      <sheetName val="Série Histórica IPCA"/>
      <sheetName val="A II.A.5 - OS 7 - REV"/>
      <sheetName val="A II.A.5 - OS 7"/>
      <sheetName val="A II.A.6 - OS 8"/>
      <sheetName val="A III.A"/>
      <sheetName val="A III.A.1 - OS 3"/>
      <sheetName val="A III.A.2 - OS 4"/>
      <sheetName val="A III.A.3 - OS 5"/>
      <sheetName val="A III.A.4 - OS 6"/>
      <sheetName val="A III.A.5 - OS 7"/>
      <sheetName val="A III.A.6 - OS 8"/>
      <sheetName val="A IV - COMP"/>
      <sheetName val="A V - I"/>
      <sheetName val="A VI - BDI-S"/>
      <sheetName val="A VII - BDI-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19050">
          <a:solidFill>
            <a:schemeClr val="tx1"/>
          </a:solidFill>
          <a:headEnd type="triangle"/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solidFill>
          <a:schemeClr val="lt1"/>
        </a:solidFill>
        <a:ln w="19050" cmpd="sng">
          <a:solidFill>
            <a:schemeClr val="tx1"/>
          </a:solidFill>
        </a:ln>
      </a:spPr>
      <a:bodyPr vertOverflow="clip" wrap="square" rtlCol="0" anchor="ctr" anchorCtr="0"/>
      <a:lstStyle>
        <a:defPPr algn="ctr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9ECE5-7873-49A8-BD96-D643F660B76B}">
  <dimension ref="A1:M46"/>
  <sheetViews>
    <sheetView tabSelected="1" view="pageBreakPreview" zoomScale="110" zoomScaleNormal="100" zoomScaleSheetLayoutView="110" workbookViewId="0">
      <selection sqref="A1:J2"/>
    </sheetView>
  </sheetViews>
  <sheetFormatPr defaultRowHeight="12.75" x14ac:dyDescent="0.2"/>
  <cols>
    <col min="1" max="16384" width="9.140625" style="563"/>
  </cols>
  <sheetData>
    <row r="1" spans="1:10" x14ac:dyDescent="0.2">
      <c r="A1" s="562"/>
      <c r="B1" s="562"/>
      <c r="C1" s="562"/>
      <c r="D1" s="562"/>
      <c r="E1" s="562"/>
      <c r="F1" s="562"/>
      <c r="G1" s="562"/>
      <c r="H1" s="562"/>
      <c r="I1" s="562"/>
      <c r="J1" s="562"/>
    </row>
    <row r="2" spans="1:10" ht="46.5" customHeight="1" thickBot="1" x14ac:dyDescent="0.25">
      <c r="A2" s="564"/>
      <c r="B2" s="564"/>
      <c r="C2" s="564"/>
      <c r="D2" s="564"/>
      <c r="E2" s="564"/>
      <c r="F2" s="564"/>
      <c r="G2" s="564"/>
      <c r="H2" s="564"/>
      <c r="I2" s="564"/>
      <c r="J2" s="564"/>
    </row>
    <row r="3" spans="1:10" ht="15.95" customHeight="1" thickBot="1" x14ac:dyDescent="0.25">
      <c r="A3" s="565" t="s">
        <v>615</v>
      </c>
      <c r="B3" s="566"/>
      <c r="C3" s="566"/>
      <c r="D3" s="566"/>
      <c r="E3" s="566"/>
      <c r="F3" s="566"/>
      <c r="G3" s="566"/>
      <c r="H3" s="566"/>
      <c r="I3" s="566"/>
      <c r="J3" s="567"/>
    </row>
    <row r="4" spans="1:10" ht="9.9499999999999993" customHeight="1" thickBot="1" x14ac:dyDescent="0.25"/>
    <row r="5" spans="1:10" ht="15" customHeight="1" x14ac:dyDescent="0.2">
      <c r="A5" s="568" t="s">
        <v>616</v>
      </c>
      <c r="B5" s="569"/>
      <c r="C5" s="569"/>
      <c r="D5" s="569"/>
      <c r="E5" s="569"/>
      <c r="F5" s="569"/>
      <c r="G5" s="569"/>
      <c r="H5" s="569"/>
      <c r="I5" s="569"/>
      <c r="J5" s="570"/>
    </row>
    <row r="6" spans="1:10" ht="14.1" customHeight="1" x14ac:dyDescent="0.2">
      <c r="A6" s="571" t="s">
        <v>617</v>
      </c>
      <c r="B6" s="572"/>
      <c r="C6" s="572"/>
      <c r="D6" s="572"/>
      <c r="E6" s="572"/>
      <c r="F6" s="572"/>
      <c r="G6" s="572"/>
      <c r="H6" s="572"/>
      <c r="I6" s="572"/>
      <c r="J6" s="573"/>
    </row>
    <row r="7" spans="1:10" ht="14.1" customHeight="1" x14ac:dyDescent="0.2">
      <c r="A7" s="571" t="s">
        <v>618</v>
      </c>
      <c r="B7" s="572"/>
      <c r="C7" s="572"/>
      <c r="D7" s="572"/>
      <c r="E7" s="572"/>
      <c r="F7" s="572"/>
      <c r="G7" s="572"/>
      <c r="H7" s="572"/>
      <c r="I7" s="572"/>
      <c r="J7" s="573"/>
    </row>
    <row r="8" spans="1:10" ht="14.1" customHeight="1" x14ac:dyDescent="0.2">
      <c r="A8" s="571" t="s">
        <v>619</v>
      </c>
      <c r="B8" s="572"/>
      <c r="C8" s="572"/>
      <c r="D8" s="572"/>
      <c r="E8" s="572"/>
      <c r="F8" s="572"/>
      <c r="G8" s="572"/>
      <c r="H8" s="572"/>
      <c r="I8" s="572"/>
      <c r="J8" s="573"/>
    </row>
    <row r="9" spans="1:10" ht="14.1" customHeight="1" x14ac:dyDescent="0.2">
      <c r="A9" s="571" t="s">
        <v>620</v>
      </c>
      <c r="B9" s="572"/>
      <c r="C9" s="572"/>
      <c r="D9" s="572"/>
      <c r="E9" s="572"/>
      <c r="F9" s="572"/>
      <c r="G9" s="572"/>
      <c r="H9" s="572"/>
      <c r="I9" s="572"/>
      <c r="J9" s="573"/>
    </row>
    <row r="10" spans="1:10" ht="14.1" customHeight="1" x14ac:dyDescent="0.2">
      <c r="A10" s="571" t="s">
        <v>621</v>
      </c>
      <c r="B10" s="572"/>
      <c r="C10" s="572"/>
      <c r="D10" s="572"/>
      <c r="E10" s="572"/>
      <c r="F10" s="572"/>
      <c r="G10" s="572"/>
      <c r="H10" s="572"/>
      <c r="I10" s="572"/>
      <c r="J10" s="573"/>
    </row>
    <row r="11" spans="1:10" ht="14.1" customHeight="1" x14ac:dyDescent="0.2">
      <c r="A11" s="571" t="s">
        <v>622</v>
      </c>
      <c r="B11" s="572"/>
      <c r="C11" s="572"/>
      <c r="D11" s="572"/>
      <c r="E11" s="572"/>
      <c r="F11" s="572"/>
      <c r="G11" s="572"/>
      <c r="H11" s="572"/>
      <c r="I11" s="572"/>
      <c r="J11" s="573"/>
    </row>
    <row r="12" spans="1:10" ht="9.9499999999999993" customHeight="1" x14ac:dyDescent="0.2">
      <c r="A12" s="574"/>
      <c r="J12" s="575"/>
    </row>
    <row r="13" spans="1:10" ht="14.1" customHeight="1" x14ac:dyDescent="0.2">
      <c r="A13" s="576" t="s">
        <v>623</v>
      </c>
      <c r="B13" s="577"/>
      <c r="C13" s="577"/>
      <c r="D13" s="577"/>
      <c r="E13" s="577"/>
      <c r="F13" s="577"/>
      <c r="G13" s="577"/>
      <c r="H13" s="577"/>
      <c r="I13" s="577"/>
      <c r="J13" s="578"/>
    </row>
    <row r="14" spans="1:10" ht="14.1" customHeight="1" x14ac:dyDescent="0.2">
      <c r="A14" s="576"/>
      <c r="B14" s="577"/>
      <c r="C14" s="577"/>
      <c r="D14" s="577"/>
      <c r="E14" s="577"/>
      <c r="F14" s="577"/>
      <c r="G14" s="577"/>
      <c r="H14" s="577"/>
      <c r="I14" s="577"/>
      <c r="J14" s="578"/>
    </row>
    <row r="15" spans="1:10" ht="14.1" customHeight="1" x14ac:dyDescent="0.2">
      <c r="A15" s="571" t="s">
        <v>624</v>
      </c>
      <c r="B15" s="572"/>
      <c r="C15" s="572"/>
      <c r="D15" s="572"/>
      <c r="E15" s="572"/>
      <c r="F15" s="572"/>
      <c r="G15" s="572"/>
      <c r="H15" s="572"/>
      <c r="I15" s="572"/>
      <c r="J15" s="573"/>
    </row>
    <row r="16" spans="1:10" ht="14.1" customHeight="1" x14ac:dyDescent="0.2">
      <c r="A16" s="571" t="s">
        <v>619</v>
      </c>
      <c r="B16" s="572"/>
      <c r="C16" s="572"/>
      <c r="D16" s="572"/>
      <c r="E16" s="572"/>
      <c r="F16" s="572"/>
      <c r="G16" s="572"/>
      <c r="H16" s="572"/>
      <c r="I16" s="572"/>
      <c r="J16" s="573"/>
    </row>
    <row r="17" spans="1:13" ht="14.1" customHeight="1" x14ac:dyDescent="0.2">
      <c r="A17" s="571" t="s">
        <v>620</v>
      </c>
      <c r="B17" s="572"/>
      <c r="C17" s="572"/>
      <c r="D17" s="572"/>
      <c r="E17" s="572"/>
      <c r="F17" s="572"/>
      <c r="G17" s="572"/>
      <c r="H17" s="572"/>
      <c r="I17" s="572"/>
      <c r="J17" s="573"/>
    </row>
    <row r="18" spans="1:13" ht="14.1" customHeight="1" x14ac:dyDescent="0.2">
      <c r="A18" s="571" t="s">
        <v>625</v>
      </c>
      <c r="B18" s="572"/>
      <c r="C18" s="572"/>
      <c r="D18" s="572"/>
      <c r="E18" s="572"/>
      <c r="F18" s="572"/>
      <c r="G18" s="572"/>
      <c r="H18" s="572"/>
      <c r="I18" s="572"/>
      <c r="J18" s="573"/>
    </row>
    <row r="19" spans="1:13" ht="14.1" customHeight="1" x14ac:dyDescent="0.2">
      <c r="A19" s="571" t="s">
        <v>626</v>
      </c>
      <c r="B19" s="572"/>
      <c r="C19" s="572"/>
      <c r="D19" s="572"/>
      <c r="E19" s="572"/>
      <c r="F19" s="572"/>
      <c r="G19" s="572"/>
      <c r="H19" s="572"/>
      <c r="I19" s="572"/>
      <c r="J19" s="573"/>
    </row>
    <row r="20" spans="1:13" ht="9.9499999999999993" customHeight="1" x14ac:dyDescent="0.2">
      <c r="A20" s="574"/>
      <c r="J20" s="575"/>
    </row>
    <row r="21" spans="1:13" ht="14.1" customHeight="1" x14ac:dyDescent="0.2">
      <c r="A21" s="576" t="s">
        <v>627</v>
      </c>
      <c r="B21" s="577"/>
      <c r="C21" s="577"/>
      <c r="D21" s="577"/>
      <c r="E21" s="577"/>
      <c r="F21" s="577"/>
      <c r="G21" s="577"/>
      <c r="H21" s="577"/>
      <c r="I21" s="577"/>
      <c r="J21" s="578"/>
    </row>
    <row r="22" spans="1:13" ht="14.1" customHeight="1" x14ac:dyDescent="0.2">
      <c r="A22" s="576"/>
      <c r="B22" s="577"/>
      <c r="C22" s="577"/>
      <c r="D22" s="577"/>
      <c r="E22" s="577"/>
      <c r="F22" s="577"/>
      <c r="G22" s="577"/>
      <c r="H22" s="577"/>
      <c r="I22" s="577"/>
      <c r="J22" s="578"/>
    </row>
    <row r="23" spans="1:13" ht="9.9499999999999993" customHeight="1" x14ac:dyDescent="0.2">
      <c r="A23" s="574"/>
      <c r="J23" s="575"/>
    </row>
    <row r="24" spans="1:13" ht="14.1" customHeight="1" x14ac:dyDescent="0.2">
      <c r="A24" s="579" t="s">
        <v>628</v>
      </c>
      <c r="B24" s="580"/>
      <c r="C24" s="580"/>
      <c r="D24" s="580"/>
      <c r="E24" s="580"/>
      <c r="F24" s="580"/>
      <c r="G24" s="580"/>
      <c r="H24" s="580"/>
      <c r="I24" s="580"/>
      <c r="J24" s="581"/>
    </row>
    <row r="25" spans="1:13" ht="14.1" customHeight="1" x14ac:dyDescent="0.2">
      <c r="A25" s="579"/>
      <c r="B25" s="580"/>
      <c r="C25" s="580"/>
      <c r="D25" s="580"/>
      <c r="E25" s="580"/>
      <c r="F25" s="580"/>
      <c r="G25" s="580"/>
      <c r="H25" s="580"/>
      <c r="I25" s="580"/>
      <c r="J25" s="581"/>
    </row>
    <row r="26" spans="1:13" ht="14.1" customHeight="1" x14ac:dyDescent="0.2">
      <c r="A26" s="579"/>
      <c r="B26" s="580"/>
      <c r="C26" s="580"/>
      <c r="D26" s="580"/>
      <c r="E26" s="580"/>
      <c r="F26" s="580"/>
      <c r="G26" s="580"/>
      <c r="H26" s="580"/>
      <c r="I26" s="580"/>
      <c r="J26" s="581"/>
    </row>
    <row r="27" spans="1:13" ht="14.1" customHeight="1" x14ac:dyDescent="0.2">
      <c r="A27" s="579"/>
      <c r="B27" s="580"/>
      <c r="C27" s="580"/>
      <c r="D27" s="580"/>
      <c r="E27" s="580"/>
      <c r="F27" s="580"/>
      <c r="G27" s="580"/>
      <c r="H27" s="580"/>
      <c r="I27" s="580"/>
      <c r="J27" s="581"/>
    </row>
    <row r="28" spans="1:13" ht="8.1" customHeight="1" x14ac:dyDescent="0.2">
      <c r="A28" s="574"/>
      <c r="J28" s="575"/>
    </row>
    <row r="29" spans="1:13" ht="14.1" customHeight="1" x14ac:dyDescent="0.2">
      <c r="A29" s="579" t="s">
        <v>629</v>
      </c>
      <c r="B29" s="580"/>
      <c r="C29" s="580"/>
      <c r="D29" s="580"/>
      <c r="E29" s="580"/>
      <c r="F29" s="580"/>
      <c r="G29" s="580"/>
      <c r="H29" s="580"/>
      <c r="I29" s="580"/>
      <c r="J29" s="581"/>
    </row>
    <row r="30" spans="1:13" ht="14.1" customHeight="1" x14ac:dyDescent="0.2">
      <c r="A30" s="579"/>
      <c r="B30" s="580"/>
      <c r="C30" s="580"/>
      <c r="D30" s="580"/>
      <c r="E30" s="580"/>
      <c r="F30" s="580"/>
      <c r="G30" s="580"/>
      <c r="H30" s="580"/>
      <c r="I30" s="580"/>
      <c r="J30" s="581"/>
      <c r="M30" s="582"/>
    </row>
    <row r="31" spans="1:13" ht="14.1" customHeight="1" x14ac:dyDescent="0.2">
      <c r="A31" s="579"/>
      <c r="B31" s="580"/>
      <c r="C31" s="580"/>
      <c r="D31" s="580"/>
      <c r="E31" s="580"/>
      <c r="F31" s="580"/>
      <c r="G31" s="580"/>
      <c r="H31" s="580"/>
      <c r="I31" s="580"/>
      <c r="J31" s="581"/>
    </row>
    <row r="32" spans="1:13" ht="14.1" customHeight="1" x14ac:dyDescent="0.2">
      <c r="A32" s="579"/>
      <c r="B32" s="580"/>
      <c r="C32" s="580"/>
      <c r="D32" s="580"/>
      <c r="E32" s="580"/>
      <c r="F32" s="580"/>
      <c r="G32" s="580"/>
      <c r="H32" s="580"/>
      <c r="I32" s="580"/>
      <c r="J32" s="581"/>
    </row>
    <row r="33" spans="1:12" ht="8.1" customHeight="1" x14ac:dyDescent="0.2">
      <c r="A33" s="574"/>
      <c r="J33" s="575"/>
    </row>
    <row r="34" spans="1:12" ht="14.1" customHeight="1" x14ac:dyDescent="0.2">
      <c r="A34" s="579" t="s">
        <v>630</v>
      </c>
      <c r="B34" s="580"/>
      <c r="C34" s="580"/>
      <c r="D34" s="580"/>
      <c r="E34" s="580"/>
      <c r="F34" s="580"/>
      <c r="G34" s="580"/>
      <c r="H34" s="580"/>
      <c r="I34" s="580"/>
      <c r="J34" s="581"/>
    </row>
    <row r="35" spans="1:12" ht="14.1" customHeight="1" x14ac:dyDescent="0.2">
      <c r="A35" s="579"/>
      <c r="B35" s="580"/>
      <c r="C35" s="580"/>
      <c r="D35" s="580"/>
      <c r="E35" s="580"/>
      <c r="F35" s="580"/>
      <c r="G35" s="580"/>
      <c r="H35" s="580"/>
      <c r="I35" s="580"/>
      <c r="J35" s="581"/>
    </row>
    <row r="36" spans="1:12" ht="14.1" customHeight="1" x14ac:dyDescent="0.2">
      <c r="A36" s="579"/>
      <c r="B36" s="580"/>
      <c r="C36" s="580"/>
      <c r="D36" s="580"/>
      <c r="E36" s="580"/>
      <c r="F36" s="580"/>
      <c r="G36" s="580"/>
      <c r="H36" s="580"/>
      <c r="I36" s="580"/>
      <c r="J36" s="581"/>
    </row>
    <row r="37" spans="1:12" ht="8.1" customHeight="1" x14ac:dyDescent="0.2">
      <c r="A37" s="583"/>
      <c r="B37" s="584"/>
      <c r="C37" s="584"/>
      <c r="D37" s="584"/>
      <c r="E37" s="584"/>
      <c r="F37" s="584"/>
      <c r="G37" s="584"/>
      <c r="H37" s="584"/>
      <c r="I37" s="584"/>
      <c r="J37" s="585"/>
    </row>
    <row r="38" spans="1:12" ht="8.1" customHeight="1" x14ac:dyDescent="0.2">
      <c r="A38" s="586"/>
      <c r="B38" s="584"/>
      <c r="C38" s="584"/>
      <c r="D38" s="584"/>
      <c r="E38" s="584"/>
      <c r="F38" s="584"/>
      <c r="G38" s="584"/>
      <c r="H38" s="584"/>
      <c r="I38" s="584"/>
      <c r="J38" s="585"/>
    </row>
    <row r="39" spans="1:12" ht="14.1" customHeight="1" x14ac:dyDescent="0.2">
      <c r="A39" s="587" t="s">
        <v>631</v>
      </c>
      <c r="B39" s="588"/>
      <c r="C39" s="588"/>
      <c r="D39" s="588"/>
      <c r="E39" s="588"/>
      <c r="F39" s="588"/>
      <c r="G39" s="588"/>
      <c r="H39" s="588"/>
      <c r="I39" s="588"/>
      <c r="J39" s="589"/>
    </row>
    <row r="40" spans="1:12" ht="14.1" customHeight="1" thickBot="1" x14ac:dyDescent="0.25">
      <c r="A40" s="590"/>
      <c r="B40" s="591"/>
      <c r="C40" s="591"/>
      <c r="D40" s="591"/>
      <c r="E40" s="591"/>
      <c r="F40" s="591"/>
      <c r="G40" s="591"/>
      <c r="H40" s="591"/>
      <c r="I40" s="591"/>
      <c r="J40" s="592"/>
    </row>
    <row r="41" spans="1:12" x14ac:dyDescent="0.2">
      <c r="A41" s="593"/>
      <c r="B41" s="594"/>
      <c r="C41" s="594"/>
      <c r="D41" s="594"/>
      <c r="E41" s="594"/>
      <c r="F41" s="594"/>
      <c r="G41" s="594"/>
      <c r="H41" s="594"/>
      <c r="I41" s="594"/>
      <c r="J41" s="594"/>
    </row>
    <row r="42" spans="1:12" x14ac:dyDescent="0.2">
      <c r="A42" s="593"/>
      <c r="B42" s="594"/>
      <c r="C42" s="594"/>
      <c r="D42" s="594"/>
      <c r="E42" s="594"/>
      <c r="F42" s="594"/>
      <c r="G42" s="594"/>
      <c r="H42" s="594"/>
      <c r="I42" s="594"/>
      <c r="J42" s="594"/>
    </row>
    <row r="43" spans="1:12" x14ac:dyDescent="0.2">
      <c r="A43" s="593"/>
      <c r="B43" s="594"/>
      <c r="C43" s="594"/>
      <c r="D43" s="594"/>
      <c r="E43" s="594"/>
      <c r="F43" s="594"/>
      <c r="G43" s="594"/>
      <c r="H43" s="594"/>
      <c r="I43" s="594"/>
      <c r="J43" s="594"/>
      <c r="K43" s="595"/>
      <c r="L43" s="595"/>
    </row>
    <row r="44" spans="1:12" x14ac:dyDescent="0.2">
      <c r="A44" s="593"/>
      <c r="B44" s="594"/>
      <c r="C44" s="594"/>
      <c r="D44" s="594"/>
      <c r="E44" s="594"/>
      <c r="F44" s="594"/>
      <c r="G44" s="594"/>
      <c r="H44" s="594"/>
      <c r="I44" s="594"/>
      <c r="J44" s="594"/>
      <c r="K44" s="595"/>
      <c r="L44" s="595"/>
    </row>
    <row r="45" spans="1:12" x14ac:dyDescent="0.2">
      <c r="A45" s="593"/>
      <c r="B45" s="595"/>
      <c r="C45" s="595"/>
      <c r="D45" s="595"/>
      <c r="E45" s="595"/>
      <c r="F45" s="595"/>
      <c r="G45" s="595"/>
      <c r="H45" s="595"/>
      <c r="I45" s="595"/>
      <c r="J45" s="595"/>
      <c r="K45" s="595"/>
      <c r="L45" s="595"/>
    </row>
    <row r="46" spans="1:12" x14ac:dyDescent="0.2">
      <c r="A46" s="593"/>
      <c r="B46" s="595"/>
      <c r="C46" s="595"/>
      <c r="D46" s="595"/>
      <c r="E46" s="595"/>
      <c r="F46" s="595"/>
      <c r="G46" s="595"/>
      <c r="H46" s="595"/>
      <c r="I46" s="595"/>
      <c r="J46" s="595"/>
      <c r="K46" s="595"/>
      <c r="L46" s="595"/>
    </row>
  </sheetData>
  <sheetProtection algorithmName="SHA-512" hashValue="PU9oPyQlkwmj8t8eJrturtkQx9oNa6hAB4ZSVYuyhN59miqEShwhlxDcfywYGzfdtLX7tIVmDdnEgVppUHFy9w==" saltValue="NVN4CTiidxC6a7siGh5aeQ==" spinCount="100000" sheet="1" objects="1" scenarios="1" selectLockedCells="1"/>
  <mergeCells count="8">
    <mergeCell ref="A34:J36"/>
    <mergeCell ref="A39:J40"/>
    <mergeCell ref="A1:J2"/>
    <mergeCell ref="A3:J3"/>
    <mergeCell ref="A13:J14"/>
    <mergeCell ref="A21:J22"/>
    <mergeCell ref="A24:J27"/>
    <mergeCell ref="A29:J32"/>
  </mergeCells>
  <pageMargins left="0.511811024" right="0.511811024" top="0.39" bottom="0.38" header="0.31496062000000002" footer="0.31496062000000002"/>
  <pageSetup orientation="portrait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">
    <pageSetUpPr fitToPage="1"/>
  </sheetPr>
  <dimension ref="A1:AD273"/>
  <sheetViews>
    <sheetView showGridLines="0" view="pageBreakPreview" zoomScale="76" zoomScaleNormal="76" zoomScaleSheetLayoutView="76" workbookViewId="0">
      <pane xSplit="13" topLeftCell="N1" activePane="topRight" state="frozen"/>
      <selection pane="topRight" sqref="A1:M4"/>
    </sheetView>
  </sheetViews>
  <sheetFormatPr defaultRowHeight="15" x14ac:dyDescent="0.2"/>
  <cols>
    <col min="1" max="1" width="6.85546875" style="608" bestFit="1" customWidth="1"/>
    <col min="2" max="2" width="143.7109375" style="609" customWidth="1"/>
    <col min="3" max="3" width="8.28515625" style="608" customWidth="1"/>
    <col min="4" max="4" width="9.7109375" style="839" customWidth="1"/>
    <col min="5" max="5" width="12.28515625" style="611" customWidth="1"/>
    <col min="6" max="8" width="12.7109375" style="610" customWidth="1"/>
    <col min="9" max="9" width="14.85546875" style="840" hidden="1" customWidth="1"/>
    <col min="10" max="10" width="17" style="840" hidden="1" customWidth="1"/>
    <col min="11" max="11" width="14.85546875" style="840" hidden="1" customWidth="1"/>
    <col min="12" max="12" width="15" style="611" customWidth="1"/>
    <col min="13" max="13" width="11.42578125" style="613" bestFit="1" customWidth="1"/>
    <col min="14" max="14" width="20.85546875" style="596" hidden="1" customWidth="1"/>
    <col min="15" max="15" width="15.5703125" style="597" hidden="1" customWidth="1"/>
    <col min="16" max="16" width="12.42578125" style="598" hidden="1" customWidth="1"/>
    <col min="17" max="17" width="22" style="599" hidden="1" customWidth="1"/>
    <col min="18" max="18" width="10.140625" style="600" hidden="1" customWidth="1"/>
    <col min="19" max="19" width="11.5703125" style="601" hidden="1" customWidth="1"/>
    <col min="20" max="20" width="10.28515625" style="600" hidden="1" customWidth="1"/>
    <col min="21" max="21" width="13.42578125" style="602" hidden="1" customWidth="1"/>
    <col min="22" max="22" width="0" style="602" hidden="1" customWidth="1"/>
    <col min="23" max="23" width="9.140625" style="602"/>
    <col min="24" max="24" width="9.140625" style="603"/>
    <col min="25" max="30" width="9.140625" style="600"/>
    <col min="31" max="16384" width="9.140625" style="604"/>
  </cols>
  <sheetData>
    <row r="1" spans="1:14" ht="11.25" customHeight="1" x14ac:dyDescent="0.2">
      <c r="A1" s="558" t="s">
        <v>633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</row>
    <row r="2" spans="1:14" ht="14.1" customHeight="1" x14ac:dyDescent="0.2">
      <c r="A2" s="558"/>
      <c r="B2" s="558"/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</row>
    <row r="3" spans="1:14" ht="2.25" customHeight="1" x14ac:dyDescent="0.2">
      <c r="A3" s="558"/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</row>
    <row r="4" spans="1:14" x14ac:dyDescent="0.2">
      <c r="A4" s="558"/>
      <c r="B4" s="558"/>
      <c r="C4" s="558"/>
      <c r="D4" s="558"/>
      <c r="E4" s="558"/>
      <c r="F4" s="558"/>
      <c r="G4" s="558"/>
      <c r="H4" s="558"/>
      <c r="I4" s="558"/>
      <c r="J4" s="558"/>
      <c r="K4" s="558"/>
      <c r="L4" s="558"/>
      <c r="M4" s="558"/>
    </row>
    <row r="5" spans="1:14" ht="13.5" customHeight="1" x14ac:dyDescent="0.2">
      <c r="A5" s="605"/>
      <c r="B5" s="605"/>
      <c r="C5" s="605"/>
      <c r="D5" s="605"/>
      <c r="E5" s="605"/>
      <c r="F5" s="605"/>
      <c r="G5" s="605"/>
      <c r="H5" s="605"/>
      <c r="I5" s="605"/>
      <c r="J5" s="605"/>
      <c r="K5" s="605"/>
      <c r="L5" s="605"/>
      <c r="M5" s="605"/>
    </row>
    <row r="6" spans="1:14" ht="12" customHeight="1" x14ac:dyDescent="0.2">
      <c r="A6" s="606" t="s">
        <v>632</v>
      </c>
      <c r="B6" s="606"/>
      <c r="C6" s="606"/>
      <c r="D6" s="606"/>
      <c r="E6" s="606"/>
      <c r="F6" s="606"/>
      <c r="G6" s="606"/>
      <c r="H6" s="606"/>
      <c r="I6" s="606"/>
      <c r="J6" s="606"/>
      <c r="K6" s="606"/>
      <c r="L6" s="606"/>
      <c r="M6" s="606"/>
      <c r="N6" s="607"/>
    </row>
    <row r="7" spans="1:14" ht="3" customHeight="1" thickBot="1" x14ac:dyDescent="0.25">
      <c r="D7" s="610"/>
      <c r="I7" s="610"/>
      <c r="J7" s="610"/>
      <c r="K7" s="612"/>
      <c r="N7" s="607"/>
    </row>
    <row r="8" spans="1:14" ht="24" customHeight="1" thickBot="1" x14ac:dyDescent="0.25">
      <c r="A8" s="614" t="s">
        <v>311</v>
      </c>
      <c r="B8" s="615"/>
      <c r="C8" s="615"/>
      <c r="D8" s="615"/>
      <c r="E8" s="615"/>
      <c r="F8" s="615"/>
      <c r="G8" s="615"/>
      <c r="H8" s="615"/>
      <c r="I8" s="615"/>
      <c r="J8" s="615"/>
      <c r="K8" s="615"/>
      <c r="L8" s="615"/>
      <c r="M8" s="616"/>
      <c r="N8" s="607"/>
    </row>
    <row r="9" spans="1:14" ht="15" customHeight="1" x14ac:dyDescent="0.2">
      <c r="A9" s="617"/>
      <c r="B9" s="618" t="s">
        <v>53</v>
      </c>
      <c r="C9" s="619"/>
      <c r="D9" s="619"/>
      <c r="E9" s="620"/>
      <c r="F9" s="385">
        <f>'8.A'!$C$43</f>
        <v>0</v>
      </c>
      <c r="G9" s="386"/>
      <c r="H9" s="386"/>
      <c r="I9" s="386"/>
      <c r="J9" s="386"/>
      <c r="K9" s="387"/>
      <c r="L9" s="621" t="s">
        <v>234</v>
      </c>
      <c r="M9" s="622">
        <v>46023</v>
      </c>
      <c r="N9" s="607"/>
    </row>
    <row r="10" spans="1:14" ht="15" customHeight="1" thickBot="1" x14ac:dyDescent="0.25">
      <c r="A10" s="623"/>
      <c r="B10" s="624" t="str">
        <f>"BDI"</f>
        <v>BDI</v>
      </c>
      <c r="C10" s="625"/>
      <c r="D10" s="625"/>
      <c r="E10" s="626"/>
      <c r="F10" s="388">
        <f>'7.A'!$E$29</f>
        <v>0</v>
      </c>
      <c r="G10" s="389"/>
      <c r="H10" s="389"/>
      <c r="I10" s="389"/>
      <c r="J10" s="389"/>
      <c r="K10" s="390"/>
      <c r="L10" s="627"/>
      <c r="M10" s="628"/>
      <c r="N10" s="607"/>
    </row>
    <row r="11" spans="1:14" ht="6.95" customHeight="1" thickBot="1" x14ac:dyDescent="0.25">
      <c r="D11" s="77"/>
      <c r="E11" s="78"/>
      <c r="F11" s="79"/>
      <c r="G11" s="79"/>
      <c r="H11" s="79"/>
      <c r="I11" s="80"/>
      <c r="J11" s="80"/>
      <c r="K11" s="80"/>
      <c r="L11" s="629"/>
      <c r="N11" s="607"/>
    </row>
    <row r="12" spans="1:14" ht="18.75" customHeight="1" thickBot="1" x14ac:dyDescent="0.25">
      <c r="A12" s="630" t="s">
        <v>309</v>
      </c>
      <c r="B12" s="631"/>
      <c r="C12" s="631"/>
      <c r="D12" s="631"/>
      <c r="E12" s="631"/>
      <c r="F12" s="631"/>
      <c r="G12" s="631"/>
      <c r="H12" s="631"/>
      <c r="I12" s="631"/>
      <c r="J12" s="631"/>
      <c r="K12" s="631"/>
      <c r="L12" s="631"/>
      <c r="M12" s="632"/>
      <c r="N12" s="607"/>
    </row>
    <row r="13" spans="1:14" ht="6.95" customHeight="1" thickBot="1" x14ac:dyDescent="0.25">
      <c r="D13" s="77"/>
      <c r="E13" s="78"/>
      <c r="F13" s="79"/>
      <c r="G13" s="79"/>
      <c r="H13" s="79"/>
      <c r="I13" s="80"/>
      <c r="J13" s="80"/>
      <c r="K13" s="80"/>
      <c r="L13" s="629"/>
      <c r="N13" s="607"/>
    </row>
    <row r="14" spans="1:14" ht="18.75" customHeight="1" x14ac:dyDescent="0.2">
      <c r="A14" s="633" t="s">
        <v>18</v>
      </c>
      <c r="B14" s="634" t="s">
        <v>19</v>
      </c>
      <c r="C14" s="635" t="s">
        <v>66</v>
      </c>
      <c r="D14" s="636" t="s">
        <v>20</v>
      </c>
      <c r="E14" s="637" t="s">
        <v>21</v>
      </c>
      <c r="F14" s="638" t="s">
        <v>22</v>
      </c>
      <c r="G14" s="639" t="s">
        <v>19</v>
      </c>
      <c r="H14" s="640" t="s">
        <v>17</v>
      </c>
      <c r="I14" s="638" t="s">
        <v>22</v>
      </c>
      <c r="J14" s="639" t="s">
        <v>19</v>
      </c>
      <c r="K14" s="640" t="s">
        <v>55</v>
      </c>
      <c r="L14" s="641" t="s">
        <v>21</v>
      </c>
      <c r="M14" s="642" t="s">
        <v>23</v>
      </c>
      <c r="N14" s="607"/>
    </row>
    <row r="15" spans="1:14" ht="15.95" customHeight="1" thickBot="1" x14ac:dyDescent="0.25">
      <c r="A15" s="643"/>
      <c r="B15" s="644"/>
      <c r="C15" s="645"/>
      <c r="D15" s="646"/>
      <c r="E15" s="647" t="s">
        <v>24</v>
      </c>
      <c r="F15" s="648" t="s">
        <v>25</v>
      </c>
      <c r="G15" s="649" t="s">
        <v>25</v>
      </c>
      <c r="H15" s="650" t="s">
        <v>25</v>
      </c>
      <c r="I15" s="648" t="s">
        <v>25</v>
      </c>
      <c r="J15" s="649" t="s">
        <v>25</v>
      </c>
      <c r="K15" s="650" t="s">
        <v>25</v>
      </c>
      <c r="L15" s="651" t="s">
        <v>26</v>
      </c>
      <c r="M15" s="652"/>
      <c r="N15" s="607"/>
    </row>
    <row r="16" spans="1:14" ht="6.95" customHeight="1" thickBot="1" x14ac:dyDescent="0.25">
      <c r="D16" s="77"/>
      <c r="E16" s="78"/>
      <c r="F16" s="79"/>
      <c r="G16" s="79"/>
      <c r="H16" s="79"/>
      <c r="I16" s="80"/>
      <c r="J16" s="80"/>
      <c r="K16" s="80"/>
      <c r="L16" s="629"/>
      <c r="N16" s="607"/>
    </row>
    <row r="17" spans="1:30" ht="20.100000000000001" customHeight="1" x14ac:dyDescent="0.2">
      <c r="A17" s="633" t="s">
        <v>3</v>
      </c>
      <c r="B17" s="653" t="s">
        <v>9</v>
      </c>
      <c r="C17" s="635" t="s">
        <v>27</v>
      </c>
      <c r="D17" s="635"/>
      <c r="E17" s="654"/>
      <c r="F17" s="638">
        <f>I17</f>
        <v>0</v>
      </c>
      <c r="G17" s="639">
        <f>J17</f>
        <v>0</v>
      </c>
      <c r="H17" s="640">
        <f>K17</f>
        <v>0</v>
      </c>
      <c r="I17" s="655">
        <f>SUM(I19:I22)</f>
        <v>0</v>
      </c>
      <c r="J17" s="656">
        <f>SUM(J19:J22)</f>
        <v>0</v>
      </c>
      <c r="K17" s="657">
        <f>SUM(K19:K22)</f>
        <v>0</v>
      </c>
      <c r="L17" s="658">
        <f>F17+G17+H17</f>
        <v>0</v>
      </c>
      <c r="M17" s="642" t="e">
        <f>ROUND(L17/$L$93,6)</f>
        <v>#DIV/0!</v>
      </c>
      <c r="N17" s="607"/>
      <c r="O17" s="659"/>
      <c r="P17" s="659"/>
      <c r="Q17" s="659"/>
    </row>
    <row r="18" spans="1:30" ht="20.100000000000001" customHeight="1" thickBot="1" x14ac:dyDescent="0.25">
      <c r="A18" s="660"/>
      <c r="B18" s="661"/>
      <c r="C18" s="645"/>
      <c r="D18" s="645"/>
      <c r="E18" s="662"/>
      <c r="F18" s="248" t="e">
        <f>F17/L17</f>
        <v>#DIV/0!</v>
      </c>
      <c r="G18" s="249" t="e">
        <f>G17/L17</f>
        <v>#DIV/0!</v>
      </c>
      <c r="H18" s="250" t="e">
        <f>H17/L17</f>
        <v>#DIV/0!</v>
      </c>
      <c r="I18" s="251" t="str">
        <f>IF(F17=I17,"SIM","NÃO")</f>
        <v>SIM</v>
      </c>
      <c r="J18" s="252" t="str">
        <f>IF(G17=J17,"SIM","NÃO")</f>
        <v>SIM</v>
      </c>
      <c r="K18" s="253" t="str">
        <f>IF(H17=K17,"SIM","NÃO")</f>
        <v>SIM</v>
      </c>
      <c r="L18" s="663"/>
      <c r="M18" s="652"/>
      <c r="N18" s="607"/>
      <c r="O18" s="664" t="s">
        <v>158</v>
      </c>
      <c r="P18" s="664"/>
      <c r="Q18" s="665" t="s">
        <v>159</v>
      </c>
    </row>
    <row r="19" spans="1:30" s="684" customFormat="1" ht="20.100000000000001" customHeight="1" x14ac:dyDescent="0.2">
      <c r="A19" s="666" t="s">
        <v>4</v>
      </c>
      <c r="B19" s="667" t="s">
        <v>140</v>
      </c>
      <c r="C19" s="668" t="s">
        <v>131</v>
      </c>
      <c r="D19" s="669">
        <v>1</v>
      </c>
      <c r="E19" s="670">
        <f t="shared" ref="E19:E22" si="0">G19+H19+F19</f>
        <v>0</v>
      </c>
      <c r="F19" s="671">
        <f>'5.A'!$F$26</f>
        <v>0</v>
      </c>
      <c r="G19" s="672">
        <f>'5.A'!$F$39</f>
        <v>0</v>
      </c>
      <c r="H19" s="673">
        <f>'5.A'!$F$62</f>
        <v>0</v>
      </c>
      <c r="I19" s="674">
        <f t="shared" ref="I19:I22" si="1">ROUND(F19*D19,2)</f>
        <v>0</v>
      </c>
      <c r="J19" s="675">
        <f t="shared" ref="J19:J22" si="2">ROUND(G19*D19,2)</f>
        <v>0</v>
      </c>
      <c r="K19" s="676">
        <f t="shared" ref="K19:K22" si="3">ROUND(H19*D19,2)</f>
        <v>0</v>
      </c>
      <c r="L19" s="677">
        <f t="shared" ref="L19:L22" si="4">ROUND(D19*F19,2)+ROUND(D19*G19,2)+ROUND(D19*H19,2)</f>
        <v>0</v>
      </c>
      <c r="M19" s="678" t="e">
        <f>L19/$L$93</f>
        <v>#DIV/0!</v>
      </c>
      <c r="N19" s="607"/>
      <c r="O19" s="679" t="s">
        <v>235</v>
      </c>
      <c r="P19" s="680" t="s">
        <v>236</v>
      </c>
      <c r="Q19" s="681"/>
      <c r="R19" s="600"/>
      <c r="S19" s="601"/>
      <c r="T19" s="600"/>
      <c r="U19" s="682"/>
      <c r="V19" s="683"/>
      <c r="W19" s="602"/>
      <c r="X19" s="603"/>
      <c r="Y19" s="600"/>
      <c r="Z19" s="600"/>
      <c r="AA19" s="600"/>
      <c r="AB19" s="600"/>
      <c r="AC19" s="600"/>
      <c r="AD19" s="600"/>
    </row>
    <row r="20" spans="1:30" s="684" customFormat="1" ht="20.100000000000001" customHeight="1" x14ac:dyDescent="0.2">
      <c r="A20" s="685" t="s">
        <v>141</v>
      </c>
      <c r="B20" s="686" t="s">
        <v>138</v>
      </c>
      <c r="C20" s="687" t="s">
        <v>131</v>
      </c>
      <c r="D20" s="688">
        <v>1</v>
      </c>
      <c r="E20" s="689">
        <f t="shared" si="0"/>
        <v>0</v>
      </c>
      <c r="F20" s="690">
        <f>'5.A'!$F$78</f>
        <v>0</v>
      </c>
      <c r="G20" s="691">
        <f>'5.A'!$F$91</f>
        <v>0</v>
      </c>
      <c r="H20" s="692">
        <f>'5.A'!$F$114</f>
        <v>0</v>
      </c>
      <c r="I20" s="693">
        <f t="shared" si="1"/>
        <v>0</v>
      </c>
      <c r="J20" s="694">
        <f t="shared" si="2"/>
        <v>0</v>
      </c>
      <c r="K20" s="695">
        <f t="shared" si="3"/>
        <v>0</v>
      </c>
      <c r="L20" s="696">
        <f t="shared" si="4"/>
        <v>0</v>
      </c>
      <c r="M20" s="697" t="e">
        <f>L20/$L$93</f>
        <v>#DIV/0!</v>
      </c>
      <c r="N20" s="607"/>
      <c r="O20" s="679"/>
      <c r="P20" s="680"/>
      <c r="Q20" s="681"/>
      <c r="R20" s="600"/>
      <c r="S20" s="601"/>
      <c r="T20" s="600"/>
      <c r="U20" s="682"/>
      <c r="V20" s="683"/>
      <c r="W20" s="602"/>
      <c r="X20" s="603"/>
      <c r="Y20" s="600"/>
      <c r="Z20" s="600"/>
      <c r="AA20" s="600"/>
      <c r="AB20" s="600"/>
      <c r="AC20" s="600"/>
      <c r="AD20" s="600"/>
    </row>
    <row r="21" spans="1:30" s="684" customFormat="1" ht="20.100000000000001" customHeight="1" x14ac:dyDescent="0.2">
      <c r="A21" s="685" t="s">
        <v>2</v>
      </c>
      <c r="B21" s="686" t="s">
        <v>139</v>
      </c>
      <c r="C21" s="687" t="s">
        <v>131</v>
      </c>
      <c r="D21" s="688">
        <v>1</v>
      </c>
      <c r="E21" s="689">
        <f t="shared" si="0"/>
        <v>0</v>
      </c>
      <c r="F21" s="690">
        <f>'5.A'!$F$130</f>
        <v>0</v>
      </c>
      <c r="G21" s="691">
        <f>'5.A'!$F$143</f>
        <v>0</v>
      </c>
      <c r="H21" s="692">
        <f>'5.A'!$F$166</f>
        <v>0</v>
      </c>
      <c r="I21" s="693">
        <f t="shared" si="1"/>
        <v>0</v>
      </c>
      <c r="J21" s="694">
        <f t="shared" si="2"/>
        <v>0</v>
      </c>
      <c r="K21" s="695">
        <f t="shared" si="3"/>
        <v>0</v>
      </c>
      <c r="L21" s="696">
        <f t="shared" si="4"/>
        <v>0</v>
      </c>
      <c r="M21" s="697" t="e">
        <f>L21/$L$93</f>
        <v>#DIV/0!</v>
      </c>
      <c r="N21" s="607"/>
      <c r="O21" s="679"/>
      <c r="P21" s="680"/>
      <c r="Q21" s="681"/>
      <c r="R21" s="600"/>
      <c r="S21" s="601"/>
      <c r="T21" s="600"/>
      <c r="U21" s="682"/>
      <c r="V21" s="683"/>
      <c r="W21" s="602"/>
      <c r="X21" s="603"/>
      <c r="Y21" s="600"/>
      <c r="Z21" s="600"/>
      <c r="AA21" s="600"/>
      <c r="AB21" s="600"/>
      <c r="AC21" s="600"/>
      <c r="AD21" s="600"/>
    </row>
    <row r="22" spans="1:30" s="684" customFormat="1" ht="20.100000000000001" customHeight="1" thickBot="1" x14ac:dyDescent="0.25">
      <c r="A22" s="698" t="s">
        <v>142</v>
      </c>
      <c r="B22" s="699" t="s">
        <v>137</v>
      </c>
      <c r="C22" s="700" t="s">
        <v>48</v>
      </c>
      <c r="D22" s="701">
        <f>1.5*4</f>
        <v>6</v>
      </c>
      <c r="E22" s="702">
        <f t="shared" si="0"/>
        <v>0</v>
      </c>
      <c r="F22" s="245">
        <f>'5.A'!$F$182</f>
        <v>0</v>
      </c>
      <c r="G22" s="246">
        <f>'5.A'!$F$195</f>
        <v>0</v>
      </c>
      <c r="H22" s="703">
        <f>'5.A'!$F$218</f>
        <v>0</v>
      </c>
      <c r="I22" s="704">
        <f t="shared" si="1"/>
        <v>0</v>
      </c>
      <c r="J22" s="257">
        <f t="shared" si="2"/>
        <v>0</v>
      </c>
      <c r="K22" s="258">
        <f t="shared" si="3"/>
        <v>0</v>
      </c>
      <c r="L22" s="705">
        <f t="shared" si="4"/>
        <v>0</v>
      </c>
      <c r="M22" s="706" t="e">
        <f>L22/$L$93</f>
        <v>#DIV/0!</v>
      </c>
      <c r="N22" s="607"/>
      <c r="O22" s="679" t="s">
        <v>28</v>
      </c>
      <c r="P22" s="680">
        <v>103689</v>
      </c>
      <c r="Q22" s="681"/>
      <c r="R22" s="600"/>
      <c r="S22" s="601"/>
      <c r="T22" s="600"/>
      <c r="U22" s="682"/>
      <c r="V22" s="683"/>
      <c r="W22" s="602"/>
      <c r="X22" s="603"/>
      <c r="Y22" s="600"/>
      <c r="Z22" s="600"/>
      <c r="AA22" s="600"/>
      <c r="AB22" s="600"/>
      <c r="AC22" s="600"/>
      <c r="AD22" s="600"/>
    </row>
    <row r="23" spans="1:30" ht="6.95" customHeight="1" thickBot="1" x14ac:dyDescent="0.25">
      <c r="B23" s="707"/>
      <c r="C23" s="610"/>
      <c r="D23" s="77"/>
      <c r="E23" s="78"/>
      <c r="F23" s="81"/>
      <c r="G23" s="81"/>
      <c r="H23" s="81"/>
      <c r="I23" s="82"/>
      <c r="J23" s="82"/>
      <c r="K23" s="80"/>
      <c r="L23" s="629"/>
      <c r="N23" s="607"/>
      <c r="O23" s="708"/>
      <c r="P23" s="708"/>
      <c r="Q23" s="681"/>
      <c r="V23" s="683"/>
    </row>
    <row r="24" spans="1:30" ht="20.100000000000001" customHeight="1" x14ac:dyDescent="0.2">
      <c r="A24" s="709" t="s">
        <v>5</v>
      </c>
      <c r="B24" s="710" t="s">
        <v>266</v>
      </c>
      <c r="C24" s="711" t="s">
        <v>27</v>
      </c>
      <c r="D24" s="712"/>
      <c r="E24" s="713"/>
      <c r="F24" s="638">
        <f>I24</f>
        <v>0</v>
      </c>
      <c r="G24" s="639">
        <f>J24</f>
        <v>0</v>
      </c>
      <c r="H24" s="640">
        <f>K24</f>
        <v>0</v>
      </c>
      <c r="I24" s="655">
        <f>SUM(I26:I29)</f>
        <v>0</v>
      </c>
      <c r="J24" s="656">
        <f>SUM(J26:J29)</f>
        <v>0</v>
      </c>
      <c r="K24" s="657">
        <f>SUM(K26:K29)</f>
        <v>0</v>
      </c>
      <c r="L24" s="714">
        <f>F24+G24+H24</f>
        <v>0</v>
      </c>
      <c r="M24" s="642" t="e">
        <f>ROUND(L24/$L$93,6)</f>
        <v>#DIV/0!</v>
      </c>
      <c r="N24" s="607"/>
      <c r="O24" s="600"/>
      <c r="P24" s="600"/>
      <c r="V24" s="683"/>
    </row>
    <row r="25" spans="1:30" ht="20.100000000000001" customHeight="1" thickBot="1" x14ac:dyDescent="0.25">
      <c r="A25" s="715"/>
      <c r="B25" s="716"/>
      <c r="C25" s="717"/>
      <c r="D25" s="718"/>
      <c r="E25" s="719"/>
      <c r="F25" s="248" t="e">
        <f>F24/L24</f>
        <v>#DIV/0!</v>
      </c>
      <c r="G25" s="249" t="e">
        <f>G24/L24</f>
        <v>#DIV/0!</v>
      </c>
      <c r="H25" s="250" t="e">
        <f>H24/L24</f>
        <v>#DIV/0!</v>
      </c>
      <c r="I25" s="251" t="str">
        <f>IF(F24=I24,"SIM","NÃO")</f>
        <v>SIM</v>
      </c>
      <c r="J25" s="252" t="str">
        <f>IF(G24=J24,"SIM","NÃO")</f>
        <v>SIM</v>
      </c>
      <c r="K25" s="253" t="str">
        <f>IF(H24=K24,"SIM","NÃO")</f>
        <v>SIM</v>
      </c>
      <c r="L25" s="720"/>
      <c r="M25" s="652"/>
      <c r="N25" s="607"/>
      <c r="O25" s="664" t="s">
        <v>158</v>
      </c>
      <c r="P25" s="664"/>
      <c r="Q25" s="665" t="s">
        <v>159</v>
      </c>
      <c r="V25" s="683"/>
    </row>
    <row r="26" spans="1:30" s="684" customFormat="1" ht="20.100000000000001" customHeight="1" x14ac:dyDescent="0.2">
      <c r="A26" s="685" t="s">
        <v>152</v>
      </c>
      <c r="B26" s="721" t="s">
        <v>316</v>
      </c>
      <c r="C26" s="687" t="s">
        <v>45</v>
      </c>
      <c r="D26" s="688">
        <v>1</v>
      </c>
      <c r="E26" s="722">
        <f t="shared" ref="E26:E28" si="5">G26+H26+F26</f>
        <v>0</v>
      </c>
      <c r="F26" s="690">
        <f>'5.A'!$F$234</f>
        <v>0</v>
      </c>
      <c r="G26" s="691">
        <f>'5.A'!$F$247</f>
        <v>0</v>
      </c>
      <c r="H26" s="692">
        <f>'5.A'!$F$270</f>
        <v>0</v>
      </c>
      <c r="I26" s="693">
        <f t="shared" ref="I26:I28" si="6">ROUND(F26*D26,2)</f>
        <v>0</v>
      </c>
      <c r="J26" s="694">
        <f t="shared" ref="J26:J28" si="7">ROUND(G26*D26,2)</f>
        <v>0</v>
      </c>
      <c r="K26" s="695">
        <f t="shared" ref="K26:K28" si="8">ROUND(H26*D26,2)</f>
        <v>0</v>
      </c>
      <c r="L26" s="696">
        <f t="shared" ref="L26:L28" si="9">ROUND(D26*F26,2)+ROUND(D26*G26,2)+ROUND(D26*H26,2)</f>
        <v>0</v>
      </c>
      <c r="M26" s="697" t="e">
        <f>L26/$L$93</f>
        <v>#DIV/0!</v>
      </c>
      <c r="N26" s="607"/>
      <c r="O26" s="679" t="s">
        <v>166</v>
      </c>
      <c r="P26" s="680" t="s">
        <v>167</v>
      </c>
      <c r="Q26" s="681"/>
      <c r="R26" s="600"/>
      <c r="S26" s="601">
        <v>775</v>
      </c>
      <c r="T26" s="600"/>
      <c r="U26" s="682"/>
      <c r="V26" s="683"/>
      <c r="W26" s="602"/>
      <c r="X26" s="603"/>
      <c r="Y26" s="600"/>
      <c r="Z26" s="600"/>
      <c r="AA26" s="600"/>
      <c r="AB26" s="600"/>
      <c r="AC26" s="600"/>
      <c r="AD26" s="600"/>
    </row>
    <row r="27" spans="1:30" s="684" customFormat="1" ht="20.100000000000001" customHeight="1" x14ac:dyDescent="0.2">
      <c r="A27" s="685" t="s">
        <v>286</v>
      </c>
      <c r="B27" s="721" t="s">
        <v>317</v>
      </c>
      <c r="C27" s="687" t="s">
        <v>45</v>
      </c>
      <c r="D27" s="688">
        <v>1</v>
      </c>
      <c r="E27" s="722">
        <f t="shared" si="5"/>
        <v>0</v>
      </c>
      <c r="F27" s="690">
        <f>'5.A'!$F$286</f>
        <v>0</v>
      </c>
      <c r="G27" s="691">
        <f>'5.A'!$F$299</f>
        <v>0</v>
      </c>
      <c r="H27" s="692">
        <f>'5.A'!$F$322</f>
        <v>0</v>
      </c>
      <c r="I27" s="693">
        <f t="shared" si="6"/>
        <v>0</v>
      </c>
      <c r="J27" s="694">
        <f t="shared" si="7"/>
        <v>0</v>
      </c>
      <c r="K27" s="695">
        <f t="shared" si="8"/>
        <v>0</v>
      </c>
      <c r="L27" s="696">
        <f t="shared" si="9"/>
        <v>0</v>
      </c>
      <c r="M27" s="697" t="e">
        <f>L27/$L$93</f>
        <v>#DIV/0!</v>
      </c>
      <c r="N27" s="607"/>
      <c r="O27" s="679" t="s">
        <v>166</v>
      </c>
      <c r="P27" s="680" t="s">
        <v>167</v>
      </c>
      <c r="Q27" s="681"/>
      <c r="R27" s="600"/>
      <c r="S27" s="601">
        <v>775</v>
      </c>
      <c r="T27" s="600"/>
      <c r="U27" s="682"/>
      <c r="V27" s="683"/>
      <c r="W27" s="602"/>
      <c r="X27" s="603"/>
      <c r="Y27" s="600"/>
      <c r="Z27" s="600"/>
      <c r="AA27" s="600"/>
      <c r="AB27" s="600"/>
      <c r="AC27" s="600"/>
      <c r="AD27" s="600"/>
    </row>
    <row r="28" spans="1:30" s="684" customFormat="1" ht="20.100000000000001" customHeight="1" x14ac:dyDescent="0.2">
      <c r="A28" s="685" t="s">
        <v>532</v>
      </c>
      <c r="B28" s="686" t="s">
        <v>318</v>
      </c>
      <c r="C28" s="687" t="s">
        <v>45</v>
      </c>
      <c r="D28" s="688">
        <v>1</v>
      </c>
      <c r="E28" s="722">
        <f t="shared" si="5"/>
        <v>0</v>
      </c>
      <c r="F28" s="690">
        <f>'5.A'!$F$338</f>
        <v>0</v>
      </c>
      <c r="G28" s="691">
        <f>'5.A'!$F$351</f>
        <v>0</v>
      </c>
      <c r="H28" s="692">
        <f>'5.A'!$F$374</f>
        <v>0</v>
      </c>
      <c r="I28" s="693">
        <f t="shared" si="6"/>
        <v>0</v>
      </c>
      <c r="J28" s="694">
        <f t="shared" si="7"/>
        <v>0</v>
      </c>
      <c r="K28" s="695">
        <f t="shared" si="8"/>
        <v>0</v>
      </c>
      <c r="L28" s="696">
        <f t="shared" si="9"/>
        <v>0</v>
      </c>
      <c r="M28" s="697" t="e">
        <f>L28/$L$93</f>
        <v>#DIV/0!</v>
      </c>
      <c r="N28" s="607"/>
      <c r="O28" s="679" t="s">
        <v>166</v>
      </c>
      <c r="P28" s="680" t="s">
        <v>167</v>
      </c>
      <c r="Q28" s="681"/>
      <c r="R28" s="600"/>
      <c r="S28" s="601">
        <v>775</v>
      </c>
      <c r="T28" s="600"/>
      <c r="U28" s="682"/>
      <c r="V28" s="683"/>
      <c r="W28" s="602"/>
      <c r="X28" s="603"/>
      <c r="Y28" s="600"/>
      <c r="Z28" s="600"/>
      <c r="AA28" s="600"/>
      <c r="AB28" s="600"/>
      <c r="AC28" s="600"/>
      <c r="AD28" s="600"/>
    </row>
    <row r="29" spans="1:30" ht="20.100000000000001" customHeight="1" thickBot="1" x14ac:dyDescent="0.25">
      <c r="A29" s="723" t="s">
        <v>533</v>
      </c>
      <c r="B29" s="724" t="s">
        <v>319</v>
      </c>
      <c r="C29" s="725" t="s">
        <v>45</v>
      </c>
      <c r="D29" s="378">
        <v>1</v>
      </c>
      <c r="E29" s="244">
        <f t="shared" ref="E29" si="10">G29+H29+F29</f>
        <v>0</v>
      </c>
      <c r="F29" s="245">
        <f>'5.A'!$F$390</f>
        <v>0</v>
      </c>
      <c r="G29" s="246">
        <f>'5.A'!$F$403</f>
        <v>0</v>
      </c>
      <c r="H29" s="247">
        <f>'5.A'!$F$426</f>
        <v>0</v>
      </c>
      <c r="I29" s="256">
        <f t="shared" ref="I29" si="11">ROUND(F29*D29,2)</f>
        <v>0</v>
      </c>
      <c r="J29" s="257">
        <f t="shared" ref="J29" si="12">ROUND(G29*D29,2)</f>
        <v>0</v>
      </c>
      <c r="K29" s="258">
        <f t="shared" ref="K29" si="13">ROUND(H29*D29,2)</f>
        <v>0</v>
      </c>
      <c r="L29" s="726">
        <f t="shared" ref="L29" si="14">ROUND(D29*F29,2)+ROUND(D29*G29,2)+ROUND(D29*H29,2)</f>
        <v>0</v>
      </c>
      <c r="M29" s="727" t="e">
        <f>L29/$L$93</f>
        <v>#DIV/0!</v>
      </c>
      <c r="N29" s="607"/>
      <c r="O29" s="728" t="s">
        <v>166</v>
      </c>
      <c r="P29" s="729" t="s">
        <v>167</v>
      </c>
      <c r="Q29" s="681"/>
      <c r="S29" s="730">
        <v>775</v>
      </c>
      <c r="V29" s="683"/>
    </row>
    <row r="30" spans="1:30" ht="6.95" customHeight="1" thickBot="1" x14ac:dyDescent="0.25">
      <c r="B30" s="707"/>
      <c r="C30" s="610"/>
      <c r="D30" s="77"/>
      <c r="E30" s="78"/>
      <c r="F30" s="81"/>
      <c r="G30" s="81"/>
      <c r="H30" s="81"/>
      <c r="I30" s="82"/>
      <c r="J30" s="82"/>
      <c r="K30" s="80"/>
      <c r="L30" s="629"/>
      <c r="N30" s="607"/>
      <c r="O30" s="600"/>
      <c r="P30" s="600"/>
      <c r="V30" s="683"/>
    </row>
    <row r="31" spans="1:30" ht="20.100000000000001" customHeight="1" x14ac:dyDescent="0.2">
      <c r="A31" s="633" t="s">
        <v>6</v>
      </c>
      <c r="B31" s="653" t="s">
        <v>162</v>
      </c>
      <c r="C31" s="635" t="s">
        <v>27</v>
      </c>
      <c r="D31" s="635"/>
      <c r="E31" s="654"/>
      <c r="F31" s="638">
        <f>I31</f>
        <v>0</v>
      </c>
      <c r="G31" s="639">
        <f>J31</f>
        <v>0</v>
      </c>
      <c r="H31" s="640">
        <f>K31</f>
        <v>0</v>
      </c>
      <c r="I31" s="655">
        <f>SUM(I34:I84)</f>
        <v>0</v>
      </c>
      <c r="J31" s="656">
        <f>SUM(J34:J84)</f>
        <v>0</v>
      </c>
      <c r="K31" s="657">
        <f>SUM(K34:K84)</f>
        <v>0</v>
      </c>
      <c r="L31" s="658">
        <f>F31+G31+H31</f>
        <v>0</v>
      </c>
      <c r="M31" s="642" t="e">
        <f>ROUND(L31/$L$93,6)</f>
        <v>#DIV/0!</v>
      </c>
      <c r="N31" s="607"/>
      <c r="O31" s="600"/>
      <c r="P31" s="600"/>
      <c r="V31" s="683"/>
    </row>
    <row r="32" spans="1:30" ht="20.100000000000001" customHeight="1" thickBot="1" x14ac:dyDescent="0.25">
      <c r="A32" s="660"/>
      <c r="B32" s="661"/>
      <c r="C32" s="645"/>
      <c r="D32" s="645"/>
      <c r="E32" s="662"/>
      <c r="F32" s="248" t="e">
        <f>F31/L31</f>
        <v>#DIV/0!</v>
      </c>
      <c r="G32" s="249" t="e">
        <f>G31/L31</f>
        <v>#DIV/0!</v>
      </c>
      <c r="H32" s="250" t="e">
        <f>H31/L31</f>
        <v>#DIV/0!</v>
      </c>
      <c r="I32" s="251" t="str">
        <f>IF(F31=I31,"SIM","NÃO")</f>
        <v>SIM</v>
      </c>
      <c r="J32" s="252" t="str">
        <f>IF(G31=J31,"SIM","NÃO")</f>
        <v>SIM</v>
      </c>
      <c r="K32" s="253" t="str">
        <f>IF(H31=K31,"SIM","NÃO")</f>
        <v>SIM</v>
      </c>
      <c r="L32" s="663"/>
      <c r="M32" s="652"/>
      <c r="N32" s="607"/>
      <c r="O32" s="600"/>
      <c r="P32" s="600"/>
      <c r="V32" s="683"/>
    </row>
    <row r="33" spans="1:30" s="736" customFormat="1" ht="20.100000000000001" customHeight="1" x14ac:dyDescent="0.2">
      <c r="A33" s="731" t="s">
        <v>153</v>
      </c>
      <c r="B33" s="732" t="s">
        <v>163</v>
      </c>
      <c r="C33" s="733"/>
      <c r="D33" s="733"/>
      <c r="E33" s="733"/>
      <c r="F33" s="733"/>
      <c r="G33" s="733"/>
      <c r="H33" s="733"/>
      <c r="I33" s="733"/>
      <c r="J33" s="733"/>
      <c r="K33" s="733"/>
      <c r="L33" s="733"/>
      <c r="M33" s="734"/>
      <c r="N33" s="735"/>
      <c r="O33" s="664" t="s">
        <v>158</v>
      </c>
      <c r="P33" s="664"/>
      <c r="Q33" s="665" t="s">
        <v>159</v>
      </c>
      <c r="R33" s="600"/>
      <c r="U33" s="602"/>
      <c r="V33" s="683"/>
      <c r="W33" s="602"/>
      <c r="X33" s="737"/>
    </row>
    <row r="34" spans="1:30" s="684" customFormat="1" ht="20.100000000000001" customHeight="1" x14ac:dyDescent="0.2">
      <c r="A34" s="738" t="s">
        <v>542</v>
      </c>
      <c r="B34" s="739" t="s">
        <v>246</v>
      </c>
      <c r="C34" s="740" t="s">
        <v>45</v>
      </c>
      <c r="D34" s="741">
        <v>2</v>
      </c>
      <c r="E34" s="722">
        <f t="shared" ref="E34:E35" si="15">G34+H34+F34</f>
        <v>0</v>
      </c>
      <c r="F34" s="742">
        <f>'5.A'!$F$650</f>
        <v>0</v>
      </c>
      <c r="G34" s="691">
        <f>'5.A'!$F$663</f>
        <v>0</v>
      </c>
      <c r="H34" s="743">
        <f>'5.A'!$F$686</f>
        <v>0</v>
      </c>
      <c r="I34" s="744">
        <f t="shared" ref="I34:I35" si="16">ROUND(F34*D34,2)</f>
        <v>0</v>
      </c>
      <c r="J34" s="694">
        <f t="shared" ref="J34:J35" si="17">ROUND(G34*D34,2)</f>
        <v>0</v>
      </c>
      <c r="K34" s="695">
        <f t="shared" ref="K34:K35" si="18">ROUND(H34*D34,2)</f>
        <v>0</v>
      </c>
      <c r="L34" s="696">
        <f t="shared" ref="L34:L35" si="19">ROUND(D34*F34,2)+ROUND(D34*G34,2)+ROUND(D34*H34,2)</f>
        <v>0</v>
      </c>
      <c r="M34" s="745" t="e">
        <f t="shared" ref="M34:M42" si="20">L34/$L$93</f>
        <v>#DIV/0!</v>
      </c>
      <c r="N34" s="607"/>
      <c r="O34" s="746" t="s">
        <v>28</v>
      </c>
      <c r="P34" s="747" t="s">
        <v>243</v>
      </c>
      <c r="Q34" s="681"/>
      <c r="R34" s="600"/>
      <c r="S34" s="601">
        <f>((2.66*5.25 *4*7)+(1.33*5.25*4*2))*4</f>
        <v>1787.52</v>
      </c>
      <c r="T34" s="600"/>
      <c r="U34" s="602"/>
      <c r="V34" s="683"/>
      <c r="W34" s="602"/>
      <c r="X34" s="603"/>
      <c r="Y34" s="600"/>
      <c r="Z34" s="600"/>
      <c r="AA34" s="600"/>
      <c r="AB34" s="600"/>
      <c r="AC34" s="600"/>
      <c r="AD34" s="600"/>
    </row>
    <row r="35" spans="1:30" s="684" customFormat="1" ht="20.100000000000001" customHeight="1" x14ac:dyDescent="0.2">
      <c r="A35" s="738" t="s">
        <v>543</v>
      </c>
      <c r="B35" s="748" t="s">
        <v>279</v>
      </c>
      <c r="C35" s="747" t="s">
        <v>46</v>
      </c>
      <c r="D35" s="749">
        <v>50</v>
      </c>
      <c r="E35" s="722">
        <f t="shared" si="15"/>
        <v>0</v>
      </c>
      <c r="F35" s="690">
        <f>'5.A'!$F$702</f>
        <v>0</v>
      </c>
      <c r="G35" s="691">
        <f>'5.A'!$F$715</f>
        <v>0</v>
      </c>
      <c r="H35" s="743">
        <f>'5.A'!$F$738</f>
        <v>0</v>
      </c>
      <c r="I35" s="744">
        <f t="shared" si="16"/>
        <v>0</v>
      </c>
      <c r="J35" s="694">
        <f t="shared" si="17"/>
        <v>0</v>
      </c>
      <c r="K35" s="695">
        <f t="shared" si="18"/>
        <v>0</v>
      </c>
      <c r="L35" s="696">
        <f t="shared" si="19"/>
        <v>0</v>
      </c>
      <c r="M35" s="697" t="e">
        <f t="shared" si="20"/>
        <v>#DIV/0!</v>
      </c>
      <c r="N35" s="607"/>
      <c r="O35" s="746" t="s">
        <v>28</v>
      </c>
      <c r="P35" s="747">
        <v>97670</v>
      </c>
      <c r="Q35" s="681"/>
      <c r="R35" s="600"/>
      <c r="S35" s="730">
        <f>(((21*28*6)+(0.7*28*5))*0.5)*4</f>
        <v>7252</v>
      </c>
      <c r="T35" s="600"/>
      <c r="U35" s="602"/>
      <c r="V35" s="683"/>
      <c r="W35" s="602"/>
      <c r="X35" s="603"/>
      <c r="Y35" s="600"/>
      <c r="Z35" s="600"/>
      <c r="AA35" s="600"/>
      <c r="AB35" s="600"/>
      <c r="AC35" s="600"/>
      <c r="AD35" s="600"/>
    </row>
    <row r="36" spans="1:30" s="684" customFormat="1" ht="20.100000000000001" customHeight="1" x14ac:dyDescent="0.2">
      <c r="A36" s="738" t="s">
        <v>544</v>
      </c>
      <c r="B36" s="750" t="s">
        <v>280</v>
      </c>
      <c r="C36" s="747" t="s">
        <v>46</v>
      </c>
      <c r="D36" s="749">
        <v>6</v>
      </c>
      <c r="E36" s="722">
        <f>G36+H36+F36</f>
        <v>0</v>
      </c>
      <c r="F36" s="690">
        <f>'5.A'!$F$754</f>
        <v>0</v>
      </c>
      <c r="G36" s="691">
        <f>'5.A'!$F$767</f>
        <v>0</v>
      </c>
      <c r="H36" s="743">
        <f>'5.A'!$F$790</f>
        <v>0</v>
      </c>
      <c r="I36" s="744">
        <f>ROUND(F36*D36,2)</f>
        <v>0</v>
      </c>
      <c r="J36" s="694">
        <f>ROUND(G36*D36,2)</f>
        <v>0</v>
      </c>
      <c r="K36" s="695">
        <f>ROUND(H36*D36,2)</f>
        <v>0</v>
      </c>
      <c r="L36" s="696">
        <f>ROUND(D36*F36,2)+ROUND(D36*G36,2)+ROUND(D36*H36,2)</f>
        <v>0</v>
      </c>
      <c r="M36" s="745" t="e">
        <f t="shared" si="20"/>
        <v>#DIV/0!</v>
      </c>
      <c r="N36" s="607"/>
      <c r="O36" s="746" t="s">
        <v>28</v>
      </c>
      <c r="P36" s="747">
        <v>93012</v>
      </c>
      <c r="Q36" s="681"/>
      <c r="R36" s="600"/>
      <c r="S36" s="730">
        <f>((21*28*6)+(0.7*28*5))*0.5*4</f>
        <v>7252</v>
      </c>
      <c r="T36" s="600"/>
      <c r="U36" s="602"/>
      <c r="V36" s="683"/>
      <c r="W36" s="602"/>
      <c r="X36" s="603"/>
      <c r="Y36" s="600"/>
      <c r="Z36" s="600"/>
      <c r="AA36" s="600"/>
      <c r="AB36" s="600"/>
      <c r="AC36" s="600"/>
      <c r="AD36" s="600"/>
    </row>
    <row r="37" spans="1:30" s="684" customFormat="1" ht="20.100000000000001" customHeight="1" x14ac:dyDescent="0.2">
      <c r="A37" s="738" t="s">
        <v>545</v>
      </c>
      <c r="B37" s="750" t="s">
        <v>281</v>
      </c>
      <c r="C37" s="740" t="s">
        <v>45</v>
      </c>
      <c r="D37" s="749">
        <v>2</v>
      </c>
      <c r="E37" s="722">
        <f t="shared" ref="E37:E50" si="21">G37+H37+F37</f>
        <v>0</v>
      </c>
      <c r="F37" s="690">
        <f>'5.A'!$F$858</f>
        <v>0</v>
      </c>
      <c r="G37" s="691">
        <f>'5.A'!$F$871</f>
        <v>0</v>
      </c>
      <c r="H37" s="743">
        <f>'5.A'!$F$894</f>
        <v>0</v>
      </c>
      <c r="I37" s="744">
        <f t="shared" ref="I37:I50" si="22">ROUND(F37*D37,2)</f>
        <v>0</v>
      </c>
      <c r="J37" s="694">
        <f t="shared" ref="J37:J50" si="23">ROUND(G37*D37,2)</f>
        <v>0</v>
      </c>
      <c r="K37" s="695">
        <f t="shared" ref="K37:K50" si="24">ROUND(H37*D37,2)</f>
        <v>0</v>
      </c>
      <c r="L37" s="696">
        <f t="shared" ref="L37:L50" si="25">ROUND(D37*F37,2)+ROUND(D37*G37,2)+ROUND(D37*H37,2)</f>
        <v>0</v>
      </c>
      <c r="M37" s="745" t="e">
        <f t="shared" si="20"/>
        <v>#DIV/0!</v>
      </c>
      <c r="N37" s="607"/>
      <c r="O37" s="746" t="s">
        <v>28</v>
      </c>
      <c r="P37" s="747">
        <v>93026</v>
      </c>
      <c r="Q37" s="681"/>
      <c r="R37" s="600"/>
      <c r="S37" s="730">
        <f t="shared" ref="S37:S50" si="26">((21*28*6)+(0.7*28*5))*0.5*4</f>
        <v>7252</v>
      </c>
      <c r="T37" s="600"/>
      <c r="U37" s="602"/>
      <c r="V37" s="683"/>
      <c r="W37" s="602"/>
      <c r="X37" s="603"/>
      <c r="Y37" s="600"/>
      <c r="Z37" s="600"/>
      <c r="AA37" s="600"/>
      <c r="AB37" s="600"/>
      <c r="AC37" s="600"/>
      <c r="AD37" s="600"/>
    </row>
    <row r="38" spans="1:30" s="684" customFormat="1" ht="20.100000000000001" customHeight="1" x14ac:dyDescent="0.2">
      <c r="A38" s="738" t="s">
        <v>546</v>
      </c>
      <c r="B38" s="750" t="s">
        <v>282</v>
      </c>
      <c r="C38" s="740" t="s">
        <v>45</v>
      </c>
      <c r="D38" s="749">
        <v>4</v>
      </c>
      <c r="E38" s="722">
        <f t="shared" si="21"/>
        <v>0</v>
      </c>
      <c r="F38" s="690">
        <f>'5.A'!$F$962</f>
        <v>0</v>
      </c>
      <c r="G38" s="691">
        <f>'5.A'!$F$975</f>
        <v>0</v>
      </c>
      <c r="H38" s="743">
        <f>'5.A'!$F$998</f>
        <v>0</v>
      </c>
      <c r="I38" s="744">
        <f t="shared" si="22"/>
        <v>0</v>
      </c>
      <c r="J38" s="694">
        <f t="shared" si="23"/>
        <v>0</v>
      </c>
      <c r="K38" s="695">
        <f t="shared" si="24"/>
        <v>0</v>
      </c>
      <c r="L38" s="696">
        <f t="shared" si="25"/>
        <v>0</v>
      </c>
      <c r="M38" s="745" t="e">
        <f t="shared" si="20"/>
        <v>#DIV/0!</v>
      </c>
      <c r="N38" s="607"/>
      <c r="O38" s="746" t="s">
        <v>28</v>
      </c>
      <c r="P38" s="747">
        <v>93017</v>
      </c>
      <c r="Q38" s="681"/>
      <c r="R38" s="600"/>
      <c r="S38" s="730">
        <f t="shared" si="26"/>
        <v>7252</v>
      </c>
      <c r="T38" s="600"/>
      <c r="U38" s="602"/>
      <c r="V38" s="683"/>
      <c r="W38" s="602"/>
      <c r="X38" s="603"/>
      <c r="Y38" s="600"/>
      <c r="Z38" s="600"/>
      <c r="AA38" s="600"/>
      <c r="AB38" s="600"/>
      <c r="AC38" s="600"/>
      <c r="AD38" s="600"/>
    </row>
    <row r="39" spans="1:30" s="684" customFormat="1" ht="20.100000000000001" customHeight="1" x14ac:dyDescent="0.2">
      <c r="A39" s="738" t="s">
        <v>547</v>
      </c>
      <c r="B39" s="750" t="s">
        <v>284</v>
      </c>
      <c r="C39" s="747" t="s">
        <v>44</v>
      </c>
      <c r="D39" s="749">
        <f>ROUND(1.1*((D35/2+D36/2)*0.8*0.8)+(D34*1.2*1.2*1.2),0)</f>
        <v>23</v>
      </c>
      <c r="E39" s="722">
        <f t="shared" si="21"/>
        <v>0</v>
      </c>
      <c r="F39" s="690">
        <f>'5.A'!$F$1066</f>
        <v>0</v>
      </c>
      <c r="G39" s="691">
        <f>'5.A'!$F$1079</f>
        <v>0</v>
      </c>
      <c r="H39" s="743">
        <f>'5.A'!$F$1102</f>
        <v>0</v>
      </c>
      <c r="I39" s="744">
        <f t="shared" si="22"/>
        <v>0</v>
      </c>
      <c r="J39" s="694">
        <f t="shared" si="23"/>
        <v>0</v>
      </c>
      <c r="K39" s="695">
        <f t="shared" si="24"/>
        <v>0</v>
      </c>
      <c r="L39" s="696">
        <f t="shared" si="25"/>
        <v>0</v>
      </c>
      <c r="M39" s="745" t="e">
        <f t="shared" si="20"/>
        <v>#DIV/0!</v>
      </c>
      <c r="N39" s="607"/>
      <c r="O39" s="746" t="s">
        <v>28</v>
      </c>
      <c r="P39" s="747">
        <v>93358</v>
      </c>
      <c r="Q39" s="681"/>
      <c r="R39" s="600"/>
      <c r="S39" s="730">
        <f t="shared" si="26"/>
        <v>7252</v>
      </c>
      <c r="T39" s="600"/>
      <c r="U39" s="602"/>
      <c r="V39" s="683"/>
      <c r="W39" s="602"/>
      <c r="X39" s="603"/>
      <c r="Y39" s="600"/>
      <c r="Z39" s="600"/>
      <c r="AA39" s="600"/>
      <c r="AB39" s="600"/>
      <c r="AC39" s="600"/>
      <c r="AD39" s="600"/>
    </row>
    <row r="40" spans="1:30" s="684" customFormat="1" ht="20.100000000000001" customHeight="1" x14ac:dyDescent="0.2">
      <c r="A40" s="738" t="s">
        <v>548</v>
      </c>
      <c r="B40" s="750" t="s">
        <v>283</v>
      </c>
      <c r="C40" s="747" t="s">
        <v>44</v>
      </c>
      <c r="D40" s="749">
        <f>ROUNDUP(1.1*((D35/2+D36/2)*0.8*0.1),0)</f>
        <v>3</v>
      </c>
      <c r="E40" s="722">
        <f t="shared" si="21"/>
        <v>0</v>
      </c>
      <c r="F40" s="690">
        <f>'5.A'!$F$1118</f>
        <v>0</v>
      </c>
      <c r="G40" s="691">
        <f>'5.A'!$F$1131</f>
        <v>0</v>
      </c>
      <c r="H40" s="743">
        <f>'5.A'!$F$1154</f>
        <v>0</v>
      </c>
      <c r="I40" s="744">
        <f t="shared" si="22"/>
        <v>0</v>
      </c>
      <c r="J40" s="694">
        <f t="shared" si="23"/>
        <v>0</v>
      </c>
      <c r="K40" s="695">
        <f t="shared" si="24"/>
        <v>0</v>
      </c>
      <c r="L40" s="696">
        <f t="shared" si="25"/>
        <v>0</v>
      </c>
      <c r="M40" s="745" t="e">
        <f t="shared" si="20"/>
        <v>#DIV/0!</v>
      </c>
      <c r="N40" s="607"/>
      <c r="O40" s="746" t="s">
        <v>28</v>
      </c>
      <c r="P40" s="747">
        <v>103491</v>
      </c>
      <c r="Q40" s="681"/>
      <c r="R40" s="600"/>
      <c r="S40" s="730">
        <f t="shared" si="26"/>
        <v>7252</v>
      </c>
      <c r="T40" s="600"/>
      <c r="U40" s="602"/>
      <c r="V40" s="683"/>
      <c r="W40" s="602"/>
      <c r="X40" s="603"/>
      <c r="Y40" s="600"/>
      <c r="Z40" s="600"/>
      <c r="AA40" s="600"/>
      <c r="AB40" s="600"/>
      <c r="AC40" s="600"/>
      <c r="AD40" s="600"/>
    </row>
    <row r="41" spans="1:30" s="684" customFormat="1" ht="20.100000000000001" customHeight="1" x14ac:dyDescent="0.2">
      <c r="A41" s="738" t="s">
        <v>549</v>
      </c>
      <c r="B41" s="750" t="s">
        <v>285</v>
      </c>
      <c r="C41" s="747" t="s">
        <v>44</v>
      </c>
      <c r="D41" s="749">
        <f>ROUND(1.1*((D35/2+D36/2)*0.8*0.8)+(D34*1.2*1.2*1.2),0)</f>
        <v>23</v>
      </c>
      <c r="E41" s="722">
        <f t="shared" si="21"/>
        <v>0</v>
      </c>
      <c r="F41" s="690">
        <f>'5.A'!$F$1170</f>
        <v>0</v>
      </c>
      <c r="G41" s="691">
        <f>'5.A'!$F$1183</f>
        <v>0</v>
      </c>
      <c r="H41" s="743">
        <f>'5.A'!$F$1206</f>
        <v>0</v>
      </c>
      <c r="I41" s="744">
        <f t="shared" si="22"/>
        <v>0</v>
      </c>
      <c r="J41" s="694">
        <f t="shared" si="23"/>
        <v>0</v>
      </c>
      <c r="K41" s="695">
        <f t="shared" si="24"/>
        <v>0</v>
      </c>
      <c r="L41" s="696">
        <f t="shared" si="25"/>
        <v>0</v>
      </c>
      <c r="M41" s="745" t="e">
        <f t="shared" si="20"/>
        <v>#DIV/0!</v>
      </c>
      <c r="N41" s="607"/>
      <c r="O41" s="746" t="s">
        <v>28</v>
      </c>
      <c r="P41" s="747">
        <v>93382</v>
      </c>
      <c r="Q41" s="681"/>
      <c r="R41" s="600"/>
      <c r="S41" s="730">
        <f t="shared" si="26"/>
        <v>7252</v>
      </c>
      <c r="T41" s="600"/>
      <c r="U41" s="602"/>
      <c r="V41" s="683"/>
      <c r="W41" s="602"/>
      <c r="X41" s="603"/>
      <c r="Y41" s="600"/>
      <c r="Z41" s="600"/>
      <c r="AA41" s="600"/>
      <c r="AB41" s="600"/>
      <c r="AC41" s="600"/>
      <c r="AD41" s="600"/>
    </row>
    <row r="42" spans="1:30" s="684" customFormat="1" ht="20.100000000000001" customHeight="1" x14ac:dyDescent="0.2">
      <c r="A42" s="738" t="s">
        <v>550</v>
      </c>
      <c r="B42" s="750" t="s">
        <v>320</v>
      </c>
      <c r="C42" s="747" t="s">
        <v>46</v>
      </c>
      <c r="D42" s="749">
        <v>3</v>
      </c>
      <c r="E42" s="722">
        <f t="shared" ref="E42" si="27">G42+H42+F42</f>
        <v>0</v>
      </c>
      <c r="F42" s="690">
        <f>'5.A'!$F$1274</f>
        <v>0</v>
      </c>
      <c r="G42" s="691">
        <f>'5.A'!$F$1287</f>
        <v>0</v>
      </c>
      <c r="H42" s="743">
        <f>'5.A'!$F$1310</f>
        <v>0</v>
      </c>
      <c r="I42" s="744">
        <f t="shared" ref="I42" si="28">ROUND(F42*D42,2)</f>
        <v>0</v>
      </c>
      <c r="J42" s="694">
        <f t="shared" ref="J42" si="29">ROUND(G42*D42,2)</f>
        <v>0</v>
      </c>
      <c r="K42" s="695">
        <f t="shared" ref="K42" si="30">ROUND(H42*D42,2)</f>
        <v>0</v>
      </c>
      <c r="L42" s="696">
        <f t="shared" ref="L42" si="31">ROUND(D42*F42,2)+ROUND(D42*G42,2)+ROUND(D42*H42,2)</f>
        <v>0</v>
      </c>
      <c r="M42" s="745" t="e">
        <f t="shared" si="20"/>
        <v>#DIV/0!</v>
      </c>
      <c r="N42" s="607"/>
      <c r="O42" s="746" t="s">
        <v>68</v>
      </c>
      <c r="P42" s="747" t="s">
        <v>507</v>
      </c>
      <c r="Q42" s="681"/>
      <c r="R42" s="600"/>
      <c r="S42" s="730">
        <f t="shared" si="26"/>
        <v>7252</v>
      </c>
      <c r="T42" s="600"/>
      <c r="U42" s="602"/>
      <c r="V42" s="683"/>
      <c r="W42" s="602"/>
      <c r="X42" s="603"/>
      <c r="Y42" s="600"/>
      <c r="Z42" s="600"/>
      <c r="AA42" s="600"/>
      <c r="AB42" s="600"/>
      <c r="AC42" s="600"/>
      <c r="AD42" s="600"/>
    </row>
    <row r="43" spans="1:30" s="736" customFormat="1" ht="20.100000000000001" customHeight="1" x14ac:dyDescent="0.2">
      <c r="A43" s="751" t="s">
        <v>154</v>
      </c>
      <c r="B43" s="752" t="s">
        <v>287</v>
      </c>
      <c r="C43" s="753"/>
      <c r="D43" s="753"/>
      <c r="E43" s="753"/>
      <c r="F43" s="753"/>
      <c r="G43" s="753"/>
      <c r="H43" s="753"/>
      <c r="I43" s="753"/>
      <c r="J43" s="753"/>
      <c r="K43" s="753"/>
      <c r="L43" s="753"/>
      <c r="M43" s="754"/>
      <c r="N43" s="735"/>
      <c r="O43" s="755" t="s">
        <v>158</v>
      </c>
      <c r="P43" s="755"/>
      <c r="Q43" s="665" t="s">
        <v>159</v>
      </c>
      <c r="R43" s="600"/>
      <c r="U43" s="602"/>
      <c r="V43" s="683"/>
      <c r="W43" s="602"/>
      <c r="X43" s="737"/>
    </row>
    <row r="44" spans="1:30" s="684" customFormat="1" ht="20.100000000000001" customHeight="1" x14ac:dyDescent="0.2">
      <c r="A44" s="756" t="s">
        <v>562</v>
      </c>
      <c r="B44" s="757" t="s">
        <v>380</v>
      </c>
      <c r="C44" s="758" t="s">
        <v>46</v>
      </c>
      <c r="D44" s="688">
        <v>3</v>
      </c>
      <c r="E44" s="722">
        <f>G44+H44+F44</f>
        <v>0</v>
      </c>
      <c r="F44" s="690">
        <f>'5.A'!$F$1378</f>
        <v>0</v>
      </c>
      <c r="G44" s="691">
        <f>'5.A'!$F$1391</f>
        <v>0</v>
      </c>
      <c r="H44" s="743">
        <f>'5.A'!$F$1414</f>
        <v>0</v>
      </c>
      <c r="I44" s="744">
        <f>ROUND(F44*D44,2)</f>
        <v>0</v>
      </c>
      <c r="J44" s="694">
        <f>ROUND(G44*D44,2)</f>
        <v>0</v>
      </c>
      <c r="K44" s="695">
        <f>ROUND(H44*D44,2)</f>
        <v>0</v>
      </c>
      <c r="L44" s="696">
        <f>ROUND(D44*F44,2)+ROUND(D44*G44,2)+ROUND(D44*H44,2)</f>
        <v>0</v>
      </c>
      <c r="M44" s="745" t="e">
        <f t="shared" ref="M44:M54" si="32">L44/$L$93</f>
        <v>#DIV/0!</v>
      </c>
      <c r="N44" s="607"/>
      <c r="O44" s="679" t="s">
        <v>28</v>
      </c>
      <c r="P44" s="759">
        <v>91928</v>
      </c>
      <c r="Q44" s="681"/>
      <c r="R44" s="600"/>
      <c r="S44" s="730">
        <f t="shared" ref="S44:S84" si="33">(((1.35*2*21)+(2.7*7*21)+(0.7*28.5)+(4.46*4.3))*0.12)*4</f>
        <v>236.50943999999998</v>
      </c>
      <c r="T44" s="600"/>
      <c r="U44" s="602"/>
      <c r="V44" s="683"/>
      <c r="W44" s="602"/>
      <c r="X44" s="603"/>
      <c r="Y44" s="600"/>
      <c r="Z44" s="600"/>
      <c r="AA44" s="600"/>
      <c r="AB44" s="600"/>
      <c r="AC44" s="600"/>
      <c r="AD44" s="600"/>
    </row>
    <row r="45" spans="1:30" s="684" customFormat="1" ht="20.100000000000001" customHeight="1" x14ac:dyDescent="0.2">
      <c r="A45" s="756" t="s">
        <v>567</v>
      </c>
      <c r="B45" s="757" t="s">
        <v>381</v>
      </c>
      <c r="C45" s="758" t="s">
        <v>46</v>
      </c>
      <c r="D45" s="688">
        <v>36</v>
      </c>
      <c r="E45" s="722">
        <f>G45+H45+F45</f>
        <v>0</v>
      </c>
      <c r="F45" s="690">
        <f>'5.A'!$F$1430</f>
        <v>0</v>
      </c>
      <c r="G45" s="691">
        <f>'5.A'!$F$1443</f>
        <v>0</v>
      </c>
      <c r="H45" s="743">
        <f>'5.A'!$F$1466</f>
        <v>0</v>
      </c>
      <c r="I45" s="744">
        <f>ROUND(F45*D45,2)</f>
        <v>0</v>
      </c>
      <c r="J45" s="694">
        <f>ROUND(G45*D45,2)</f>
        <v>0</v>
      </c>
      <c r="K45" s="695">
        <f>ROUND(H45*D45,2)</f>
        <v>0</v>
      </c>
      <c r="L45" s="696">
        <f>ROUND(D45*F45,2)+ROUND(D45*G45,2)+ROUND(D45*H45,2)</f>
        <v>0</v>
      </c>
      <c r="M45" s="745" t="e">
        <f t="shared" si="32"/>
        <v>#DIV/0!</v>
      </c>
      <c r="N45" s="607"/>
      <c r="O45" s="679" t="s">
        <v>28</v>
      </c>
      <c r="P45" s="759">
        <v>91930</v>
      </c>
      <c r="Q45" s="681"/>
      <c r="R45" s="600"/>
      <c r="S45" s="730">
        <f t="shared" si="33"/>
        <v>236.50943999999998</v>
      </c>
      <c r="T45" s="600"/>
      <c r="U45" s="602"/>
      <c r="V45" s="683"/>
      <c r="W45" s="602"/>
      <c r="X45" s="603"/>
      <c r="Y45" s="600"/>
      <c r="Z45" s="600"/>
      <c r="AA45" s="600"/>
      <c r="AB45" s="600"/>
      <c r="AC45" s="600"/>
      <c r="AD45" s="600"/>
    </row>
    <row r="46" spans="1:30" s="684" customFormat="1" ht="20.100000000000001" customHeight="1" x14ac:dyDescent="0.2">
      <c r="A46" s="738" t="s">
        <v>570</v>
      </c>
      <c r="B46" s="757" t="s">
        <v>326</v>
      </c>
      <c r="C46" s="758" t="s">
        <v>46</v>
      </c>
      <c r="D46" s="688">
        <v>5</v>
      </c>
      <c r="E46" s="722">
        <f t="shared" ref="E46" si="34">G46+H46+F46</f>
        <v>0</v>
      </c>
      <c r="F46" s="690">
        <f>'5.A'!$F$1586</f>
        <v>0</v>
      </c>
      <c r="G46" s="691">
        <f>'5.A'!$F$1599</f>
        <v>0</v>
      </c>
      <c r="H46" s="743">
        <f>'5.A'!$F$1622</f>
        <v>0</v>
      </c>
      <c r="I46" s="744">
        <f t="shared" ref="I46" si="35">ROUND(F46*D46,2)</f>
        <v>0</v>
      </c>
      <c r="J46" s="694">
        <f t="shared" ref="J46" si="36">ROUND(G46*D46,2)</f>
        <v>0</v>
      </c>
      <c r="K46" s="695">
        <f t="shared" ref="K46" si="37">ROUND(H46*D46,2)</f>
        <v>0</v>
      </c>
      <c r="L46" s="696">
        <f t="shared" ref="L46" si="38">ROUND(D46*F46,2)+ROUND(D46*G46,2)+ROUND(D46*H46,2)</f>
        <v>0</v>
      </c>
      <c r="M46" s="745" t="e">
        <f t="shared" si="32"/>
        <v>#DIV/0!</v>
      </c>
      <c r="N46" s="607"/>
      <c r="O46" s="679" t="s">
        <v>28</v>
      </c>
      <c r="P46" s="759">
        <v>101562</v>
      </c>
      <c r="Q46" s="681"/>
      <c r="R46" s="600"/>
      <c r="S46" s="730">
        <f>(((1.35*2*21)+(2.7*7*21)+(0.7*28.5)+(4.46*4.3))*0.12)*4</f>
        <v>236.50943999999998</v>
      </c>
      <c r="T46" s="600"/>
      <c r="U46" s="602"/>
      <c r="V46" s="683"/>
      <c r="W46" s="602"/>
      <c r="X46" s="603"/>
      <c r="Y46" s="600"/>
      <c r="Z46" s="600"/>
      <c r="AA46" s="600"/>
      <c r="AB46" s="600"/>
      <c r="AC46" s="600"/>
      <c r="AD46" s="600"/>
    </row>
    <row r="47" spans="1:30" s="684" customFormat="1" ht="20.100000000000001" customHeight="1" x14ac:dyDescent="0.2">
      <c r="A47" s="738" t="s">
        <v>571</v>
      </c>
      <c r="B47" s="757" t="s">
        <v>323</v>
      </c>
      <c r="C47" s="758" t="s">
        <v>46</v>
      </c>
      <c r="D47" s="688">
        <v>15</v>
      </c>
      <c r="E47" s="722">
        <f>G47+H47+F47</f>
        <v>0</v>
      </c>
      <c r="F47" s="690">
        <f>'5.A'!$F$1638</f>
        <v>0</v>
      </c>
      <c r="G47" s="691">
        <f>'5.A'!$F$1651</f>
        <v>0</v>
      </c>
      <c r="H47" s="743">
        <f>'5.A'!$F$1674</f>
        <v>0</v>
      </c>
      <c r="I47" s="744">
        <f>ROUND(F47*D47,2)</f>
        <v>0</v>
      </c>
      <c r="J47" s="694">
        <f>ROUND(G47*D47,2)</f>
        <v>0</v>
      </c>
      <c r="K47" s="695">
        <f>ROUND(H47*D47,2)</f>
        <v>0</v>
      </c>
      <c r="L47" s="696">
        <f>ROUND(D47*F47,2)+ROUND(D47*G47,2)+ROUND(D47*H47,2)</f>
        <v>0</v>
      </c>
      <c r="M47" s="745" t="e">
        <f t="shared" si="32"/>
        <v>#DIV/0!</v>
      </c>
      <c r="N47" s="607"/>
      <c r="O47" s="679" t="s">
        <v>28</v>
      </c>
      <c r="P47" s="759">
        <v>101564</v>
      </c>
      <c r="Q47" s="681"/>
      <c r="R47" s="600"/>
      <c r="S47" s="730">
        <f t="shared" si="26"/>
        <v>7252</v>
      </c>
      <c r="T47" s="600"/>
      <c r="U47" s="602"/>
      <c r="V47" s="683"/>
      <c r="W47" s="602"/>
      <c r="X47" s="603"/>
      <c r="Y47" s="600"/>
      <c r="Z47" s="600"/>
      <c r="AA47" s="600"/>
      <c r="AB47" s="600"/>
      <c r="AC47" s="600"/>
      <c r="AD47" s="600"/>
    </row>
    <row r="48" spans="1:30" s="684" customFormat="1" ht="20.100000000000001" customHeight="1" x14ac:dyDescent="0.2">
      <c r="A48" s="738" t="s">
        <v>575</v>
      </c>
      <c r="B48" s="757" t="s">
        <v>325</v>
      </c>
      <c r="C48" s="758" t="s">
        <v>46</v>
      </c>
      <c r="D48" s="688">
        <v>30</v>
      </c>
      <c r="E48" s="722">
        <f>G48+H48+F48</f>
        <v>0</v>
      </c>
      <c r="F48" s="690">
        <f>'5.A'!$F$1846</f>
        <v>0</v>
      </c>
      <c r="G48" s="691">
        <f>'5.A'!$F$1859</f>
        <v>0</v>
      </c>
      <c r="H48" s="743">
        <f>'5.A'!$F$1882</f>
        <v>0</v>
      </c>
      <c r="I48" s="744">
        <f>ROUND(F48*D48,2)</f>
        <v>0</v>
      </c>
      <c r="J48" s="694">
        <f>ROUND(G48*D48,2)</f>
        <v>0</v>
      </c>
      <c r="K48" s="695">
        <f>ROUND(H48*D48,2)</f>
        <v>0</v>
      </c>
      <c r="L48" s="696">
        <f>ROUND(D48*F48,2)+ROUND(D48*G48,2)+ROUND(D48*H48,2)</f>
        <v>0</v>
      </c>
      <c r="M48" s="745" t="e">
        <f t="shared" si="32"/>
        <v>#DIV/0!</v>
      </c>
      <c r="N48" s="607"/>
      <c r="O48" s="679" t="s">
        <v>28</v>
      </c>
      <c r="P48" s="759">
        <v>92998</v>
      </c>
      <c r="Q48" s="681"/>
      <c r="R48" s="600"/>
      <c r="S48" s="730">
        <f t="shared" si="26"/>
        <v>7252</v>
      </c>
      <c r="T48" s="600"/>
      <c r="U48" s="602"/>
      <c r="V48" s="683"/>
      <c r="W48" s="602"/>
      <c r="X48" s="603"/>
      <c r="Y48" s="600"/>
      <c r="Z48" s="600"/>
      <c r="AA48" s="600"/>
      <c r="AB48" s="600"/>
      <c r="AC48" s="600"/>
      <c r="AD48" s="600"/>
    </row>
    <row r="49" spans="1:30" s="684" customFormat="1" ht="20.100000000000001" customHeight="1" x14ac:dyDescent="0.2">
      <c r="A49" s="738" t="s">
        <v>576</v>
      </c>
      <c r="B49" s="757" t="s">
        <v>322</v>
      </c>
      <c r="C49" s="758" t="s">
        <v>46</v>
      </c>
      <c r="D49" s="688">
        <v>180</v>
      </c>
      <c r="E49" s="722">
        <f t="shared" ref="E49" si="39">G49+H49+F49</f>
        <v>0</v>
      </c>
      <c r="F49" s="690">
        <f>'5.A'!$F$1898</f>
        <v>0</v>
      </c>
      <c r="G49" s="691">
        <f>'5.A'!$F$1911</f>
        <v>0</v>
      </c>
      <c r="H49" s="743">
        <f>'5.A'!$F$1934</f>
        <v>0</v>
      </c>
      <c r="I49" s="744">
        <f t="shared" ref="I49" si="40">ROUND(F49*D49,2)</f>
        <v>0</v>
      </c>
      <c r="J49" s="694">
        <f t="shared" ref="J49" si="41">ROUND(G49*D49,2)</f>
        <v>0</v>
      </c>
      <c r="K49" s="695">
        <f t="shared" ref="K49" si="42">ROUND(H49*D49,2)</f>
        <v>0</v>
      </c>
      <c r="L49" s="696">
        <f t="shared" ref="L49" si="43">ROUND(D49*F49,2)+ROUND(D49*G49,2)+ROUND(D49*H49,2)</f>
        <v>0</v>
      </c>
      <c r="M49" s="745" t="e">
        <f t="shared" si="32"/>
        <v>#DIV/0!</v>
      </c>
      <c r="N49" s="607"/>
      <c r="O49" s="679" t="s">
        <v>28</v>
      </c>
      <c r="P49" s="759">
        <v>92998</v>
      </c>
      <c r="Q49" s="681"/>
      <c r="R49" s="600"/>
      <c r="S49" s="730">
        <f t="shared" si="26"/>
        <v>7252</v>
      </c>
      <c r="T49" s="600"/>
      <c r="U49" s="602"/>
      <c r="V49" s="683"/>
      <c r="W49" s="602"/>
      <c r="X49" s="603"/>
      <c r="Y49" s="600"/>
      <c r="Z49" s="600"/>
      <c r="AA49" s="600"/>
      <c r="AB49" s="600"/>
      <c r="AC49" s="600"/>
      <c r="AD49" s="600"/>
    </row>
    <row r="50" spans="1:30" s="684" customFormat="1" ht="20.100000000000001" customHeight="1" x14ac:dyDescent="0.2">
      <c r="A50" s="738" t="s">
        <v>577</v>
      </c>
      <c r="B50" s="757" t="s">
        <v>324</v>
      </c>
      <c r="C50" s="758" t="s">
        <v>46</v>
      </c>
      <c r="D50" s="688">
        <v>30</v>
      </c>
      <c r="E50" s="722">
        <f t="shared" si="21"/>
        <v>0</v>
      </c>
      <c r="F50" s="690">
        <f>'5.A'!$F$1950</f>
        <v>0</v>
      </c>
      <c r="G50" s="691">
        <f>'5.A'!$F$1963</f>
        <v>0</v>
      </c>
      <c r="H50" s="743">
        <f>'5.A'!$F$1986</f>
        <v>0</v>
      </c>
      <c r="I50" s="744">
        <f t="shared" si="22"/>
        <v>0</v>
      </c>
      <c r="J50" s="694">
        <f t="shared" si="23"/>
        <v>0</v>
      </c>
      <c r="K50" s="695">
        <f t="shared" si="24"/>
        <v>0</v>
      </c>
      <c r="L50" s="696">
        <f t="shared" si="25"/>
        <v>0</v>
      </c>
      <c r="M50" s="745" t="e">
        <f t="shared" si="32"/>
        <v>#DIV/0!</v>
      </c>
      <c r="N50" s="607"/>
      <c r="O50" s="679" t="s">
        <v>28</v>
      </c>
      <c r="P50" s="759">
        <v>92998</v>
      </c>
      <c r="Q50" s="681"/>
      <c r="R50" s="600"/>
      <c r="S50" s="730">
        <f t="shared" si="26"/>
        <v>7252</v>
      </c>
      <c r="T50" s="600"/>
      <c r="U50" s="602"/>
      <c r="V50" s="683"/>
      <c r="W50" s="602"/>
      <c r="X50" s="603"/>
      <c r="Y50" s="600"/>
      <c r="Z50" s="600"/>
      <c r="AA50" s="600"/>
      <c r="AB50" s="600"/>
      <c r="AC50" s="600"/>
      <c r="AD50" s="600"/>
    </row>
    <row r="51" spans="1:30" s="684" customFormat="1" ht="20.100000000000001" customHeight="1" x14ac:dyDescent="0.2">
      <c r="A51" s="738" t="s">
        <v>579</v>
      </c>
      <c r="B51" s="757" t="s">
        <v>332</v>
      </c>
      <c r="C51" s="758" t="s">
        <v>45</v>
      </c>
      <c r="D51" s="688">
        <v>2</v>
      </c>
      <c r="E51" s="722">
        <f t="shared" ref="E51" si="44">G51+H51+F51</f>
        <v>0</v>
      </c>
      <c r="F51" s="690">
        <f>'5.A'!$F$2054</f>
        <v>0</v>
      </c>
      <c r="G51" s="691">
        <f>'5.A'!$F$2067</f>
        <v>0</v>
      </c>
      <c r="H51" s="743">
        <f>'5.A'!$F$2090</f>
        <v>0</v>
      </c>
      <c r="I51" s="744">
        <f t="shared" ref="I51" si="45">ROUND(F51*D51,2)</f>
        <v>0</v>
      </c>
      <c r="J51" s="694">
        <f t="shared" ref="J51" si="46">ROUND(G51*D51,2)</f>
        <v>0</v>
      </c>
      <c r="K51" s="695">
        <f t="shared" ref="K51" si="47">ROUND(H51*D51,2)</f>
        <v>0</v>
      </c>
      <c r="L51" s="696">
        <f t="shared" ref="L51" si="48">ROUND(D51*F51,2)+ROUND(D51*G51,2)+ROUND(D51*H51,2)</f>
        <v>0</v>
      </c>
      <c r="M51" s="745" t="e">
        <f t="shared" si="32"/>
        <v>#DIV/0!</v>
      </c>
      <c r="N51" s="607"/>
      <c r="O51" s="679" t="s">
        <v>166</v>
      </c>
      <c r="P51" s="759" t="s">
        <v>335</v>
      </c>
      <c r="Q51" s="681"/>
      <c r="R51" s="600"/>
      <c r="S51" s="730">
        <f>(((1.35*2*21)+(2.7*7*21)+(0.7*28.5)+(4.46*4.3))*0.12)*4</f>
        <v>236.50943999999998</v>
      </c>
      <c r="T51" s="600"/>
      <c r="U51" s="602"/>
      <c r="V51" s="683"/>
      <c r="W51" s="602"/>
      <c r="X51" s="603"/>
      <c r="Y51" s="600"/>
      <c r="Z51" s="600"/>
      <c r="AA51" s="600"/>
      <c r="AB51" s="600"/>
      <c r="AC51" s="600"/>
      <c r="AD51" s="600"/>
    </row>
    <row r="52" spans="1:30" s="684" customFormat="1" ht="20.100000000000001" customHeight="1" x14ac:dyDescent="0.2">
      <c r="A52" s="738" t="s">
        <v>580</v>
      </c>
      <c r="B52" s="757" t="s">
        <v>331</v>
      </c>
      <c r="C52" s="758" t="s">
        <v>45</v>
      </c>
      <c r="D52" s="688">
        <v>6</v>
      </c>
      <c r="E52" s="722">
        <f>G52+H52+F52</f>
        <v>0</v>
      </c>
      <c r="F52" s="690">
        <f>'5.A'!$F$2106</f>
        <v>0</v>
      </c>
      <c r="G52" s="691">
        <f>'5.A'!$F$2119</f>
        <v>0</v>
      </c>
      <c r="H52" s="743">
        <f>'5.A'!$F$2142</f>
        <v>0</v>
      </c>
      <c r="I52" s="744">
        <f>ROUND(F52*D52,2)</f>
        <v>0</v>
      </c>
      <c r="J52" s="694">
        <f>ROUND(G52*D52,2)</f>
        <v>0</v>
      </c>
      <c r="K52" s="695">
        <f>ROUND(H52*D52,2)</f>
        <v>0</v>
      </c>
      <c r="L52" s="696">
        <f>ROUND(D52*F52,2)+ROUND(D52*G52,2)+ROUND(D52*H52,2)</f>
        <v>0</v>
      </c>
      <c r="M52" s="745" t="e">
        <f t="shared" si="32"/>
        <v>#DIV/0!</v>
      </c>
      <c r="N52" s="607"/>
      <c r="O52" s="679" t="s">
        <v>166</v>
      </c>
      <c r="P52" s="759" t="s">
        <v>334</v>
      </c>
      <c r="Q52" s="681"/>
      <c r="R52" s="600"/>
      <c r="S52" s="730">
        <f>(((1.35*2*21)+(2.7*7*21)+(0.7*28.5)+(4.46*4.3))*0.12)*4</f>
        <v>236.50943999999998</v>
      </c>
      <c r="T52" s="600"/>
      <c r="U52" s="602"/>
      <c r="V52" s="683"/>
      <c r="W52" s="602"/>
      <c r="X52" s="603"/>
      <c r="Y52" s="600"/>
      <c r="Z52" s="600"/>
      <c r="AA52" s="600"/>
      <c r="AB52" s="600"/>
      <c r="AC52" s="600"/>
      <c r="AD52" s="600"/>
    </row>
    <row r="53" spans="1:30" s="684" customFormat="1" ht="20.100000000000001" customHeight="1" x14ac:dyDescent="0.2">
      <c r="A53" s="738" t="s">
        <v>609</v>
      </c>
      <c r="B53" s="757" t="s">
        <v>330</v>
      </c>
      <c r="C53" s="758" t="s">
        <v>45</v>
      </c>
      <c r="D53" s="688">
        <v>16</v>
      </c>
      <c r="E53" s="722">
        <f t="shared" ref="E53" si="49">G53+H53+F53</f>
        <v>0</v>
      </c>
      <c r="F53" s="690">
        <f>'5.A'!$F$2210</f>
        <v>0</v>
      </c>
      <c r="G53" s="691">
        <f>'5.A'!$F$2223</f>
        <v>0</v>
      </c>
      <c r="H53" s="743">
        <f>'5.A'!$F$2246</f>
        <v>0</v>
      </c>
      <c r="I53" s="744">
        <f t="shared" ref="I53" si="50">ROUND(F53*D53,2)</f>
        <v>0</v>
      </c>
      <c r="J53" s="694">
        <f t="shared" ref="J53" si="51">ROUND(G53*D53,2)</f>
        <v>0</v>
      </c>
      <c r="K53" s="695">
        <f t="shared" ref="K53" si="52">ROUND(H53*D53,2)</f>
        <v>0</v>
      </c>
      <c r="L53" s="696">
        <f t="shared" ref="L53" si="53">ROUND(D53*F53,2)+ROUND(D53*G53,2)+ROUND(D53*H53,2)</f>
        <v>0</v>
      </c>
      <c r="M53" s="745" t="e">
        <f t="shared" si="32"/>
        <v>#DIV/0!</v>
      </c>
      <c r="N53" s="607"/>
      <c r="O53" s="679" t="s">
        <v>166</v>
      </c>
      <c r="P53" s="759" t="s">
        <v>333</v>
      </c>
      <c r="Q53" s="681"/>
      <c r="R53" s="600"/>
      <c r="S53" s="730">
        <f>(((1.35*2*21)+(2.7*7*21)+(0.7*28.5)+(4.46*4.3))*0.12)*4</f>
        <v>236.50943999999998</v>
      </c>
      <c r="T53" s="600"/>
      <c r="U53" s="602"/>
      <c r="V53" s="683"/>
      <c r="W53" s="602"/>
      <c r="X53" s="603"/>
      <c r="Y53" s="600"/>
      <c r="Z53" s="600"/>
      <c r="AA53" s="600"/>
      <c r="AB53" s="600"/>
      <c r="AC53" s="600"/>
      <c r="AD53" s="600"/>
    </row>
    <row r="54" spans="1:30" s="684" customFormat="1" ht="20.100000000000001" customHeight="1" x14ac:dyDescent="0.2">
      <c r="A54" s="738" t="s">
        <v>608</v>
      </c>
      <c r="B54" s="757" t="s">
        <v>350</v>
      </c>
      <c r="C54" s="758" t="s">
        <v>46</v>
      </c>
      <c r="D54" s="688">
        <f>25+5+5</f>
        <v>35</v>
      </c>
      <c r="E54" s="722">
        <f t="shared" ref="E54" si="54">G54+H54+F54</f>
        <v>0</v>
      </c>
      <c r="F54" s="690">
        <f>'5.A'!$F$2262</f>
        <v>0</v>
      </c>
      <c r="G54" s="691">
        <f>'5.A'!$F$2275</f>
        <v>0</v>
      </c>
      <c r="H54" s="743">
        <f>'5.A'!$F$2298</f>
        <v>0</v>
      </c>
      <c r="I54" s="744">
        <f t="shared" ref="I54" si="55">ROUND(F54*D54,2)</f>
        <v>0</v>
      </c>
      <c r="J54" s="694">
        <f t="shared" ref="J54" si="56">ROUND(G54*D54,2)</f>
        <v>0</v>
      </c>
      <c r="K54" s="695">
        <f t="shared" ref="K54" si="57">ROUND(H54*D54,2)</f>
        <v>0</v>
      </c>
      <c r="L54" s="696">
        <f t="shared" ref="L54" si="58">ROUND(D54*F54,2)+ROUND(D54*G54,2)+ROUND(D54*H54,2)</f>
        <v>0</v>
      </c>
      <c r="M54" s="745" t="e">
        <f t="shared" si="32"/>
        <v>#DIV/0!</v>
      </c>
      <c r="N54" s="607"/>
      <c r="O54" s="679" t="s">
        <v>372</v>
      </c>
      <c r="P54" s="759" t="s">
        <v>373</v>
      </c>
      <c r="Q54" s="681"/>
      <c r="R54" s="600"/>
      <c r="S54" s="730">
        <f>(((1.35*2*21)+(2.7*7*21)+(0.7*28.5)+(4.46*4.3))*0.12)*4</f>
        <v>236.50943999999998</v>
      </c>
      <c r="T54" s="600"/>
      <c r="U54" s="602"/>
      <c r="V54" s="683"/>
      <c r="W54" s="602"/>
      <c r="X54" s="603"/>
      <c r="Y54" s="600"/>
      <c r="Z54" s="600"/>
      <c r="AA54" s="600"/>
      <c r="AB54" s="600"/>
      <c r="AC54" s="600"/>
      <c r="AD54" s="600"/>
    </row>
    <row r="55" spans="1:30" s="736" customFormat="1" ht="18.95" customHeight="1" x14ac:dyDescent="0.2">
      <c r="A55" s="751" t="s">
        <v>338</v>
      </c>
      <c r="B55" s="752" t="s">
        <v>339</v>
      </c>
      <c r="C55" s="753"/>
      <c r="D55" s="753"/>
      <c r="E55" s="753"/>
      <c r="F55" s="753"/>
      <c r="G55" s="753"/>
      <c r="H55" s="753"/>
      <c r="I55" s="753"/>
      <c r="J55" s="753"/>
      <c r="K55" s="753"/>
      <c r="L55" s="753"/>
      <c r="M55" s="754"/>
      <c r="N55" s="735"/>
      <c r="O55" s="755" t="s">
        <v>158</v>
      </c>
      <c r="P55" s="755"/>
      <c r="Q55" s="665" t="s">
        <v>159</v>
      </c>
      <c r="R55" s="600"/>
      <c r="U55" s="602"/>
      <c r="V55" s="683"/>
      <c r="W55" s="602"/>
      <c r="X55" s="737"/>
    </row>
    <row r="56" spans="1:30" s="684" customFormat="1" ht="18.95" customHeight="1" x14ac:dyDescent="0.2">
      <c r="A56" s="738" t="s">
        <v>581</v>
      </c>
      <c r="B56" s="757" t="s">
        <v>351</v>
      </c>
      <c r="C56" s="758" t="s">
        <v>48</v>
      </c>
      <c r="D56" s="688">
        <f>ROUNDUP(2.5,0)</f>
        <v>3</v>
      </c>
      <c r="E56" s="722">
        <f t="shared" ref="E56:E68" si="59">G56+H56+F56</f>
        <v>0</v>
      </c>
      <c r="F56" s="690">
        <f>'5.A'!$F$2314</f>
        <v>0</v>
      </c>
      <c r="G56" s="691">
        <f>'5.A'!$F$2327</f>
        <v>0</v>
      </c>
      <c r="H56" s="743">
        <f>'5.A'!$F$2350</f>
        <v>0</v>
      </c>
      <c r="I56" s="744">
        <f t="shared" ref="I56:I68" si="60">ROUND(F56*D56,2)</f>
        <v>0</v>
      </c>
      <c r="J56" s="694">
        <f t="shared" ref="J56:J68" si="61">ROUND(G56*D56,2)</f>
        <v>0</v>
      </c>
      <c r="K56" s="695">
        <f t="shared" ref="K56:K68" si="62">ROUND(H56*D56,2)</f>
        <v>0</v>
      </c>
      <c r="L56" s="696">
        <f t="shared" ref="L56:L68" si="63">ROUND(D56*F56,2)+ROUND(D56*G56,2)+ROUND(D56*H56,2)</f>
        <v>0</v>
      </c>
      <c r="M56" s="745" t="e">
        <f t="shared" ref="M56:M68" si="64">L56/$L$93</f>
        <v>#DIV/0!</v>
      </c>
      <c r="N56" s="607"/>
      <c r="O56" s="679" t="s">
        <v>166</v>
      </c>
      <c r="P56" s="759" t="s">
        <v>358</v>
      </c>
      <c r="Q56" s="681"/>
      <c r="R56" s="600"/>
      <c r="S56" s="730">
        <f t="shared" si="33"/>
        <v>236.50943999999998</v>
      </c>
      <c r="T56" s="600"/>
      <c r="U56" s="602"/>
      <c r="V56" s="683"/>
      <c r="W56" s="602"/>
      <c r="X56" s="603"/>
      <c r="Y56" s="600"/>
      <c r="Z56" s="600"/>
      <c r="AA56" s="600"/>
      <c r="AB56" s="600"/>
      <c r="AC56" s="600"/>
      <c r="AD56" s="600"/>
    </row>
    <row r="57" spans="1:30" s="684" customFormat="1" ht="18.95" customHeight="1" x14ac:dyDescent="0.2">
      <c r="A57" s="738" t="s">
        <v>582</v>
      </c>
      <c r="B57" s="757" t="s">
        <v>343</v>
      </c>
      <c r="C57" s="758" t="s">
        <v>46</v>
      </c>
      <c r="D57" s="688">
        <v>6</v>
      </c>
      <c r="E57" s="722">
        <f t="shared" si="59"/>
        <v>0</v>
      </c>
      <c r="F57" s="690">
        <f>'5.A'!$F$2366</f>
        <v>0</v>
      </c>
      <c r="G57" s="691">
        <f>'5.A'!$F$2379</f>
        <v>0</v>
      </c>
      <c r="H57" s="743">
        <f>'5.A'!$F$2402</f>
        <v>0</v>
      </c>
      <c r="I57" s="744">
        <f t="shared" si="60"/>
        <v>0</v>
      </c>
      <c r="J57" s="694">
        <f t="shared" si="61"/>
        <v>0</v>
      </c>
      <c r="K57" s="695">
        <f t="shared" si="62"/>
        <v>0</v>
      </c>
      <c r="L57" s="696">
        <f t="shared" si="63"/>
        <v>0</v>
      </c>
      <c r="M57" s="745" t="e">
        <f t="shared" si="64"/>
        <v>#DIV/0!</v>
      </c>
      <c r="N57" s="607"/>
      <c r="O57" s="679" t="s">
        <v>166</v>
      </c>
      <c r="P57" s="759" t="s">
        <v>359</v>
      </c>
      <c r="Q57" s="681"/>
      <c r="R57" s="600"/>
      <c r="S57" s="730">
        <f t="shared" si="33"/>
        <v>236.50943999999998</v>
      </c>
      <c r="T57" s="600"/>
      <c r="U57" s="602"/>
      <c r="V57" s="683"/>
      <c r="W57" s="602"/>
      <c r="X57" s="603"/>
      <c r="Y57" s="600"/>
      <c r="Z57" s="600"/>
      <c r="AA57" s="600"/>
      <c r="AB57" s="600"/>
      <c r="AC57" s="600"/>
      <c r="AD57" s="600"/>
    </row>
    <row r="58" spans="1:30" s="684" customFormat="1" ht="18.95" customHeight="1" x14ac:dyDescent="0.2">
      <c r="A58" s="738" t="s">
        <v>583</v>
      </c>
      <c r="B58" s="757" t="s">
        <v>377</v>
      </c>
      <c r="C58" s="758" t="s">
        <v>46</v>
      </c>
      <c r="D58" s="688">
        <v>5</v>
      </c>
      <c r="E58" s="722">
        <f t="shared" si="59"/>
        <v>0</v>
      </c>
      <c r="F58" s="690">
        <f>'5.A'!$F$2470</f>
        <v>0</v>
      </c>
      <c r="G58" s="691">
        <f>'5.A'!$F$2483</f>
        <v>0</v>
      </c>
      <c r="H58" s="743">
        <f>'5.A'!$F$2506</f>
        <v>0</v>
      </c>
      <c r="I58" s="744">
        <f t="shared" si="60"/>
        <v>0</v>
      </c>
      <c r="J58" s="694">
        <f t="shared" si="61"/>
        <v>0</v>
      </c>
      <c r="K58" s="695">
        <f t="shared" si="62"/>
        <v>0</v>
      </c>
      <c r="L58" s="696">
        <f t="shared" si="63"/>
        <v>0</v>
      </c>
      <c r="M58" s="745" t="e">
        <f t="shared" si="64"/>
        <v>#DIV/0!</v>
      </c>
      <c r="N58" s="607"/>
      <c r="O58" s="679" t="s">
        <v>166</v>
      </c>
      <c r="P58" s="759" t="s">
        <v>360</v>
      </c>
      <c r="Q58" s="681"/>
      <c r="R58" s="600"/>
      <c r="S58" s="730">
        <f t="shared" si="33"/>
        <v>236.50943999999998</v>
      </c>
      <c r="T58" s="600"/>
      <c r="U58" s="602"/>
      <c r="V58" s="683"/>
      <c r="W58" s="602"/>
      <c r="X58" s="603"/>
      <c r="Y58" s="600"/>
      <c r="Z58" s="600"/>
      <c r="AA58" s="600"/>
      <c r="AB58" s="600"/>
      <c r="AC58" s="600"/>
      <c r="AD58" s="600"/>
    </row>
    <row r="59" spans="1:30" s="684" customFormat="1" ht="18.95" customHeight="1" x14ac:dyDescent="0.2">
      <c r="A59" s="738" t="s">
        <v>584</v>
      </c>
      <c r="B59" s="757" t="s">
        <v>378</v>
      </c>
      <c r="C59" s="758" t="s">
        <v>46</v>
      </c>
      <c r="D59" s="688">
        <v>12</v>
      </c>
      <c r="E59" s="722">
        <f t="shared" si="59"/>
        <v>0</v>
      </c>
      <c r="F59" s="690">
        <f>'5.A'!$F$2522</f>
        <v>0</v>
      </c>
      <c r="G59" s="691">
        <f>'5.A'!$F$2535</f>
        <v>0</v>
      </c>
      <c r="H59" s="743">
        <f>'5.A'!$F$2558</f>
        <v>0</v>
      </c>
      <c r="I59" s="744">
        <f t="shared" si="60"/>
        <v>0</v>
      </c>
      <c r="J59" s="694">
        <f t="shared" si="61"/>
        <v>0</v>
      </c>
      <c r="K59" s="695">
        <f t="shared" si="62"/>
        <v>0</v>
      </c>
      <c r="L59" s="696">
        <f t="shared" si="63"/>
        <v>0</v>
      </c>
      <c r="M59" s="745" t="e">
        <f t="shared" si="64"/>
        <v>#DIV/0!</v>
      </c>
      <c r="N59" s="607"/>
      <c r="O59" s="679" t="s">
        <v>166</v>
      </c>
      <c r="P59" s="759" t="s">
        <v>361</v>
      </c>
      <c r="Q59" s="681"/>
      <c r="R59" s="600"/>
      <c r="S59" s="730">
        <f t="shared" si="33"/>
        <v>236.50943999999998</v>
      </c>
      <c r="T59" s="600"/>
      <c r="U59" s="602"/>
      <c r="V59" s="683"/>
      <c r="W59" s="602"/>
      <c r="X59" s="603"/>
      <c r="Y59" s="600"/>
      <c r="Z59" s="600"/>
      <c r="AA59" s="600"/>
      <c r="AB59" s="600"/>
      <c r="AC59" s="600"/>
      <c r="AD59" s="600"/>
    </row>
    <row r="60" spans="1:30" s="684" customFormat="1" ht="18.95" customHeight="1" x14ac:dyDescent="0.2">
      <c r="A60" s="738" t="s">
        <v>611</v>
      </c>
      <c r="B60" s="757" t="s">
        <v>344</v>
      </c>
      <c r="C60" s="758" t="s">
        <v>48</v>
      </c>
      <c r="D60" s="688">
        <v>1</v>
      </c>
      <c r="E60" s="722">
        <f t="shared" si="59"/>
        <v>0</v>
      </c>
      <c r="F60" s="690">
        <f>'5.A'!$F$2574</f>
        <v>0</v>
      </c>
      <c r="G60" s="691">
        <f>'5.A'!$F$2587</f>
        <v>0</v>
      </c>
      <c r="H60" s="743">
        <f>'5.A'!$F$2610</f>
        <v>0</v>
      </c>
      <c r="I60" s="744">
        <f t="shared" si="60"/>
        <v>0</v>
      </c>
      <c r="J60" s="694">
        <f t="shared" si="61"/>
        <v>0</v>
      </c>
      <c r="K60" s="695">
        <f t="shared" si="62"/>
        <v>0</v>
      </c>
      <c r="L60" s="696">
        <f t="shared" si="63"/>
        <v>0</v>
      </c>
      <c r="M60" s="745" t="e">
        <f t="shared" si="64"/>
        <v>#DIV/0!</v>
      </c>
      <c r="N60" s="607"/>
      <c r="O60" s="679" t="s">
        <v>166</v>
      </c>
      <c r="P60" s="759" t="s">
        <v>362</v>
      </c>
      <c r="Q60" s="681"/>
      <c r="R60" s="600"/>
      <c r="S60" s="730">
        <f t="shared" si="33"/>
        <v>236.50943999999998</v>
      </c>
      <c r="T60" s="600"/>
      <c r="U60" s="602"/>
      <c r="V60" s="683"/>
      <c r="W60" s="602"/>
      <c r="X60" s="603"/>
      <c r="Y60" s="600"/>
      <c r="Z60" s="600"/>
      <c r="AA60" s="600"/>
      <c r="AB60" s="600"/>
      <c r="AC60" s="600"/>
      <c r="AD60" s="600"/>
    </row>
    <row r="61" spans="1:30" s="684" customFormat="1" ht="18.95" customHeight="1" x14ac:dyDescent="0.2">
      <c r="A61" s="738" t="s">
        <v>585</v>
      </c>
      <c r="B61" s="757" t="s">
        <v>345</v>
      </c>
      <c r="C61" s="758" t="s">
        <v>45</v>
      </c>
      <c r="D61" s="688">
        <v>1</v>
      </c>
      <c r="E61" s="722">
        <f t="shared" si="59"/>
        <v>0</v>
      </c>
      <c r="F61" s="690">
        <f>'5.A'!$F$2626</f>
        <v>0</v>
      </c>
      <c r="G61" s="691">
        <f>'5.A'!$F$2639</f>
        <v>0</v>
      </c>
      <c r="H61" s="743">
        <f>'5.A'!$F$2662</f>
        <v>0</v>
      </c>
      <c r="I61" s="744">
        <f t="shared" si="60"/>
        <v>0</v>
      </c>
      <c r="J61" s="694">
        <f t="shared" si="61"/>
        <v>0</v>
      </c>
      <c r="K61" s="695">
        <f t="shared" si="62"/>
        <v>0</v>
      </c>
      <c r="L61" s="696">
        <f t="shared" si="63"/>
        <v>0</v>
      </c>
      <c r="M61" s="745" t="e">
        <f t="shared" si="64"/>
        <v>#DIV/0!</v>
      </c>
      <c r="N61" s="607"/>
      <c r="O61" s="679" t="s">
        <v>363</v>
      </c>
      <c r="P61" s="759" t="s">
        <v>364</v>
      </c>
      <c r="Q61" s="681"/>
      <c r="R61" s="600"/>
      <c r="S61" s="730">
        <f t="shared" si="33"/>
        <v>236.50943999999998</v>
      </c>
      <c r="T61" s="600"/>
      <c r="U61" s="602"/>
      <c r="V61" s="683"/>
      <c r="W61" s="602"/>
      <c r="X61" s="603"/>
      <c r="Y61" s="600"/>
      <c r="Z61" s="600"/>
      <c r="AA61" s="600"/>
      <c r="AB61" s="600"/>
      <c r="AC61" s="600"/>
      <c r="AD61" s="600"/>
    </row>
    <row r="62" spans="1:30" s="684" customFormat="1" ht="18.95" customHeight="1" x14ac:dyDescent="0.2">
      <c r="A62" s="738" t="s">
        <v>586</v>
      </c>
      <c r="B62" s="757" t="s">
        <v>379</v>
      </c>
      <c r="C62" s="758" t="s">
        <v>45</v>
      </c>
      <c r="D62" s="688">
        <v>1</v>
      </c>
      <c r="E62" s="722">
        <f t="shared" si="59"/>
        <v>0</v>
      </c>
      <c r="F62" s="690">
        <f>'5.A'!$F$2678</f>
        <v>0</v>
      </c>
      <c r="G62" s="691">
        <f>'5.A'!$F$2691</f>
        <v>0</v>
      </c>
      <c r="H62" s="743">
        <f>'5.A'!$F$2714</f>
        <v>0</v>
      </c>
      <c r="I62" s="744">
        <f t="shared" si="60"/>
        <v>0</v>
      </c>
      <c r="J62" s="694">
        <f t="shared" si="61"/>
        <v>0</v>
      </c>
      <c r="K62" s="695">
        <f t="shared" si="62"/>
        <v>0</v>
      </c>
      <c r="L62" s="696">
        <f t="shared" si="63"/>
        <v>0</v>
      </c>
      <c r="M62" s="745" t="e">
        <f t="shared" si="64"/>
        <v>#DIV/0!</v>
      </c>
      <c r="N62" s="607"/>
      <c r="O62" s="679" t="s">
        <v>28</v>
      </c>
      <c r="P62" s="759">
        <v>93671</v>
      </c>
      <c r="Q62" s="681"/>
      <c r="R62" s="600"/>
      <c r="S62" s="730">
        <f t="shared" si="33"/>
        <v>236.50943999999998</v>
      </c>
      <c r="T62" s="600"/>
      <c r="U62" s="602"/>
      <c r="V62" s="683"/>
      <c r="W62" s="602"/>
      <c r="X62" s="603"/>
      <c r="Y62" s="600"/>
      <c r="Z62" s="600"/>
      <c r="AA62" s="600"/>
      <c r="AB62" s="600"/>
      <c r="AC62" s="600"/>
      <c r="AD62" s="600"/>
    </row>
    <row r="63" spans="1:30" s="684" customFormat="1" ht="18.95" customHeight="1" x14ac:dyDescent="0.2">
      <c r="A63" s="738" t="s">
        <v>587</v>
      </c>
      <c r="B63" s="757" t="s">
        <v>346</v>
      </c>
      <c r="C63" s="758" t="s">
        <v>45</v>
      </c>
      <c r="D63" s="688">
        <v>4</v>
      </c>
      <c r="E63" s="722">
        <f t="shared" si="59"/>
        <v>0</v>
      </c>
      <c r="F63" s="690">
        <f>'5.A'!$F$2730</f>
        <v>0</v>
      </c>
      <c r="G63" s="691">
        <f>'5.A'!$F$2743</f>
        <v>0</v>
      </c>
      <c r="H63" s="743">
        <f>'5.A'!$F$2766</f>
        <v>0</v>
      </c>
      <c r="I63" s="744">
        <f t="shared" si="60"/>
        <v>0</v>
      </c>
      <c r="J63" s="694">
        <f t="shared" si="61"/>
        <v>0</v>
      </c>
      <c r="K63" s="695">
        <f t="shared" si="62"/>
        <v>0</v>
      </c>
      <c r="L63" s="696">
        <f t="shared" si="63"/>
        <v>0</v>
      </c>
      <c r="M63" s="745" t="e">
        <f t="shared" si="64"/>
        <v>#DIV/0!</v>
      </c>
      <c r="N63" s="607"/>
      <c r="O63" s="679" t="s">
        <v>166</v>
      </c>
      <c r="P63" s="759" t="s">
        <v>365</v>
      </c>
      <c r="Q63" s="681"/>
      <c r="R63" s="600"/>
      <c r="S63" s="730">
        <f t="shared" si="33"/>
        <v>236.50943999999998</v>
      </c>
      <c r="T63" s="600"/>
      <c r="U63" s="602"/>
      <c r="V63" s="683"/>
      <c r="W63" s="602"/>
      <c r="X63" s="603"/>
      <c r="Y63" s="600"/>
      <c r="Z63" s="600"/>
      <c r="AA63" s="600"/>
      <c r="AB63" s="600"/>
      <c r="AC63" s="600"/>
      <c r="AD63" s="600"/>
    </row>
    <row r="64" spans="1:30" s="684" customFormat="1" ht="18.95" customHeight="1" x14ac:dyDescent="0.2">
      <c r="A64" s="738" t="s">
        <v>588</v>
      </c>
      <c r="B64" s="757" t="s">
        <v>347</v>
      </c>
      <c r="C64" s="758" t="s">
        <v>45</v>
      </c>
      <c r="D64" s="688">
        <v>6</v>
      </c>
      <c r="E64" s="722">
        <f t="shared" si="59"/>
        <v>0</v>
      </c>
      <c r="F64" s="690">
        <f>'5.A'!$F$2834</f>
        <v>0</v>
      </c>
      <c r="G64" s="691">
        <f>'5.A'!$F$2847</f>
        <v>0</v>
      </c>
      <c r="H64" s="743">
        <f>'5.A'!$F$2870</f>
        <v>0</v>
      </c>
      <c r="I64" s="744">
        <f t="shared" si="60"/>
        <v>0</v>
      </c>
      <c r="J64" s="694">
        <f t="shared" si="61"/>
        <v>0</v>
      </c>
      <c r="K64" s="695">
        <f t="shared" si="62"/>
        <v>0</v>
      </c>
      <c r="L64" s="696">
        <f t="shared" si="63"/>
        <v>0</v>
      </c>
      <c r="M64" s="745" t="e">
        <f t="shared" si="64"/>
        <v>#DIV/0!</v>
      </c>
      <c r="N64" s="607"/>
      <c r="O64" s="679" t="s">
        <v>363</v>
      </c>
      <c r="P64" s="759" t="s">
        <v>366</v>
      </c>
      <c r="Q64" s="681"/>
      <c r="R64" s="600"/>
      <c r="S64" s="730">
        <f t="shared" si="33"/>
        <v>236.50943999999998</v>
      </c>
      <c r="T64" s="600"/>
      <c r="U64" s="602"/>
      <c r="V64" s="683"/>
      <c r="W64" s="602"/>
      <c r="X64" s="603"/>
      <c r="Y64" s="600"/>
      <c r="Z64" s="600"/>
      <c r="AA64" s="600"/>
      <c r="AB64" s="600"/>
      <c r="AC64" s="600"/>
      <c r="AD64" s="600"/>
    </row>
    <row r="65" spans="1:30" s="684" customFormat="1" ht="18.95" customHeight="1" x14ac:dyDescent="0.2">
      <c r="A65" s="738" t="s">
        <v>589</v>
      </c>
      <c r="B65" s="757" t="s">
        <v>348</v>
      </c>
      <c r="C65" s="758" t="s">
        <v>45</v>
      </c>
      <c r="D65" s="688">
        <v>3</v>
      </c>
      <c r="E65" s="722">
        <f t="shared" si="59"/>
        <v>0</v>
      </c>
      <c r="F65" s="690">
        <f>'5.A'!$F$2886</f>
        <v>0</v>
      </c>
      <c r="G65" s="691">
        <f>'5.A'!$F$2899</f>
        <v>0</v>
      </c>
      <c r="H65" s="743">
        <f>'5.A'!$F$2922</f>
        <v>0</v>
      </c>
      <c r="I65" s="744">
        <f t="shared" si="60"/>
        <v>0</v>
      </c>
      <c r="J65" s="694">
        <f t="shared" si="61"/>
        <v>0</v>
      </c>
      <c r="K65" s="695">
        <f t="shared" si="62"/>
        <v>0</v>
      </c>
      <c r="L65" s="696">
        <f t="shared" si="63"/>
        <v>0</v>
      </c>
      <c r="M65" s="745" t="e">
        <f t="shared" si="64"/>
        <v>#DIV/0!</v>
      </c>
      <c r="N65" s="607"/>
      <c r="O65" s="679" t="s">
        <v>363</v>
      </c>
      <c r="P65" s="759" t="s">
        <v>367</v>
      </c>
      <c r="Q65" s="681"/>
      <c r="R65" s="600"/>
      <c r="S65" s="730">
        <f t="shared" si="33"/>
        <v>236.50943999999998</v>
      </c>
      <c r="T65" s="600"/>
      <c r="U65" s="602"/>
      <c r="V65" s="683"/>
      <c r="W65" s="602"/>
      <c r="X65" s="603"/>
      <c r="Y65" s="600"/>
      <c r="Z65" s="600"/>
      <c r="AA65" s="600"/>
      <c r="AB65" s="600"/>
      <c r="AC65" s="600"/>
      <c r="AD65" s="600"/>
    </row>
    <row r="66" spans="1:30" s="684" customFormat="1" ht="18.95" customHeight="1" x14ac:dyDescent="0.2">
      <c r="A66" s="738" t="s">
        <v>590</v>
      </c>
      <c r="B66" s="757" t="s">
        <v>349</v>
      </c>
      <c r="C66" s="758" t="s">
        <v>45</v>
      </c>
      <c r="D66" s="688">
        <v>1</v>
      </c>
      <c r="E66" s="722">
        <f t="shared" si="59"/>
        <v>0</v>
      </c>
      <c r="F66" s="690">
        <f>'5.A'!$F$2938</f>
        <v>0</v>
      </c>
      <c r="G66" s="691">
        <f>'5.A'!$F$2951</f>
        <v>0</v>
      </c>
      <c r="H66" s="743">
        <f>'5.A'!$F$2974</f>
        <v>0</v>
      </c>
      <c r="I66" s="744">
        <f t="shared" si="60"/>
        <v>0</v>
      </c>
      <c r="J66" s="694">
        <f t="shared" si="61"/>
        <v>0</v>
      </c>
      <c r="K66" s="695">
        <f t="shared" si="62"/>
        <v>0</v>
      </c>
      <c r="L66" s="696">
        <f t="shared" si="63"/>
        <v>0</v>
      </c>
      <c r="M66" s="745" t="e">
        <f t="shared" si="64"/>
        <v>#DIV/0!</v>
      </c>
      <c r="N66" s="607"/>
      <c r="O66" s="679" t="s">
        <v>363</v>
      </c>
      <c r="P66" s="759" t="s">
        <v>368</v>
      </c>
      <c r="Q66" s="681"/>
      <c r="R66" s="600"/>
      <c r="S66" s="730">
        <f t="shared" si="33"/>
        <v>236.50943999999998</v>
      </c>
      <c r="T66" s="600"/>
      <c r="U66" s="602"/>
      <c r="V66" s="683"/>
      <c r="W66" s="602"/>
      <c r="X66" s="603"/>
      <c r="Y66" s="600"/>
      <c r="Z66" s="600"/>
      <c r="AA66" s="600"/>
      <c r="AB66" s="600"/>
      <c r="AC66" s="600"/>
      <c r="AD66" s="600"/>
    </row>
    <row r="67" spans="1:30" s="684" customFormat="1" ht="18.95" customHeight="1" x14ac:dyDescent="0.2">
      <c r="A67" s="738" t="s">
        <v>591</v>
      </c>
      <c r="B67" s="757" t="s">
        <v>352</v>
      </c>
      <c r="C67" s="758" t="s">
        <v>45</v>
      </c>
      <c r="D67" s="688">
        <v>3</v>
      </c>
      <c r="E67" s="722">
        <f t="shared" si="59"/>
        <v>0</v>
      </c>
      <c r="F67" s="690">
        <f>'5.A'!$F$2990</f>
        <v>0</v>
      </c>
      <c r="G67" s="691">
        <f>'5.A'!$F$3003</f>
        <v>0</v>
      </c>
      <c r="H67" s="743">
        <f>'5.A'!$F$3026</f>
        <v>0</v>
      </c>
      <c r="I67" s="744">
        <f t="shared" si="60"/>
        <v>0</v>
      </c>
      <c r="J67" s="694">
        <f t="shared" si="61"/>
        <v>0</v>
      </c>
      <c r="K67" s="695">
        <f t="shared" si="62"/>
        <v>0</v>
      </c>
      <c r="L67" s="696">
        <f t="shared" si="63"/>
        <v>0</v>
      </c>
      <c r="M67" s="745" t="e">
        <f t="shared" si="64"/>
        <v>#DIV/0!</v>
      </c>
      <c r="N67" s="607"/>
      <c r="O67" s="679" t="s">
        <v>369</v>
      </c>
      <c r="P67" s="759" t="s">
        <v>370</v>
      </c>
      <c r="Q67" s="681"/>
      <c r="R67" s="600"/>
      <c r="S67" s="730">
        <f t="shared" si="33"/>
        <v>236.50943999999998</v>
      </c>
      <c r="T67" s="600"/>
      <c r="U67" s="602"/>
      <c r="V67" s="683"/>
      <c r="W67" s="602"/>
      <c r="X67" s="603"/>
      <c r="Y67" s="600"/>
      <c r="Z67" s="600"/>
      <c r="AA67" s="600"/>
      <c r="AB67" s="600"/>
      <c r="AC67" s="600"/>
      <c r="AD67" s="600"/>
    </row>
    <row r="68" spans="1:30" s="684" customFormat="1" ht="18.95" customHeight="1" x14ac:dyDescent="0.2">
      <c r="A68" s="738" t="s">
        <v>599</v>
      </c>
      <c r="B68" s="757" t="s">
        <v>353</v>
      </c>
      <c r="C68" s="758" t="s">
        <v>45</v>
      </c>
      <c r="D68" s="688">
        <v>1</v>
      </c>
      <c r="E68" s="722">
        <f t="shared" si="59"/>
        <v>0</v>
      </c>
      <c r="F68" s="690">
        <f>'5.A'!$F$3094</f>
        <v>0</v>
      </c>
      <c r="G68" s="691">
        <f>'5.A'!$F$3107</f>
        <v>0</v>
      </c>
      <c r="H68" s="743">
        <f>'5.A'!$F$3130</f>
        <v>0</v>
      </c>
      <c r="I68" s="744">
        <f t="shared" si="60"/>
        <v>0</v>
      </c>
      <c r="J68" s="694">
        <f t="shared" si="61"/>
        <v>0</v>
      </c>
      <c r="K68" s="695">
        <f t="shared" si="62"/>
        <v>0</v>
      </c>
      <c r="L68" s="696">
        <f t="shared" si="63"/>
        <v>0</v>
      </c>
      <c r="M68" s="745" t="e">
        <f t="shared" si="64"/>
        <v>#DIV/0!</v>
      </c>
      <c r="N68" s="607"/>
      <c r="O68" s="679" t="s">
        <v>369</v>
      </c>
      <c r="P68" s="759" t="s">
        <v>371</v>
      </c>
      <c r="Q68" s="681"/>
      <c r="R68" s="600"/>
      <c r="S68" s="730">
        <f t="shared" si="33"/>
        <v>236.50943999999998</v>
      </c>
      <c r="T68" s="600"/>
      <c r="U68" s="602"/>
      <c r="V68" s="683"/>
      <c r="W68" s="602"/>
      <c r="X68" s="603"/>
      <c r="Y68" s="600"/>
      <c r="Z68" s="600"/>
      <c r="AA68" s="600"/>
      <c r="AB68" s="600"/>
      <c r="AC68" s="600"/>
      <c r="AD68" s="600"/>
    </row>
    <row r="69" spans="1:30" s="736" customFormat="1" ht="18.95" customHeight="1" x14ac:dyDescent="0.2">
      <c r="A69" s="751" t="s">
        <v>340</v>
      </c>
      <c r="B69" s="752" t="s">
        <v>341</v>
      </c>
      <c r="C69" s="753"/>
      <c r="D69" s="753"/>
      <c r="E69" s="753"/>
      <c r="F69" s="753"/>
      <c r="G69" s="753"/>
      <c r="H69" s="753"/>
      <c r="I69" s="753"/>
      <c r="J69" s="753"/>
      <c r="K69" s="753"/>
      <c r="L69" s="753"/>
      <c r="M69" s="754"/>
      <c r="N69" s="735"/>
      <c r="O69" s="755" t="s">
        <v>158</v>
      </c>
      <c r="P69" s="755"/>
      <c r="Q69" s="665" t="s">
        <v>159</v>
      </c>
      <c r="R69" s="600"/>
      <c r="U69" s="602"/>
      <c r="V69" s="683"/>
      <c r="W69" s="602"/>
      <c r="X69" s="737"/>
    </row>
    <row r="70" spans="1:30" s="684" customFormat="1" ht="18.95" customHeight="1" x14ac:dyDescent="0.2">
      <c r="A70" s="756" t="s">
        <v>593</v>
      </c>
      <c r="B70" s="757" t="s">
        <v>351</v>
      </c>
      <c r="C70" s="758" t="s">
        <v>48</v>
      </c>
      <c r="D70" s="688">
        <f>ROUNDUP(2.5,0)</f>
        <v>3</v>
      </c>
      <c r="E70" s="722">
        <f t="shared" ref="E70:E74" si="65">G70+H70+F70</f>
        <v>0</v>
      </c>
      <c r="F70" s="690">
        <f>'5.A'!$F$3146</f>
        <v>0</v>
      </c>
      <c r="G70" s="691">
        <f>'5.A'!$F$3159</f>
        <v>0</v>
      </c>
      <c r="H70" s="743">
        <f>'5.A'!$F$3182</f>
        <v>0</v>
      </c>
      <c r="I70" s="744">
        <f t="shared" ref="I70:I74" si="66">ROUND(F70*D70,2)</f>
        <v>0</v>
      </c>
      <c r="J70" s="694">
        <f t="shared" ref="J70:J74" si="67">ROUND(G70*D70,2)</f>
        <v>0</v>
      </c>
      <c r="K70" s="695">
        <f t="shared" ref="K70:K74" si="68">ROUND(H70*D70,2)</f>
        <v>0</v>
      </c>
      <c r="L70" s="696">
        <f t="shared" ref="L70:L74" si="69">ROUND(D70*F70,2)+ROUND(D70*G70,2)+ROUND(D70*H70,2)</f>
        <v>0</v>
      </c>
      <c r="M70" s="745" t="e">
        <f t="shared" ref="M70:M76" si="70">L70/$L$93</f>
        <v>#DIV/0!</v>
      </c>
      <c r="N70" s="607"/>
      <c r="O70" s="679" t="s">
        <v>166</v>
      </c>
      <c r="P70" s="759" t="s">
        <v>358</v>
      </c>
      <c r="Q70" s="681"/>
      <c r="R70" s="600"/>
      <c r="S70" s="730">
        <f t="shared" si="33"/>
        <v>236.50943999999998</v>
      </c>
      <c r="T70" s="600"/>
      <c r="U70" s="602"/>
      <c r="V70" s="683"/>
      <c r="W70" s="602"/>
      <c r="X70" s="603"/>
      <c r="Y70" s="600"/>
      <c r="Z70" s="600"/>
      <c r="AA70" s="600"/>
      <c r="AB70" s="600"/>
      <c r="AC70" s="600"/>
      <c r="AD70" s="600"/>
    </row>
    <row r="71" spans="1:30" s="684" customFormat="1" ht="18.95" customHeight="1" x14ac:dyDescent="0.2">
      <c r="A71" s="756" t="s">
        <v>600</v>
      </c>
      <c r="B71" s="757" t="s">
        <v>379</v>
      </c>
      <c r="C71" s="758" t="s">
        <v>45</v>
      </c>
      <c r="D71" s="688">
        <v>6</v>
      </c>
      <c r="E71" s="722">
        <f>G71+H71+F71</f>
        <v>0</v>
      </c>
      <c r="F71" s="690">
        <f>'5.A'!$F$3198</f>
        <v>0</v>
      </c>
      <c r="G71" s="691">
        <f>'5.A'!$F$3211</f>
        <v>0</v>
      </c>
      <c r="H71" s="743">
        <f>'5.A'!$F$3234</f>
        <v>0</v>
      </c>
      <c r="I71" s="744">
        <f>ROUND(F71*D71,2)</f>
        <v>0</v>
      </c>
      <c r="J71" s="694">
        <f>ROUND(G71*D71,2)</f>
        <v>0</v>
      </c>
      <c r="K71" s="695">
        <f>ROUND(H71*D71,2)</f>
        <v>0</v>
      </c>
      <c r="L71" s="696">
        <f>ROUND(D71*F71,2)+ROUND(D71*G71,2)+ROUND(D71*H71,2)</f>
        <v>0</v>
      </c>
      <c r="M71" s="745" t="e">
        <f t="shared" si="70"/>
        <v>#DIV/0!</v>
      </c>
      <c r="N71" s="607"/>
      <c r="O71" s="679" t="s">
        <v>28</v>
      </c>
      <c r="P71" s="759">
        <v>93671</v>
      </c>
      <c r="Q71" s="681"/>
      <c r="R71" s="600"/>
      <c r="S71" s="730">
        <f t="shared" si="33"/>
        <v>236.50943999999998</v>
      </c>
      <c r="T71" s="600"/>
      <c r="U71" s="602"/>
      <c r="V71" s="683"/>
      <c r="W71" s="602"/>
      <c r="X71" s="603"/>
      <c r="Y71" s="600"/>
      <c r="Z71" s="600"/>
      <c r="AA71" s="600"/>
      <c r="AB71" s="600"/>
      <c r="AC71" s="600"/>
      <c r="AD71" s="600"/>
    </row>
    <row r="72" spans="1:30" s="684" customFormat="1" ht="18.95" customHeight="1" x14ac:dyDescent="0.2">
      <c r="A72" s="756" t="s">
        <v>594</v>
      </c>
      <c r="B72" s="757" t="s">
        <v>348</v>
      </c>
      <c r="C72" s="758" t="s">
        <v>45</v>
      </c>
      <c r="D72" s="688">
        <v>1</v>
      </c>
      <c r="E72" s="722">
        <f t="shared" si="65"/>
        <v>0</v>
      </c>
      <c r="F72" s="690">
        <f>'5.A'!$F$3302</f>
        <v>0</v>
      </c>
      <c r="G72" s="691">
        <f>'5.A'!$F$3315</f>
        <v>0</v>
      </c>
      <c r="H72" s="743">
        <f>'5.A'!$F$3338</f>
        <v>0</v>
      </c>
      <c r="I72" s="744">
        <f t="shared" si="66"/>
        <v>0</v>
      </c>
      <c r="J72" s="694">
        <f t="shared" si="67"/>
        <v>0</v>
      </c>
      <c r="K72" s="695">
        <f t="shared" si="68"/>
        <v>0</v>
      </c>
      <c r="L72" s="696">
        <f t="shared" si="69"/>
        <v>0</v>
      </c>
      <c r="M72" s="745" t="e">
        <f t="shared" si="70"/>
        <v>#DIV/0!</v>
      </c>
      <c r="N72" s="607"/>
      <c r="O72" s="679" t="s">
        <v>363</v>
      </c>
      <c r="P72" s="759" t="s">
        <v>367</v>
      </c>
      <c r="Q72" s="681"/>
      <c r="R72" s="600"/>
      <c r="S72" s="730">
        <f t="shared" si="33"/>
        <v>236.50943999999998</v>
      </c>
      <c r="T72" s="600"/>
      <c r="U72" s="602"/>
      <c r="V72" s="683"/>
      <c r="W72" s="602"/>
      <c r="X72" s="603"/>
      <c r="Y72" s="600"/>
      <c r="Z72" s="600"/>
      <c r="AA72" s="600"/>
      <c r="AB72" s="600"/>
      <c r="AC72" s="600"/>
      <c r="AD72" s="600"/>
    </row>
    <row r="73" spans="1:30" s="684" customFormat="1" ht="18.95" customHeight="1" x14ac:dyDescent="0.2">
      <c r="A73" s="756" t="s">
        <v>595</v>
      </c>
      <c r="B73" s="757" t="s">
        <v>353</v>
      </c>
      <c r="C73" s="758" t="s">
        <v>45</v>
      </c>
      <c r="D73" s="688">
        <v>1</v>
      </c>
      <c r="E73" s="722">
        <f>G73+H73+F73</f>
        <v>0</v>
      </c>
      <c r="F73" s="690">
        <f>'5.A'!$F$3354</f>
        <v>0</v>
      </c>
      <c r="G73" s="691">
        <f>'5.A'!$F$3367</f>
        <v>0</v>
      </c>
      <c r="H73" s="743">
        <f>'5.A'!$F$3390</f>
        <v>0</v>
      </c>
      <c r="I73" s="744">
        <f>ROUND(F73*D73,2)</f>
        <v>0</v>
      </c>
      <c r="J73" s="694">
        <f>ROUND(G73*D73,2)</f>
        <v>0</v>
      </c>
      <c r="K73" s="695">
        <f>ROUND(H73*D73,2)</f>
        <v>0</v>
      </c>
      <c r="L73" s="696">
        <f>ROUND(D73*F73,2)+ROUND(D73*G73,2)+ROUND(D73*H73,2)</f>
        <v>0</v>
      </c>
      <c r="M73" s="745" t="e">
        <f t="shared" si="70"/>
        <v>#DIV/0!</v>
      </c>
      <c r="N73" s="607"/>
      <c r="O73" s="679" t="s">
        <v>369</v>
      </c>
      <c r="P73" s="759" t="s">
        <v>371</v>
      </c>
      <c r="Q73" s="681"/>
      <c r="R73" s="600"/>
      <c r="S73" s="730">
        <f t="shared" si="33"/>
        <v>236.50943999999998</v>
      </c>
      <c r="T73" s="600"/>
      <c r="U73" s="602"/>
      <c r="V73" s="683"/>
      <c r="W73" s="602"/>
      <c r="X73" s="603"/>
      <c r="Y73" s="600"/>
      <c r="Z73" s="600"/>
      <c r="AA73" s="600"/>
      <c r="AB73" s="600"/>
      <c r="AC73" s="600"/>
      <c r="AD73" s="600"/>
    </row>
    <row r="74" spans="1:30" s="684" customFormat="1" ht="27.95" customHeight="1" x14ac:dyDescent="0.2">
      <c r="A74" s="738" t="s">
        <v>596</v>
      </c>
      <c r="B74" s="757" t="s">
        <v>354</v>
      </c>
      <c r="C74" s="758" t="s">
        <v>45</v>
      </c>
      <c r="D74" s="688">
        <v>1</v>
      </c>
      <c r="E74" s="722">
        <f t="shared" si="65"/>
        <v>0</v>
      </c>
      <c r="F74" s="690">
        <f>'5.A'!$F$3458</f>
        <v>0</v>
      </c>
      <c r="G74" s="691">
        <f>'5.A'!$F$3471</f>
        <v>0</v>
      </c>
      <c r="H74" s="743">
        <f>'5.A'!$F$3494</f>
        <v>0</v>
      </c>
      <c r="I74" s="744">
        <f t="shared" si="66"/>
        <v>0</v>
      </c>
      <c r="J74" s="694">
        <f t="shared" si="67"/>
        <v>0</v>
      </c>
      <c r="K74" s="695">
        <f t="shared" si="68"/>
        <v>0</v>
      </c>
      <c r="L74" s="696">
        <f t="shared" si="69"/>
        <v>0</v>
      </c>
      <c r="M74" s="745" t="e">
        <f t="shared" si="70"/>
        <v>#DIV/0!</v>
      </c>
      <c r="N74" s="607"/>
      <c r="O74" s="679" t="s">
        <v>369</v>
      </c>
      <c r="P74" s="759" t="s">
        <v>374</v>
      </c>
      <c r="Q74" s="681"/>
      <c r="R74" s="600"/>
      <c r="S74" s="730">
        <f t="shared" si="33"/>
        <v>236.50943999999998</v>
      </c>
      <c r="T74" s="600"/>
      <c r="U74" s="602"/>
      <c r="V74" s="683"/>
      <c r="W74" s="602"/>
      <c r="X74" s="603"/>
      <c r="Y74" s="600"/>
      <c r="Z74" s="600"/>
      <c r="AA74" s="600"/>
      <c r="AB74" s="600"/>
      <c r="AC74" s="600"/>
      <c r="AD74" s="600"/>
    </row>
    <row r="75" spans="1:30" s="684" customFormat="1" ht="27.95" customHeight="1" x14ac:dyDescent="0.2">
      <c r="A75" s="738" t="s">
        <v>603</v>
      </c>
      <c r="B75" s="757" t="s">
        <v>355</v>
      </c>
      <c r="C75" s="758" t="s">
        <v>45</v>
      </c>
      <c r="D75" s="688">
        <v>6</v>
      </c>
      <c r="E75" s="722">
        <f t="shared" ref="E75:E84" si="71">G75+H75+F75</f>
        <v>0</v>
      </c>
      <c r="F75" s="690">
        <f>'5.A'!$F$3510</f>
        <v>0</v>
      </c>
      <c r="G75" s="691">
        <f>'5.A'!$F$3523</f>
        <v>0</v>
      </c>
      <c r="H75" s="743">
        <f>'5.A'!$F$3546</f>
        <v>0</v>
      </c>
      <c r="I75" s="744">
        <f t="shared" ref="I75:I84" si="72">ROUND(F75*D75,2)</f>
        <v>0</v>
      </c>
      <c r="J75" s="694">
        <f t="shared" ref="J75:J84" si="73">ROUND(G75*D75,2)</f>
        <v>0</v>
      </c>
      <c r="K75" s="695">
        <f t="shared" ref="K75:K84" si="74">ROUND(H75*D75,2)</f>
        <v>0</v>
      </c>
      <c r="L75" s="696">
        <f t="shared" ref="L75:L84" si="75">ROUND(D75*F75,2)+ROUND(D75*G75,2)+ROUND(D75*H75,2)</f>
        <v>0</v>
      </c>
      <c r="M75" s="745" t="e">
        <f t="shared" si="70"/>
        <v>#DIV/0!</v>
      </c>
      <c r="N75" s="607"/>
      <c r="O75" s="679" t="s">
        <v>369</v>
      </c>
      <c r="P75" s="759" t="s">
        <v>375</v>
      </c>
      <c r="Q75" s="681"/>
      <c r="R75" s="600"/>
      <c r="S75" s="730">
        <f t="shared" si="33"/>
        <v>236.50943999999998</v>
      </c>
      <c r="T75" s="600"/>
      <c r="U75" s="602"/>
      <c r="V75" s="683"/>
      <c r="W75" s="602"/>
      <c r="X75" s="603"/>
      <c r="Y75" s="600"/>
      <c r="Z75" s="600"/>
      <c r="AA75" s="600"/>
      <c r="AB75" s="600"/>
      <c r="AC75" s="600"/>
      <c r="AD75" s="600"/>
    </row>
    <row r="76" spans="1:30" s="684" customFormat="1" ht="27.95" customHeight="1" x14ac:dyDescent="0.2">
      <c r="A76" s="738" t="s">
        <v>612</v>
      </c>
      <c r="B76" s="757" t="s">
        <v>356</v>
      </c>
      <c r="C76" s="758" t="s">
        <v>45</v>
      </c>
      <c r="D76" s="688">
        <v>5</v>
      </c>
      <c r="E76" s="722">
        <f t="shared" si="71"/>
        <v>0</v>
      </c>
      <c r="F76" s="690">
        <f>'5.A'!$F$3614</f>
        <v>0</v>
      </c>
      <c r="G76" s="691">
        <f>'5.A'!$F$3627</f>
        <v>0</v>
      </c>
      <c r="H76" s="743">
        <f>'5.A'!$F$3650</f>
        <v>0</v>
      </c>
      <c r="I76" s="744">
        <f t="shared" si="72"/>
        <v>0</v>
      </c>
      <c r="J76" s="694">
        <f t="shared" si="73"/>
        <v>0</v>
      </c>
      <c r="K76" s="695">
        <f t="shared" si="74"/>
        <v>0</v>
      </c>
      <c r="L76" s="696">
        <f t="shared" si="75"/>
        <v>0</v>
      </c>
      <c r="M76" s="745" t="e">
        <f t="shared" si="70"/>
        <v>#DIV/0!</v>
      </c>
      <c r="N76" s="607"/>
      <c r="O76" s="679" t="s">
        <v>369</v>
      </c>
      <c r="P76" s="759" t="s">
        <v>376</v>
      </c>
      <c r="Q76" s="681"/>
      <c r="R76" s="600"/>
      <c r="S76" s="730">
        <f t="shared" si="33"/>
        <v>236.50943999999998</v>
      </c>
      <c r="T76" s="600"/>
      <c r="U76" s="602"/>
      <c r="V76" s="683"/>
      <c r="W76" s="602"/>
      <c r="X76" s="603"/>
      <c r="Y76" s="600"/>
      <c r="Z76" s="600"/>
      <c r="AA76" s="600"/>
      <c r="AB76" s="600"/>
      <c r="AC76" s="600"/>
      <c r="AD76" s="600"/>
    </row>
    <row r="77" spans="1:30" s="736" customFormat="1" ht="18.95" customHeight="1" x14ac:dyDescent="0.2">
      <c r="A77" s="751" t="s">
        <v>342</v>
      </c>
      <c r="B77" s="752" t="s">
        <v>357</v>
      </c>
      <c r="C77" s="753"/>
      <c r="D77" s="753"/>
      <c r="E77" s="753"/>
      <c r="F77" s="753"/>
      <c r="G77" s="753"/>
      <c r="H77" s="753"/>
      <c r="I77" s="753"/>
      <c r="J77" s="753"/>
      <c r="K77" s="753"/>
      <c r="L77" s="753"/>
      <c r="M77" s="754"/>
      <c r="N77" s="735"/>
      <c r="O77" s="755" t="s">
        <v>158</v>
      </c>
      <c r="P77" s="755"/>
      <c r="Q77" s="665" t="s">
        <v>159</v>
      </c>
      <c r="R77" s="600"/>
      <c r="U77" s="602"/>
      <c r="V77" s="683"/>
      <c r="W77" s="602"/>
      <c r="X77" s="737"/>
    </row>
    <row r="78" spans="1:30" s="684" customFormat="1" ht="18.95" customHeight="1" x14ac:dyDescent="0.2">
      <c r="A78" s="738" t="s">
        <v>554</v>
      </c>
      <c r="B78" s="757" t="s">
        <v>538</v>
      </c>
      <c r="C78" s="758" t="s">
        <v>48</v>
      </c>
      <c r="D78" s="688">
        <f>ROUNDUP(3*2,0)</f>
        <v>6</v>
      </c>
      <c r="E78" s="722">
        <f t="shared" ref="E78" si="76">G78+H78+F78</f>
        <v>0</v>
      </c>
      <c r="F78" s="690">
        <f>'5.A'!$F$3718</f>
        <v>0</v>
      </c>
      <c r="G78" s="691">
        <f>'5.A'!$F$3731</f>
        <v>0</v>
      </c>
      <c r="H78" s="743">
        <f>'5.A'!$F$3754</f>
        <v>0</v>
      </c>
      <c r="I78" s="744">
        <f t="shared" ref="I78" si="77">ROUND(F78*D78,2)</f>
        <v>0</v>
      </c>
      <c r="J78" s="694">
        <f t="shared" ref="J78" si="78">ROUND(G78*D78,2)</f>
        <v>0</v>
      </c>
      <c r="K78" s="695">
        <f t="shared" ref="K78" si="79">ROUND(H78*D78,2)</f>
        <v>0</v>
      </c>
      <c r="L78" s="696">
        <f t="shared" ref="L78" si="80">ROUND(D78*F78,2)+ROUND(D78*G78,2)+ROUND(D78*H78,2)</f>
        <v>0</v>
      </c>
      <c r="M78" s="745" t="e">
        <f t="shared" ref="M78:M84" si="81">L78/$L$93</f>
        <v>#DIV/0!</v>
      </c>
      <c r="N78" s="607"/>
      <c r="O78" s="679" t="s">
        <v>28</v>
      </c>
      <c r="P78" s="759">
        <v>97101</v>
      </c>
      <c r="Q78" s="681"/>
      <c r="R78" s="600"/>
      <c r="S78" s="730">
        <f t="shared" si="33"/>
        <v>236.50943999999998</v>
      </c>
      <c r="T78" s="600"/>
      <c r="U78" s="602"/>
      <c r="V78" s="683"/>
      <c r="W78" s="602"/>
      <c r="X78" s="603"/>
      <c r="Y78" s="600"/>
      <c r="Z78" s="600"/>
      <c r="AA78" s="600"/>
      <c r="AB78" s="600"/>
      <c r="AC78" s="600"/>
      <c r="AD78" s="600"/>
    </row>
    <row r="79" spans="1:30" s="684" customFormat="1" ht="27.95" customHeight="1" x14ac:dyDescent="0.2">
      <c r="A79" s="738" t="s">
        <v>555</v>
      </c>
      <c r="B79" s="757" t="s">
        <v>383</v>
      </c>
      <c r="C79" s="758" t="s">
        <v>48</v>
      </c>
      <c r="D79" s="688">
        <f>ROUNDUP(9.6,0)</f>
        <v>10</v>
      </c>
      <c r="E79" s="722">
        <f t="shared" si="71"/>
        <v>0</v>
      </c>
      <c r="F79" s="690">
        <f>'5.A'!$F$3770</f>
        <v>0</v>
      </c>
      <c r="G79" s="691">
        <f>'5.A'!$F$3783</f>
        <v>0</v>
      </c>
      <c r="H79" s="743">
        <f>'5.A'!$F$3806</f>
        <v>0</v>
      </c>
      <c r="I79" s="744">
        <f t="shared" si="72"/>
        <v>0</v>
      </c>
      <c r="J79" s="694">
        <f t="shared" si="73"/>
        <v>0</v>
      </c>
      <c r="K79" s="695">
        <f t="shared" si="74"/>
        <v>0</v>
      </c>
      <c r="L79" s="696">
        <f t="shared" si="75"/>
        <v>0</v>
      </c>
      <c r="M79" s="745" t="e">
        <f t="shared" si="81"/>
        <v>#DIV/0!</v>
      </c>
      <c r="N79" s="607"/>
      <c r="O79" s="679" t="s">
        <v>28</v>
      </c>
      <c r="P79" s="759">
        <v>89307</v>
      </c>
      <c r="Q79" s="681"/>
      <c r="R79" s="600"/>
      <c r="S79" s="730">
        <f t="shared" si="33"/>
        <v>236.50943999999998</v>
      </c>
      <c r="T79" s="600"/>
      <c r="U79" s="602"/>
      <c r="V79" s="683"/>
      <c r="W79" s="602"/>
      <c r="X79" s="603"/>
      <c r="Y79" s="600"/>
      <c r="Z79" s="600"/>
      <c r="AA79" s="600"/>
      <c r="AB79" s="600"/>
      <c r="AC79" s="600"/>
      <c r="AD79" s="600"/>
    </row>
    <row r="80" spans="1:30" s="684" customFormat="1" ht="18.95" customHeight="1" x14ac:dyDescent="0.2">
      <c r="A80" s="738" t="s">
        <v>556</v>
      </c>
      <c r="B80" s="757" t="s">
        <v>382</v>
      </c>
      <c r="C80" s="758" t="s">
        <v>48</v>
      </c>
      <c r="D80" s="688">
        <f>ROUNDUP(2.4,0)</f>
        <v>3</v>
      </c>
      <c r="E80" s="722">
        <f t="shared" si="71"/>
        <v>0</v>
      </c>
      <c r="F80" s="690">
        <f>'5.A'!$F$3822</f>
        <v>0</v>
      </c>
      <c r="G80" s="691">
        <f>'5.A'!$F$3835</f>
        <v>0</v>
      </c>
      <c r="H80" s="743">
        <f>'5.A'!$F$3858</f>
        <v>0</v>
      </c>
      <c r="I80" s="744">
        <f t="shared" si="72"/>
        <v>0</v>
      </c>
      <c r="J80" s="694">
        <f t="shared" si="73"/>
        <v>0</v>
      </c>
      <c r="K80" s="695">
        <f t="shared" si="74"/>
        <v>0</v>
      </c>
      <c r="L80" s="696">
        <f t="shared" si="75"/>
        <v>0</v>
      </c>
      <c r="M80" s="745" t="e">
        <f t="shared" si="81"/>
        <v>#DIV/0!</v>
      </c>
      <c r="N80" s="607"/>
      <c r="O80" s="679" t="s">
        <v>28</v>
      </c>
      <c r="P80" s="759">
        <v>98679</v>
      </c>
      <c r="Q80" s="681"/>
      <c r="R80" s="600"/>
      <c r="S80" s="730">
        <f t="shared" si="33"/>
        <v>236.50943999999998</v>
      </c>
      <c r="T80" s="600"/>
      <c r="U80" s="602"/>
      <c r="V80" s="683"/>
      <c r="W80" s="602"/>
      <c r="X80" s="603"/>
      <c r="Y80" s="600"/>
      <c r="Z80" s="600"/>
      <c r="AA80" s="600"/>
      <c r="AB80" s="600"/>
      <c r="AC80" s="600"/>
      <c r="AD80" s="600"/>
    </row>
    <row r="81" spans="1:30" s="684" customFormat="1" ht="27.95" customHeight="1" x14ac:dyDescent="0.2">
      <c r="A81" s="738" t="s">
        <v>557</v>
      </c>
      <c r="B81" s="757" t="s">
        <v>384</v>
      </c>
      <c r="C81" s="758" t="s">
        <v>48</v>
      </c>
      <c r="D81" s="688">
        <f>ROUNDUP(2.4,0)</f>
        <v>3</v>
      </c>
      <c r="E81" s="722">
        <f t="shared" si="71"/>
        <v>0</v>
      </c>
      <c r="F81" s="690">
        <f>'5.A'!$F$3874</f>
        <v>0</v>
      </c>
      <c r="G81" s="691">
        <f>'5.A'!$F$3887</f>
        <v>0</v>
      </c>
      <c r="H81" s="743">
        <f>'5.A'!$F$3910</f>
        <v>0</v>
      </c>
      <c r="I81" s="744">
        <f t="shared" si="72"/>
        <v>0</v>
      </c>
      <c r="J81" s="694">
        <f t="shared" si="73"/>
        <v>0</v>
      </c>
      <c r="K81" s="695">
        <f t="shared" si="74"/>
        <v>0</v>
      </c>
      <c r="L81" s="696">
        <f t="shared" si="75"/>
        <v>0</v>
      </c>
      <c r="M81" s="745" t="e">
        <f t="shared" si="81"/>
        <v>#DIV/0!</v>
      </c>
      <c r="N81" s="607"/>
      <c r="O81" s="679" t="s">
        <v>28</v>
      </c>
      <c r="P81" s="759">
        <v>101964</v>
      </c>
      <c r="Q81" s="681"/>
      <c r="R81" s="600"/>
      <c r="S81" s="730">
        <f t="shared" si="33"/>
        <v>236.50943999999998</v>
      </c>
      <c r="T81" s="600"/>
      <c r="U81" s="602"/>
      <c r="V81" s="683"/>
      <c r="W81" s="602"/>
      <c r="X81" s="603"/>
      <c r="Y81" s="600"/>
      <c r="Z81" s="600"/>
      <c r="AA81" s="600"/>
      <c r="AB81" s="600"/>
      <c r="AC81" s="600"/>
      <c r="AD81" s="600"/>
    </row>
    <row r="82" spans="1:30" s="684" customFormat="1" ht="18.95" customHeight="1" x14ac:dyDescent="0.2">
      <c r="A82" s="738" t="s">
        <v>558</v>
      </c>
      <c r="B82" s="757" t="s">
        <v>481</v>
      </c>
      <c r="C82" s="758" t="s">
        <v>45</v>
      </c>
      <c r="D82" s="688">
        <v>2</v>
      </c>
      <c r="E82" s="722">
        <f t="shared" si="71"/>
        <v>0</v>
      </c>
      <c r="F82" s="690">
        <f>'5.A'!$F$3926</f>
        <v>0</v>
      </c>
      <c r="G82" s="691">
        <f>'5.A'!$F$3939</f>
        <v>0</v>
      </c>
      <c r="H82" s="743">
        <f>'5.A'!$F$3962</f>
        <v>0</v>
      </c>
      <c r="I82" s="744">
        <f t="shared" si="72"/>
        <v>0</v>
      </c>
      <c r="J82" s="694">
        <f t="shared" si="73"/>
        <v>0</v>
      </c>
      <c r="K82" s="695">
        <f t="shared" si="74"/>
        <v>0</v>
      </c>
      <c r="L82" s="696">
        <f t="shared" si="75"/>
        <v>0</v>
      </c>
      <c r="M82" s="745" t="e">
        <f t="shared" si="81"/>
        <v>#DIV/0!</v>
      </c>
      <c r="N82" s="607"/>
      <c r="O82" s="679" t="s">
        <v>28</v>
      </c>
      <c r="P82" s="759">
        <v>94807</v>
      </c>
      <c r="Q82" s="681"/>
      <c r="R82" s="600"/>
      <c r="S82" s="730">
        <f t="shared" si="33"/>
        <v>236.50943999999998</v>
      </c>
      <c r="T82" s="600"/>
      <c r="U82" s="602"/>
      <c r="V82" s="683"/>
      <c r="W82" s="602"/>
      <c r="X82" s="603"/>
      <c r="Y82" s="600"/>
      <c r="Z82" s="600"/>
      <c r="AA82" s="600"/>
      <c r="AB82" s="600"/>
      <c r="AC82" s="600"/>
      <c r="AD82" s="600"/>
    </row>
    <row r="83" spans="1:30" s="684" customFormat="1" ht="18.95" customHeight="1" x14ac:dyDescent="0.2">
      <c r="A83" s="738" t="s">
        <v>559</v>
      </c>
      <c r="B83" s="757" t="s">
        <v>482</v>
      </c>
      <c r="C83" s="758" t="s">
        <v>48</v>
      </c>
      <c r="D83" s="688">
        <f>ROUNDUP(28.8,0)</f>
        <v>29</v>
      </c>
      <c r="E83" s="722">
        <f t="shared" si="71"/>
        <v>0</v>
      </c>
      <c r="F83" s="690">
        <f>'5.A'!$F$3978</f>
        <v>0</v>
      </c>
      <c r="G83" s="691">
        <f>'5.A'!$F$3991</f>
        <v>0</v>
      </c>
      <c r="H83" s="743">
        <f>'5.A'!$F$4014</f>
        <v>0</v>
      </c>
      <c r="I83" s="744">
        <f t="shared" si="72"/>
        <v>0</v>
      </c>
      <c r="J83" s="694">
        <f t="shared" si="73"/>
        <v>0</v>
      </c>
      <c r="K83" s="695">
        <f t="shared" si="74"/>
        <v>0</v>
      </c>
      <c r="L83" s="696">
        <f t="shared" si="75"/>
        <v>0</v>
      </c>
      <c r="M83" s="745" t="e">
        <f t="shared" si="81"/>
        <v>#DIV/0!</v>
      </c>
      <c r="N83" s="607"/>
      <c r="O83" s="679" t="s">
        <v>28</v>
      </c>
      <c r="P83" s="759">
        <v>104641</v>
      </c>
      <c r="Q83" s="681" t="s">
        <v>483</v>
      </c>
      <c r="R83" s="600"/>
      <c r="S83" s="730">
        <f t="shared" si="33"/>
        <v>236.50943999999998</v>
      </c>
      <c r="T83" s="600"/>
      <c r="U83" s="602"/>
      <c r="V83" s="683"/>
      <c r="W83" s="602"/>
      <c r="X83" s="603"/>
      <c r="Y83" s="600"/>
      <c r="Z83" s="600"/>
      <c r="AA83" s="600"/>
      <c r="AB83" s="600"/>
      <c r="AC83" s="600"/>
      <c r="AD83" s="600"/>
    </row>
    <row r="84" spans="1:30" s="684" customFormat="1" ht="27.95" customHeight="1" thickBot="1" x14ac:dyDescent="0.25">
      <c r="A84" s="760" t="s">
        <v>560</v>
      </c>
      <c r="B84" s="761" t="s">
        <v>478</v>
      </c>
      <c r="C84" s="762" t="s">
        <v>48</v>
      </c>
      <c r="D84" s="701">
        <f>ROUNDUP(4.4,0)</f>
        <v>5</v>
      </c>
      <c r="E84" s="702">
        <f t="shared" si="71"/>
        <v>0</v>
      </c>
      <c r="F84" s="245">
        <f>'5.A'!$F$4030</f>
        <v>0</v>
      </c>
      <c r="G84" s="246">
        <f>'5.A'!$F$4043</f>
        <v>0</v>
      </c>
      <c r="H84" s="247">
        <f>'5.A'!$F$4066</f>
        <v>0</v>
      </c>
      <c r="I84" s="256">
        <f t="shared" si="72"/>
        <v>0</v>
      </c>
      <c r="J84" s="257">
        <f t="shared" si="73"/>
        <v>0</v>
      </c>
      <c r="K84" s="258">
        <f t="shared" si="74"/>
        <v>0</v>
      </c>
      <c r="L84" s="705">
        <f t="shared" si="75"/>
        <v>0</v>
      </c>
      <c r="M84" s="706" t="e">
        <f t="shared" si="81"/>
        <v>#DIV/0!</v>
      </c>
      <c r="N84" s="607"/>
      <c r="O84" s="679" t="s">
        <v>28</v>
      </c>
      <c r="P84" s="759">
        <v>100754</v>
      </c>
      <c r="Q84" s="681" t="s">
        <v>484</v>
      </c>
      <c r="R84" s="600"/>
      <c r="S84" s="730">
        <f t="shared" si="33"/>
        <v>236.50943999999998</v>
      </c>
      <c r="T84" s="600"/>
      <c r="U84" s="602"/>
      <c r="V84" s="683"/>
      <c r="W84" s="602"/>
      <c r="X84" s="603"/>
      <c r="Y84" s="600"/>
      <c r="Z84" s="600"/>
      <c r="AA84" s="600"/>
      <c r="AB84" s="600"/>
      <c r="AC84" s="600"/>
      <c r="AD84" s="600"/>
    </row>
    <row r="85" spans="1:30" ht="6.95" customHeight="1" thickBot="1" x14ac:dyDescent="0.25">
      <c r="B85" s="707"/>
      <c r="C85" s="610"/>
      <c r="D85" s="77"/>
      <c r="E85" s="78"/>
      <c r="F85" s="81"/>
      <c r="G85" s="81"/>
      <c r="H85" s="81"/>
      <c r="I85" s="82"/>
      <c r="J85" s="82"/>
      <c r="K85" s="80"/>
      <c r="L85" s="629"/>
      <c r="N85" s="607"/>
      <c r="O85" s="708"/>
      <c r="P85" s="708"/>
      <c r="Q85" s="681"/>
      <c r="V85" s="683"/>
    </row>
    <row r="86" spans="1:30" ht="18.95" customHeight="1" x14ac:dyDescent="0.2">
      <c r="A86" s="633" t="s">
        <v>155</v>
      </c>
      <c r="B86" s="763" t="s">
        <v>161</v>
      </c>
      <c r="C86" s="635" t="s">
        <v>27</v>
      </c>
      <c r="D86" s="635"/>
      <c r="E86" s="654"/>
      <c r="F86" s="638">
        <f>I86</f>
        <v>0</v>
      </c>
      <c r="G86" s="639">
        <f>J86</f>
        <v>0</v>
      </c>
      <c r="H86" s="640">
        <f>K86</f>
        <v>0</v>
      </c>
      <c r="I86" s="655">
        <f>SUM(I89:I91)</f>
        <v>0</v>
      </c>
      <c r="J86" s="656">
        <f>SUM(J89:J91)</f>
        <v>0</v>
      </c>
      <c r="K86" s="657">
        <f>SUM(K89:K91)</f>
        <v>0</v>
      </c>
      <c r="L86" s="658">
        <f>F86+G86+H86</f>
        <v>0</v>
      </c>
      <c r="M86" s="642" t="e">
        <f>ROUND(L86/$L$93,6)</f>
        <v>#DIV/0!</v>
      </c>
      <c r="N86" s="607"/>
      <c r="O86" s="708"/>
      <c r="P86" s="708"/>
      <c r="Q86" s="681"/>
      <c r="V86" s="683"/>
    </row>
    <row r="87" spans="1:30" ht="18.95" customHeight="1" thickBot="1" x14ac:dyDescent="0.25">
      <c r="A87" s="660"/>
      <c r="B87" s="764"/>
      <c r="C87" s="645"/>
      <c r="D87" s="645"/>
      <c r="E87" s="662"/>
      <c r="F87" s="248" t="e">
        <f>F86/L86</f>
        <v>#DIV/0!</v>
      </c>
      <c r="G87" s="249" t="e">
        <f>G86/L86</f>
        <v>#DIV/0!</v>
      </c>
      <c r="H87" s="250" t="e">
        <f>H86/L86</f>
        <v>#DIV/0!</v>
      </c>
      <c r="I87" s="251" t="str">
        <f>IF(F86=I86,"SIM","NÃO")</f>
        <v>SIM</v>
      </c>
      <c r="J87" s="252" t="str">
        <f>IF(G86=J86,"SIM","NÃO")</f>
        <v>SIM</v>
      </c>
      <c r="K87" s="253" t="str">
        <f>IF(H86=K86,"SIM","NÃO")</f>
        <v>SIM</v>
      </c>
      <c r="L87" s="663"/>
      <c r="M87" s="652"/>
      <c r="N87" s="607"/>
      <c r="O87" s="708"/>
      <c r="P87" s="708"/>
      <c r="Q87" s="681"/>
      <c r="V87" s="683"/>
    </row>
    <row r="88" spans="1:30" s="736" customFormat="1" ht="18.95" customHeight="1" x14ac:dyDescent="0.2">
      <c r="A88" s="765" t="s">
        <v>156</v>
      </c>
      <c r="B88" s="766" t="s">
        <v>164</v>
      </c>
      <c r="C88" s="767"/>
      <c r="D88" s="767"/>
      <c r="E88" s="767"/>
      <c r="F88" s="767"/>
      <c r="G88" s="767"/>
      <c r="H88" s="767"/>
      <c r="I88" s="767"/>
      <c r="J88" s="767"/>
      <c r="K88" s="767"/>
      <c r="L88" s="767"/>
      <c r="M88" s="768"/>
      <c r="N88" s="735"/>
      <c r="O88" s="664" t="s">
        <v>158</v>
      </c>
      <c r="P88" s="664"/>
      <c r="Q88" s="665" t="s">
        <v>159</v>
      </c>
      <c r="R88" s="600"/>
      <c r="U88" s="602"/>
      <c r="V88" s="683"/>
      <c r="W88" s="602"/>
      <c r="X88" s="737"/>
    </row>
    <row r="89" spans="1:30" s="684" customFormat="1" ht="18.95" customHeight="1" x14ac:dyDescent="0.2">
      <c r="A89" s="738" t="s">
        <v>551</v>
      </c>
      <c r="B89" s="769" t="s">
        <v>606</v>
      </c>
      <c r="C89" s="747" t="s">
        <v>131</v>
      </c>
      <c r="D89" s="749">
        <v>1</v>
      </c>
      <c r="E89" s="722">
        <f t="shared" ref="E89" si="82">G89+H89+F89</f>
        <v>0</v>
      </c>
      <c r="F89" s="690">
        <f>'5.A'!$F$4082</f>
        <v>0</v>
      </c>
      <c r="G89" s="691">
        <f>'5.A'!$F$4095</f>
        <v>0</v>
      </c>
      <c r="H89" s="743">
        <f>'5.A'!$F$4118</f>
        <v>0</v>
      </c>
      <c r="I89" s="744">
        <f t="shared" ref="I89" si="83">ROUND(F89*D89,2)</f>
        <v>0</v>
      </c>
      <c r="J89" s="694">
        <f t="shared" ref="J89" si="84">ROUND(G89*D89,2)</f>
        <v>0</v>
      </c>
      <c r="K89" s="695">
        <f t="shared" ref="K89" si="85">ROUND(H89*D89,2)</f>
        <v>0</v>
      </c>
      <c r="L89" s="696">
        <f t="shared" ref="L89" si="86">ROUND(D89*F89,2)+ROUND(D89*G89,2)+ROUND(D89*H89,2)</f>
        <v>0</v>
      </c>
      <c r="M89" s="745" t="e">
        <f>L89/$L$93</f>
        <v>#DIV/0!</v>
      </c>
      <c r="N89" s="607"/>
      <c r="O89" s="679" t="s">
        <v>28</v>
      </c>
      <c r="P89" s="759">
        <v>88264</v>
      </c>
      <c r="Q89" s="681"/>
      <c r="R89" s="600"/>
      <c r="S89" s="730"/>
      <c r="T89" s="600"/>
      <c r="U89" s="602"/>
      <c r="V89" s="683"/>
      <c r="W89" s="602"/>
      <c r="X89" s="603"/>
      <c r="Y89" s="600"/>
      <c r="Z89" s="600"/>
      <c r="AA89" s="600"/>
      <c r="AB89" s="600"/>
      <c r="AC89" s="600"/>
      <c r="AD89" s="600"/>
    </row>
    <row r="90" spans="1:30" s="736" customFormat="1" ht="18.95" customHeight="1" x14ac:dyDescent="0.2">
      <c r="A90" s="751" t="s">
        <v>157</v>
      </c>
      <c r="B90" s="770" t="s">
        <v>165</v>
      </c>
      <c r="C90" s="753"/>
      <c r="D90" s="753"/>
      <c r="E90" s="753"/>
      <c r="F90" s="753"/>
      <c r="G90" s="753"/>
      <c r="H90" s="753"/>
      <c r="I90" s="753"/>
      <c r="J90" s="753"/>
      <c r="K90" s="753"/>
      <c r="L90" s="753"/>
      <c r="M90" s="754"/>
      <c r="N90" s="735"/>
      <c r="O90" s="664" t="s">
        <v>158</v>
      </c>
      <c r="P90" s="664"/>
      <c r="Q90" s="665" t="s">
        <v>159</v>
      </c>
      <c r="R90" s="600"/>
      <c r="U90" s="602"/>
      <c r="V90" s="683"/>
      <c r="W90" s="602"/>
      <c r="X90" s="737"/>
    </row>
    <row r="91" spans="1:30" s="684" customFormat="1" ht="18.95" customHeight="1" thickBot="1" x14ac:dyDescent="0.25">
      <c r="A91" s="723" t="s">
        <v>552</v>
      </c>
      <c r="B91" s="771" t="s">
        <v>231</v>
      </c>
      <c r="C91" s="772" t="s">
        <v>131</v>
      </c>
      <c r="D91" s="773">
        <v>1</v>
      </c>
      <c r="E91" s="702">
        <f t="shared" ref="E91" si="87">G91+H91+F91</f>
        <v>0</v>
      </c>
      <c r="F91" s="245">
        <f>'5.A'!$F$4186</f>
        <v>0</v>
      </c>
      <c r="G91" s="246">
        <f>'5.A'!$F$4199</f>
        <v>0</v>
      </c>
      <c r="H91" s="247">
        <f>'5.A'!$F$4222</f>
        <v>0</v>
      </c>
      <c r="I91" s="256">
        <f t="shared" ref="I91" si="88">ROUND(F91*D91,2)</f>
        <v>0</v>
      </c>
      <c r="J91" s="257">
        <f t="shared" ref="J91" si="89">ROUND(G91*D91,2)</f>
        <v>0</v>
      </c>
      <c r="K91" s="258">
        <f t="shared" ref="K91" si="90">ROUND(H91*D91,2)</f>
        <v>0</v>
      </c>
      <c r="L91" s="705">
        <f t="shared" ref="L91" si="91">ROUND(D91*F91,2)+ROUND(D91*G91,2)+ROUND(D91*H91,2)</f>
        <v>0</v>
      </c>
      <c r="M91" s="706" t="e">
        <f>L91/$L$93</f>
        <v>#DIV/0!</v>
      </c>
      <c r="N91" s="607"/>
      <c r="O91" s="679" t="s">
        <v>28</v>
      </c>
      <c r="P91" s="759">
        <v>88247</v>
      </c>
      <c r="Q91" s="681"/>
      <c r="R91" s="600"/>
      <c r="S91" s="730"/>
      <c r="T91" s="600"/>
      <c r="U91" s="602"/>
      <c r="V91" s="683"/>
      <c r="W91" s="602"/>
      <c r="X91" s="603"/>
      <c r="Y91" s="600"/>
      <c r="Z91" s="600"/>
      <c r="AA91" s="600"/>
      <c r="AB91" s="600"/>
      <c r="AC91" s="600"/>
      <c r="AD91" s="600"/>
    </row>
    <row r="92" spans="1:30" ht="6.95" customHeight="1" thickBot="1" x14ac:dyDescent="0.25">
      <c r="D92" s="77"/>
      <c r="E92" s="78"/>
      <c r="F92" s="79"/>
      <c r="G92" s="79"/>
      <c r="H92" s="79"/>
      <c r="I92" s="80"/>
      <c r="J92" s="80"/>
      <c r="K92" s="80"/>
      <c r="L92" s="629"/>
      <c r="N92" s="607"/>
      <c r="O92" s="600"/>
      <c r="P92" s="600"/>
      <c r="V92" s="683"/>
    </row>
    <row r="93" spans="1:30" ht="18.95" customHeight="1" thickBot="1" x14ac:dyDescent="0.25">
      <c r="A93" s="774" t="s">
        <v>310</v>
      </c>
      <c r="B93" s="775"/>
      <c r="C93" s="775"/>
      <c r="D93" s="775"/>
      <c r="E93" s="775"/>
      <c r="F93" s="775"/>
      <c r="G93" s="775"/>
      <c r="H93" s="775"/>
      <c r="I93" s="776"/>
      <c r="J93" s="776"/>
      <c r="K93" s="777"/>
      <c r="L93" s="778">
        <f>L17+L24+L31+L86</f>
        <v>0</v>
      </c>
      <c r="M93" s="779" t="e">
        <f>M17+M24+M31+M86</f>
        <v>#DIV/0!</v>
      </c>
      <c r="N93" s="780"/>
    </row>
    <row r="94" spans="1:30" ht="18.95" customHeight="1" thickBot="1" x14ac:dyDescent="0.25">
      <c r="A94" s="781" t="s">
        <v>303</v>
      </c>
      <c r="B94" s="782"/>
      <c r="C94" s="782"/>
      <c r="D94" s="782"/>
      <c r="E94" s="782"/>
      <c r="F94" s="782"/>
      <c r="G94" s="782"/>
      <c r="H94" s="782"/>
      <c r="I94" s="783"/>
      <c r="J94" s="783"/>
      <c r="K94" s="783"/>
      <c r="L94" s="784">
        <f>F17+F24+F31+F86</f>
        <v>0</v>
      </c>
      <c r="M94" s="785" t="e">
        <f>ROUND(L94/L93,4)</f>
        <v>#DIV/0!</v>
      </c>
      <c r="N94" s="786">
        <f>L94+L95</f>
        <v>0</v>
      </c>
      <c r="O94" s="106" t="e">
        <f>N94/L93</f>
        <v>#DIV/0!</v>
      </c>
      <c r="P94" s="219"/>
    </row>
    <row r="95" spans="1:30" ht="18.95" customHeight="1" thickBot="1" x14ac:dyDescent="0.25">
      <c r="A95" s="781" t="s">
        <v>304</v>
      </c>
      <c r="B95" s="782"/>
      <c r="C95" s="782"/>
      <c r="D95" s="782"/>
      <c r="E95" s="782"/>
      <c r="F95" s="782"/>
      <c r="G95" s="782"/>
      <c r="H95" s="782"/>
      <c r="I95" s="783"/>
      <c r="J95" s="783"/>
      <c r="K95" s="787"/>
      <c r="L95" s="784">
        <f>G17+G24+G31+G86</f>
        <v>0</v>
      </c>
      <c r="M95" s="785" t="e">
        <f>ROUND(L95/L93,4)</f>
        <v>#DIV/0!</v>
      </c>
      <c r="N95" s="788">
        <f>L96</f>
        <v>0</v>
      </c>
      <c r="O95" s="106" t="e">
        <f>N95/L93</f>
        <v>#DIV/0!</v>
      </c>
    </row>
    <row r="96" spans="1:30" ht="18.95" customHeight="1" thickBot="1" x14ac:dyDescent="0.25">
      <c r="A96" s="781" t="s">
        <v>305</v>
      </c>
      <c r="B96" s="782"/>
      <c r="C96" s="782"/>
      <c r="D96" s="782"/>
      <c r="E96" s="782"/>
      <c r="F96" s="782"/>
      <c r="G96" s="782"/>
      <c r="H96" s="782"/>
      <c r="I96" s="783"/>
      <c r="J96" s="783"/>
      <c r="K96" s="789"/>
      <c r="L96" s="784">
        <f>H17+H24+H31+H86</f>
        <v>0</v>
      </c>
      <c r="M96" s="785" t="e">
        <f>ROUND(L96/L93,4)</f>
        <v>#DIV/0!</v>
      </c>
    </row>
    <row r="97" spans="1:30" ht="6.95" customHeight="1" thickBot="1" x14ac:dyDescent="0.25">
      <c r="D97" s="77"/>
      <c r="E97" s="78"/>
      <c r="F97" s="79"/>
      <c r="G97" s="79"/>
      <c r="H97" s="79"/>
      <c r="I97" s="80"/>
      <c r="J97" s="80"/>
      <c r="K97" s="80"/>
      <c r="L97" s="629"/>
      <c r="N97" s="607"/>
    </row>
    <row r="98" spans="1:30" ht="18.75" customHeight="1" thickBot="1" x14ac:dyDescent="0.25">
      <c r="A98" s="630" t="s">
        <v>312</v>
      </c>
      <c r="B98" s="631"/>
      <c r="C98" s="631"/>
      <c r="D98" s="631"/>
      <c r="E98" s="631"/>
      <c r="F98" s="631"/>
      <c r="G98" s="631"/>
      <c r="H98" s="631"/>
      <c r="I98" s="631"/>
      <c r="J98" s="631"/>
      <c r="K98" s="631"/>
      <c r="L98" s="631"/>
      <c r="M98" s="632"/>
      <c r="N98" s="607"/>
    </row>
    <row r="99" spans="1:30" ht="6.95" customHeight="1" thickBot="1" x14ac:dyDescent="0.25">
      <c r="D99" s="77"/>
      <c r="E99" s="78"/>
      <c r="F99" s="79"/>
      <c r="G99" s="79"/>
      <c r="H99" s="79"/>
      <c r="I99" s="80"/>
      <c r="J99" s="80"/>
      <c r="K99" s="80"/>
      <c r="L99" s="629"/>
      <c r="N99" s="607"/>
    </row>
    <row r="100" spans="1:30" ht="18.75" customHeight="1" x14ac:dyDescent="0.2">
      <c r="A100" s="633" t="s">
        <v>18</v>
      </c>
      <c r="B100" s="634" t="s">
        <v>19</v>
      </c>
      <c r="C100" s="635" t="s">
        <v>66</v>
      </c>
      <c r="D100" s="636" t="s">
        <v>20</v>
      </c>
      <c r="E100" s="637" t="s">
        <v>21</v>
      </c>
      <c r="F100" s="638" t="s">
        <v>22</v>
      </c>
      <c r="G100" s="639" t="s">
        <v>19</v>
      </c>
      <c r="H100" s="640" t="s">
        <v>17</v>
      </c>
      <c r="I100" s="638" t="s">
        <v>22</v>
      </c>
      <c r="J100" s="639" t="s">
        <v>19</v>
      </c>
      <c r="K100" s="640" t="s">
        <v>55</v>
      </c>
      <c r="L100" s="641" t="s">
        <v>21</v>
      </c>
      <c r="M100" s="642" t="s">
        <v>23</v>
      </c>
      <c r="N100" s="607"/>
    </row>
    <row r="101" spans="1:30" ht="15.95" customHeight="1" thickBot="1" x14ac:dyDescent="0.25">
      <c r="A101" s="643"/>
      <c r="B101" s="644"/>
      <c r="C101" s="645"/>
      <c r="D101" s="646"/>
      <c r="E101" s="647" t="s">
        <v>24</v>
      </c>
      <c r="F101" s="648" t="s">
        <v>25</v>
      </c>
      <c r="G101" s="649" t="s">
        <v>25</v>
      </c>
      <c r="H101" s="650" t="s">
        <v>25</v>
      </c>
      <c r="I101" s="648" t="s">
        <v>25</v>
      </c>
      <c r="J101" s="649" t="s">
        <v>25</v>
      </c>
      <c r="K101" s="650" t="s">
        <v>25</v>
      </c>
      <c r="L101" s="651" t="s">
        <v>26</v>
      </c>
      <c r="M101" s="652"/>
      <c r="N101" s="607"/>
    </row>
    <row r="102" spans="1:30" ht="6.95" customHeight="1" thickBot="1" x14ac:dyDescent="0.25">
      <c r="D102" s="77"/>
      <c r="E102" s="78"/>
      <c r="F102" s="79"/>
      <c r="G102" s="79"/>
      <c r="H102" s="79"/>
      <c r="I102" s="80"/>
      <c r="J102" s="80"/>
      <c r="K102" s="80"/>
      <c r="L102" s="629"/>
      <c r="N102" s="607"/>
    </row>
    <row r="103" spans="1:30" ht="18" customHeight="1" x14ac:dyDescent="0.2">
      <c r="A103" s="633" t="s">
        <v>3</v>
      </c>
      <c r="B103" s="653" t="s">
        <v>9</v>
      </c>
      <c r="C103" s="635" t="s">
        <v>27</v>
      </c>
      <c r="D103" s="635"/>
      <c r="E103" s="654"/>
      <c r="F103" s="638">
        <f>I103</f>
        <v>0</v>
      </c>
      <c r="G103" s="639">
        <f>J103</f>
        <v>0</v>
      </c>
      <c r="H103" s="640">
        <f>K103</f>
        <v>0</v>
      </c>
      <c r="I103" s="655">
        <f>SUM(I105:I108)</f>
        <v>0</v>
      </c>
      <c r="J103" s="656">
        <f>SUM(J105:J108)</f>
        <v>0</v>
      </c>
      <c r="K103" s="657">
        <f>SUM(K105:K108)</f>
        <v>0</v>
      </c>
      <c r="L103" s="658">
        <f>F103+G103+H103</f>
        <v>0</v>
      </c>
      <c r="M103" s="642" t="e">
        <f>ROUND(L103/$L$180,6)</f>
        <v>#DIV/0!</v>
      </c>
      <c r="N103" s="607"/>
      <c r="O103" s="659"/>
      <c r="P103" s="659"/>
      <c r="Q103" s="659"/>
    </row>
    <row r="104" spans="1:30" ht="18" customHeight="1" thickBot="1" x14ac:dyDescent="0.25">
      <c r="A104" s="660"/>
      <c r="B104" s="661"/>
      <c r="C104" s="645"/>
      <c r="D104" s="645"/>
      <c r="E104" s="662"/>
      <c r="F104" s="248" t="e">
        <f>F103/L103</f>
        <v>#DIV/0!</v>
      </c>
      <c r="G104" s="249" t="e">
        <f>G103/L103</f>
        <v>#DIV/0!</v>
      </c>
      <c r="H104" s="250" t="e">
        <f>H103/L103</f>
        <v>#DIV/0!</v>
      </c>
      <c r="I104" s="251" t="str">
        <f>IF(F103=I103,"SIM","NÃO")</f>
        <v>SIM</v>
      </c>
      <c r="J104" s="252" t="str">
        <f>IF(G103=J103,"SIM","NÃO")</f>
        <v>SIM</v>
      </c>
      <c r="K104" s="253" t="str">
        <f>IF(H103=K103,"SIM","NÃO")</f>
        <v>SIM</v>
      </c>
      <c r="L104" s="663"/>
      <c r="M104" s="652"/>
      <c r="N104" s="607"/>
      <c r="O104" s="664" t="s">
        <v>158</v>
      </c>
      <c r="P104" s="664"/>
      <c r="Q104" s="665" t="s">
        <v>159</v>
      </c>
    </row>
    <row r="105" spans="1:30" s="684" customFormat="1" ht="18" customHeight="1" x14ac:dyDescent="0.2">
      <c r="A105" s="666" t="str">
        <f>A19</f>
        <v>1.1</v>
      </c>
      <c r="B105" s="667" t="s">
        <v>140</v>
      </c>
      <c r="C105" s="668" t="s">
        <v>131</v>
      </c>
      <c r="D105" s="669">
        <v>1</v>
      </c>
      <c r="E105" s="670">
        <f t="shared" ref="E105:E108" si="92">G105+H105+F105</f>
        <v>0</v>
      </c>
      <c r="F105" s="671">
        <f>'5.A'!$F$26</f>
        <v>0</v>
      </c>
      <c r="G105" s="672">
        <f>'5.A'!$F$39</f>
        <v>0</v>
      </c>
      <c r="H105" s="673">
        <f>'5.A'!$F$62</f>
        <v>0</v>
      </c>
      <c r="I105" s="674">
        <f t="shared" ref="I105:I108" si="93">ROUND(F105*D105,2)</f>
        <v>0</v>
      </c>
      <c r="J105" s="675">
        <f t="shared" ref="J105:J108" si="94">ROUND(G105*D105,2)</f>
        <v>0</v>
      </c>
      <c r="K105" s="676">
        <f t="shared" ref="K105:K108" si="95">ROUND(H105*D105,2)</f>
        <v>0</v>
      </c>
      <c r="L105" s="677">
        <f t="shared" ref="L105:L108" si="96">ROUND(D105*F105,2)+ROUND(D105*G105,2)+ROUND(D105*H105,2)</f>
        <v>0</v>
      </c>
      <c r="M105" s="678" t="e">
        <f>L105/$L$180</f>
        <v>#DIV/0!</v>
      </c>
      <c r="N105" s="607"/>
      <c r="O105" s="679" t="s">
        <v>235</v>
      </c>
      <c r="P105" s="680" t="s">
        <v>236</v>
      </c>
      <c r="Q105" s="681"/>
      <c r="R105" s="600"/>
      <c r="S105" s="601"/>
      <c r="T105" s="600"/>
      <c r="U105" s="682"/>
      <c r="V105" s="683"/>
      <c r="W105" s="602"/>
      <c r="X105" s="603"/>
      <c r="Y105" s="600"/>
      <c r="Z105" s="600"/>
      <c r="AA105" s="600"/>
      <c r="AB105" s="600"/>
      <c r="AC105" s="600"/>
      <c r="AD105" s="600"/>
    </row>
    <row r="106" spans="1:30" s="684" customFormat="1" ht="18" customHeight="1" x14ac:dyDescent="0.2">
      <c r="A106" s="685" t="str">
        <f>A20</f>
        <v>1.2</v>
      </c>
      <c r="B106" s="686" t="s">
        <v>138</v>
      </c>
      <c r="C106" s="687" t="s">
        <v>131</v>
      </c>
      <c r="D106" s="688">
        <v>1</v>
      </c>
      <c r="E106" s="689">
        <f t="shared" si="92"/>
        <v>0</v>
      </c>
      <c r="F106" s="690">
        <f>'5.A'!$F$78</f>
        <v>0</v>
      </c>
      <c r="G106" s="691">
        <f>'5.A'!$F$91</f>
        <v>0</v>
      </c>
      <c r="H106" s="692">
        <f>'5.A'!$F$114</f>
        <v>0</v>
      </c>
      <c r="I106" s="693">
        <f t="shared" si="93"/>
        <v>0</v>
      </c>
      <c r="J106" s="694">
        <f t="shared" si="94"/>
        <v>0</v>
      </c>
      <c r="K106" s="695">
        <f t="shared" si="95"/>
        <v>0</v>
      </c>
      <c r="L106" s="696">
        <f t="shared" si="96"/>
        <v>0</v>
      </c>
      <c r="M106" s="697" t="e">
        <f>L106/$L$180</f>
        <v>#DIV/0!</v>
      </c>
      <c r="N106" s="607"/>
      <c r="O106" s="679"/>
      <c r="P106" s="680"/>
      <c r="Q106" s="681"/>
      <c r="R106" s="600"/>
      <c r="S106" s="601"/>
      <c r="T106" s="600"/>
      <c r="U106" s="682"/>
      <c r="V106" s="683"/>
      <c r="W106" s="602"/>
      <c r="X106" s="603"/>
      <c r="Y106" s="600"/>
      <c r="Z106" s="600"/>
      <c r="AA106" s="600"/>
      <c r="AB106" s="600"/>
      <c r="AC106" s="600"/>
      <c r="AD106" s="600"/>
    </row>
    <row r="107" spans="1:30" s="684" customFormat="1" ht="18" customHeight="1" x14ac:dyDescent="0.2">
      <c r="A107" s="685" t="str">
        <f>A21</f>
        <v>1.3</v>
      </c>
      <c r="B107" s="686" t="s">
        <v>139</v>
      </c>
      <c r="C107" s="687" t="s">
        <v>131</v>
      </c>
      <c r="D107" s="688">
        <v>1</v>
      </c>
      <c r="E107" s="689">
        <f t="shared" si="92"/>
        <v>0</v>
      </c>
      <c r="F107" s="690">
        <f>'5.A'!$F$130</f>
        <v>0</v>
      </c>
      <c r="G107" s="691">
        <f>'5.A'!$F$143</f>
        <v>0</v>
      </c>
      <c r="H107" s="692">
        <f>'5.A'!$F$166</f>
        <v>0</v>
      </c>
      <c r="I107" s="693">
        <f t="shared" si="93"/>
        <v>0</v>
      </c>
      <c r="J107" s="694">
        <f t="shared" si="94"/>
        <v>0</v>
      </c>
      <c r="K107" s="695">
        <f t="shared" si="95"/>
        <v>0</v>
      </c>
      <c r="L107" s="696">
        <f t="shared" si="96"/>
        <v>0</v>
      </c>
      <c r="M107" s="697" t="e">
        <f>L107/$L$180</f>
        <v>#DIV/0!</v>
      </c>
      <c r="N107" s="607"/>
      <c r="O107" s="679"/>
      <c r="P107" s="680"/>
      <c r="Q107" s="681"/>
      <c r="R107" s="600"/>
      <c r="S107" s="601"/>
      <c r="T107" s="600"/>
      <c r="U107" s="682"/>
      <c r="V107" s="683"/>
      <c r="W107" s="602"/>
      <c r="X107" s="603"/>
      <c r="Y107" s="600"/>
      <c r="Z107" s="600"/>
      <c r="AA107" s="600"/>
      <c r="AB107" s="600"/>
      <c r="AC107" s="600"/>
      <c r="AD107" s="600"/>
    </row>
    <row r="108" spans="1:30" s="684" customFormat="1" ht="18" customHeight="1" thickBot="1" x14ac:dyDescent="0.25">
      <c r="A108" s="698" t="str">
        <f>A22</f>
        <v>1.4</v>
      </c>
      <c r="B108" s="699" t="s">
        <v>137</v>
      </c>
      <c r="C108" s="700" t="s">
        <v>48</v>
      </c>
      <c r="D108" s="701">
        <f>1.5*4</f>
        <v>6</v>
      </c>
      <c r="E108" s="702">
        <f t="shared" si="92"/>
        <v>0</v>
      </c>
      <c r="F108" s="245">
        <f>'5.A'!$F$182</f>
        <v>0</v>
      </c>
      <c r="G108" s="246">
        <f>'5.A'!$F$195</f>
        <v>0</v>
      </c>
      <c r="H108" s="703">
        <f>'5.A'!$F$218</f>
        <v>0</v>
      </c>
      <c r="I108" s="704">
        <f t="shared" si="93"/>
        <v>0</v>
      </c>
      <c r="J108" s="257">
        <f t="shared" si="94"/>
        <v>0</v>
      </c>
      <c r="K108" s="258">
        <f t="shared" si="95"/>
        <v>0</v>
      </c>
      <c r="L108" s="705">
        <f t="shared" si="96"/>
        <v>0</v>
      </c>
      <c r="M108" s="706" t="e">
        <f>L108/$L$180</f>
        <v>#DIV/0!</v>
      </c>
      <c r="N108" s="607"/>
      <c r="O108" s="679" t="s">
        <v>28</v>
      </c>
      <c r="P108" s="680">
        <v>103689</v>
      </c>
      <c r="Q108" s="681"/>
      <c r="R108" s="600"/>
      <c r="S108" s="601"/>
      <c r="T108" s="600"/>
      <c r="U108" s="682"/>
      <c r="V108" s="683"/>
      <c r="W108" s="602"/>
      <c r="X108" s="603"/>
      <c r="Y108" s="600"/>
      <c r="Z108" s="600"/>
      <c r="AA108" s="600"/>
      <c r="AB108" s="600"/>
      <c r="AC108" s="600"/>
      <c r="AD108" s="600"/>
    </row>
    <row r="109" spans="1:30" ht="6.95" customHeight="1" thickBot="1" x14ac:dyDescent="0.25">
      <c r="B109" s="707"/>
      <c r="C109" s="610"/>
      <c r="D109" s="77"/>
      <c r="E109" s="78"/>
      <c r="F109" s="81"/>
      <c r="G109" s="81"/>
      <c r="H109" s="81"/>
      <c r="I109" s="82"/>
      <c r="J109" s="82"/>
      <c r="K109" s="80"/>
      <c r="L109" s="629"/>
      <c r="N109" s="607"/>
      <c r="O109" s="708"/>
      <c r="P109" s="708"/>
      <c r="Q109" s="681"/>
      <c r="V109" s="683"/>
    </row>
    <row r="110" spans="1:30" ht="18" customHeight="1" x14ac:dyDescent="0.2">
      <c r="A110" s="709" t="s">
        <v>5</v>
      </c>
      <c r="B110" s="710" t="s">
        <v>493</v>
      </c>
      <c r="C110" s="711" t="s">
        <v>27</v>
      </c>
      <c r="D110" s="712"/>
      <c r="E110" s="713"/>
      <c r="F110" s="638">
        <f>I110</f>
        <v>0</v>
      </c>
      <c r="G110" s="639">
        <f>J110</f>
        <v>0</v>
      </c>
      <c r="H110" s="640">
        <f>K110</f>
        <v>0</v>
      </c>
      <c r="I110" s="655">
        <f>SUM(I112:I115)</f>
        <v>0</v>
      </c>
      <c r="J110" s="656">
        <f>SUM(J112:J115)</f>
        <v>0</v>
      </c>
      <c r="K110" s="657">
        <f>SUM(K112:K115)</f>
        <v>0</v>
      </c>
      <c r="L110" s="714">
        <f>F110+G110+H110</f>
        <v>0</v>
      </c>
      <c r="M110" s="642" t="e">
        <f>ROUND(L110/$L$180,6)</f>
        <v>#DIV/0!</v>
      </c>
      <c r="N110" s="607"/>
      <c r="O110" s="600"/>
      <c r="P110" s="600"/>
      <c r="V110" s="683"/>
    </row>
    <row r="111" spans="1:30" ht="18" customHeight="1" thickBot="1" x14ac:dyDescent="0.25">
      <c r="A111" s="715"/>
      <c r="B111" s="716"/>
      <c r="C111" s="717"/>
      <c r="D111" s="718"/>
      <c r="E111" s="719"/>
      <c r="F111" s="248" t="e">
        <f>F110/L110</f>
        <v>#DIV/0!</v>
      </c>
      <c r="G111" s="249" t="e">
        <f>G110/L110</f>
        <v>#DIV/0!</v>
      </c>
      <c r="H111" s="250" t="e">
        <f>H110/L110</f>
        <v>#DIV/0!</v>
      </c>
      <c r="I111" s="251" t="str">
        <f>IF(F110=I110,"SIM","NÃO")</f>
        <v>SIM</v>
      </c>
      <c r="J111" s="252" t="str">
        <f>IF(G110=J110,"SIM","NÃO")</f>
        <v>SIM</v>
      </c>
      <c r="K111" s="253" t="str">
        <f>IF(H110=K110,"SIM","NÃO")</f>
        <v>SIM</v>
      </c>
      <c r="L111" s="720"/>
      <c r="M111" s="652"/>
      <c r="N111" s="607"/>
      <c r="O111" s="664" t="s">
        <v>158</v>
      </c>
      <c r="P111" s="664"/>
      <c r="Q111" s="665" t="s">
        <v>159</v>
      </c>
      <c r="V111" s="683"/>
    </row>
    <row r="112" spans="1:30" s="684" customFormat="1" ht="18" customHeight="1" x14ac:dyDescent="0.2">
      <c r="A112" s="685" t="s">
        <v>534</v>
      </c>
      <c r="B112" s="721" t="s">
        <v>494</v>
      </c>
      <c r="C112" s="687" t="s">
        <v>45</v>
      </c>
      <c r="D112" s="688">
        <v>1</v>
      </c>
      <c r="E112" s="722">
        <f t="shared" ref="E112:E115" si="97">G112+H112+F112</f>
        <v>0</v>
      </c>
      <c r="F112" s="690">
        <f>'5.A'!$F$442</f>
        <v>0</v>
      </c>
      <c r="G112" s="691">
        <f>'5.A'!$F$455</f>
        <v>0</v>
      </c>
      <c r="H112" s="692">
        <f>'5.A'!$F$478</f>
        <v>0</v>
      </c>
      <c r="I112" s="693">
        <f t="shared" ref="I112:I115" si="98">ROUND(F112*D112,2)</f>
        <v>0</v>
      </c>
      <c r="J112" s="694">
        <f t="shared" ref="J112:J115" si="99">ROUND(G112*D112,2)</f>
        <v>0</v>
      </c>
      <c r="K112" s="695">
        <f t="shared" ref="K112:K115" si="100">ROUND(H112*D112,2)</f>
        <v>0</v>
      </c>
      <c r="L112" s="696">
        <f t="shared" ref="L112:L115" si="101">ROUND(D112*F112,2)+ROUND(D112*G112,2)+ROUND(D112*H112,2)</f>
        <v>0</v>
      </c>
      <c r="M112" s="697" t="e">
        <f>L112/$L$180</f>
        <v>#DIV/0!</v>
      </c>
      <c r="N112" s="607"/>
      <c r="O112" s="679" t="s">
        <v>166</v>
      </c>
      <c r="P112" s="680" t="s">
        <v>500</v>
      </c>
      <c r="Q112" s="681"/>
      <c r="R112" s="600"/>
      <c r="S112" s="601">
        <v>775</v>
      </c>
      <c r="T112" s="600"/>
      <c r="U112" s="682"/>
      <c r="V112" s="683"/>
      <c r="W112" s="602"/>
      <c r="X112" s="603"/>
      <c r="Y112" s="600"/>
      <c r="Z112" s="600"/>
      <c r="AA112" s="600"/>
      <c r="AB112" s="600"/>
      <c r="AC112" s="600"/>
      <c r="AD112" s="600"/>
    </row>
    <row r="113" spans="1:30" s="684" customFormat="1" ht="18" customHeight="1" x14ac:dyDescent="0.2">
      <c r="A113" s="685" t="s">
        <v>535</v>
      </c>
      <c r="B113" s="721" t="s">
        <v>495</v>
      </c>
      <c r="C113" s="687" t="s">
        <v>45</v>
      </c>
      <c r="D113" s="688">
        <v>1</v>
      </c>
      <c r="E113" s="722">
        <f t="shared" si="97"/>
        <v>0</v>
      </c>
      <c r="F113" s="690">
        <f>'5.A'!$F$494</f>
        <v>0</v>
      </c>
      <c r="G113" s="691">
        <f>'5.A'!$F$507</f>
        <v>0</v>
      </c>
      <c r="H113" s="692">
        <f>'5.A'!$F$530</f>
        <v>0</v>
      </c>
      <c r="I113" s="693">
        <f t="shared" si="98"/>
        <v>0</v>
      </c>
      <c r="J113" s="694">
        <f t="shared" si="99"/>
        <v>0</v>
      </c>
      <c r="K113" s="695">
        <f t="shared" si="100"/>
        <v>0</v>
      </c>
      <c r="L113" s="696">
        <f t="shared" si="101"/>
        <v>0</v>
      </c>
      <c r="M113" s="697" t="e">
        <f>L113/$L$180</f>
        <v>#DIV/0!</v>
      </c>
      <c r="N113" s="607"/>
      <c r="O113" s="679" t="s">
        <v>166</v>
      </c>
      <c r="P113" s="680" t="s">
        <v>500</v>
      </c>
      <c r="Q113" s="681"/>
      <c r="R113" s="600"/>
      <c r="S113" s="601">
        <v>775</v>
      </c>
      <c r="T113" s="600"/>
      <c r="U113" s="682"/>
      <c r="V113" s="683"/>
      <c r="W113" s="602"/>
      <c r="X113" s="603"/>
      <c r="Y113" s="600"/>
      <c r="Z113" s="600"/>
      <c r="AA113" s="600"/>
      <c r="AB113" s="600"/>
      <c r="AC113" s="600"/>
      <c r="AD113" s="600"/>
    </row>
    <row r="114" spans="1:30" s="684" customFormat="1" ht="18" customHeight="1" x14ac:dyDescent="0.2">
      <c r="A114" s="685" t="s">
        <v>536</v>
      </c>
      <c r="B114" s="686" t="s">
        <v>496</v>
      </c>
      <c r="C114" s="687" t="s">
        <v>45</v>
      </c>
      <c r="D114" s="688">
        <v>1</v>
      </c>
      <c r="E114" s="722">
        <f t="shared" si="97"/>
        <v>0</v>
      </c>
      <c r="F114" s="690">
        <f>'5.A'!$F$546</f>
        <v>0</v>
      </c>
      <c r="G114" s="691">
        <f>'5.A'!$F$559</f>
        <v>0</v>
      </c>
      <c r="H114" s="692">
        <f>'5.A'!$F$582</f>
        <v>0</v>
      </c>
      <c r="I114" s="693">
        <f t="shared" si="98"/>
        <v>0</v>
      </c>
      <c r="J114" s="694">
        <f t="shared" si="99"/>
        <v>0</v>
      </c>
      <c r="K114" s="695">
        <f t="shared" si="100"/>
        <v>0</v>
      </c>
      <c r="L114" s="696">
        <f t="shared" si="101"/>
        <v>0</v>
      </c>
      <c r="M114" s="697" t="e">
        <f>L114/$L$180</f>
        <v>#DIV/0!</v>
      </c>
      <c r="N114" s="607"/>
      <c r="O114" s="679" t="s">
        <v>166</v>
      </c>
      <c r="P114" s="680" t="s">
        <v>500</v>
      </c>
      <c r="Q114" s="681"/>
      <c r="R114" s="600"/>
      <c r="S114" s="601">
        <v>775</v>
      </c>
      <c r="T114" s="600"/>
      <c r="U114" s="682"/>
      <c r="V114" s="683"/>
      <c r="W114" s="602"/>
      <c r="X114" s="603"/>
      <c r="Y114" s="600"/>
      <c r="Z114" s="600"/>
      <c r="AA114" s="600"/>
      <c r="AB114" s="600"/>
      <c r="AC114" s="600"/>
      <c r="AD114" s="600"/>
    </row>
    <row r="115" spans="1:30" ht="18" customHeight="1" thickBot="1" x14ac:dyDescent="0.25">
      <c r="A115" s="723" t="s">
        <v>537</v>
      </c>
      <c r="B115" s="724" t="s">
        <v>497</v>
      </c>
      <c r="C115" s="725" t="s">
        <v>45</v>
      </c>
      <c r="D115" s="378">
        <v>1</v>
      </c>
      <c r="E115" s="244">
        <f t="shared" si="97"/>
        <v>0</v>
      </c>
      <c r="F115" s="245">
        <f>'5.A'!$F$598</f>
        <v>0</v>
      </c>
      <c r="G115" s="246">
        <f>'5.A'!$F$611</f>
        <v>0</v>
      </c>
      <c r="H115" s="247">
        <f>'5.A'!$F$634</f>
        <v>0</v>
      </c>
      <c r="I115" s="256">
        <f t="shared" si="98"/>
        <v>0</v>
      </c>
      <c r="J115" s="257">
        <f t="shared" si="99"/>
        <v>0</v>
      </c>
      <c r="K115" s="258">
        <f t="shared" si="100"/>
        <v>0</v>
      </c>
      <c r="L115" s="726">
        <f t="shared" si="101"/>
        <v>0</v>
      </c>
      <c r="M115" s="727" t="e">
        <f>L115/$L$180</f>
        <v>#DIV/0!</v>
      </c>
      <c r="N115" s="607"/>
      <c r="O115" s="728" t="s">
        <v>166</v>
      </c>
      <c r="P115" s="729" t="s">
        <v>500</v>
      </c>
      <c r="Q115" s="681"/>
      <c r="S115" s="730">
        <v>775</v>
      </c>
      <c r="V115" s="683"/>
    </row>
    <row r="116" spans="1:30" ht="6.95" customHeight="1" thickBot="1" x14ac:dyDescent="0.25">
      <c r="B116" s="707"/>
      <c r="C116" s="610"/>
      <c r="D116" s="77"/>
      <c r="E116" s="78"/>
      <c r="F116" s="81"/>
      <c r="G116" s="81"/>
      <c r="H116" s="81"/>
      <c r="I116" s="82"/>
      <c r="J116" s="82"/>
      <c r="K116" s="80"/>
      <c r="L116" s="629"/>
      <c r="N116" s="607"/>
      <c r="O116" s="600"/>
      <c r="P116" s="600"/>
      <c r="V116" s="683"/>
    </row>
    <row r="117" spans="1:30" ht="18" customHeight="1" x14ac:dyDescent="0.2">
      <c r="A117" s="633" t="s">
        <v>6</v>
      </c>
      <c r="B117" s="653" t="s">
        <v>162</v>
      </c>
      <c r="C117" s="635" t="s">
        <v>27</v>
      </c>
      <c r="D117" s="635"/>
      <c r="E117" s="654"/>
      <c r="F117" s="638">
        <f>I117</f>
        <v>0</v>
      </c>
      <c r="G117" s="639">
        <f>J117</f>
        <v>0</v>
      </c>
      <c r="H117" s="640">
        <f>K117</f>
        <v>0</v>
      </c>
      <c r="I117" s="655">
        <f>SUM(I120:I171)</f>
        <v>0</v>
      </c>
      <c r="J117" s="656">
        <f>SUM(J120:J171)</f>
        <v>0</v>
      </c>
      <c r="K117" s="657">
        <f>SUM(K120:K171)</f>
        <v>0</v>
      </c>
      <c r="L117" s="658">
        <f>F117+G117+H117</f>
        <v>0</v>
      </c>
      <c r="M117" s="642" t="e">
        <f>ROUND(L117/$L$180,6)</f>
        <v>#DIV/0!</v>
      </c>
      <c r="N117" s="607"/>
      <c r="O117" s="600"/>
      <c r="P117" s="600"/>
      <c r="V117" s="683"/>
    </row>
    <row r="118" spans="1:30" ht="18" customHeight="1" thickBot="1" x14ac:dyDescent="0.25">
      <c r="A118" s="660"/>
      <c r="B118" s="661"/>
      <c r="C118" s="645"/>
      <c r="D118" s="645"/>
      <c r="E118" s="662"/>
      <c r="F118" s="248" t="e">
        <f>F117/L117</f>
        <v>#DIV/0!</v>
      </c>
      <c r="G118" s="249" t="e">
        <f>G117/L117</f>
        <v>#DIV/0!</v>
      </c>
      <c r="H118" s="250" t="e">
        <f>H117/L117</f>
        <v>#DIV/0!</v>
      </c>
      <c r="I118" s="251" t="str">
        <f>IF(F117=I117,"SIM","NÃO")</f>
        <v>SIM</v>
      </c>
      <c r="J118" s="252" t="str">
        <f>IF(G117=J117,"SIM","NÃO")</f>
        <v>SIM</v>
      </c>
      <c r="K118" s="253" t="str">
        <f>IF(H117=K117,"SIM","NÃO")</f>
        <v>SIM</v>
      </c>
      <c r="L118" s="663"/>
      <c r="M118" s="652"/>
      <c r="N118" s="607"/>
      <c r="O118" s="600"/>
      <c r="P118" s="600"/>
      <c r="V118" s="683"/>
    </row>
    <row r="119" spans="1:30" s="736" customFormat="1" ht="18" customHeight="1" x14ac:dyDescent="0.2">
      <c r="A119" s="731" t="s">
        <v>153</v>
      </c>
      <c r="B119" s="732" t="s">
        <v>163</v>
      </c>
      <c r="C119" s="733"/>
      <c r="D119" s="733"/>
      <c r="E119" s="733"/>
      <c r="F119" s="733"/>
      <c r="G119" s="733"/>
      <c r="H119" s="733"/>
      <c r="I119" s="733"/>
      <c r="J119" s="733"/>
      <c r="K119" s="733"/>
      <c r="L119" s="733"/>
      <c r="M119" s="734"/>
      <c r="N119" s="735"/>
      <c r="O119" s="664" t="s">
        <v>158</v>
      </c>
      <c r="P119" s="664"/>
      <c r="Q119" s="665" t="s">
        <v>159</v>
      </c>
      <c r="R119" s="600"/>
      <c r="U119" s="602"/>
      <c r="V119" s="683"/>
      <c r="W119" s="602"/>
      <c r="X119" s="737"/>
    </row>
    <row r="120" spans="1:30" s="684" customFormat="1" ht="18" customHeight="1" x14ac:dyDescent="0.2">
      <c r="A120" s="738" t="str">
        <f>A34</f>
        <v>3.1.1</v>
      </c>
      <c r="B120" s="739" t="s">
        <v>246</v>
      </c>
      <c r="C120" s="740" t="s">
        <v>45</v>
      </c>
      <c r="D120" s="741">
        <v>1</v>
      </c>
      <c r="E120" s="722">
        <f t="shared" ref="E120:E121" si="102">G120+H120+F120</f>
        <v>0</v>
      </c>
      <c r="F120" s="742">
        <f>'5.A'!$F$650</f>
        <v>0</v>
      </c>
      <c r="G120" s="691">
        <f>'5.A'!$F$663</f>
        <v>0</v>
      </c>
      <c r="H120" s="743">
        <f>'5.A'!$F$686</f>
        <v>0</v>
      </c>
      <c r="I120" s="744">
        <f t="shared" ref="I120:I121" si="103">ROUND(F120*D120,2)</f>
        <v>0</v>
      </c>
      <c r="J120" s="694">
        <f t="shared" ref="J120:J121" si="104">ROUND(G120*D120,2)</f>
        <v>0</v>
      </c>
      <c r="K120" s="695">
        <f t="shared" ref="K120:K121" si="105">ROUND(H120*D120,2)</f>
        <v>0</v>
      </c>
      <c r="L120" s="696">
        <f t="shared" ref="L120:L121" si="106">ROUND(D120*F120,2)+ROUND(D120*G120,2)+ROUND(D120*H120,2)</f>
        <v>0</v>
      </c>
      <c r="M120" s="745" t="e">
        <f t="shared" ref="M120:M131" si="107">L120/$L$180</f>
        <v>#DIV/0!</v>
      </c>
      <c r="N120" s="607"/>
      <c r="O120" s="746" t="s">
        <v>28</v>
      </c>
      <c r="P120" s="747" t="s">
        <v>243</v>
      </c>
      <c r="Q120" s="681"/>
      <c r="R120" s="600"/>
      <c r="S120" s="601">
        <f>((2.66*5.25 *4*7)+(1.33*5.25*4*2))*4</f>
        <v>1787.52</v>
      </c>
      <c r="T120" s="600"/>
      <c r="U120" s="602"/>
      <c r="V120" s="683"/>
      <c r="W120" s="602"/>
      <c r="X120" s="603"/>
      <c r="Y120" s="600"/>
      <c r="Z120" s="600"/>
      <c r="AA120" s="600"/>
      <c r="AB120" s="600"/>
      <c r="AC120" s="600"/>
      <c r="AD120" s="600"/>
    </row>
    <row r="121" spans="1:30" s="684" customFormat="1" ht="18" customHeight="1" x14ac:dyDescent="0.2">
      <c r="A121" s="738" t="str">
        <f>A35</f>
        <v>3.1.2</v>
      </c>
      <c r="B121" s="748" t="s">
        <v>279</v>
      </c>
      <c r="C121" s="747" t="s">
        <v>46</v>
      </c>
      <c r="D121" s="749">
        <v>25</v>
      </c>
      <c r="E121" s="722">
        <f t="shared" si="102"/>
        <v>0</v>
      </c>
      <c r="F121" s="690">
        <f>'5.A'!$F$702</f>
        <v>0</v>
      </c>
      <c r="G121" s="691">
        <f>'5.A'!$F$715</f>
        <v>0</v>
      </c>
      <c r="H121" s="743">
        <f>'5.A'!$F$738</f>
        <v>0</v>
      </c>
      <c r="I121" s="744">
        <f t="shared" si="103"/>
        <v>0</v>
      </c>
      <c r="J121" s="694">
        <f t="shared" si="104"/>
        <v>0</v>
      </c>
      <c r="K121" s="695">
        <f t="shared" si="105"/>
        <v>0</v>
      </c>
      <c r="L121" s="696">
        <f t="shared" si="106"/>
        <v>0</v>
      </c>
      <c r="M121" s="697" t="e">
        <f t="shared" si="107"/>
        <v>#DIV/0!</v>
      </c>
      <c r="N121" s="607"/>
      <c r="O121" s="746" t="s">
        <v>28</v>
      </c>
      <c r="P121" s="747">
        <v>97670</v>
      </c>
      <c r="Q121" s="681"/>
      <c r="R121" s="600"/>
      <c r="S121" s="730">
        <f>(((21*28*6)+(0.7*28*5))*0.5)*4</f>
        <v>7252</v>
      </c>
      <c r="T121" s="600"/>
      <c r="U121" s="602"/>
      <c r="V121" s="683"/>
      <c r="W121" s="602"/>
      <c r="X121" s="603"/>
      <c r="Y121" s="600"/>
      <c r="Z121" s="600"/>
      <c r="AA121" s="600"/>
      <c r="AB121" s="600"/>
      <c r="AC121" s="600"/>
      <c r="AD121" s="600"/>
    </row>
    <row r="122" spans="1:30" s="684" customFormat="1" ht="18" customHeight="1" x14ac:dyDescent="0.2">
      <c r="A122" s="738" t="str">
        <f>A36</f>
        <v>3.1.3</v>
      </c>
      <c r="B122" s="750" t="s">
        <v>280</v>
      </c>
      <c r="C122" s="747" t="s">
        <v>46</v>
      </c>
      <c r="D122" s="749">
        <v>6</v>
      </c>
      <c r="E122" s="722">
        <f>G122+H122+F122</f>
        <v>0</v>
      </c>
      <c r="F122" s="690">
        <f>'5.A'!$F$754</f>
        <v>0</v>
      </c>
      <c r="G122" s="691">
        <f>'5.A'!$F$767</f>
        <v>0</v>
      </c>
      <c r="H122" s="743">
        <f>'5.A'!$F$790</f>
        <v>0</v>
      </c>
      <c r="I122" s="744">
        <f>ROUND(F122*D122,2)</f>
        <v>0</v>
      </c>
      <c r="J122" s="694">
        <f>ROUND(G122*D122,2)</f>
        <v>0</v>
      </c>
      <c r="K122" s="695">
        <f>ROUND(H122*D122,2)</f>
        <v>0</v>
      </c>
      <c r="L122" s="696">
        <f>ROUND(D122*F122,2)+ROUND(D122*G122,2)+ROUND(D122*H122,2)</f>
        <v>0</v>
      </c>
      <c r="M122" s="745" t="e">
        <f t="shared" si="107"/>
        <v>#DIV/0!</v>
      </c>
      <c r="N122" s="607"/>
      <c r="O122" s="746" t="s">
        <v>28</v>
      </c>
      <c r="P122" s="747">
        <v>93012</v>
      </c>
      <c r="Q122" s="681"/>
      <c r="R122" s="600"/>
      <c r="S122" s="730">
        <f>((21*28*6)+(0.7*28*5))*0.5*4</f>
        <v>7252</v>
      </c>
      <c r="T122" s="600"/>
      <c r="U122" s="602"/>
      <c r="V122" s="683"/>
      <c r="W122" s="602"/>
      <c r="X122" s="603"/>
      <c r="Y122" s="600"/>
      <c r="Z122" s="600"/>
      <c r="AA122" s="600"/>
      <c r="AB122" s="600"/>
      <c r="AC122" s="600"/>
      <c r="AD122" s="600"/>
    </row>
    <row r="123" spans="1:30" s="684" customFormat="1" ht="18" customHeight="1" x14ac:dyDescent="0.2">
      <c r="A123" s="738" t="s">
        <v>563</v>
      </c>
      <c r="B123" s="750" t="s">
        <v>501</v>
      </c>
      <c r="C123" s="747" t="s">
        <v>46</v>
      </c>
      <c r="D123" s="749">
        <v>6</v>
      </c>
      <c r="E123" s="722">
        <f>G123+H123+F123</f>
        <v>0</v>
      </c>
      <c r="F123" s="690">
        <f>'5.A'!F806</f>
        <v>0</v>
      </c>
      <c r="G123" s="691">
        <f>'5.A'!F819</f>
        <v>0</v>
      </c>
      <c r="H123" s="743">
        <f>'5.A'!F842</f>
        <v>0</v>
      </c>
      <c r="I123" s="744">
        <f>ROUND(F123*D123,2)</f>
        <v>0</v>
      </c>
      <c r="J123" s="694">
        <f>ROUND(G123*D123,2)</f>
        <v>0</v>
      </c>
      <c r="K123" s="695">
        <f>ROUND(H123*D123,2)</f>
        <v>0</v>
      </c>
      <c r="L123" s="696">
        <f>ROUND(D123*F123,2)+ROUND(D123*G123,2)+ROUND(D123*H123,2)</f>
        <v>0</v>
      </c>
      <c r="M123" s="745" t="e">
        <f t="shared" si="107"/>
        <v>#DIV/0!</v>
      </c>
      <c r="N123" s="607"/>
      <c r="O123" s="746" t="s">
        <v>28</v>
      </c>
      <c r="P123" s="747">
        <v>93009</v>
      </c>
      <c r="Q123" s="681"/>
      <c r="R123" s="600"/>
      <c r="S123" s="730">
        <f>((21*28*6)+(0.7*28*5))*0.5*4</f>
        <v>7252</v>
      </c>
      <c r="T123" s="600"/>
      <c r="U123" s="602"/>
      <c r="V123" s="683"/>
      <c r="W123" s="602"/>
      <c r="X123" s="603"/>
      <c r="Y123" s="600"/>
      <c r="Z123" s="600"/>
      <c r="AA123" s="600"/>
      <c r="AB123" s="600"/>
      <c r="AC123" s="600"/>
      <c r="AD123" s="600"/>
    </row>
    <row r="124" spans="1:30" s="684" customFormat="1" ht="18" customHeight="1" x14ac:dyDescent="0.2">
      <c r="A124" s="738" t="str">
        <f>A37</f>
        <v>3.1.5</v>
      </c>
      <c r="B124" s="750" t="s">
        <v>281</v>
      </c>
      <c r="C124" s="740" t="s">
        <v>45</v>
      </c>
      <c r="D124" s="749">
        <v>2</v>
      </c>
      <c r="E124" s="722">
        <f t="shared" ref="E124:E131" si="108">G124+H124+F124</f>
        <v>0</v>
      </c>
      <c r="F124" s="690">
        <f>'5.A'!$F$858</f>
        <v>0</v>
      </c>
      <c r="G124" s="691">
        <f>'5.A'!$F$871</f>
        <v>0</v>
      </c>
      <c r="H124" s="743">
        <f>'5.A'!$F$894</f>
        <v>0</v>
      </c>
      <c r="I124" s="744">
        <f t="shared" ref="I124:I131" si="109">ROUND(F124*D124,2)</f>
        <v>0</v>
      </c>
      <c r="J124" s="694">
        <f t="shared" ref="J124:J131" si="110">ROUND(G124*D124,2)</f>
        <v>0</v>
      </c>
      <c r="K124" s="695">
        <f t="shared" ref="K124:K131" si="111">ROUND(H124*D124,2)</f>
        <v>0</v>
      </c>
      <c r="L124" s="696">
        <f t="shared" ref="L124:L131" si="112">ROUND(D124*F124,2)+ROUND(D124*G124,2)+ROUND(D124*H124,2)</f>
        <v>0</v>
      </c>
      <c r="M124" s="745" t="e">
        <f t="shared" si="107"/>
        <v>#DIV/0!</v>
      </c>
      <c r="N124" s="607"/>
      <c r="O124" s="746" t="s">
        <v>28</v>
      </c>
      <c r="P124" s="747">
        <v>93026</v>
      </c>
      <c r="Q124" s="681"/>
      <c r="R124" s="600"/>
      <c r="S124" s="730">
        <f t="shared" ref="S124:S139" si="113">((21*28*6)+(0.7*28*5))*0.5*4</f>
        <v>7252</v>
      </c>
      <c r="T124" s="600"/>
      <c r="U124" s="602"/>
      <c r="V124" s="683"/>
      <c r="W124" s="602"/>
      <c r="X124" s="603"/>
      <c r="Y124" s="600"/>
      <c r="Z124" s="600"/>
      <c r="AA124" s="600"/>
      <c r="AB124" s="600"/>
      <c r="AC124" s="600"/>
      <c r="AD124" s="600"/>
    </row>
    <row r="125" spans="1:30" s="684" customFormat="1" ht="18" customHeight="1" x14ac:dyDescent="0.2">
      <c r="A125" s="738" t="s">
        <v>564</v>
      </c>
      <c r="B125" s="750" t="s">
        <v>503</v>
      </c>
      <c r="C125" s="740" t="s">
        <v>45</v>
      </c>
      <c r="D125" s="749">
        <v>2</v>
      </c>
      <c r="E125" s="722">
        <f>G125+H125+F125</f>
        <v>0</v>
      </c>
      <c r="F125" s="690">
        <f>'5.A'!F910</f>
        <v>0</v>
      </c>
      <c r="G125" s="691">
        <f>'5.A'!F923</f>
        <v>0</v>
      </c>
      <c r="H125" s="743">
        <f>'5.A'!F946</f>
        <v>0</v>
      </c>
      <c r="I125" s="744">
        <f>ROUND(F125*D125,2)</f>
        <v>0</v>
      </c>
      <c r="J125" s="694">
        <f>ROUND(G125*D125,2)</f>
        <v>0</v>
      </c>
      <c r="K125" s="695">
        <f>ROUND(H125*D125,2)</f>
        <v>0</v>
      </c>
      <c r="L125" s="696">
        <f>ROUND(D125*F125,2)+ROUND(D125*G125,2)+ROUND(D125*H125,2)</f>
        <v>0</v>
      </c>
      <c r="M125" s="745" t="e">
        <f t="shared" si="107"/>
        <v>#DIV/0!</v>
      </c>
      <c r="N125" s="607"/>
      <c r="O125" s="746" t="s">
        <v>28</v>
      </c>
      <c r="P125" s="747">
        <v>93020</v>
      </c>
      <c r="Q125" s="681"/>
      <c r="R125" s="600"/>
      <c r="S125" s="730">
        <f t="shared" si="113"/>
        <v>7252</v>
      </c>
      <c r="T125" s="600"/>
      <c r="U125" s="602"/>
      <c r="V125" s="683"/>
      <c r="W125" s="602"/>
      <c r="X125" s="603"/>
      <c r="Y125" s="600"/>
      <c r="Z125" s="600"/>
      <c r="AA125" s="600"/>
      <c r="AB125" s="600"/>
      <c r="AC125" s="600"/>
      <c r="AD125" s="600"/>
    </row>
    <row r="126" spans="1:30" s="684" customFormat="1" ht="18" customHeight="1" x14ac:dyDescent="0.2">
      <c r="A126" s="738" t="str">
        <f>A38</f>
        <v>3.1.7</v>
      </c>
      <c r="B126" s="750" t="s">
        <v>282</v>
      </c>
      <c r="C126" s="740" t="s">
        <v>45</v>
      </c>
      <c r="D126" s="749">
        <v>4</v>
      </c>
      <c r="E126" s="722">
        <f t="shared" si="108"/>
        <v>0</v>
      </c>
      <c r="F126" s="690">
        <f>'5.A'!$F$962</f>
        <v>0</v>
      </c>
      <c r="G126" s="691">
        <f>'5.A'!$F$975</f>
        <v>0</v>
      </c>
      <c r="H126" s="743">
        <f>'5.A'!$F$998</f>
        <v>0</v>
      </c>
      <c r="I126" s="744">
        <f t="shared" si="109"/>
        <v>0</v>
      </c>
      <c r="J126" s="694">
        <f t="shared" si="110"/>
        <v>0</v>
      </c>
      <c r="K126" s="695">
        <f t="shared" si="111"/>
        <v>0</v>
      </c>
      <c r="L126" s="696">
        <f t="shared" si="112"/>
        <v>0</v>
      </c>
      <c r="M126" s="745" t="e">
        <f t="shared" si="107"/>
        <v>#DIV/0!</v>
      </c>
      <c r="N126" s="607"/>
      <c r="O126" s="746" t="s">
        <v>28</v>
      </c>
      <c r="P126" s="747">
        <v>93017</v>
      </c>
      <c r="Q126" s="681"/>
      <c r="R126" s="600"/>
      <c r="S126" s="730">
        <f t="shared" si="113"/>
        <v>7252</v>
      </c>
      <c r="T126" s="600"/>
      <c r="U126" s="602"/>
      <c r="V126" s="683"/>
      <c r="W126" s="602"/>
      <c r="X126" s="603"/>
      <c r="Y126" s="600"/>
      <c r="Z126" s="600"/>
      <c r="AA126" s="600"/>
      <c r="AB126" s="600"/>
      <c r="AC126" s="600"/>
      <c r="AD126" s="600"/>
    </row>
    <row r="127" spans="1:30" s="684" customFormat="1" ht="18" customHeight="1" x14ac:dyDescent="0.2">
      <c r="A127" s="738" t="s">
        <v>565</v>
      </c>
      <c r="B127" s="750" t="s">
        <v>505</v>
      </c>
      <c r="C127" s="740" t="s">
        <v>45</v>
      </c>
      <c r="D127" s="749">
        <v>4</v>
      </c>
      <c r="E127" s="722">
        <f t="shared" ref="E127" si="114">G127+H127+F127</f>
        <v>0</v>
      </c>
      <c r="F127" s="690">
        <f>'5.A'!F1014</f>
        <v>0</v>
      </c>
      <c r="G127" s="691">
        <f>'5.A'!F1027</f>
        <v>0</v>
      </c>
      <c r="H127" s="743">
        <f>'5.A'!F1050</f>
        <v>0</v>
      </c>
      <c r="I127" s="744">
        <f t="shared" ref="I127" si="115">ROUND(F127*D127,2)</f>
        <v>0</v>
      </c>
      <c r="J127" s="694">
        <f t="shared" ref="J127" si="116">ROUND(G127*D127,2)</f>
        <v>0</v>
      </c>
      <c r="K127" s="695">
        <f t="shared" ref="K127" si="117">ROUND(H127*D127,2)</f>
        <v>0</v>
      </c>
      <c r="L127" s="696">
        <f t="shared" ref="L127" si="118">ROUND(D127*F127,2)+ROUND(D127*G127,2)+ROUND(D127*H127,2)</f>
        <v>0</v>
      </c>
      <c r="M127" s="745" t="e">
        <f t="shared" si="107"/>
        <v>#DIV/0!</v>
      </c>
      <c r="N127" s="607"/>
      <c r="O127" s="746" t="s">
        <v>28</v>
      </c>
      <c r="P127" s="747">
        <v>93014</v>
      </c>
      <c r="Q127" s="681"/>
      <c r="R127" s="600"/>
      <c r="S127" s="730">
        <f t="shared" si="113"/>
        <v>7252</v>
      </c>
      <c r="T127" s="600"/>
      <c r="U127" s="602"/>
      <c r="V127" s="683"/>
      <c r="W127" s="602"/>
      <c r="X127" s="603"/>
      <c r="Y127" s="600"/>
      <c r="Z127" s="600"/>
      <c r="AA127" s="600"/>
      <c r="AB127" s="600"/>
      <c r="AC127" s="600"/>
      <c r="AD127" s="600"/>
    </row>
    <row r="128" spans="1:30" s="684" customFormat="1" ht="18" customHeight="1" x14ac:dyDescent="0.2">
      <c r="A128" s="738" t="str">
        <f>A39</f>
        <v>3.1.9</v>
      </c>
      <c r="B128" s="750" t="s">
        <v>284</v>
      </c>
      <c r="C128" s="747" t="s">
        <v>44</v>
      </c>
      <c r="D128" s="749">
        <f>ROUNDUP(((D121+D122+D123)*0.8*0.8)+(D120*1.2*1.2*1.2),0)</f>
        <v>26</v>
      </c>
      <c r="E128" s="722">
        <f t="shared" si="108"/>
        <v>0</v>
      </c>
      <c r="F128" s="690">
        <f>'5.A'!$F$1066</f>
        <v>0</v>
      </c>
      <c r="G128" s="691">
        <f>'5.A'!$F$1079</f>
        <v>0</v>
      </c>
      <c r="H128" s="743">
        <f>'5.A'!$F$1102</f>
        <v>0</v>
      </c>
      <c r="I128" s="744">
        <f t="shared" si="109"/>
        <v>0</v>
      </c>
      <c r="J128" s="694">
        <f t="shared" si="110"/>
        <v>0</v>
      </c>
      <c r="K128" s="695">
        <f t="shared" si="111"/>
        <v>0</v>
      </c>
      <c r="L128" s="696">
        <f t="shared" si="112"/>
        <v>0</v>
      </c>
      <c r="M128" s="745" t="e">
        <f t="shared" si="107"/>
        <v>#DIV/0!</v>
      </c>
      <c r="N128" s="607"/>
      <c r="O128" s="746" t="s">
        <v>28</v>
      </c>
      <c r="P128" s="747">
        <v>93358</v>
      </c>
      <c r="Q128" s="681"/>
      <c r="R128" s="600"/>
      <c r="S128" s="730">
        <f t="shared" si="113"/>
        <v>7252</v>
      </c>
      <c r="T128" s="600"/>
      <c r="U128" s="602"/>
      <c r="V128" s="683"/>
      <c r="W128" s="602"/>
      <c r="X128" s="603"/>
      <c r="Y128" s="600"/>
      <c r="Z128" s="600"/>
      <c r="AA128" s="600"/>
      <c r="AB128" s="600"/>
      <c r="AC128" s="600"/>
      <c r="AD128" s="600"/>
    </row>
    <row r="129" spans="1:30" s="684" customFormat="1" ht="18" customHeight="1" x14ac:dyDescent="0.2">
      <c r="A129" s="738" t="str">
        <f>A40</f>
        <v>3.1.10</v>
      </c>
      <c r="B129" s="750" t="s">
        <v>283</v>
      </c>
      <c r="C129" s="747" t="s">
        <v>44</v>
      </c>
      <c r="D129" s="749">
        <f>ROUNDUP(((D121+D122+D123)*0.8*0.1),0)</f>
        <v>3</v>
      </c>
      <c r="E129" s="722">
        <f t="shared" si="108"/>
        <v>0</v>
      </c>
      <c r="F129" s="690">
        <f>'5.A'!$F$1118</f>
        <v>0</v>
      </c>
      <c r="G129" s="691">
        <f>'5.A'!$F$1131</f>
        <v>0</v>
      </c>
      <c r="H129" s="743">
        <f>'5.A'!$F$1154</f>
        <v>0</v>
      </c>
      <c r="I129" s="744">
        <f t="shared" si="109"/>
        <v>0</v>
      </c>
      <c r="J129" s="694">
        <f t="shared" si="110"/>
        <v>0</v>
      </c>
      <c r="K129" s="695">
        <f t="shared" si="111"/>
        <v>0</v>
      </c>
      <c r="L129" s="696">
        <f t="shared" si="112"/>
        <v>0</v>
      </c>
      <c r="M129" s="745" t="e">
        <f t="shared" si="107"/>
        <v>#DIV/0!</v>
      </c>
      <c r="N129" s="607"/>
      <c r="O129" s="746" t="s">
        <v>28</v>
      </c>
      <c r="P129" s="747">
        <v>103491</v>
      </c>
      <c r="Q129" s="681"/>
      <c r="R129" s="600"/>
      <c r="S129" s="730">
        <f t="shared" si="113"/>
        <v>7252</v>
      </c>
      <c r="T129" s="600"/>
      <c r="U129" s="602"/>
      <c r="V129" s="683"/>
      <c r="W129" s="602"/>
      <c r="X129" s="603"/>
      <c r="Y129" s="600"/>
      <c r="Z129" s="600"/>
      <c r="AA129" s="600"/>
      <c r="AB129" s="600"/>
      <c r="AC129" s="600"/>
      <c r="AD129" s="600"/>
    </row>
    <row r="130" spans="1:30" s="684" customFormat="1" ht="18" customHeight="1" x14ac:dyDescent="0.2">
      <c r="A130" s="738" t="str">
        <f>A41</f>
        <v>3.1.11</v>
      </c>
      <c r="B130" s="750" t="s">
        <v>285</v>
      </c>
      <c r="C130" s="747" t="s">
        <v>44</v>
      </c>
      <c r="D130" s="749">
        <f>D128</f>
        <v>26</v>
      </c>
      <c r="E130" s="722">
        <f t="shared" si="108"/>
        <v>0</v>
      </c>
      <c r="F130" s="690">
        <f>'5.A'!$F$1170</f>
        <v>0</v>
      </c>
      <c r="G130" s="691">
        <f>'5.A'!$F$1183</f>
        <v>0</v>
      </c>
      <c r="H130" s="743">
        <f>'5.A'!$F$1206</f>
        <v>0</v>
      </c>
      <c r="I130" s="744">
        <f t="shared" si="109"/>
        <v>0</v>
      </c>
      <c r="J130" s="694">
        <f t="shared" si="110"/>
        <v>0</v>
      </c>
      <c r="K130" s="695">
        <f t="shared" si="111"/>
        <v>0</v>
      </c>
      <c r="L130" s="696">
        <f t="shared" si="112"/>
        <v>0</v>
      </c>
      <c r="M130" s="745" t="e">
        <f t="shared" si="107"/>
        <v>#DIV/0!</v>
      </c>
      <c r="N130" s="607"/>
      <c r="O130" s="746" t="s">
        <v>28</v>
      </c>
      <c r="P130" s="747">
        <v>93382</v>
      </c>
      <c r="Q130" s="681"/>
      <c r="R130" s="600"/>
      <c r="S130" s="730">
        <f t="shared" si="113"/>
        <v>7252</v>
      </c>
      <c r="T130" s="600"/>
      <c r="U130" s="602"/>
      <c r="V130" s="683"/>
      <c r="W130" s="602"/>
      <c r="X130" s="603"/>
      <c r="Y130" s="600"/>
      <c r="Z130" s="600"/>
      <c r="AA130" s="600"/>
      <c r="AB130" s="600"/>
      <c r="AC130" s="600"/>
      <c r="AD130" s="600"/>
    </row>
    <row r="131" spans="1:30" s="684" customFormat="1" ht="18" customHeight="1" x14ac:dyDescent="0.2">
      <c r="A131" s="738" t="s">
        <v>566</v>
      </c>
      <c r="B131" s="750" t="s">
        <v>509</v>
      </c>
      <c r="C131" s="747" t="s">
        <v>46</v>
      </c>
      <c r="D131" s="749">
        <v>3</v>
      </c>
      <c r="E131" s="722">
        <f t="shared" si="108"/>
        <v>0</v>
      </c>
      <c r="F131" s="690">
        <f>'5.A'!F1222</f>
        <v>0</v>
      </c>
      <c r="G131" s="691">
        <f>'5.A'!F1235</f>
        <v>0</v>
      </c>
      <c r="H131" s="743">
        <f>'5.A'!F1258</f>
        <v>0</v>
      </c>
      <c r="I131" s="744">
        <f t="shared" si="109"/>
        <v>0</v>
      </c>
      <c r="J131" s="694">
        <f t="shared" si="110"/>
        <v>0</v>
      </c>
      <c r="K131" s="695">
        <f t="shared" si="111"/>
        <v>0</v>
      </c>
      <c r="L131" s="696">
        <f t="shared" si="112"/>
        <v>0</v>
      </c>
      <c r="M131" s="745" t="e">
        <f t="shared" si="107"/>
        <v>#DIV/0!</v>
      </c>
      <c r="N131" s="607"/>
      <c r="O131" s="746" t="s">
        <v>68</v>
      </c>
      <c r="P131" s="747" t="s">
        <v>508</v>
      </c>
      <c r="Q131" s="681"/>
      <c r="R131" s="600"/>
      <c r="S131" s="730">
        <f t="shared" si="113"/>
        <v>7252</v>
      </c>
      <c r="T131" s="600"/>
      <c r="U131" s="602"/>
      <c r="V131" s="683"/>
      <c r="W131" s="602"/>
      <c r="X131" s="603"/>
      <c r="Y131" s="600"/>
      <c r="Z131" s="600"/>
      <c r="AA131" s="600"/>
      <c r="AB131" s="600"/>
      <c r="AC131" s="600"/>
      <c r="AD131" s="600"/>
    </row>
    <row r="132" spans="1:30" s="736" customFormat="1" ht="18" customHeight="1" x14ac:dyDescent="0.2">
      <c r="A132" s="751" t="s">
        <v>154</v>
      </c>
      <c r="B132" s="752" t="s">
        <v>287</v>
      </c>
      <c r="C132" s="753"/>
      <c r="D132" s="753"/>
      <c r="E132" s="753"/>
      <c r="F132" s="753"/>
      <c r="G132" s="753"/>
      <c r="H132" s="753"/>
      <c r="I132" s="753"/>
      <c r="J132" s="753"/>
      <c r="K132" s="753"/>
      <c r="L132" s="753"/>
      <c r="M132" s="754"/>
      <c r="N132" s="735"/>
      <c r="O132" s="755" t="s">
        <v>158</v>
      </c>
      <c r="P132" s="755"/>
      <c r="Q132" s="665" t="s">
        <v>159</v>
      </c>
      <c r="R132" s="600"/>
      <c r="U132" s="602"/>
      <c r="V132" s="683"/>
      <c r="W132" s="602"/>
      <c r="X132" s="737"/>
    </row>
    <row r="133" spans="1:30" s="684" customFormat="1" ht="17.100000000000001" customHeight="1" x14ac:dyDescent="0.2">
      <c r="A133" s="756" t="s">
        <v>561</v>
      </c>
      <c r="B133" s="757" t="s">
        <v>522</v>
      </c>
      <c r="C133" s="758" t="s">
        <v>46</v>
      </c>
      <c r="D133" s="688">
        <v>36</v>
      </c>
      <c r="E133" s="722">
        <f>G133+H133+F133</f>
        <v>0</v>
      </c>
      <c r="F133" s="690">
        <f>'5.A'!F1326</f>
        <v>0</v>
      </c>
      <c r="G133" s="691">
        <f>'5.A'!F1339</f>
        <v>0</v>
      </c>
      <c r="H133" s="743">
        <f>'5.A'!F1362</f>
        <v>0</v>
      </c>
      <c r="I133" s="744">
        <f>ROUND(F133*D133,2)</f>
        <v>0</v>
      </c>
      <c r="J133" s="694">
        <f>ROUND(G133*D133,2)</f>
        <v>0</v>
      </c>
      <c r="K133" s="695">
        <f>ROUND(H133*D133,2)</f>
        <v>0</v>
      </c>
      <c r="L133" s="696">
        <f>ROUND(D133*F133,2)+ROUND(D133*G133,2)+ROUND(D133*H133,2)</f>
        <v>0</v>
      </c>
      <c r="M133" s="745" t="e">
        <f t="shared" ref="M133:M144" si="119">L133/$L$180</f>
        <v>#DIV/0!</v>
      </c>
      <c r="N133" s="607"/>
      <c r="O133" s="679" t="s">
        <v>28</v>
      </c>
      <c r="P133" s="759">
        <v>91926</v>
      </c>
      <c r="Q133" s="681"/>
      <c r="R133" s="600"/>
      <c r="S133" s="730">
        <f t="shared" ref="S133:S171" si="120">(((1.35*2*21)+(2.7*7*21)+(0.7*28.5)+(4.46*4.3))*0.12)*4</f>
        <v>236.50943999999998</v>
      </c>
      <c r="T133" s="600"/>
      <c r="U133" s="602"/>
      <c r="V133" s="683"/>
      <c r="W133" s="602"/>
      <c r="X133" s="603"/>
      <c r="Y133" s="600"/>
      <c r="Z133" s="600"/>
      <c r="AA133" s="600"/>
      <c r="AB133" s="600"/>
      <c r="AC133" s="600"/>
      <c r="AD133" s="600"/>
    </row>
    <row r="134" spans="1:30" s="684" customFormat="1" ht="18" customHeight="1" x14ac:dyDescent="0.2">
      <c r="A134" s="756" t="str">
        <f>A44</f>
        <v>3.2.2</v>
      </c>
      <c r="B134" s="757" t="s">
        <v>380</v>
      </c>
      <c r="C134" s="758" t="s">
        <v>46</v>
      </c>
      <c r="D134" s="688">
        <v>15</v>
      </c>
      <c r="E134" s="722">
        <f>G134+H134+F134</f>
        <v>0</v>
      </c>
      <c r="F134" s="690">
        <f>'5.A'!$F$1378</f>
        <v>0</v>
      </c>
      <c r="G134" s="691">
        <f>'5.A'!$F$1391</f>
        <v>0</v>
      </c>
      <c r="H134" s="743">
        <f>'5.A'!$F$1414</f>
        <v>0</v>
      </c>
      <c r="I134" s="744">
        <f>ROUND(F134*D134,2)</f>
        <v>0</v>
      </c>
      <c r="J134" s="694">
        <f>ROUND(G134*D134,2)</f>
        <v>0</v>
      </c>
      <c r="K134" s="695">
        <f>ROUND(H134*D134,2)</f>
        <v>0</v>
      </c>
      <c r="L134" s="696">
        <f>ROUND(D134*F134,2)+ROUND(D134*G134,2)+ROUND(D134*H134,2)</f>
        <v>0</v>
      </c>
      <c r="M134" s="745" t="e">
        <f t="shared" si="119"/>
        <v>#DIV/0!</v>
      </c>
      <c r="N134" s="607"/>
      <c r="O134" s="679" t="s">
        <v>28</v>
      </c>
      <c r="P134" s="759">
        <v>91928</v>
      </c>
      <c r="Q134" s="681"/>
      <c r="R134" s="600"/>
      <c r="S134" s="730">
        <f t="shared" si="120"/>
        <v>236.50943999999998</v>
      </c>
      <c r="T134" s="600"/>
      <c r="U134" s="602"/>
      <c r="V134" s="683"/>
      <c r="W134" s="602"/>
      <c r="X134" s="603"/>
      <c r="Y134" s="600"/>
      <c r="Z134" s="600"/>
      <c r="AA134" s="600"/>
      <c r="AB134" s="600"/>
      <c r="AC134" s="600"/>
      <c r="AD134" s="600"/>
    </row>
    <row r="135" spans="1:30" s="684" customFormat="1" ht="18" customHeight="1" x14ac:dyDescent="0.2">
      <c r="A135" s="738" t="s">
        <v>568</v>
      </c>
      <c r="B135" s="757" t="s">
        <v>511</v>
      </c>
      <c r="C135" s="758" t="s">
        <v>46</v>
      </c>
      <c r="D135" s="688">
        <v>5</v>
      </c>
      <c r="E135" s="722">
        <f>G135+H135+F135</f>
        <v>0</v>
      </c>
      <c r="F135" s="690">
        <f>'5.A'!F1482</f>
        <v>0</v>
      </c>
      <c r="G135" s="691">
        <f>'5.A'!F1495</f>
        <v>0</v>
      </c>
      <c r="H135" s="743">
        <f>'5.A'!F1518</f>
        <v>0</v>
      </c>
      <c r="I135" s="744">
        <f>ROUND(F135*D135,2)</f>
        <v>0</v>
      </c>
      <c r="J135" s="694">
        <f>ROUND(G135*D135,2)</f>
        <v>0</v>
      </c>
      <c r="K135" s="695">
        <f>ROUND(H135*D135,2)</f>
        <v>0</v>
      </c>
      <c r="L135" s="696">
        <f>ROUND(D135*F135,2)+ROUND(D135*G135,2)+ROUND(D135*H135,2)</f>
        <v>0</v>
      </c>
      <c r="M135" s="745" t="e">
        <f t="shared" si="119"/>
        <v>#DIV/0!</v>
      </c>
      <c r="N135" s="607"/>
      <c r="O135" s="679" t="s">
        <v>28</v>
      </c>
      <c r="P135" s="759">
        <v>101886</v>
      </c>
      <c r="Q135" s="681"/>
      <c r="R135" s="600"/>
      <c r="S135" s="730">
        <f t="shared" ref="S135:S144" si="121">(((1.35*2*21)+(2.7*7*21)+(0.7*28.5)+(4.46*4.3))*0.12)*4</f>
        <v>236.50943999999998</v>
      </c>
      <c r="T135" s="600"/>
      <c r="U135" s="602"/>
      <c r="V135" s="683"/>
      <c r="W135" s="602"/>
      <c r="X135" s="603"/>
      <c r="Y135" s="600"/>
      <c r="Z135" s="600"/>
      <c r="AA135" s="600"/>
      <c r="AB135" s="600"/>
      <c r="AC135" s="600"/>
      <c r="AD135" s="600"/>
    </row>
    <row r="136" spans="1:30" s="684" customFormat="1" ht="18" customHeight="1" x14ac:dyDescent="0.2">
      <c r="A136" s="738" t="s">
        <v>569</v>
      </c>
      <c r="B136" s="757" t="s">
        <v>510</v>
      </c>
      <c r="C136" s="758" t="s">
        <v>46</v>
      </c>
      <c r="D136" s="688">
        <v>15</v>
      </c>
      <c r="E136" s="722">
        <f>G136+H136+F136</f>
        <v>0</v>
      </c>
      <c r="F136" s="690">
        <f>'5.A'!F1534</f>
        <v>0</v>
      </c>
      <c r="G136" s="691">
        <f>'5.A'!F1547</f>
        <v>0</v>
      </c>
      <c r="H136" s="743">
        <f>'5.A'!F1570</f>
        <v>0</v>
      </c>
      <c r="I136" s="744">
        <f>ROUND(F136*D136,2)</f>
        <v>0</v>
      </c>
      <c r="J136" s="694">
        <f>ROUND(G136*D136,2)</f>
        <v>0</v>
      </c>
      <c r="K136" s="695">
        <f>ROUND(H136*D136,2)</f>
        <v>0</v>
      </c>
      <c r="L136" s="696">
        <f>ROUND(D136*F136,2)+ROUND(D136*G136,2)+ROUND(D136*H136,2)</f>
        <v>0</v>
      </c>
      <c r="M136" s="745" t="e">
        <f t="shared" si="119"/>
        <v>#DIV/0!</v>
      </c>
      <c r="N136" s="607"/>
      <c r="O136" s="679" t="s">
        <v>28</v>
      </c>
      <c r="P136" s="759">
        <v>101888</v>
      </c>
      <c r="Q136" s="681"/>
      <c r="R136" s="600"/>
      <c r="S136" s="730">
        <f t="shared" si="113"/>
        <v>7252</v>
      </c>
      <c r="T136" s="600"/>
      <c r="U136" s="602"/>
      <c r="V136" s="683"/>
      <c r="W136" s="602"/>
      <c r="X136" s="603"/>
      <c r="Y136" s="600"/>
      <c r="Z136" s="600"/>
      <c r="AA136" s="600"/>
      <c r="AB136" s="600"/>
      <c r="AC136" s="600"/>
      <c r="AD136" s="600"/>
    </row>
    <row r="137" spans="1:30" s="684" customFormat="1" ht="18" customHeight="1" x14ac:dyDescent="0.2">
      <c r="A137" s="738" t="s">
        <v>572</v>
      </c>
      <c r="B137" s="757" t="s">
        <v>295</v>
      </c>
      <c r="C137" s="758" t="s">
        <v>46</v>
      </c>
      <c r="D137" s="688">
        <v>20</v>
      </c>
      <c r="E137" s="722">
        <f>G137+H137+F137</f>
        <v>0</v>
      </c>
      <c r="F137" s="690">
        <f>'5.A'!$F$1690</f>
        <v>0</v>
      </c>
      <c r="G137" s="691">
        <f>'5.A'!$F$1703</f>
        <v>0</v>
      </c>
      <c r="H137" s="743">
        <f>'5.A'!$F$1726</f>
        <v>0</v>
      </c>
      <c r="I137" s="744">
        <f>ROUND(F137*D137,2)</f>
        <v>0</v>
      </c>
      <c r="J137" s="694">
        <f>ROUND(G137*D137,2)</f>
        <v>0</v>
      </c>
      <c r="K137" s="695">
        <f>ROUND(H137*D137,2)</f>
        <v>0</v>
      </c>
      <c r="L137" s="696">
        <f>ROUND(D137*F137,2)+ROUND(D137*G137,2)+ROUND(D137*H137,2)</f>
        <v>0</v>
      </c>
      <c r="M137" s="745" t="e">
        <f t="shared" si="119"/>
        <v>#DIV/0!</v>
      </c>
      <c r="N137" s="607"/>
      <c r="O137" s="679" t="s">
        <v>28</v>
      </c>
      <c r="P137" s="759">
        <v>92992</v>
      </c>
      <c r="Q137" s="681"/>
      <c r="R137" s="600"/>
      <c r="S137" s="730">
        <f t="shared" si="113"/>
        <v>7252</v>
      </c>
      <c r="T137" s="600"/>
      <c r="U137" s="602"/>
      <c r="V137" s="683"/>
      <c r="W137" s="602"/>
      <c r="X137" s="603"/>
      <c r="Y137" s="600"/>
      <c r="Z137" s="600"/>
      <c r="AA137" s="600"/>
      <c r="AB137" s="600"/>
      <c r="AC137" s="600"/>
      <c r="AD137" s="600"/>
    </row>
    <row r="138" spans="1:30" s="684" customFormat="1" ht="18" customHeight="1" x14ac:dyDescent="0.2">
      <c r="A138" s="738" t="str">
        <f>A49</f>
        <v>3.2.12</v>
      </c>
      <c r="B138" s="757" t="s">
        <v>322</v>
      </c>
      <c r="C138" s="758" t="s">
        <v>46</v>
      </c>
      <c r="D138" s="688">
        <v>60</v>
      </c>
      <c r="E138" s="722">
        <f t="shared" ref="E138:E144" si="122">G138+H138+F138</f>
        <v>0</v>
      </c>
      <c r="F138" s="690">
        <f>'5.A'!$F$1898</f>
        <v>0</v>
      </c>
      <c r="G138" s="691">
        <f>'5.A'!$F$1911</f>
        <v>0</v>
      </c>
      <c r="H138" s="743">
        <f>'5.A'!$F$1934</f>
        <v>0</v>
      </c>
      <c r="I138" s="744">
        <f t="shared" ref="I138:I144" si="123">ROUND(F138*D138,2)</f>
        <v>0</v>
      </c>
      <c r="J138" s="694">
        <f t="shared" ref="J138:J144" si="124">ROUND(G138*D138,2)</f>
        <v>0</v>
      </c>
      <c r="K138" s="695">
        <f t="shared" ref="K138:K144" si="125">ROUND(H138*D138,2)</f>
        <v>0</v>
      </c>
      <c r="L138" s="696">
        <f t="shared" ref="L138:L144" si="126">ROUND(D138*F138,2)+ROUND(D138*G138,2)+ROUND(D138*H138,2)</f>
        <v>0</v>
      </c>
      <c r="M138" s="745" t="e">
        <f t="shared" si="119"/>
        <v>#DIV/0!</v>
      </c>
      <c r="N138" s="607"/>
      <c r="O138" s="679" t="s">
        <v>28</v>
      </c>
      <c r="P138" s="759">
        <v>92998</v>
      </c>
      <c r="Q138" s="681"/>
      <c r="R138" s="600"/>
      <c r="S138" s="730">
        <f t="shared" si="113"/>
        <v>7252</v>
      </c>
      <c r="T138" s="600"/>
      <c r="U138" s="602"/>
      <c r="V138" s="683"/>
      <c r="W138" s="602"/>
      <c r="X138" s="603"/>
      <c r="Y138" s="600"/>
      <c r="Z138" s="600"/>
      <c r="AA138" s="600"/>
      <c r="AB138" s="600"/>
      <c r="AC138" s="600"/>
      <c r="AD138" s="600"/>
    </row>
    <row r="139" spans="1:30" s="684" customFormat="1" ht="18" customHeight="1" x14ac:dyDescent="0.2">
      <c r="A139" s="738" t="str">
        <f>A50</f>
        <v>3.2.13</v>
      </c>
      <c r="B139" s="757" t="s">
        <v>324</v>
      </c>
      <c r="C139" s="758" t="s">
        <v>46</v>
      </c>
      <c r="D139" s="688">
        <v>20</v>
      </c>
      <c r="E139" s="722">
        <f t="shared" si="122"/>
        <v>0</v>
      </c>
      <c r="F139" s="690">
        <f>'5.A'!$F$1950</f>
        <v>0</v>
      </c>
      <c r="G139" s="691">
        <f>'5.A'!$F$1963</f>
        <v>0</v>
      </c>
      <c r="H139" s="743">
        <f>'5.A'!$F$1986</f>
        <v>0</v>
      </c>
      <c r="I139" s="744">
        <f t="shared" si="123"/>
        <v>0</v>
      </c>
      <c r="J139" s="694">
        <f t="shared" si="124"/>
        <v>0</v>
      </c>
      <c r="K139" s="695">
        <f t="shared" si="125"/>
        <v>0</v>
      </c>
      <c r="L139" s="696">
        <f t="shared" si="126"/>
        <v>0</v>
      </c>
      <c r="M139" s="745" t="e">
        <f t="shared" si="119"/>
        <v>#DIV/0!</v>
      </c>
      <c r="N139" s="607"/>
      <c r="O139" s="679" t="s">
        <v>28</v>
      </c>
      <c r="P139" s="759">
        <v>92998</v>
      </c>
      <c r="Q139" s="681"/>
      <c r="R139" s="600"/>
      <c r="S139" s="730">
        <f t="shared" si="113"/>
        <v>7252</v>
      </c>
      <c r="T139" s="600"/>
      <c r="U139" s="602"/>
      <c r="V139" s="683"/>
      <c r="W139" s="602"/>
      <c r="X139" s="603"/>
      <c r="Y139" s="600"/>
      <c r="Z139" s="600"/>
      <c r="AA139" s="600"/>
      <c r="AB139" s="600"/>
      <c r="AC139" s="600"/>
      <c r="AD139" s="600"/>
    </row>
    <row r="140" spans="1:30" s="684" customFormat="1" ht="18" customHeight="1" x14ac:dyDescent="0.2">
      <c r="A140" s="738" t="s">
        <v>578</v>
      </c>
      <c r="B140" s="757" t="s">
        <v>512</v>
      </c>
      <c r="C140" s="758" t="s">
        <v>45</v>
      </c>
      <c r="D140" s="688">
        <v>2</v>
      </c>
      <c r="E140" s="722">
        <f t="shared" ref="E140" si="127">G140+H140+F140</f>
        <v>0</v>
      </c>
      <c r="F140" s="690">
        <f>'5.A'!F2002</f>
        <v>0</v>
      </c>
      <c r="G140" s="691">
        <f>'5.A'!F2015</f>
        <v>0</v>
      </c>
      <c r="H140" s="743">
        <f>'5.A'!F2038</f>
        <v>0</v>
      </c>
      <c r="I140" s="744">
        <f t="shared" ref="I140" si="128">ROUND(F140*D140,2)</f>
        <v>0</v>
      </c>
      <c r="J140" s="694">
        <f t="shared" ref="J140" si="129">ROUND(G140*D140,2)</f>
        <v>0</v>
      </c>
      <c r="K140" s="695">
        <f t="shared" ref="K140" si="130">ROUND(H140*D140,2)</f>
        <v>0</v>
      </c>
      <c r="L140" s="696">
        <f t="shared" ref="L140" si="131">ROUND(D140*F140,2)+ROUND(D140*G140,2)+ROUND(D140*H140,2)</f>
        <v>0</v>
      </c>
      <c r="M140" s="745" t="e">
        <f t="shared" si="119"/>
        <v>#DIV/0!</v>
      </c>
      <c r="N140" s="607"/>
      <c r="O140" s="679" t="s">
        <v>166</v>
      </c>
      <c r="P140" s="759" t="s">
        <v>513</v>
      </c>
      <c r="Q140" s="681"/>
      <c r="R140" s="600"/>
      <c r="S140" s="730">
        <f t="shared" si="121"/>
        <v>236.50943999999998</v>
      </c>
      <c r="T140" s="600"/>
      <c r="U140" s="602"/>
      <c r="V140" s="683"/>
      <c r="W140" s="602"/>
      <c r="X140" s="603"/>
      <c r="Y140" s="600"/>
      <c r="Z140" s="600"/>
      <c r="AA140" s="600"/>
      <c r="AB140" s="600"/>
      <c r="AC140" s="600"/>
      <c r="AD140" s="600"/>
    </row>
    <row r="141" spans="1:30" s="684" customFormat="1" ht="18" customHeight="1" x14ac:dyDescent="0.2">
      <c r="A141" s="738" t="str">
        <f>A51</f>
        <v>3.2.15</v>
      </c>
      <c r="B141" s="757" t="s">
        <v>332</v>
      </c>
      <c r="C141" s="758" t="s">
        <v>45</v>
      </c>
      <c r="D141" s="688">
        <v>6</v>
      </c>
      <c r="E141" s="722">
        <f>G141+H141+F141</f>
        <v>0</v>
      </c>
      <c r="F141" s="690">
        <f>'5.A'!$F$2054</f>
        <v>0</v>
      </c>
      <c r="G141" s="691">
        <f>'5.A'!$F$2067</f>
        <v>0</v>
      </c>
      <c r="H141" s="743">
        <f>'5.A'!$F$2090</f>
        <v>0</v>
      </c>
      <c r="I141" s="744">
        <f>ROUND(F141*D141,2)</f>
        <v>0</v>
      </c>
      <c r="J141" s="694">
        <f>ROUND(G141*D141,2)</f>
        <v>0</v>
      </c>
      <c r="K141" s="695">
        <f>ROUND(H141*D141,2)</f>
        <v>0</v>
      </c>
      <c r="L141" s="696">
        <f>ROUND(D141*F141,2)+ROUND(D141*G141,2)+ROUND(D141*H141,2)</f>
        <v>0</v>
      </c>
      <c r="M141" s="745" t="e">
        <f t="shared" si="119"/>
        <v>#DIV/0!</v>
      </c>
      <c r="N141" s="607"/>
      <c r="O141" s="679" t="s">
        <v>166</v>
      </c>
      <c r="P141" s="759" t="s">
        <v>335</v>
      </c>
      <c r="Q141" s="681"/>
      <c r="R141" s="600"/>
      <c r="S141" s="730">
        <f t="shared" si="121"/>
        <v>236.50943999999998</v>
      </c>
      <c r="T141" s="600"/>
      <c r="U141" s="602"/>
      <c r="V141" s="683"/>
      <c r="W141" s="602"/>
      <c r="X141" s="603"/>
      <c r="Y141" s="600"/>
      <c r="Z141" s="600"/>
      <c r="AA141" s="600"/>
      <c r="AB141" s="600"/>
      <c r="AC141" s="600"/>
      <c r="AD141" s="600"/>
    </row>
    <row r="142" spans="1:30" s="684" customFormat="1" ht="18" customHeight="1" x14ac:dyDescent="0.2">
      <c r="A142" s="738" t="s">
        <v>610</v>
      </c>
      <c r="B142" s="757" t="s">
        <v>289</v>
      </c>
      <c r="C142" s="758" t="s">
        <v>45</v>
      </c>
      <c r="D142" s="688">
        <v>2</v>
      </c>
      <c r="E142" s="722">
        <f>G142+H142+F142</f>
        <v>0</v>
      </c>
      <c r="F142" s="690">
        <f>'5.A'!F2158</f>
        <v>0</v>
      </c>
      <c r="G142" s="691">
        <f>'5.A'!F2171</f>
        <v>0</v>
      </c>
      <c r="H142" s="743">
        <f>'5.A'!F2194</f>
        <v>0</v>
      </c>
      <c r="I142" s="744">
        <f>ROUND(F142*D142,2)</f>
        <v>0</v>
      </c>
      <c r="J142" s="694">
        <f>ROUND(G142*D142,2)</f>
        <v>0</v>
      </c>
      <c r="K142" s="695">
        <f>ROUND(H142*D142,2)</f>
        <v>0</v>
      </c>
      <c r="L142" s="696">
        <f>ROUND(D142*F142,2)+ROUND(D142*G142,2)+ROUND(D142*H142,2)</f>
        <v>0</v>
      </c>
      <c r="M142" s="745" t="e">
        <f t="shared" si="119"/>
        <v>#DIV/0!</v>
      </c>
      <c r="N142" s="607"/>
      <c r="O142" s="679" t="s">
        <v>166</v>
      </c>
      <c r="P142" s="759" t="s">
        <v>290</v>
      </c>
      <c r="Q142" s="681"/>
      <c r="R142" s="600"/>
      <c r="S142" s="730">
        <f t="shared" si="121"/>
        <v>236.50943999999998</v>
      </c>
      <c r="T142" s="600"/>
      <c r="U142" s="602"/>
      <c r="V142" s="683"/>
      <c r="W142" s="602"/>
      <c r="X142" s="603"/>
      <c r="Y142" s="600"/>
      <c r="Z142" s="600"/>
      <c r="AA142" s="600"/>
      <c r="AB142" s="600"/>
      <c r="AC142" s="600"/>
      <c r="AD142" s="600"/>
    </row>
    <row r="143" spans="1:30" s="684" customFormat="1" ht="18" customHeight="1" x14ac:dyDescent="0.2">
      <c r="A143" s="738" t="s">
        <v>609</v>
      </c>
      <c r="B143" s="757" t="s">
        <v>330</v>
      </c>
      <c r="C143" s="758" t="s">
        <v>45</v>
      </c>
      <c r="D143" s="688">
        <v>8</v>
      </c>
      <c r="E143" s="722">
        <f t="shared" si="122"/>
        <v>0</v>
      </c>
      <c r="F143" s="690">
        <f>'5.A'!$F$2210</f>
        <v>0</v>
      </c>
      <c r="G143" s="691">
        <f>'5.A'!$F$2223</f>
        <v>0</v>
      </c>
      <c r="H143" s="743">
        <f>'5.A'!$F$2246</f>
        <v>0</v>
      </c>
      <c r="I143" s="744">
        <f t="shared" si="123"/>
        <v>0</v>
      </c>
      <c r="J143" s="694">
        <f t="shared" si="124"/>
        <v>0</v>
      </c>
      <c r="K143" s="695">
        <f t="shared" si="125"/>
        <v>0</v>
      </c>
      <c r="L143" s="696">
        <f t="shared" si="126"/>
        <v>0</v>
      </c>
      <c r="M143" s="745" t="e">
        <f t="shared" si="119"/>
        <v>#DIV/0!</v>
      </c>
      <c r="N143" s="607"/>
      <c r="O143" s="679" t="s">
        <v>166</v>
      </c>
      <c r="P143" s="759" t="s">
        <v>333</v>
      </c>
      <c r="Q143" s="681"/>
      <c r="R143" s="600"/>
      <c r="S143" s="730">
        <f t="shared" si="121"/>
        <v>236.50943999999998</v>
      </c>
      <c r="T143" s="600"/>
      <c r="U143" s="602"/>
      <c r="V143" s="683"/>
      <c r="W143" s="602"/>
      <c r="X143" s="603"/>
      <c r="Y143" s="600"/>
      <c r="Z143" s="600"/>
      <c r="AA143" s="600"/>
      <c r="AB143" s="600"/>
      <c r="AC143" s="600"/>
      <c r="AD143" s="600"/>
    </row>
    <row r="144" spans="1:30" s="684" customFormat="1" ht="18" customHeight="1" x14ac:dyDescent="0.2">
      <c r="A144" s="738" t="str">
        <f>A54</f>
        <v>3.2.19</v>
      </c>
      <c r="B144" s="757" t="s">
        <v>350</v>
      </c>
      <c r="C144" s="758" t="s">
        <v>46</v>
      </c>
      <c r="D144" s="688">
        <f>25+5+5</f>
        <v>35</v>
      </c>
      <c r="E144" s="722">
        <f t="shared" si="122"/>
        <v>0</v>
      </c>
      <c r="F144" s="690">
        <f>'5.A'!$F$2262</f>
        <v>0</v>
      </c>
      <c r="G144" s="691">
        <f>'5.A'!$F$2275</f>
        <v>0</v>
      </c>
      <c r="H144" s="743">
        <f>'5.A'!$F$2298</f>
        <v>0</v>
      </c>
      <c r="I144" s="744">
        <f t="shared" si="123"/>
        <v>0</v>
      </c>
      <c r="J144" s="694">
        <f t="shared" si="124"/>
        <v>0</v>
      </c>
      <c r="K144" s="695">
        <f t="shared" si="125"/>
        <v>0</v>
      </c>
      <c r="L144" s="696">
        <f t="shared" si="126"/>
        <v>0</v>
      </c>
      <c r="M144" s="745" t="e">
        <f t="shared" si="119"/>
        <v>#DIV/0!</v>
      </c>
      <c r="N144" s="607"/>
      <c r="O144" s="679" t="s">
        <v>372</v>
      </c>
      <c r="P144" s="759" t="s">
        <v>373</v>
      </c>
      <c r="Q144" s="681"/>
      <c r="R144" s="600"/>
      <c r="S144" s="730">
        <f t="shared" si="121"/>
        <v>236.50943999999998</v>
      </c>
      <c r="T144" s="600"/>
      <c r="U144" s="602"/>
      <c r="V144" s="683"/>
      <c r="W144" s="602"/>
      <c r="X144" s="603"/>
      <c r="Y144" s="600"/>
      <c r="Z144" s="600"/>
      <c r="AA144" s="600"/>
      <c r="AB144" s="600"/>
      <c r="AC144" s="600"/>
      <c r="AD144" s="600"/>
    </row>
    <row r="145" spans="1:30" s="736" customFormat="1" ht="20.100000000000001" customHeight="1" x14ac:dyDescent="0.2">
      <c r="A145" s="751" t="s">
        <v>338</v>
      </c>
      <c r="B145" s="752" t="s">
        <v>339</v>
      </c>
      <c r="C145" s="753"/>
      <c r="D145" s="753"/>
      <c r="E145" s="753"/>
      <c r="F145" s="753"/>
      <c r="G145" s="753"/>
      <c r="H145" s="753"/>
      <c r="I145" s="753"/>
      <c r="J145" s="753"/>
      <c r="K145" s="753"/>
      <c r="L145" s="753"/>
      <c r="M145" s="754"/>
      <c r="N145" s="735"/>
      <c r="O145" s="755" t="s">
        <v>158</v>
      </c>
      <c r="P145" s="755"/>
      <c r="Q145" s="665" t="s">
        <v>159</v>
      </c>
      <c r="R145" s="600"/>
      <c r="U145" s="602"/>
      <c r="V145" s="683"/>
      <c r="W145" s="602"/>
      <c r="X145" s="737"/>
    </row>
    <row r="146" spans="1:30" s="684" customFormat="1" ht="20.100000000000001" customHeight="1" x14ac:dyDescent="0.2">
      <c r="A146" s="756" t="str">
        <f>A70</f>
        <v>3.4.1</v>
      </c>
      <c r="B146" s="757" t="s">
        <v>351</v>
      </c>
      <c r="C146" s="758" t="s">
        <v>48</v>
      </c>
      <c r="D146" s="688">
        <v>1</v>
      </c>
      <c r="E146" s="722">
        <f t="shared" ref="E146:E155" si="132">G146+H146+F146</f>
        <v>0</v>
      </c>
      <c r="F146" s="690">
        <f>'5.A'!$F$2314</f>
        <v>0</v>
      </c>
      <c r="G146" s="691">
        <f>'5.A'!$F$2327</f>
        <v>0</v>
      </c>
      <c r="H146" s="743">
        <f>'5.A'!$F$2350</f>
        <v>0</v>
      </c>
      <c r="I146" s="744">
        <f t="shared" ref="I146:I155" si="133">ROUND(F146*D146,2)</f>
        <v>0</v>
      </c>
      <c r="J146" s="694">
        <f t="shared" ref="J146:J155" si="134">ROUND(G146*D146,2)</f>
        <v>0</v>
      </c>
      <c r="K146" s="695">
        <f t="shared" ref="K146:K155" si="135">ROUND(H146*D146,2)</f>
        <v>0</v>
      </c>
      <c r="L146" s="696">
        <f t="shared" ref="L146:L155" si="136">ROUND(D146*F146,2)+ROUND(D146*G146,2)+ROUND(D146*H146,2)</f>
        <v>0</v>
      </c>
      <c r="M146" s="745" t="e">
        <f t="shared" ref="M146:M155" si="137">L146/$L$180</f>
        <v>#DIV/0!</v>
      </c>
      <c r="N146" s="607"/>
      <c r="O146" s="679" t="s">
        <v>166</v>
      </c>
      <c r="P146" s="759" t="s">
        <v>358</v>
      </c>
      <c r="Q146" s="681"/>
      <c r="R146" s="600"/>
      <c r="S146" s="730">
        <f t="shared" si="120"/>
        <v>236.50943999999998</v>
      </c>
      <c r="T146" s="600"/>
      <c r="U146" s="602"/>
      <c r="V146" s="683"/>
      <c r="W146" s="602"/>
      <c r="X146" s="603"/>
      <c r="Y146" s="600"/>
      <c r="Z146" s="600"/>
      <c r="AA146" s="600"/>
      <c r="AB146" s="600"/>
      <c r="AC146" s="600"/>
      <c r="AD146" s="600"/>
    </row>
    <row r="147" spans="1:30" s="684" customFormat="1" ht="20.100000000000001" customHeight="1" x14ac:dyDescent="0.2">
      <c r="A147" s="738" t="s">
        <v>597</v>
      </c>
      <c r="B147" s="757" t="s">
        <v>516</v>
      </c>
      <c r="C147" s="758" t="s">
        <v>46</v>
      </c>
      <c r="D147" s="688">
        <v>3</v>
      </c>
      <c r="E147" s="722">
        <f t="shared" si="132"/>
        <v>0</v>
      </c>
      <c r="F147" s="690">
        <f>'5.A'!F2418</f>
        <v>0</v>
      </c>
      <c r="G147" s="691">
        <f>'5.A'!F2431</f>
        <v>0</v>
      </c>
      <c r="H147" s="743">
        <f>'5.A'!F2454</f>
        <v>0</v>
      </c>
      <c r="I147" s="744">
        <f t="shared" si="133"/>
        <v>0</v>
      </c>
      <c r="J147" s="694">
        <f t="shared" si="134"/>
        <v>0</v>
      </c>
      <c r="K147" s="695">
        <f t="shared" si="135"/>
        <v>0</v>
      </c>
      <c r="L147" s="696">
        <f t="shared" si="136"/>
        <v>0</v>
      </c>
      <c r="M147" s="745" t="e">
        <f t="shared" si="137"/>
        <v>#DIV/0!</v>
      </c>
      <c r="N147" s="607"/>
      <c r="O147" s="679" t="s">
        <v>166</v>
      </c>
      <c r="P147" s="759" t="s">
        <v>515</v>
      </c>
      <c r="Q147" s="681"/>
      <c r="R147" s="600"/>
      <c r="S147" s="730">
        <f t="shared" si="120"/>
        <v>236.50943999999998</v>
      </c>
      <c r="T147" s="600"/>
      <c r="U147" s="602"/>
      <c r="V147" s="683"/>
      <c r="W147" s="602"/>
      <c r="X147" s="603"/>
      <c r="Y147" s="600"/>
      <c r="Z147" s="600"/>
      <c r="AA147" s="600"/>
      <c r="AB147" s="600"/>
      <c r="AC147" s="600"/>
      <c r="AD147" s="600"/>
    </row>
    <row r="148" spans="1:30" s="684" customFormat="1" ht="20.100000000000001" customHeight="1" x14ac:dyDescent="0.2">
      <c r="A148" s="738" t="str">
        <f>A58</f>
        <v>3.3.4</v>
      </c>
      <c r="B148" s="757" t="s">
        <v>377</v>
      </c>
      <c r="C148" s="758" t="s">
        <v>46</v>
      </c>
      <c r="D148" s="688">
        <v>5</v>
      </c>
      <c r="E148" s="722">
        <f t="shared" si="132"/>
        <v>0</v>
      </c>
      <c r="F148" s="690">
        <f>'5.A'!$F$2470</f>
        <v>0</v>
      </c>
      <c r="G148" s="691">
        <f>'5.A'!$F$2483</f>
        <v>0</v>
      </c>
      <c r="H148" s="743">
        <f>'5.A'!$F$2506</f>
        <v>0</v>
      </c>
      <c r="I148" s="744">
        <f t="shared" si="133"/>
        <v>0</v>
      </c>
      <c r="J148" s="694">
        <f t="shared" si="134"/>
        <v>0</v>
      </c>
      <c r="K148" s="695">
        <f t="shared" si="135"/>
        <v>0</v>
      </c>
      <c r="L148" s="696">
        <f t="shared" si="136"/>
        <v>0</v>
      </c>
      <c r="M148" s="745" t="e">
        <f t="shared" si="137"/>
        <v>#DIV/0!</v>
      </c>
      <c r="N148" s="607"/>
      <c r="O148" s="679" t="s">
        <v>166</v>
      </c>
      <c r="P148" s="759" t="s">
        <v>360</v>
      </c>
      <c r="Q148" s="681"/>
      <c r="R148" s="600"/>
      <c r="S148" s="730">
        <f t="shared" si="120"/>
        <v>236.50943999999998</v>
      </c>
      <c r="T148" s="600"/>
      <c r="U148" s="602"/>
      <c r="V148" s="683"/>
      <c r="W148" s="602"/>
      <c r="X148" s="603"/>
      <c r="Y148" s="600"/>
      <c r="Z148" s="600"/>
      <c r="AA148" s="600"/>
      <c r="AB148" s="600"/>
      <c r="AC148" s="600"/>
      <c r="AD148" s="600"/>
    </row>
    <row r="149" spans="1:30" s="684" customFormat="1" ht="20.100000000000001" customHeight="1" x14ac:dyDescent="0.2">
      <c r="A149" s="738" t="str">
        <f>A60</f>
        <v>3.3.6</v>
      </c>
      <c r="B149" s="757" t="s">
        <v>344</v>
      </c>
      <c r="C149" s="758" t="s">
        <v>48</v>
      </c>
      <c r="D149" s="688">
        <f>ROUNDUP(0.5,0)</f>
        <v>1</v>
      </c>
      <c r="E149" s="722">
        <f t="shared" si="132"/>
        <v>0</v>
      </c>
      <c r="F149" s="690">
        <f>'5.A'!$F$2574</f>
        <v>0</v>
      </c>
      <c r="G149" s="691">
        <f>'5.A'!$F$2587</f>
        <v>0</v>
      </c>
      <c r="H149" s="743">
        <f>'5.A'!$F$2610</f>
        <v>0</v>
      </c>
      <c r="I149" s="744">
        <f t="shared" si="133"/>
        <v>0</v>
      </c>
      <c r="J149" s="694">
        <f t="shared" si="134"/>
        <v>0</v>
      </c>
      <c r="K149" s="695">
        <f t="shared" si="135"/>
        <v>0</v>
      </c>
      <c r="L149" s="696">
        <f t="shared" si="136"/>
        <v>0</v>
      </c>
      <c r="M149" s="745" t="e">
        <f t="shared" si="137"/>
        <v>#DIV/0!</v>
      </c>
      <c r="N149" s="607"/>
      <c r="O149" s="679" t="s">
        <v>166</v>
      </c>
      <c r="P149" s="759" t="s">
        <v>362</v>
      </c>
      <c r="Q149" s="681"/>
      <c r="R149" s="600"/>
      <c r="S149" s="730">
        <f t="shared" si="120"/>
        <v>236.50943999999998</v>
      </c>
      <c r="T149" s="600"/>
      <c r="U149" s="602"/>
      <c r="V149" s="683"/>
      <c r="W149" s="602"/>
      <c r="X149" s="603"/>
      <c r="Y149" s="600"/>
      <c r="Z149" s="600"/>
      <c r="AA149" s="600"/>
      <c r="AB149" s="600"/>
      <c r="AC149" s="600"/>
      <c r="AD149" s="600"/>
    </row>
    <row r="150" spans="1:30" s="684" customFormat="1" ht="20.100000000000001" customHeight="1" x14ac:dyDescent="0.2">
      <c r="A150" s="738" t="str">
        <f>A62</f>
        <v>3.3.8</v>
      </c>
      <c r="B150" s="757" t="s">
        <v>379</v>
      </c>
      <c r="C150" s="758" t="s">
        <v>45</v>
      </c>
      <c r="D150" s="688">
        <v>1</v>
      </c>
      <c r="E150" s="722">
        <f t="shared" si="132"/>
        <v>0</v>
      </c>
      <c r="F150" s="690">
        <f>'5.A'!$F$2678</f>
        <v>0</v>
      </c>
      <c r="G150" s="691">
        <f>'5.A'!$F$2691</f>
        <v>0</v>
      </c>
      <c r="H150" s="743">
        <f>'5.A'!$F$2714</f>
        <v>0</v>
      </c>
      <c r="I150" s="744">
        <f t="shared" si="133"/>
        <v>0</v>
      </c>
      <c r="J150" s="694">
        <f t="shared" si="134"/>
        <v>0</v>
      </c>
      <c r="K150" s="695">
        <f t="shared" si="135"/>
        <v>0</v>
      </c>
      <c r="L150" s="696">
        <f t="shared" si="136"/>
        <v>0</v>
      </c>
      <c r="M150" s="745" t="e">
        <f t="shared" si="137"/>
        <v>#DIV/0!</v>
      </c>
      <c r="N150" s="607"/>
      <c r="O150" s="679" t="s">
        <v>28</v>
      </c>
      <c r="P150" s="759">
        <v>93671</v>
      </c>
      <c r="Q150" s="681"/>
      <c r="R150" s="600"/>
      <c r="S150" s="730">
        <f t="shared" si="120"/>
        <v>236.50943999999998</v>
      </c>
      <c r="T150" s="600"/>
      <c r="U150" s="602"/>
      <c r="V150" s="683"/>
      <c r="W150" s="602"/>
      <c r="X150" s="603"/>
      <c r="Y150" s="600"/>
      <c r="Z150" s="600"/>
      <c r="AA150" s="600"/>
      <c r="AB150" s="600"/>
      <c r="AC150" s="600"/>
      <c r="AD150" s="600"/>
    </row>
    <row r="151" spans="1:30" s="684" customFormat="1" ht="20.100000000000001" customHeight="1" x14ac:dyDescent="0.2">
      <c r="A151" s="738" t="str">
        <f>A63</f>
        <v>3.3.9</v>
      </c>
      <c r="B151" s="757" t="s">
        <v>346</v>
      </c>
      <c r="C151" s="758" t="s">
        <v>45</v>
      </c>
      <c r="D151" s="688">
        <v>4</v>
      </c>
      <c r="E151" s="722">
        <f t="shared" si="132"/>
        <v>0</v>
      </c>
      <c r="F151" s="690">
        <f>'5.A'!$F$2730</f>
        <v>0</v>
      </c>
      <c r="G151" s="691">
        <f>'5.A'!$F$2743</f>
        <v>0</v>
      </c>
      <c r="H151" s="743">
        <f>'5.A'!$F$2766</f>
        <v>0</v>
      </c>
      <c r="I151" s="744">
        <f t="shared" si="133"/>
        <v>0</v>
      </c>
      <c r="J151" s="694">
        <f t="shared" si="134"/>
        <v>0</v>
      </c>
      <c r="K151" s="695">
        <f t="shared" si="135"/>
        <v>0</v>
      </c>
      <c r="L151" s="696">
        <f t="shared" si="136"/>
        <v>0</v>
      </c>
      <c r="M151" s="745" t="e">
        <f t="shared" si="137"/>
        <v>#DIV/0!</v>
      </c>
      <c r="N151" s="607"/>
      <c r="O151" s="679" t="s">
        <v>166</v>
      </c>
      <c r="P151" s="759" t="s">
        <v>365</v>
      </c>
      <c r="Q151" s="681"/>
      <c r="R151" s="600"/>
      <c r="S151" s="730">
        <f t="shared" si="120"/>
        <v>236.50943999999998</v>
      </c>
      <c r="T151" s="600"/>
      <c r="U151" s="602"/>
      <c r="V151" s="683"/>
      <c r="W151" s="602"/>
      <c r="X151" s="603"/>
      <c r="Y151" s="600"/>
      <c r="Z151" s="600"/>
      <c r="AA151" s="600"/>
      <c r="AB151" s="600"/>
      <c r="AC151" s="600"/>
      <c r="AD151" s="600"/>
    </row>
    <row r="152" spans="1:30" s="684" customFormat="1" ht="20.100000000000001" customHeight="1" x14ac:dyDescent="0.2">
      <c r="A152" s="738" t="s">
        <v>598</v>
      </c>
      <c r="B152" s="757" t="s">
        <v>517</v>
      </c>
      <c r="C152" s="758" t="s">
        <v>45</v>
      </c>
      <c r="D152" s="688">
        <v>1</v>
      </c>
      <c r="E152" s="722">
        <f>G152+H152+F152</f>
        <v>0</v>
      </c>
      <c r="F152" s="690">
        <f>'5.A'!F2782</f>
        <v>0</v>
      </c>
      <c r="G152" s="691">
        <f>'5.A'!F2795</f>
        <v>0</v>
      </c>
      <c r="H152" s="743">
        <f>'5.A'!F2818</f>
        <v>0</v>
      </c>
      <c r="I152" s="744">
        <f>ROUND(F152*D152,2)</f>
        <v>0</v>
      </c>
      <c r="J152" s="694">
        <f>ROUND(G152*D152,2)</f>
        <v>0</v>
      </c>
      <c r="K152" s="695">
        <f>ROUND(H152*D152,2)</f>
        <v>0</v>
      </c>
      <c r="L152" s="696">
        <f>ROUND(D152*F152,2)+ROUND(D152*G152,2)+ROUND(D152*H152,2)</f>
        <v>0</v>
      </c>
      <c r="M152" s="745" t="e">
        <f t="shared" si="137"/>
        <v>#DIV/0!</v>
      </c>
      <c r="N152" s="607"/>
      <c r="O152" s="679" t="s">
        <v>166</v>
      </c>
      <c r="P152" s="759" t="s">
        <v>518</v>
      </c>
      <c r="Q152" s="681"/>
      <c r="R152" s="600"/>
      <c r="S152" s="730">
        <f t="shared" si="120"/>
        <v>236.50943999999998</v>
      </c>
      <c r="T152" s="600"/>
      <c r="U152" s="602"/>
      <c r="V152" s="683"/>
      <c r="W152" s="602"/>
      <c r="X152" s="603"/>
      <c r="Y152" s="600"/>
      <c r="Z152" s="600"/>
      <c r="AA152" s="600"/>
      <c r="AB152" s="600"/>
      <c r="AC152" s="600"/>
      <c r="AD152" s="600"/>
    </row>
    <row r="153" spans="1:30" s="684" customFormat="1" ht="20.100000000000001" customHeight="1" x14ac:dyDescent="0.2">
      <c r="A153" s="738" t="str">
        <f>A64</f>
        <v>3.3.11</v>
      </c>
      <c r="B153" s="757" t="s">
        <v>347</v>
      </c>
      <c r="C153" s="758" t="s">
        <v>45</v>
      </c>
      <c r="D153" s="688">
        <v>6</v>
      </c>
      <c r="E153" s="722">
        <f t="shared" si="132"/>
        <v>0</v>
      </c>
      <c r="F153" s="690">
        <f>'5.A'!$F$2834</f>
        <v>0</v>
      </c>
      <c r="G153" s="691">
        <f>'5.A'!$F$2847</f>
        <v>0</v>
      </c>
      <c r="H153" s="743">
        <f>'5.A'!$F$2870</f>
        <v>0</v>
      </c>
      <c r="I153" s="744">
        <f t="shared" si="133"/>
        <v>0</v>
      </c>
      <c r="J153" s="694">
        <f t="shared" si="134"/>
        <v>0</v>
      </c>
      <c r="K153" s="695">
        <f t="shared" si="135"/>
        <v>0</v>
      </c>
      <c r="L153" s="696">
        <f t="shared" si="136"/>
        <v>0</v>
      </c>
      <c r="M153" s="745" t="e">
        <f t="shared" si="137"/>
        <v>#DIV/0!</v>
      </c>
      <c r="N153" s="607"/>
      <c r="O153" s="679" t="s">
        <v>363</v>
      </c>
      <c r="P153" s="759" t="s">
        <v>366</v>
      </c>
      <c r="Q153" s="681"/>
      <c r="R153" s="600"/>
      <c r="S153" s="730">
        <f t="shared" si="120"/>
        <v>236.50943999999998</v>
      </c>
      <c r="T153" s="600"/>
      <c r="U153" s="602"/>
      <c r="V153" s="683"/>
      <c r="W153" s="602"/>
      <c r="X153" s="603"/>
      <c r="Y153" s="600"/>
      <c r="Z153" s="600"/>
      <c r="AA153" s="600"/>
      <c r="AB153" s="600"/>
      <c r="AC153" s="600"/>
      <c r="AD153" s="600"/>
    </row>
    <row r="154" spans="1:30" s="684" customFormat="1" ht="20.100000000000001" customHeight="1" x14ac:dyDescent="0.2">
      <c r="A154" s="738" t="s">
        <v>592</v>
      </c>
      <c r="B154" s="757" t="s">
        <v>448</v>
      </c>
      <c r="C154" s="758" t="s">
        <v>45</v>
      </c>
      <c r="D154" s="688">
        <v>3</v>
      </c>
      <c r="E154" s="722">
        <f t="shared" si="132"/>
        <v>0</v>
      </c>
      <c r="F154" s="690">
        <f>'5.A'!F3042</f>
        <v>0</v>
      </c>
      <c r="G154" s="691">
        <f>'5.A'!F3055</f>
        <v>0</v>
      </c>
      <c r="H154" s="743">
        <f>'5.A'!F3078</f>
        <v>0</v>
      </c>
      <c r="I154" s="744">
        <f t="shared" si="133"/>
        <v>0</v>
      </c>
      <c r="J154" s="694">
        <f t="shared" si="134"/>
        <v>0</v>
      </c>
      <c r="K154" s="695">
        <f t="shared" si="135"/>
        <v>0</v>
      </c>
      <c r="L154" s="696">
        <f t="shared" si="136"/>
        <v>0</v>
      </c>
      <c r="M154" s="745" t="e">
        <f t="shared" si="137"/>
        <v>#DIV/0!</v>
      </c>
      <c r="N154" s="607"/>
      <c r="O154" s="679" t="s">
        <v>369</v>
      </c>
      <c r="P154" s="759" t="s">
        <v>370</v>
      </c>
      <c r="Q154" s="681"/>
      <c r="R154" s="600"/>
      <c r="S154" s="730">
        <f t="shared" si="120"/>
        <v>236.50943999999998</v>
      </c>
      <c r="T154" s="600"/>
      <c r="U154" s="602"/>
      <c r="V154" s="683"/>
      <c r="W154" s="602"/>
      <c r="X154" s="603"/>
      <c r="Y154" s="600"/>
      <c r="Z154" s="600"/>
      <c r="AA154" s="600"/>
      <c r="AB154" s="600"/>
      <c r="AC154" s="600"/>
      <c r="AD154" s="600"/>
    </row>
    <row r="155" spans="1:30" s="684" customFormat="1" ht="20.100000000000001" customHeight="1" x14ac:dyDescent="0.2">
      <c r="A155" s="738" t="str">
        <f>A68</f>
        <v>3.3.16</v>
      </c>
      <c r="B155" s="757" t="s">
        <v>353</v>
      </c>
      <c r="C155" s="758" t="s">
        <v>45</v>
      </c>
      <c r="D155" s="688">
        <v>1</v>
      </c>
      <c r="E155" s="722">
        <f t="shared" si="132"/>
        <v>0</v>
      </c>
      <c r="F155" s="690">
        <f>'5.A'!$F$3094</f>
        <v>0</v>
      </c>
      <c r="G155" s="691">
        <f>'5.A'!$F$3107</f>
        <v>0</v>
      </c>
      <c r="H155" s="743">
        <f>'5.A'!$F$3130</f>
        <v>0</v>
      </c>
      <c r="I155" s="744">
        <f t="shared" si="133"/>
        <v>0</v>
      </c>
      <c r="J155" s="694">
        <f t="shared" si="134"/>
        <v>0</v>
      </c>
      <c r="K155" s="695">
        <f t="shared" si="135"/>
        <v>0</v>
      </c>
      <c r="L155" s="696">
        <f t="shared" si="136"/>
        <v>0</v>
      </c>
      <c r="M155" s="745" t="e">
        <f t="shared" si="137"/>
        <v>#DIV/0!</v>
      </c>
      <c r="N155" s="607"/>
      <c r="O155" s="679" t="s">
        <v>369</v>
      </c>
      <c r="P155" s="759" t="s">
        <v>371</v>
      </c>
      <c r="Q155" s="681"/>
      <c r="R155" s="600"/>
      <c r="S155" s="730">
        <f t="shared" si="120"/>
        <v>236.50943999999998</v>
      </c>
      <c r="T155" s="600"/>
      <c r="U155" s="602"/>
      <c r="V155" s="683"/>
      <c r="W155" s="602"/>
      <c r="X155" s="603"/>
      <c r="Y155" s="600"/>
      <c r="Z155" s="600"/>
      <c r="AA155" s="600"/>
      <c r="AB155" s="600"/>
      <c r="AC155" s="600"/>
      <c r="AD155" s="600"/>
    </row>
    <row r="156" spans="1:30" s="736" customFormat="1" ht="20.100000000000001" customHeight="1" x14ac:dyDescent="0.2">
      <c r="A156" s="751" t="s">
        <v>340</v>
      </c>
      <c r="B156" s="752" t="s">
        <v>341</v>
      </c>
      <c r="C156" s="753"/>
      <c r="D156" s="753"/>
      <c r="E156" s="753"/>
      <c r="F156" s="753"/>
      <c r="G156" s="753"/>
      <c r="H156" s="753"/>
      <c r="I156" s="753"/>
      <c r="J156" s="753"/>
      <c r="K156" s="753"/>
      <c r="L156" s="753"/>
      <c r="M156" s="754"/>
      <c r="N156" s="735"/>
      <c r="O156" s="755" t="s">
        <v>158</v>
      </c>
      <c r="P156" s="755"/>
      <c r="Q156" s="665" t="s">
        <v>159</v>
      </c>
      <c r="R156" s="600"/>
      <c r="U156" s="602"/>
      <c r="V156" s="683"/>
      <c r="W156" s="602"/>
      <c r="X156" s="737"/>
    </row>
    <row r="157" spans="1:30" s="684" customFormat="1" ht="20.100000000000001" customHeight="1" x14ac:dyDescent="0.2">
      <c r="A157" s="756" t="str">
        <f>A146</f>
        <v>3.4.1</v>
      </c>
      <c r="B157" s="757" t="s">
        <v>351</v>
      </c>
      <c r="C157" s="758" t="s">
        <v>48</v>
      </c>
      <c r="D157" s="688">
        <v>1</v>
      </c>
      <c r="E157" s="722">
        <f t="shared" ref="E157:E163" si="138">G157+H157+F157</f>
        <v>0</v>
      </c>
      <c r="F157" s="690">
        <f>'5.A'!$F$3146</f>
        <v>0</v>
      </c>
      <c r="G157" s="691">
        <f>'5.A'!$F$3159</f>
        <v>0</v>
      </c>
      <c r="H157" s="743">
        <f>'5.A'!$F$3182</f>
        <v>0</v>
      </c>
      <c r="I157" s="744">
        <f t="shared" ref="I157:I163" si="139">ROUND(F157*D157,2)</f>
        <v>0</v>
      </c>
      <c r="J157" s="694">
        <f t="shared" ref="J157:J163" si="140">ROUND(G157*D157,2)</f>
        <v>0</v>
      </c>
      <c r="K157" s="695">
        <f t="shared" ref="K157:K163" si="141">ROUND(H157*D157,2)</f>
        <v>0</v>
      </c>
      <c r="L157" s="696">
        <f t="shared" ref="L157:L163" si="142">ROUND(D157*F157,2)+ROUND(D157*G157,2)+ROUND(D157*H157,2)</f>
        <v>0</v>
      </c>
      <c r="M157" s="745" t="e">
        <f t="shared" ref="M157:M163" si="143">L157/$L$180</f>
        <v>#DIV/0!</v>
      </c>
      <c r="N157" s="607"/>
      <c r="O157" s="679" t="s">
        <v>166</v>
      </c>
      <c r="P157" s="759" t="s">
        <v>358</v>
      </c>
      <c r="Q157" s="681"/>
      <c r="R157" s="600"/>
      <c r="S157" s="730">
        <f t="shared" si="120"/>
        <v>236.50943999999998</v>
      </c>
      <c r="T157" s="600"/>
      <c r="U157" s="602"/>
      <c r="V157" s="683"/>
      <c r="W157" s="602"/>
      <c r="X157" s="603"/>
      <c r="Y157" s="600"/>
      <c r="Z157" s="600"/>
      <c r="AA157" s="600"/>
      <c r="AB157" s="600"/>
      <c r="AC157" s="600"/>
      <c r="AD157" s="600"/>
    </row>
    <row r="158" spans="1:30" s="684" customFormat="1" ht="20.100000000000001" customHeight="1" x14ac:dyDescent="0.2">
      <c r="A158" s="756" t="s">
        <v>601</v>
      </c>
      <c r="B158" s="757" t="s">
        <v>347</v>
      </c>
      <c r="C158" s="758" t="s">
        <v>45</v>
      </c>
      <c r="D158" s="688">
        <v>1</v>
      </c>
      <c r="E158" s="722">
        <f t="shared" si="138"/>
        <v>0</v>
      </c>
      <c r="F158" s="690">
        <f>'5.A'!$F$3250</f>
        <v>0</v>
      </c>
      <c r="G158" s="691">
        <f>'5.A'!$F$3263</f>
        <v>0</v>
      </c>
      <c r="H158" s="743">
        <f>'5.A'!$F$3286</f>
        <v>0</v>
      </c>
      <c r="I158" s="744">
        <f t="shared" si="139"/>
        <v>0</v>
      </c>
      <c r="J158" s="694">
        <f t="shared" si="140"/>
        <v>0</v>
      </c>
      <c r="K158" s="695">
        <f t="shared" si="141"/>
        <v>0</v>
      </c>
      <c r="L158" s="696">
        <f t="shared" si="142"/>
        <v>0</v>
      </c>
      <c r="M158" s="745" t="e">
        <f t="shared" si="143"/>
        <v>#DIV/0!</v>
      </c>
      <c r="N158" s="607"/>
      <c r="O158" s="679" t="s">
        <v>363</v>
      </c>
      <c r="P158" s="759" t="s">
        <v>366</v>
      </c>
      <c r="Q158" s="681"/>
      <c r="R158" s="600"/>
      <c r="S158" s="730">
        <f t="shared" si="120"/>
        <v>236.50943999999998</v>
      </c>
      <c r="T158" s="600"/>
      <c r="U158" s="602"/>
      <c r="V158" s="683"/>
      <c r="W158" s="602"/>
      <c r="X158" s="603"/>
      <c r="Y158" s="600"/>
      <c r="Z158" s="600"/>
      <c r="AA158" s="600"/>
      <c r="AB158" s="600"/>
      <c r="AC158" s="600"/>
      <c r="AD158" s="600"/>
    </row>
    <row r="159" spans="1:30" s="684" customFormat="1" ht="20.100000000000001" customHeight="1" x14ac:dyDescent="0.2">
      <c r="A159" s="756" t="str">
        <f>A73</f>
        <v>3.4.5</v>
      </c>
      <c r="B159" s="757" t="s">
        <v>353</v>
      </c>
      <c r="C159" s="758" t="s">
        <v>45</v>
      </c>
      <c r="D159" s="688">
        <v>1</v>
      </c>
      <c r="E159" s="722">
        <f>G159+H159+F159</f>
        <v>0</v>
      </c>
      <c r="F159" s="690">
        <f>'5.A'!$F$3354</f>
        <v>0</v>
      </c>
      <c r="G159" s="691">
        <f>'5.A'!$F$3367</f>
        <v>0</v>
      </c>
      <c r="H159" s="743">
        <f>'5.A'!$F$3390</f>
        <v>0</v>
      </c>
      <c r="I159" s="744">
        <f>ROUND(F159*D159,2)</f>
        <v>0</v>
      </c>
      <c r="J159" s="694">
        <f>ROUND(G159*D159,2)</f>
        <v>0</v>
      </c>
      <c r="K159" s="695">
        <f>ROUND(H159*D159,2)</f>
        <v>0</v>
      </c>
      <c r="L159" s="696">
        <f>ROUND(D159*F159,2)+ROUND(D159*G159,2)+ROUND(D159*H159,2)</f>
        <v>0</v>
      </c>
      <c r="M159" s="745" t="e">
        <f t="shared" si="143"/>
        <v>#DIV/0!</v>
      </c>
      <c r="N159" s="607"/>
      <c r="O159" s="679" t="s">
        <v>369</v>
      </c>
      <c r="P159" s="759" t="s">
        <v>371</v>
      </c>
      <c r="Q159" s="681"/>
      <c r="R159" s="600"/>
      <c r="S159" s="730">
        <f t="shared" si="120"/>
        <v>236.50943999999998</v>
      </c>
      <c r="T159" s="600"/>
      <c r="U159" s="602"/>
      <c r="V159" s="683"/>
      <c r="W159" s="602"/>
      <c r="X159" s="603"/>
      <c r="Y159" s="600"/>
      <c r="Z159" s="600"/>
      <c r="AA159" s="600"/>
      <c r="AB159" s="600"/>
      <c r="AC159" s="600"/>
      <c r="AD159" s="600"/>
    </row>
    <row r="160" spans="1:30" s="684" customFormat="1" ht="20.100000000000001" customHeight="1" x14ac:dyDescent="0.2">
      <c r="A160" s="738" t="s">
        <v>602</v>
      </c>
      <c r="B160" s="757" t="s">
        <v>520</v>
      </c>
      <c r="C160" s="758" t="s">
        <v>45</v>
      </c>
      <c r="D160" s="688">
        <v>6</v>
      </c>
      <c r="E160" s="722">
        <f t="shared" si="138"/>
        <v>0</v>
      </c>
      <c r="F160" s="690">
        <f>'5.A'!F3406</f>
        <v>0</v>
      </c>
      <c r="G160" s="691">
        <f>'5.A'!F3419</f>
        <v>0</v>
      </c>
      <c r="H160" s="743">
        <f>'5.A'!F3442</f>
        <v>0</v>
      </c>
      <c r="I160" s="744">
        <f t="shared" si="139"/>
        <v>0</v>
      </c>
      <c r="J160" s="694">
        <f t="shared" si="140"/>
        <v>0</v>
      </c>
      <c r="K160" s="695">
        <f t="shared" si="141"/>
        <v>0</v>
      </c>
      <c r="L160" s="696">
        <f t="shared" si="142"/>
        <v>0</v>
      </c>
      <c r="M160" s="745" t="e">
        <f t="shared" si="143"/>
        <v>#DIV/0!</v>
      </c>
      <c r="N160" s="607"/>
      <c r="O160" s="679" t="s">
        <v>28</v>
      </c>
      <c r="P160" s="759">
        <v>93669</v>
      </c>
      <c r="Q160" s="681"/>
      <c r="R160" s="600"/>
      <c r="S160" s="730">
        <f t="shared" si="120"/>
        <v>236.50943999999998</v>
      </c>
      <c r="T160" s="600"/>
      <c r="U160" s="602"/>
      <c r="V160" s="683"/>
      <c r="W160" s="602"/>
      <c r="X160" s="603"/>
      <c r="Y160" s="600"/>
      <c r="Z160" s="600"/>
      <c r="AA160" s="600"/>
      <c r="AB160" s="600"/>
      <c r="AC160" s="600"/>
      <c r="AD160" s="600"/>
    </row>
    <row r="161" spans="1:30" s="684" customFormat="1" ht="30" x14ac:dyDescent="0.2">
      <c r="A161" s="738" t="str">
        <f>A74</f>
        <v>3.4.7</v>
      </c>
      <c r="B161" s="757" t="s">
        <v>354</v>
      </c>
      <c r="C161" s="758" t="s">
        <v>45</v>
      </c>
      <c r="D161" s="688">
        <v>1</v>
      </c>
      <c r="E161" s="722">
        <f t="shared" si="138"/>
        <v>0</v>
      </c>
      <c r="F161" s="690">
        <f>'5.A'!$F$3458</f>
        <v>0</v>
      </c>
      <c r="G161" s="691">
        <f>'5.A'!$F$3471</f>
        <v>0</v>
      </c>
      <c r="H161" s="743">
        <f>'5.A'!$F$3494</f>
        <v>0</v>
      </c>
      <c r="I161" s="744">
        <f t="shared" si="139"/>
        <v>0</v>
      </c>
      <c r="J161" s="694">
        <f t="shared" si="140"/>
        <v>0</v>
      </c>
      <c r="K161" s="695">
        <f t="shared" si="141"/>
        <v>0</v>
      </c>
      <c r="L161" s="696">
        <f t="shared" si="142"/>
        <v>0</v>
      </c>
      <c r="M161" s="745" t="e">
        <f t="shared" si="143"/>
        <v>#DIV/0!</v>
      </c>
      <c r="N161" s="607"/>
      <c r="O161" s="679" t="s">
        <v>369</v>
      </c>
      <c r="P161" s="759" t="s">
        <v>374</v>
      </c>
      <c r="Q161" s="681"/>
      <c r="R161" s="600"/>
      <c r="S161" s="730">
        <f t="shared" si="120"/>
        <v>236.50943999999998</v>
      </c>
      <c r="T161" s="600"/>
      <c r="U161" s="602"/>
      <c r="V161" s="683"/>
      <c r="W161" s="602"/>
      <c r="X161" s="603"/>
      <c r="Y161" s="600"/>
      <c r="Z161" s="600"/>
      <c r="AA161" s="600"/>
      <c r="AB161" s="600"/>
      <c r="AC161" s="600"/>
      <c r="AD161" s="600"/>
    </row>
    <row r="162" spans="1:30" s="684" customFormat="1" ht="30" x14ac:dyDescent="0.2">
      <c r="A162" s="738" t="s">
        <v>613</v>
      </c>
      <c r="B162" s="757" t="s">
        <v>524</v>
      </c>
      <c r="C162" s="758" t="s">
        <v>45</v>
      </c>
      <c r="D162" s="688">
        <v>6</v>
      </c>
      <c r="E162" s="722">
        <f t="shared" si="138"/>
        <v>0</v>
      </c>
      <c r="F162" s="690">
        <f>'5.A'!F3562</f>
        <v>0</v>
      </c>
      <c r="G162" s="691">
        <f>'5.A'!F3575</f>
        <v>0</v>
      </c>
      <c r="H162" s="743">
        <f>'5.A'!F3598</f>
        <v>0</v>
      </c>
      <c r="I162" s="744">
        <f t="shared" si="139"/>
        <v>0</v>
      </c>
      <c r="J162" s="694">
        <f t="shared" si="140"/>
        <v>0</v>
      </c>
      <c r="K162" s="695">
        <f t="shared" si="141"/>
        <v>0</v>
      </c>
      <c r="L162" s="696">
        <f t="shared" si="142"/>
        <v>0</v>
      </c>
      <c r="M162" s="745" t="e">
        <f t="shared" si="143"/>
        <v>#DIV/0!</v>
      </c>
      <c r="N162" s="607"/>
      <c r="O162" s="679" t="s">
        <v>369</v>
      </c>
      <c r="P162" s="759" t="s">
        <v>375</v>
      </c>
      <c r="Q162" s="681"/>
      <c r="R162" s="600"/>
      <c r="S162" s="730">
        <f t="shared" si="120"/>
        <v>236.50943999999998</v>
      </c>
      <c r="T162" s="600"/>
      <c r="U162" s="602"/>
      <c r="V162" s="683"/>
      <c r="W162" s="602"/>
      <c r="X162" s="603"/>
      <c r="Y162" s="600"/>
      <c r="Z162" s="600"/>
      <c r="AA162" s="600"/>
      <c r="AB162" s="600"/>
      <c r="AC162" s="600"/>
      <c r="AD162" s="600"/>
    </row>
    <row r="163" spans="1:30" s="684" customFormat="1" ht="30" x14ac:dyDescent="0.2">
      <c r="A163" s="738" t="s">
        <v>614</v>
      </c>
      <c r="B163" s="757" t="s">
        <v>450</v>
      </c>
      <c r="C163" s="758" t="s">
        <v>45</v>
      </c>
      <c r="D163" s="688">
        <v>5</v>
      </c>
      <c r="E163" s="722">
        <f t="shared" si="138"/>
        <v>0</v>
      </c>
      <c r="F163" s="690">
        <f>'5.A'!F3666</f>
        <v>0</v>
      </c>
      <c r="G163" s="691">
        <f>'5.A'!F3679</f>
        <v>0</v>
      </c>
      <c r="H163" s="743">
        <f>'5.A'!F3702</f>
        <v>0</v>
      </c>
      <c r="I163" s="744">
        <f t="shared" si="139"/>
        <v>0</v>
      </c>
      <c r="J163" s="694">
        <f t="shared" si="140"/>
        <v>0</v>
      </c>
      <c r="K163" s="695">
        <f t="shared" si="141"/>
        <v>0</v>
      </c>
      <c r="L163" s="696">
        <f t="shared" si="142"/>
        <v>0</v>
      </c>
      <c r="M163" s="745" t="e">
        <f t="shared" si="143"/>
        <v>#DIV/0!</v>
      </c>
      <c r="N163" s="607"/>
      <c r="O163" s="679" t="s">
        <v>369</v>
      </c>
      <c r="P163" s="759" t="s">
        <v>376</v>
      </c>
      <c r="Q163" s="681"/>
      <c r="R163" s="600"/>
      <c r="S163" s="730">
        <f t="shared" si="120"/>
        <v>236.50943999999998</v>
      </c>
      <c r="T163" s="600"/>
      <c r="U163" s="602"/>
      <c r="V163" s="683"/>
      <c r="W163" s="602"/>
      <c r="X163" s="603"/>
      <c r="Y163" s="600"/>
      <c r="Z163" s="600"/>
      <c r="AA163" s="600"/>
      <c r="AB163" s="600"/>
      <c r="AC163" s="600"/>
      <c r="AD163" s="600"/>
    </row>
    <row r="164" spans="1:30" s="736" customFormat="1" ht="20.100000000000001" customHeight="1" x14ac:dyDescent="0.2">
      <c r="A164" s="751" t="s">
        <v>342</v>
      </c>
      <c r="B164" s="752" t="s">
        <v>357</v>
      </c>
      <c r="C164" s="753"/>
      <c r="D164" s="753"/>
      <c r="E164" s="753"/>
      <c r="F164" s="753"/>
      <c r="G164" s="753"/>
      <c r="H164" s="753"/>
      <c r="I164" s="753"/>
      <c r="J164" s="753"/>
      <c r="K164" s="753"/>
      <c r="L164" s="753"/>
      <c r="M164" s="754"/>
      <c r="N164" s="735"/>
      <c r="O164" s="755" t="s">
        <v>158</v>
      </c>
      <c r="P164" s="755"/>
      <c r="Q164" s="665" t="s">
        <v>159</v>
      </c>
      <c r="R164" s="600"/>
      <c r="U164" s="602"/>
      <c r="V164" s="683"/>
      <c r="W164" s="602"/>
      <c r="X164" s="737"/>
    </row>
    <row r="165" spans="1:30" s="684" customFormat="1" ht="20.100000000000001" customHeight="1" x14ac:dyDescent="0.2">
      <c r="A165" s="738" t="str">
        <f t="shared" ref="A165:A171" si="144">A78</f>
        <v>3.5.1</v>
      </c>
      <c r="B165" s="757" t="s">
        <v>538</v>
      </c>
      <c r="C165" s="758" t="s">
        <v>48</v>
      </c>
      <c r="D165" s="688">
        <f>ROUNDUP(3*2,0)</f>
        <v>6</v>
      </c>
      <c r="E165" s="722">
        <f t="shared" ref="E165" si="145">G165+H165+F165</f>
        <v>0</v>
      </c>
      <c r="F165" s="690">
        <f>'5.A'!$F$3718</f>
        <v>0</v>
      </c>
      <c r="G165" s="691">
        <f>'5.A'!$F$3731</f>
        <v>0</v>
      </c>
      <c r="H165" s="743">
        <f>'5.A'!$F$3754</f>
        <v>0</v>
      </c>
      <c r="I165" s="744">
        <f t="shared" ref="I165" si="146">ROUND(F165*D165,2)</f>
        <v>0</v>
      </c>
      <c r="J165" s="694">
        <f t="shared" ref="J165" si="147">ROUND(G165*D165,2)</f>
        <v>0</v>
      </c>
      <c r="K165" s="695">
        <f t="shared" ref="K165" si="148">ROUND(H165*D165,2)</f>
        <v>0</v>
      </c>
      <c r="L165" s="696">
        <f t="shared" ref="L165" si="149">ROUND(D165*F165,2)+ROUND(D165*G165,2)+ROUND(D165*H165,2)</f>
        <v>0</v>
      </c>
      <c r="M165" s="745" t="e">
        <f t="shared" ref="M165:M171" si="150">L165/$L$180</f>
        <v>#DIV/0!</v>
      </c>
      <c r="N165" s="607"/>
      <c r="O165" s="679" t="s">
        <v>28</v>
      </c>
      <c r="P165" s="759">
        <v>97101</v>
      </c>
      <c r="Q165" s="681"/>
      <c r="R165" s="600"/>
      <c r="S165" s="730">
        <f t="shared" ref="S165" si="151">(((1.35*2*21)+(2.7*7*21)+(0.7*28.5)+(4.46*4.3))*0.12)*4</f>
        <v>236.50943999999998</v>
      </c>
      <c r="T165" s="600"/>
      <c r="U165" s="602"/>
      <c r="V165" s="683"/>
      <c r="W165" s="602"/>
      <c r="X165" s="603"/>
      <c r="Y165" s="600"/>
      <c r="Z165" s="600"/>
      <c r="AA165" s="600"/>
      <c r="AB165" s="600"/>
      <c r="AC165" s="600"/>
      <c r="AD165" s="600"/>
    </row>
    <row r="166" spans="1:30" s="684" customFormat="1" ht="30" x14ac:dyDescent="0.2">
      <c r="A166" s="738" t="str">
        <f t="shared" si="144"/>
        <v>3.5.2</v>
      </c>
      <c r="B166" s="757" t="s">
        <v>383</v>
      </c>
      <c r="C166" s="758" t="s">
        <v>48</v>
      </c>
      <c r="D166" s="688">
        <f>ROUNDUP(9.6,0)</f>
        <v>10</v>
      </c>
      <c r="E166" s="722">
        <f t="shared" ref="E166:E171" si="152">G166+H166+F166</f>
        <v>0</v>
      </c>
      <c r="F166" s="690">
        <f>'5.A'!$F$3770</f>
        <v>0</v>
      </c>
      <c r="G166" s="691">
        <f>'5.A'!$F$3783</f>
        <v>0</v>
      </c>
      <c r="H166" s="743">
        <f>'5.A'!$F$3806</f>
        <v>0</v>
      </c>
      <c r="I166" s="744">
        <f t="shared" ref="I166:I171" si="153">ROUND(F166*D166,2)</f>
        <v>0</v>
      </c>
      <c r="J166" s="694">
        <f t="shared" ref="J166:J171" si="154">ROUND(G166*D166,2)</f>
        <v>0</v>
      </c>
      <c r="K166" s="695">
        <f t="shared" ref="K166:K171" si="155">ROUND(H166*D166,2)</f>
        <v>0</v>
      </c>
      <c r="L166" s="696">
        <f t="shared" ref="L166:L171" si="156">ROUND(D166*F166,2)+ROUND(D166*G166,2)+ROUND(D166*H166,2)</f>
        <v>0</v>
      </c>
      <c r="M166" s="745" t="e">
        <f t="shared" si="150"/>
        <v>#DIV/0!</v>
      </c>
      <c r="N166" s="607"/>
      <c r="O166" s="679" t="s">
        <v>28</v>
      </c>
      <c r="P166" s="759">
        <v>89307</v>
      </c>
      <c r="Q166" s="681"/>
      <c r="R166" s="600"/>
      <c r="S166" s="730">
        <f t="shared" si="120"/>
        <v>236.50943999999998</v>
      </c>
      <c r="T166" s="600"/>
      <c r="U166" s="602"/>
      <c r="V166" s="683"/>
      <c r="W166" s="602"/>
      <c r="X166" s="603"/>
      <c r="Y166" s="600"/>
      <c r="Z166" s="600"/>
      <c r="AA166" s="600"/>
      <c r="AB166" s="600"/>
      <c r="AC166" s="600"/>
      <c r="AD166" s="600"/>
    </row>
    <row r="167" spans="1:30" s="684" customFormat="1" ht="20.100000000000001" customHeight="1" x14ac:dyDescent="0.2">
      <c r="A167" s="738" t="str">
        <f t="shared" si="144"/>
        <v>3.5.3</v>
      </c>
      <c r="B167" s="757" t="s">
        <v>382</v>
      </c>
      <c r="C167" s="758" t="s">
        <v>48</v>
      </c>
      <c r="D167" s="688">
        <f>ROUNDUP(2.4,0)</f>
        <v>3</v>
      </c>
      <c r="E167" s="722">
        <f t="shared" si="152"/>
        <v>0</v>
      </c>
      <c r="F167" s="690">
        <f>'5.A'!$F$3822</f>
        <v>0</v>
      </c>
      <c r="G167" s="691">
        <f>'5.A'!$F$3835</f>
        <v>0</v>
      </c>
      <c r="H167" s="743">
        <f>'5.A'!$F$3858</f>
        <v>0</v>
      </c>
      <c r="I167" s="744">
        <f t="shared" si="153"/>
        <v>0</v>
      </c>
      <c r="J167" s="694">
        <f t="shared" si="154"/>
        <v>0</v>
      </c>
      <c r="K167" s="695">
        <f t="shared" si="155"/>
        <v>0</v>
      </c>
      <c r="L167" s="696">
        <f t="shared" si="156"/>
        <v>0</v>
      </c>
      <c r="M167" s="745" t="e">
        <f t="shared" si="150"/>
        <v>#DIV/0!</v>
      </c>
      <c r="N167" s="607"/>
      <c r="O167" s="679" t="s">
        <v>28</v>
      </c>
      <c r="P167" s="759">
        <v>98679</v>
      </c>
      <c r="Q167" s="681"/>
      <c r="R167" s="600"/>
      <c r="S167" s="730">
        <f t="shared" si="120"/>
        <v>236.50943999999998</v>
      </c>
      <c r="T167" s="600"/>
      <c r="U167" s="602"/>
      <c r="V167" s="683"/>
      <c r="W167" s="602"/>
      <c r="X167" s="603"/>
      <c r="Y167" s="600"/>
      <c r="Z167" s="600"/>
      <c r="AA167" s="600"/>
      <c r="AB167" s="600"/>
      <c r="AC167" s="600"/>
      <c r="AD167" s="600"/>
    </row>
    <row r="168" spans="1:30" s="684" customFormat="1" ht="30" x14ac:dyDescent="0.2">
      <c r="A168" s="738" t="str">
        <f t="shared" si="144"/>
        <v>3.5.4</v>
      </c>
      <c r="B168" s="757" t="s">
        <v>384</v>
      </c>
      <c r="C168" s="758" t="s">
        <v>48</v>
      </c>
      <c r="D168" s="688">
        <f>ROUNDUP(2.4,0)</f>
        <v>3</v>
      </c>
      <c r="E168" s="722">
        <f t="shared" si="152"/>
        <v>0</v>
      </c>
      <c r="F168" s="690">
        <f>'5.A'!$F$3874</f>
        <v>0</v>
      </c>
      <c r="G168" s="691">
        <f>'5.A'!$F$3887</f>
        <v>0</v>
      </c>
      <c r="H168" s="743">
        <f>'5.A'!$F$3910</f>
        <v>0</v>
      </c>
      <c r="I168" s="744">
        <f t="shared" si="153"/>
        <v>0</v>
      </c>
      <c r="J168" s="694">
        <f t="shared" si="154"/>
        <v>0</v>
      </c>
      <c r="K168" s="695">
        <f t="shared" si="155"/>
        <v>0</v>
      </c>
      <c r="L168" s="696">
        <f t="shared" si="156"/>
        <v>0</v>
      </c>
      <c r="M168" s="745" t="e">
        <f t="shared" si="150"/>
        <v>#DIV/0!</v>
      </c>
      <c r="N168" s="607"/>
      <c r="O168" s="679" t="s">
        <v>28</v>
      </c>
      <c r="P168" s="759">
        <v>101964</v>
      </c>
      <c r="Q168" s="681"/>
      <c r="R168" s="600"/>
      <c r="S168" s="730">
        <f t="shared" si="120"/>
        <v>236.50943999999998</v>
      </c>
      <c r="T168" s="600"/>
      <c r="U168" s="602"/>
      <c r="V168" s="683"/>
      <c r="W168" s="602"/>
      <c r="X168" s="603"/>
      <c r="Y168" s="600"/>
      <c r="Z168" s="600"/>
      <c r="AA168" s="600"/>
      <c r="AB168" s="600"/>
      <c r="AC168" s="600"/>
      <c r="AD168" s="600"/>
    </row>
    <row r="169" spans="1:30" s="684" customFormat="1" ht="20.100000000000001" customHeight="1" x14ac:dyDescent="0.2">
      <c r="A169" s="738" t="str">
        <f t="shared" si="144"/>
        <v>3.5.5</v>
      </c>
      <c r="B169" s="757" t="s">
        <v>481</v>
      </c>
      <c r="C169" s="758" t="s">
        <v>45</v>
      </c>
      <c r="D169" s="688">
        <v>2</v>
      </c>
      <c r="E169" s="722">
        <f t="shared" si="152"/>
        <v>0</v>
      </c>
      <c r="F169" s="690">
        <f>'5.A'!$F$3926</f>
        <v>0</v>
      </c>
      <c r="G169" s="691">
        <f>'5.A'!$F$3939</f>
        <v>0</v>
      </c>
      <c r="H169" s="743">
        <f>'5.A'!$F$3962</f>
        <v>0</v>
      </c>
      <c r="I169" s="744">
        <f t="shared" si="153"/>
        <v>0</v>
      </c>
      <c r="J169" s="694">
        <f t="shared" si="154"/>
        <v>0</v>
      </c>
      <c r="K169" s="695">
        <f t="shared" si="155"/>
        <v>0</v>
      </c>
      <c r="L169" s="696">
        <f t="shared" si="156"/>
        <v>0</v>
      </c>
      <c r="M169" s="745" t="e">
        <f t="shared" si="150"/>
        <v>#DIV/0!</v>
      </c>
      <c r="N169" s="607"/>
      <c r="O169" s="679" t="s">
        <v>28</v>
      </c>
      <c r="P169" s="759">
        <v>94807</v>
      </c>
      <c r="Q169" s="681"/>
      <c r="R169" s="600"/>
      <c r="S169" s="730">
        <f t="shared" si="120"/>
        <v>236.50943999999998</v>
      </c>
      <c r="T169" s="600"/>
      <c r="U169" s="602"/>
      <c r="V169" s="683"/>
      <c r="W169" s="602"/>
      <c r="X169" s="603"/>
      <c r="Y169" s="600"/>
      <c r="Z169" s="600"/>
      <c r="AA169" s="600"/>
      <c r="AB169" s="600"/>
      <c r="AC169" s="600"/>
      <c r="AD169" s="600"/>
    </row>
    <row r="170" spans="1:30" s="684" customFormat="1" ht="20.100000000000001" customHeight="1" x14ac:dyDescent="0.2">
      <c r="A170" s="738" t="str">
        <f t="shared" si="144"/>
        <v>3.5.6</v>
      </c>
      <c r="B170" s="757" t="s">
        <v>482</v>
      </c>
      <c r="C170" s="758" t="s">
        <v>48</v>
      </c>
      <c r="D170" s="688">
        <f>ROUNDUP(28.8,0)</f>
        <v>29</v>
      </c>
      <c r="E170" s="722">
        <f t="shared" si="152"/>
        <v>0</v>
      </c>
      <c r="F170" s="690">
        <f>'5.A'!$F$3978</f>
        <v>0</v>
      </c>
      <c r="G170" s="691">
        <f>'5.A'!$F$3991</f>
        <v>0</v>
      </c>
      <c r="H170" s="743">
        <f>'5.A'!$F$4014</f>
        <v>0</v>
      </c>
      <c r="I170" s="744">
        <f t="shared" si="153"/>
        <v>0</v>
      </c>
      <c r="J170" s="694">
        <f t="shared" si="154"/>
        <v>0</v>
      </c>
      <c r="K170" s="695">
        <f t="shared" si="155"/>
        <v>0</v>
      </c>
      <c r="L170" s="696">
        <f t="shared" si="156"/>
        <v>0</v>
      </c>
      <c r="M170" s="745" t="e">
        <f t="shared" si="150"/>
        <v>#DIV/0!</v>
      </c>
      <c r="N170" s="607"/>
      <c r="O170" s="679" t="s">
        <v>28</v>
      </c>
      <c r="P170" s="759">
        <v>104641</v>
      </c>
      <c r="Q170" s="681" t="s">
        <v>483</v>
      </c>
      <c r="R170" s="600"/>
      <c r="S170" s="730">
        <f t="shared" si="120"/>
        <v>236.50943999999998</v>
      </c>
      <c r="T170" s="600"/>
      <c r="U170" s="602"/>
      <c r="V170" s="683"/>
      <c r="W170" s="602"/>
      <c r="X170" s="603"/>
      <c r="Y170" s="600"/>
      <c r="Z170" s="600"/>
      <c r="AA170" s="600"/>
      <c r="AB170" s="600"/>
      <c r="AC170" s="600"/>
      <c r="AD170" s="600"/>
    </row>
    <row r="171" spans="1:30" s="684" customFormat="1" ht="30.75" thickBot="1" x14ac:dyDescent="0.25">
      <c r="A171" s="760" t="str">
        <f t="shared" si="144"/>
        <v>3.5.7</v>
      </c>
      <c r="B171" s="761" t="s">
        <v>478</v>
      </c>
      <c r="C171" s="762" t="s">
        <v>48</v>
      </c>
      <c r="D171" s="701">
        <f>ROUNDUP(4.4,0)</f>
        <v>5</v>
      </c>
      <c r="E171" s="702">
        <f t="shared" si="152"/>
        <v>0</v>
      </c>
      <c r="F171" s="245">
        <f>'5.A'!$F$4030</f>
        <v>0</v>
      </c>
      <c r="G171" s="246">
        <f>'5.A'!$F$4043</f>
        <v>0</v>
      </c>
      <c r="H171" s="247">
        <f>'5.A'!$F$4066</f>
        <v>0</v>
      </c>
      <c r="I171" s="256">
        <f t="shared" si="153"/>
        <v>0</v>
      </c>
      <c r="J171" s="257">
        <f t="shared" si="154"/>
        <v>0</v>
      </c>
      <c r="K171" s="258">
        <f t="shared" si="155"/>
        <v>0</v>
      </c>
      <c r="L171" s="705">
        <f t="shared" si="156"/>
        <v>0</v>
      </c>
      <c r="M171" s="706" t="e">
        <f t="shared" si="150"/>
        <v>#DIV/0!</v>
      </c>
      <c r="N171" s="607"/>
      <c r="O171" s="679" t="s">
        <v>28</v>
      </c>
      <c r="P171" s="759">
        <v>100754</v>
      </c>
      <c r="Q171" s="681" t="s">
        <v>484</v>
      </c>
      <c r="R171" s="600"/>
      <c r="S171" s="730">
        <f t="shared" si="120"/>
        <v>236.50943999999998</v>
      </c>
      <c r="T171" s="600"/>
      <c r="U171" s="602"/>
      <c r="V171" s="683"/>
      <c r="W171" s="602"/>
      <c r="X171" s="603"/>
      <c r="Y171" s="600"/>
      <c r="Z171" s="600"/>
      <c r="AA171" s="600"/>
      <c r="AB171" s="600"/>
      <c r="AC171" s="600"/>
      <c r="AD171" s="600"/>
    </row>
    <row r="172" spans="1:30" ht="6.95" customHeight="1" thickBot="1" x14ac:dyDescent="0.25">
      <c r="B172" s="707"/>
      <c r="C172" s="610"/>
      <c r="D172" s="77"/>
      <c r="E172" s="78"/>
      <c r="F172" s="81"/>
      <c r="G172" s="81"/>
      <c r="H172" s="81"/>
      <c r="I172" s="82"/>
      <c r="J172" s="82"/>
      <c r="K172" s="80"/>
      <c r="L172" s="629"/>
      <c r="N172" s="607"/>
      <c r="O172" s="708"/>
      <c r="P172" s="708"/>
      <c r="Q172" s="681"/>
      <c r="V172" s="683"/>
    </row>
    <row r="173" spans="1:30" ht="20.100000000000001" customHeight="1" x14ac:dyDescent="0.2">
      <c r="A173" s="633" t="s">
        <v>155</v>
      </c>
      <c r="B173" s="763" t="s">
        <v>161</v>
      </c>
      <c r="C173" s="635" t="s">
        <v>27</v>
      </c>
      <c r="D173" s="635"/>
      <c r="E173" s="654"/>
      <c r="F173" s="638">
        <f>I173</f>
        <v>0</v>
      </c>
      <c r="G173" s="639">
        <f>J173</f>
        <v>0</v>
      </c>
      <c r="H173" s="640">
        <f>K173</f>
        <v>0</v>
      </c>
      <c r="I173" s="655">
        <f>SUM(I176:I178)</f>
        <v>0</v>
      </c>
      <c r="J173" s="656">
        <f>SUM(J176:J178)</f>
        <v>0</v>
      </c>
      <c r="K173" s="657">
        <f>SUM(K176:K178)</f>
        <v>0</v>
      </c>
      <c r="L173" s="658">
        <f>F173+G173+H173</f>
        <v>0</v>
      </c>
      <c r="M173" s="642" t="e">
        <f>ROUND(L173/$L$180,6)</f>
        <v>#DIV/0!</v>
      </c>
      <c r="N173" s="607"/>
      <c r="O173" s="708"/>
      <c r="P173" s="708"/>
      <c r="Q173" s="681"/>
      <c r="V173" s="683"/>
    </row>
    <row r="174" spans="1:30" ht="20.100000000000001" customHeight="1" thickBot="1" x14ac:dyDescent="0.25">
      <c r="A174" s="660"/>
      <c r="B174" s="764"/>
      <c r="C174" s="645"/>
      <c r="D174" s="645"/>
      <c r="E174" s="662"/>
      <c r="F174" s="248" t="e">
        <f>F173/L173</f>
        <v>#DIV/0!</v>
      </c>
      <c r="G174" s="249" t="e">
        <f>G173/L173</f>
        <v>#DIV/0!</v>
      </c>
      <c r="H174" s="250" t="e">
        <f>H173/L173</f>
        <v>#DIV/0!</v>
      </c>
      <c r="I174" s="251" t="str">
        <f>IF(F173=I173,"SIM","NÃO")</f>
        <v>SIM</v>
      </c>
      <c r="J174" s="252" t="str">
        <f>IF(G173=J173,"SIM","NÃO")</f>
        <v>SIM</v>
      </c>
      <c r="K174" s="253" t="str">
        <f>IF(H173=K173,"SIM","NÃO")</f>
        <v>SIM</v>
      </c>
      <c r="L174" s="663"/>
      <c r="M174" s="652"/>
      <c r="N174" s="607"/>
      <c r="O174" s="708"/>
      <c r="P174" s="708"/>
      <c r="Q174" s="681"/>
      <c r="V174" s="683"/>
    </row>
    <row r="175" spans="1:30" s="736" customFormat="1" ht="20.100000000000001" customHeight="1" x14ac:dyDescent="0.2">
      <c r="A175" s="765" t="s">
        <v>156</v>
      </c>
      <c r="B175" s="766" t="s">
        <v>164</v>
      </c>
      <c r="C175" s="767"/>
      <c r="D175" s="767"/>
      <c r="E175" s="767"/>
      <c r="F175" s="767"/>
      <c r="G175" s="767"/>
      <c r="H175" s="767"/>
      <c r="I175" s="767"/>
      <c r="J175" s="767"/>
      <c r="K175" s="767"/>
      <c r="L175" s="767"/>
      <c r="M175" s="768"/>
      <c r="N175" s="735"/>
      <c r="O175" s="664" t="s">
        <v>158</v>
      </c>
      <c r="P175" s="664"/>
      <c r="Q175" s="665" t="s">
        <v>159</v>
      </c>
      <c r="R175" s="600"/>
      <c r="U175" s="602"/>
      <c r="V175" s="683"/>
      <c r="W175" s="602"/>
      <c r="X175" s="737"/>
    </row>
    <row r="176" spans="1:30" s="684" customFormat="1" ht="20.100000000000001" customHeight="1" x14ac:dyDescent="0.2">
      <c r="A176" s="738" t="str">
        <f>A89</f>
        <v>4.1.1</v>
      </c>
      <c r="B176" s="769" t="s">
        <v>230</v>
      </c>
      <c r="C176" s="747" t="s">
        <v>131</v>
      </c>
      <c r="D176" s="749">
        <v>1</v>
      </c>
      <c r="E176" s="722">
        <f t="shared" ref="E176" si="157">G176+H176+F176</f>
        <v>0</v>
      </c>
      <c r="F176" s="690">
        <f>'5.A'!$F$4082</f>
        <v>0</v>
      </c>
      <c r="G176" s="691">
        <f>'5.A'!$F$4095</f>
        <v>0</v>
      </c>
      <c r="H176" s="743">
        <f>'5.A'!$F$4118</f>
        <v>0</v>
      </c>
      <c r="I176" s="744">
        <f t="shared" ref="I176" si="158">ROUND(F176*D176,2)</f>
        <v>0</v>
      </c>
      <c r="J176" s="694">
        <f t="shared" ref="J176" si="159">ROUND(G176*D176,2)</f>
        <v>0</v>
      </c>
      <c r="K176" s="695">
        <f t="shared" ref="K176" si="160">ROUND(H176*D176,2)</f>
        <v>0</v>
      </c>
      <c r="L176" s="696">
        <f t="shared" ref="L176" si="161">ROUND(D176*F176,2)+ROUND(D176*G176,2)+ROUND(D176*H176,2)</f>
        <v>0</v>
      </c>
      <c r="M176" s="745" t="e">
        <f>L176/$L$180</f>
        <v>#DIV/0!</v>
      </c>
      <c r="N176" s="607"/>
      <c r="O176" s="679" t="s">
        <v>28</v>
      </c>
      <c r="P176" s="759">
        <v>88264</v>
      </c>
      <c r="Q176" s="681"/>
      <c r="R176" s="600"/>
      <c r="S176" s="730"/>
      <c r="T176" s="600"/>
      <c r="U176" s="602"/>
      <c r="V176" s="683"/>
      <c r="W176" s="602"/>
      <c r="X176" s="603"/>
      <c r="Y176" s="600"/>
      <c r="Z176" s="600"/>
      <c r="AA176" s="600"/>
      <c r="AB176" s="600"/>
      <c r="AC176" s="600"/>
      <c r="AD176" s="600"/>
    </row>
    <row r="177" spans="1:30" s="736" customFormat="1" ht="20.100000000000001" customHeight="1" x14ac:dyDescent="0.2">
      <c r="A177" s="751" t="s">
        <v>157</v>
      </c>
      <c r="B177" s="770" t="s">
        <v>165</v>
      </c>
      <c r="C177" s="753"/>
      <c r="D177" s="753"/>
      <c r="E177" s="753"/>
      <c r="F177" s="753"/>
      <c r="G177" s="753"/>
      <c r="H177" s="753"/>
      <c r="I177" s="753"/>
      <c r="J177" s="753"/>
      <c r="K177" s="753"/>
      <c r="L177" s="753"/>
      <c r="M177" s="754"/>
      <c r="N177" s="735"/>
      <c r="O177" s="664" t="s">
        <v>158</v>
      </c>
      <c r="P177" s="664"/>
      <c r="Q177" s="665" t="s">
        <v>159</v>
      </c>
      <c r="R177" s="600"/>
      <c r="U177" s="602"/>
      <c r="V177" s="683"/>
      <c r="W177" s="602"/>
      <c r="X177" s="737"/>
    </row>
    <row r="178" spans="1:30" s="684" customFormat="1" ht="20.100000000000001" customHeight="1" thickBot="1" x14ac:dyDescent="0.25">
      <c r="A178" s="723" t="str">
        <f>A91</f>
        <v>4.2.1</v>
      </c>
      <c r="B178" s="771" t="s">
        <v>231</v>
      </c>
      <c r="C178" s="772" t="s">
        <v>131</v>
      </c>
      <c r="D178" s="773">
        <v>1</v>
      </c>
      <c r="E178" s="702">
        <f t="shared" ref="E178" si="162">G178+H178+F178</f>
        <v>0</v>
      </c>
      <c r="F178" s="245">
        <f>'5.A'!$F$4186</f>
        <v>0</v>
      </c>
      <c r="G178" s="246">
        <f>'5.A'!$F$4199</f>
        <v>0</v>
      </c>
      <c r="H178" s="247">
        <f>'5.A'!$F$4222</f>
        <v>0</v>
      </c>
      <c r="I178" s="256">
        <f t="shared" ref="I178" si="163">ROUND(F178*D178,2)</f>
        <v>0</v>
      </c>
      <c r="J178" s="257">
        <f t="shared" ref="J178" si="164">ROUND(G178*D178,2)</f>
        <v>0</v>
      </c>
      <c r="K178" s="258">
        <f t="shared" ref="K178" si="165">ROUND(H178*D178,2)</f>
        <v>0</v>
      </c>
      <c r="L178" s="705">
        <f t="shared" ref="L178" si="166">ROUND(D178*F178,2)+ROUND(D178*G178,2)+ROUND(D178*H178,2)</f>
        <v>0</v>
      </c>
      <c r="M178" s="706" t="e">
        <f>L178/$L$180</f>
        <v>#DIV/0!</v>
      </c>
      <c r="N178" s="607"/>
      <c r="O178" s="679" t="s">
        <v>28</v>
      </c>
      <c r="P178" s="759">
        <v>88247</v>
      </c>
      <c r="Q178" s="681"/>
      <c r="R178" s="600"/>
      <c r="S178" s="730"/>
      <c r="T178" s="600"/>
      <c r="U178" s="602"/>
      <c r="V178" s="683"/>
      <c r="W178" s="602"/>
      <c r="X178" s="603"/>
      <c r="Y178" s="600"/>
      <c r="Z178" s="600"/>
      <c r="AA178" s="600"/>
      <c r="AB178" s="600"/>
      <c r="AC178" s="600"/>
      <c r="AD178" s="600"/>
    </row>
    <row r="179" spans="1:30" ht="6.95" customHeight="1" thickBot="1" x14ac:dyDescent="0.25">
      <c r="D179" s="77"/>
      <c r="E179" s="78"/>
      <c r="F179" s="79"/>
      <c r="G179" s="79"/>
      <c r="H179" s="79"/>
      <c r="I179" s="80"/>
      <c r="J179" s="80"/>
      <c r="K179" s="80"/>
      <c r="L179" s="629"/>
      <c r="N179" s="607"/>
      <c r="O179" s="600"/>
      <c r="P179" s="600"/>
      <c r="V179" s="683"/>
    </row>
    <row r="180" spans="1:30" ht="20.100000000000001" customHeight="1" thickBot="1" x14ac:dyDescent="0.25">
      <c r="A180" s="774" t="s">
        <v>313</v>
      </c>
      <c r="B180" s="775"/>
      <c r="C180" s="775"/>
      <c r="D180" s="775"/>
      <c r="E180" s="775"/>
      <c r="F180" s="775"/>
      <c r="G180" s="775"/>
      <c r="H180" s="775"/>
      <c r="I180" s="776"/>
      <c r="J180" s="776"/>
      <c r="K180" s="777"/>
      <c r="L180" s="778">
        <f>L103+L110+L117+L173</f>
        <v>0</v>
      </c>
      <c r="M180" s="779" t="e">
        <f>M103+M110+M117+M173</f>
        <v>#DIV/0!</v>
      </c>
      <c r="N180" s="780"/>
    </row>
    <row r="181" spans="1:30" ht="20.100000000000001" customHeight="1" thickBot="1" x14ac:dyDescent="0.25">
      <c r="A181" s="781" t="s">
        <v>303</v>
      </c>
      <c r="B181" s="782"/>
      <c r="C181" s="782"/>
      <c r="D181" s="782"/>
      <c r="E181" s="782"/>
      <c r="F181" s="782"/>
      <c r="G181" s="782"/>
      <c r="H181" s="782"/>
      <c r="I181" s="783"/>
      <c r="J181" s="783"/>
      <c r="K181" s="783"/>
      <c r="L181" s="784">
        <f>F103+F110+F117+F173</f>
        <v>0</v>
      </c>
      <c r="M181" s="785" t="e">
        <f>ROUND(L181/L180,4)</f>
        <v>#DIV/0!</v>
      </c>
      <c r="N181" s="786">
        <f>L181+L182</f>
        <v>0</v>
      </c>
      <c r="O181" s="106" t="e">
        <f>N181/L180</f>
        <v>#DIV/0!</v>
      </c>
      <c r="P181" s="219"/>
    </row>
    <row r="182" spans="1:30" ht="20.100000000000001" customHeight="1" thickBot="1" x14ac:dyDescent="0.25">
      <c r="A182" s="781" t="s">
        <v>304</v>
      </c>
      <c r="B182" s="782"/>
      <c r="C182" s="782"/>
      <c r="D182" s="782"/>
      <c r="E182" s="782"/>
      <c r="F182" s="782"/>
      <c r="G182" s="782"/>
      <c r="H182" s="782"/>
      <c r="I182" s="783"/>
      <c r="J182" s="783"/>
      <c r="K182" s="787"/>
      <c r="L182" s="784">
        <f>G103+G110+G117+G173</f>
        <v>0</v>
      </c>
      <c r="M182" s="785" t="e">
        <f>ROUND(L182/L180,4)</f>
        <v>#DIV/0!</v>
      </c>
      <c r="N182" s="788">
        <f>L183</f>
        <v>0</v>
      </c>
      <c r="O182" s="106" t="e">
        <f>N182/L180</f>
        <v>#DIV/0!</v>
      </c>
    </row>
    <row r="183" spans="1:30" ht="20.100000000000001" customHeight="1" thickBot="1" x14ac:dyDescent="0.25">
      <c r="A183" s="781" t="s">
        <v>305</v>
      </c>
      <c r="B183" s="782"/>
      <c r="C183" s="782"/>
      <c r="D183" s="782"/>
      <c r="E183" s="782"/>
      <c r="F183" s="782"/>
      <c r="G183" s="782"/>
      <c r="H183" s="782"/>
      <c r="I183" s="783"/>
      <c r="J183" s="783"/>
      <c r="K183" s="789"/>
      <c r="L183" s="784">
        <f>H103+H110+H117+H173</f>
        <v>0</v>
      </c>
      <c r="M183" s="785" t="e">
        <f>ROUND(L183/L180,4)</f>
        <v>#DIV/0!</v>
      </c>
    </row>
    <row r="184" spans="1:30" ht="6.95" customHeight="1" thickBot="1" x14ac:dyDescent="0.25">
      <c r="D184" s="77"/>
      <c r="E184" s="78"/>
      <c r="F184" s="79"/>
      <c r="G184" s="79"/>
      <c r="H184" s="79"/>
      <c r="I184" s="80"/>
      <c r="J184" s="80"/>
      <c r="K184" s="80"/>
      <c r="L184" s="629"/>
      <c r="N184" s="607"/>
    </row>
    <row r="185" spans="1:30" ht="15.95" customHeight="1" thickBot="1" x14ac:dyDescent="0.25">
      <c r="A185" s="630" t="s">
        <v>314</v>
      </c>
      <c r="B185" s="631"/>
      <c r="C185" s="631"/>
      <c r="D185" s="631"/>
      <c r="E185" s="631"/>
      <c r="F185" s="631"/>
      <c r="G185" s="631"/>
      <c r="H185" s="631"/>
      <c r="I185" s="631"/>
      <c r="J185" s="631"/>
      <c r="K185" s="631"/>
      <c r="L185" s="631"/>
      <c r="M185" s="632"/>
      <c r="N185" s="607"/>
    </row>
    <row r="186" spans="1:30" ht="6.95" customHeight="1" thickBot="1" x14ac:dyDescent="0.25">
      <c r="D186" s="77"/>
      <c r="E186" s="78"/>
      <c r="F186" s="79"/>
      <c r="G186" s="79"/>
      <c r="H186" s="79"/>
      <c r="I186" s="80"/>
      <c r="J186" s="80"/>
      <c r="K186" s="80"/>
      <c r="L186" s="629"/>
      <c r="N186" s="607"/>
    </row>
    <row r="187" spans="1:30" ht="15" customHeight="1" x14ac:dyDescent="0.2">
      <c r="A187" s="633" t="s">
        <v>18</v>
      </c>
      <c r="B187" s="634" t="s">
        <v>19</v>
      </c>
      <c r="C187" s="635" t="s">
        <v>66</v>
      </c>
      <c r="D187" s="636" t="s">
        <v>20</v>
      </c>
      <c r="E187" s="637" t="s">
        <v>21</v>
      </c>
      <c r="F187" s="638" t="s">
        <v>22</v>
      </c>
      <c r="G187" s="639" t="s">
        <v>19</v>
      </c>
      <c r="H187" s="640" t="s">
        <v>17</v>
      </c>
      <c r="I187" s="638" t="s">
        <v>22</v>
      </c>
      <c r="J187" s="639" t="s">
        <v>19</v>
      </c>
      <c r="K187" s="640" t="s">
        <v>55</v>
      </c>
      <c r="L187" s="641" t="s">
        <v>21</v>
      </c>
      <c r="M187" s="642" t="s">
        <v>23</v>
      </c>
      <c r="N187" s="607"/>
    </row>
    <row r="188" spans="1:30" ht="15" customHeight="1" thickBot="1" x14ac:dyDescent="0.25">
      <c r="A188" s="643"/>
      <c r="B188" s="644"/>
      <c r="C188" s="645"/>
      <c r="D188" s="646"/>
      <c r="E188" s="647" t="s">
        <v>24</v>
      </c>
      <c r="F188" s="648" t="s">
        <v>25</v>
      </c>
      <c r="G188" s="649" t="s">
        <v>25</v>
      </c>
      <c r="H188" s="650" t="s">
        <v>25</v>
      </c>
      <c r="I188" s="648" t="s">
        <v>25</v>
      </c>
      <c r="J188" s="649" t="s">
        <v>25</v>
      </c>
      <c r="K188" s="650" t="s">
        <v>25</v>
      </c>
      <c r="L188" s="651" t="s">
        <v>26</v>
      </c>
      <c r="M188" s="652"/>
      <c r="N188" s="607"/>
    </row>
    <row r="189" spans="1:30" ht="5.0999999999999996" customHeight="1" thickBot="1" x14ac:dyDescent="0.25">
      <c r="D189" s="77"/>
      <c r="E189" s="78"/>
      <c r="F189" s="79"/>
      <c r="G189" s="79"/>
      <c r="H189" s="79"/>
      <c r="I189" s="80"/>
      <c r="J189" s="80"/>
      <c r="K189" s="80"/>
      <c r="L189" s="629"/>
      <c r="N189" s="607"/>
    </row>
    <row r="190" spans="1:30" ht="15" customHeight="1" x14ac:dyDescent="0.2">
      <c r="A190" s="633" t="s">
        <v>3</v>
      </c>
      <c r="B190" s="653" t="s">
        <v>9</v>
      </c>
      <c r="C190" s="635" t="s">
        <v>27</v>
      </c>
      <c r="D190" s="635"/>
      <c r="E190" s="654"/>
      <c r="F190" s="638">
        <f>I190</f>
        <v>0</v>
      </c>
      <c r="G190" s="639">
        <f>J190</f>
        <v>0</v>
      </c>
      <c r="H190" s="640">
        <f>K190</f>
        <v>0</v>
      </c>
      <c r="I190" s="655">
        <f>SUM(I192:I195)</f>
        <v>0</v>
      </c>
      <c r="J190" s="656">
        <f>SUM(J192:J195)</f>
        <v>0</v>
      </c>
      <c r="K190" s="657">
        <f>SUM(K192:K195)</f>
        <v>0</v>
      </c>
      <c r="L190" s="658">
        <f>F190+G190+H190</f>
        <v>0</v>
      </c>
      <c r="M190" s="642" t="e">
        <f>ROUND(L190/$L$236,6)</f>
        <v>#DIV/0!</v>
      </c>
      <c r="N190" s="607"/>
      <c r="O190" s="659"/>
      <c r="P190" s="659"/>
      <c r="Q190" s="659"/>
    </row>
    <row r="191" spans="1:30" ht="15" customHeight="1" thickBot="1" x14ac:dyDescent="0.25">
      <c r="A191" s="660"/>
      <c r="B191" s="661"/>
      <c r="C191" s="645"/>
      <c r="D191" s="645"/>
      <c r="E191" s="662"/>
      <c r="F191" s="248" t="e">
        <f>F190/L190</f>
        <v>#DIV/0!</v>
      </c>
      <c r="G191" s="249" t="e">
        <f>G190/L190</f>
        <v>#DIV/0!</v>
      </c>
      <c r="H191" s="250" t="e">
        <f>H190/L190</f>
        <v>#DIV/0!</v>
      </c>
      <c r="I191" s="251" t="str">
        <f>IF(F190=I190,"SIM","NÃO")</f>
        <v>SIM</v>
      </c>
      <c r="J191" s="252" t="str">
        <f>IF(G190=J190,"SIM","NÃO")</f>
        <v>SIM</v>
      </c>
      <c r="K191" s="253" t="str">
        <f>IF(H190=K190,"SIM","NÃO")</f>
        <v>SIM</v>
      </c>
      <c r="L191" s="663"/>
      <c r="M191" s="652"/>
      <c r="N191" s="607"/>
      <c r="O191" s="664" t="s">
        <v>158</v>
      </c>
      <c r="P191" s="664"/>
      <c r="Q191" s="665" t="s">
        <v>159</v>
      </c>
    </row>
    <row r="192" spans="1:30" s="684" customFormat="1" ht="15.95" customHeight="1" x14ac:dyDescent="0.2">
      <c r="A192" s="666" t="str">
        <f>A105</f>
        <v>1.1</v>
      </c>
      <c r="B192" s="667" t="s">
        <v>140</v>
      </c>
      <c r="C192" s="668" t="s">
        <v>131</v>
      </c>
      <c r="D192" s="669">
        <v>1</v>
      </c>
      <c r="E192" s="670">
        <f t="shared" ref="E192:E195" si="167">G192+H192+F192</f>
        <v>0</v>
      </c>
      <c r="F192" s="671">
        <f>'5.A'!$F$26</f>
        <v>0</v>
      </c>
      <c r="G192" s="672">
        <f>'5.A'!$F$39</f>
        <v>0</v>
      </c>
      <c r="H192" s="673">
        <f>'5.A'!$F$62</f>
        <v>0</v>
      </c>
      <c r="I192" s="674">
        <f t="shared" ref="I192:I195" si="168">ROUND(F192*D192,2)</f>
        <v>0</v>
      </c>
      <c r="J192" s="675">
        <f t="shared" ref="J192:J195" si="169">ROUND(G192*D192,2)</f>
        <v>0</v>
      </c>
      <c r="K192" s="676">
        <f t="shared" ref="K192:K195" si="170">ROUND(H192*D192,2)</f>
        <v>0</v>
      </c>
      <c r="L192" s="677">
        <f t="shared" ref="L192:L195" si="171">ROUND(D192*F192,2)+ROUND(D192*G192,2)+ROUND(D192*H192,2)</f>
        <v>0</v>
      </c>
      <c r="M192" s="678" t="e">
        <f>L192/$L$236</f>
        <v>#DIV/0!</v>
      </c>
      <c r="N192" s="607"/>
      <c r="O192" s="679" t="s">
        <v>235</v>
      </c>
      <c r="P192" s="680" t="s">
        <v>236</v>
      </c>
      <c r="Q192" s="681"/>
      <c r="R192" s="600"/>
      <c r="S192" s="601"/>
      <c r="T192" s="600"/>
      <c r="U192" s="682"/>
      <c r="V192" s="683"/>
      <c r="W192" s="602"/>
      <c r="X192" s="603"/>
      <c r="Y192" s="600"/>
      <c r="Z192" s="600"/>
      <c r="AA192" s="600"/>
      <c r="AB192" s="600"/>
      <c r="AC192" s="600"/>
      <c r="AD192" s="600"/>
    </row>
    <row r="193" spans="1:30" s="684" customFormat="1" ht="15.95" customHeight="1" x14ac:dyDescent="0.2">
      <c r="A193" s="685" t="str">
        <f>A106</f>
        <v>1.2</v>
      </c>
      <c r="B193" s="686" t="s">
        <v>138</v>
      </c>
      <c r="C193" s="687" t="s">
        <v>131</v>
      </c>
      <c r="D193" s="688">
        <v>1</v>
      </c>
      <c r="E193" s="689">
        <f t="shared" si="167"/>
        <v>0</v>
      </c>
      <c r="F193" s="690">
        <f>'5.A'!$F$78</f>
        <v>0</v>
      </c>
      <c r="G193" s="691">
        <f>'5.A'!$F$91</f>
        <v>0</v>
      </c>
      <c r="H193" s="692">
        <f>'5.A'!$F$114</f>
        <v>0</v>
      </c>
      <c r="I193" s="693">
        <f t="shared" si="168"/>
        <v>0</v>
      </c>
      <c r="J193" s="694">
        <f t="shared" si="169"/>
        <v>0</v>
      </c>
      <c r="K193" s="695">
        <f t="shared" si="170"/>
        <v>0</v>
      </c>
      <c r="L193" s="696">
        <f t="shared" si="171"/>
        <v>0</v>
      </c>
      <c r="M193" s="697" t="e">
        <f>L193/$L$236</f>
        <v>#DIV/0!</v>
      </c>
      <c r="N193" s="607"/>
      <c r="O193" s="679"/>
      <c r="P193" s="680"/>
      <c r="Q193" s="681"/>
      <c r="R193" s="600"/>
      <c r="S193" s="601"/>
      <c r="T193" s="600"/>
      <c r="U193" s="682"/>
      <c r="V193" s="683"/>
      <c r="W193" s="602"/>
      <c r="X193" s="603"/>
      <c r="Y193" s="600"/>
      <c r="Z193" s="600"/>
      <c r="AA193" s="600"/>
      <c r="AB193" s="600"/>
      <c r="AC193" s="600"/>
      <c r="AD193" s="600"/>
    </row>
    <row r="194" spans="1:30" s="684" customFormat="1" ht="15.95" customHeight="1" x14ac:dyDescent="0.2">
      <c r="A194" s="685" t="str">
        <f>A107</f>
        <v>1.3</v>
      </c>
      <c r="B194" s="686" t="s">
        <v>139</v>
      </c>
      <c r="C194" s="687" t="s">
        <v>131</v>
      </c>
      <c r="D194" s="688">
        <v>1</v>
      </c>
      <c r="E194" s="689">
        <f t="shared" si="167"/>
        <v>0</v>
      </c>
      <c r="F194" s="690">
        <f>'5.A'!$F$130</f>
        <v>0</v>
      </c>
      <c r="G194" s="691">
        <f>'5.A'!$F$143</f>
        <v>0</v>
      </c>
      <c r="H194" s="692">
        <f>'5.A'!$F$166</f>
        <v>0</v>
      </c>
      <c r="I194" s="693">
        <f t="shared" si="168"/>
        <v>0</v>
      </c>
      <c r="J194" s="694">
        <f t="shared" si="169"/>
        <v>0</v>
      </c>
      <c r="K194" s="695">
        <f t="shared" si="170"/>
        <v>0</v>
      </c>
      <c r="L194" s="696">
        <f t="shared" si="171"/>
        <v>0</v>
      </c>
      <c r="M194" s="697" t="e">
        <f>L194/$L$236</f>
        <v>#DIV/0!</v>
      </c>
      <c r="N194" s="607"/>
      <c r="O194" s="679"/>
      <c r="P194" s="680"/>
      <c r="Q194" s="681"/>
      <c r="R194" s="600"/>
      <c r="S194" s="601"/>
      <c r="T194" s="600"/>
      <c r="U194" s="682"/>
      <c r="V194" s="683"/>
      <c r="W194" s="602"/>
      <c r="X194" s="603"/>
      <c r="Y194" s="600"/>
      <c r="Z194" s="600"/>
      <c r="AA194" s="600"/>
      <c r="AB194" s="600"/>
      <c r="AC194" s="600"/>
      <c r="AD194" s="600"/>
    </row>
    <row r="195" spans="1:30" s="684" customFormat="1" ht="15.95" customHeight="1" thickBot="1" x14ac:dyDescent="0.25">
      <c r="A195" s="698" t="str">
        <f>A108</f>
        <v>1.4</v>
      </c>
      <c r="B195" s="699" t="s">
        <v>137</v>
      </c>
      <c r="C195" s="700" t="s">
        <v>48</v>
      </c>
      <c r="D195" s="701">
        <f>1.5*4</f>
        <v>6</v>
      </c>
      <c r="E195" s="702">
        <f t="shared" si="167"/>
        <v>0</v>
      </c>
      <c r="F195" s="245">
        <f>'5.A'!$F$182</f>
        <v>0</v>
      </c>
      <c r="G195" s="246">
        <f>'5.A'!$F$195</f>
        <v>0</v>
      </c>
      <c r="H195" s="703">
        <f>'5.A'!$F$218</f>
        <v>0</v>
      </c>
      <c r="I195" s="704">
        <f t="shared" si="168"/>
        <v>0</v>
      </c>
      <c r="J195" s="257">
        <f t="shared" si="169"/>
        <v>0</v>
      </c>
      <c r="K195" s="258">
        <f t="shared" si="170"/>
        <v>0</v>
      </c>
      <c r="L195" s="705">
        <f t="shared" si="171"/>
        <v>0</v>
      </c>
      <c r="M195" s="706" t="e">
        <f>L195/$L$236</f>
        <v>#DIV/0!</v>
      </c>
      <c r="N195" s="607"/>
      <c r="O195" s="679" t="s">
        <v>28</v>
      </c>
      <c r="P195" s="680">
        <v>103689</v>
      </c>
      <c r="Q195" s="681"/>
      <c r="R195" s="600"/>
      <c r="S195" s="601"/>
      <c r="T195" s="600"/>
      <c r="U195" s="682"/>
      <c r="V195" s="683"/>
      <c r="W195" s="602"/>
      <c r="X195" s="603"/>
      <c r="Y195" s="600"/>
      <c r="Z195" s="600"/>
      <c r="AA195" s="600"/>
      <c r="AB195" s="600"/>
      <c r="AC195" s="600"/>
      <c r="AD195" s="600"/>
    </row>
    <row r="196" spans="1:30" ht="5.0999999999999996" customHeight="1" thickBot="1" x14ac:dyDescent="0.25">
      <c r="B196" s="707"/>
      <c r="C196" s="610"/>
      <c r="D196" s="77"/>
      <c r="E196" s="78"/>
      <c r="F196" s="81"/>
      <c r="G196" s="81"/>
      <c r="H196" s="81"/>
      <c r="I196" s="82"/>
      <c r="J196" s="82"/>
      <c r="K196" s="80"/>
      <c r="L196" s="629"/>
      <c r="N196" s="607"/>
      <c r="O196" s="708"/>
      <c r="P196" s="708"/>
      <c r="Q196" s="681"/>
      <c r="V196" s="683"/>
    </row>
    <row r="197" spans="1:30" ht="15" customHeight="1" x14ac:dyDescent="0.2">
      <c r="A197" s="709" t="s">
        <v>5</v>
      </c>
      <c r="B197" s="710" t="s">
        <v>493</v>
      </c>
      <c r="C197" s="711" t="s">
        <v>27</v>
      </c>
      <c r="D197" s="712"/>
      <c r="E197" s="713"/>
      <c r="F197" s="638">
        <f>I197</f>
        <v>0</v>
      </c>
      <c r="G197" s="639">
        <f>J197</f>
        <v>0</v>
      </c>
      <c r="H197" s="640">
        <f>K197</f>
        <v>0</v>
      </c>
      <c r="I197" s="655">
        <f>SUM(I199:I202)</f>
        <v>0</v>
      </c>
      <c r="J197" s="656">
        <f>SUM(J199:J202)</f>
        <v>0</v>
      </c>
      <c r="K197" s="657">
        <f>SUM(K199:K202)</f>
        <v>0</v>
      </c>
      <c r="L197" s="714">
        <f>F197+G197+H197</f>
        <v>0</v>
      </c>
      <c r="M197" s="642" t="e">
        <f>ROUND(L197/$L$236,6)</f>
        <v>#DIV/0!</v>
      </c>
      <c r="N197" s="607"/>
      <c r="O197" s="600"/>
      <c r="P197" s="600"/>
      <c r="V197" s="683"/>
    </row>
    <row r="198" spans="1:30" ht="15" customHeight="1" thickBot="1" x14ac:dyDescent="0.25">
      <c r="A198" s="715"/>
      <c r="B198" s="716"/>
      <c r="C198" s="717"/>
      <c r="D198" s="718"/>
      <c r="E198" s="719"/>
      <c r="F198" s="248" t="e">
        <f>F197/L197</f>
        <v>#DIV/0!</v>
      </c>
      <c r="G198" s="249" t="e">
        <f>G197/L197</f>
        <v>#DIV/0!</v>
      </c>
      <c r="H198" s="250" t="e">
        <f>H197/L197</f>
        <v>#DIV/0!</v>
      </c>
      <c r="I198" s="251" t="str">
        <f>IF(F197=I197,"SIM","NÃO")</f>
        <v>SIM</v>
      </c>
      <c r="J198" s="252" t="str">
        <f>IF(G197=J197,"SIM","NÃO")</f>
        <v>SIM</v>
      </c>
      <c r="K198" s="253" t="str">
        <f>IF(H197=K197,"SIM","NÃO")</f>
        <v>SIM</v>
      </c>
      <c r="L198" s="720"/>
      <c r="M198" s="652"/>
      <c r="N198" s="607"/>
      <c r="O198" s="664" t="s">
        <v>158</v>
      </c>
      <c r="P198" s="664"/>
      <c r="Q198" s="665" t="s">
        <v>159</v>
      </c>
      <c r="V198" s="683"/>
    </row>
    <row r="199" spans="1:30" s="684" customFormat="1" ht="15.95" customHeight="1" x14ac:dyDescent="0.2">
      <c r="A199" s="685" t="str">
        <f>A112</f>
        <v>2.5</v>
      </c>
      <c r="B199" s="721" t="s">
        <v>494</v>
      </c>
      <c r="C199" s="687" t="s">
        <v>45</v>
      </c>
      <c r="D199" s="688">
        <v>1</v>
      </c>
      <c r="E199" s="722">
        <f t="shared" ref="E199:E202" si="172">G199+H199+F199</f>
        <v>0</v>
      </c>
      <c r="F199" s="690">
        <f>'5.A'!$F$442</f>
        <v>0</v>
      </c>
      <c r="G199" s="691">
        <f>'5.A'!$F$455</f>
        <v>0</v>
      </c>
      <c r="H199" s="692">
        <f>'5.A'!$F$478</f>
        <v>0</v>
      </c>
      <c r="I199" s="693">
        <f t="shared" ref="I199:I202" si="173">ROUND(F199*D199,2)</f>
        <v>0</v>
      </c>
      <c r="J199" s="694">
        <f t="shared" ref="J199:J202" si="174">ROUND(G199*D199,2)</f>
        <v>0</v>
      </c>
      <c r="K199" s="695">
        <f t="shared" ref="K199:K202" si="175">ROUND(H199*D199,2)</f>
        <v>0</v>
      </c>
      <c r="L199" s="696">
        <f t="shared" ref="L199:L202" si="176">ROUND(D199*F199,2)+ROUND(D199*G199,2)+ROUND(D199*H199,2)</f>
        <v>0</v>
      </c>
      <c r="M199" s="697" t="e">
        <f>L199/$L$236</f>
        <v>#DIV/0!</v>
      </c>
      <c r="N199" s="607"/>
      <c r="O199" s="679" t="s">
        <v>166</v>
      </c>
      <c r="P199" s="680" t="s">
        <v>500</v>
      </c>
      <c r="Q199" s="681"/>
      <c r="R199" s="600"/>
      <c r="S199" s="601">
        <v>775</v>
      </c>
      <c r="T199" s="600"/>
      <c r="U199" s="682"/>
      <c r="V199" s="683"/>
      <c r="W199" s="602"/>
      <c r="X199" s="603"/>
      <c r="Y199" s="600"/>
      <c r="Z199" s="600"/>
      <c r="AA199" s="600"/>
      <c r="AB199" s="600"/>
      <c r="AC199" s="600"/>
      <c r="AD199" s="600"/>
    </row>
    <row r="200" spans="1:30" s="684" customFormat="1" ht="15.95" customHeight="1" x14ac:dyDescent="0.2">
      <c r="A200" s="685" t="str">
        <f>A113</f>
        <v>2.6</v>
      </c>
      <c r="B200" s="721" t="s">
        <v>495</v>
      </c>
      <c r="C200" s="687" t="s">
        <v>45</v>
      </c>
      <c r="D200" s="688">
        <v>1</v>
      </c>
      <c r="E200" s="722">
        <f t="shared" si="172"/>
        <v>0</v>
      </c>
      <c r="F200" s="690">
        <f>'5.A'!$F$494</f>
        <v>0</v>
      </c>
      <c r="G200" s="691">
        <f>'5.A'!$F$507</f>
        <v>0</v>
      </c>
      <c r="H200" s="692">
        <f>'5.A'!$F$530</f>
        <v>0</v>
      </c>
      <c r="I200" s="693">
        <f t="shared" si="173"/>
        <v>0</v>
      </c>
      <c r="J200" s="694">
        <f t="shared" si="174"/>
        <v>0</v>
      </c>
      <c r="K200" s="695">
        <f t="shared" si="175"/>
        <v>0</v>
      </c>
      <c r="L200" s="696">
        <f t="shared" si="176"/>
        <v>0</v>
      </c>
      <c r="M200" s="697" t="e">
        <f>L200/$L$236</f>
        <v>#DIV/0!</v>
      </c>
      <c r="N200" s="607"/>
      <c r="O200" s="679" t="s">
        <v>166</v>
      </c>
      <c r="P200" s="680" t="s">
        <v>500</v>
      </c>
      <c r="Q200" s="681"/>
      <c r="R200" s="600"/>
      <c r="S200" s="601">
        <v>775</v>
      </c>
      <c r="T200" s="600"/>
      <c r="U200" s="682"/>
      <c r="V200" s="683"/>
      <c r="W200" s="602"/>
      <c r="X200" s="603"/>
      <c r="Y200" s="600"/>
      <c r="Z200" s="600"/>
      <c r="AA200" s="600"/>
      <c r="AB200" s="600"/>
      <c r="AC200" s="600"/>
      <c r="AD200" s="600"/>
    </row>
    <row r="201" spans="1:30" s="684" customFormat="1" ht="15.95" customHeight="1" x14ac:dyDescent="0.2">
      <c r="A201" s="685" t="str">
        <f>A114</f>
        <v>2.7</v>
      </c>
      <c r="B201" s="686" t="s">
        <v>496</v>
      </c>
      <c r="C201" s="687" t="s">
        <v>45</v>
      </c>
      <c r="D201" s="688">
        <v>1</v>
      </c>
      <c r="E201" s="722">
        <f t="shared" si="172"/>
        <v>0</v>
      </c>
      <c r="F201" s="690">
        <f>'5.A'!$F$546</f>
        <v>0</v>
      </c>
      <c r="G201" s="691">
        <f>'5.A'!$F$559</f>
        <v>0</v>
      </c>
      <c r="H201" s="692">
        <f>'5.A'!$F$582</f>
        <v>0</v>
      </c>
      <c r="I201" s="693">
        <f t="shared" si="173"/>
        <v>0</v>
      </c>
      <c r="J201" s="694">
        <f t="shared" si="174"/>
        <v>0</v>
      </c>
      <c r="K201" s="695">
        <f t="shared" si="175"/>
        <v>0</v>
      </c>
      <c r="L201" s="696">
        <f t="shared" si="176"/>
        <v>0</v>
      </c>
      <c r="M201" s="697" t="e">
        <f>L201/$L$236</f>
        <v>#DIV/0!</v>
      </c>
      <c r="N201" s="607"/>
      <c r="O201" s="679" t="s">
        <v>166</v>
      </c>
      <c r="P201" s="680" t="s">
        <v>500</v>
      </c>
      <c r="Q201" s="681"/>
      <c r="R201" s="600"/>
      <c r="S201" s="601">
        <v>775</v>
      </c>
      <c r="T201" s="600"/>
      <c r="U201" s="682"/>
      <c r="V201" s="683"/>
      <c r="W201" s="602"/>
      <c r="X201" s="603"/>
      <c r="Y201" s="600"/>
      <c r="Z201" s="600"/>
      <c r="AA201" s="600"/>
      <c r="AB201" s="600"/>
      <c r="AC201" s="600"/>
      <c r="AD201" s="600"/>
    </row>
    <row r="202" spans="1:30" ht="15.95" customHeight="1" thickBot="1" x14ac:dyDescent="0.25">
      <c r="A202" s="723" t="str">
        <f>A115</f>
        <v>2.8</v>
      </c>
      <c r="B202" s="724" t="s">
        <v>497</v>
      </c>
      <c r="C202" s="725" t="s">
        <v>45</v>
      </c>
      <c r="D202" s="378">
        <v>1</v>
      </c>
      <c r="E202" s="244">
        <f t="shared" si="172"/>
        <v>0</v>
      </c>
      <c r="F202" s="245">
        <f>'5.A'!$F$598</f>
        <v>0</v>
      </c>
      <c r="G202" s="246">
        <f>'5.A'!$F$611</f>
        <v>0</v>
      </c>
      <c r="H202" s="247">
        <f>'5.A'!$F$634</f>
        <v>0</v>
      </c>
      <c r="I202" s="256">
        <f t="shared" si="173"/>
        <v>0</v>
      </c>
      <c r="J202" s="257">
        <f t="shared" si="174"/>
        <v>0</v>
      </c>
      <c r="K202" s="258">
        <f t="shared" si="175"/>
        <v>0</v>
      </c>
      <c r="L202" s="726">
        <f t="shared" si="176"/>
        <v>0</v>
      </c>
      <c r="M202" s="727" t="e">
        <f>L202/$L$236</f>
        <v>#DIV/0!</v>
      </c>
      <c r="N202" s="607"/>
      <c r="O202" s="728" t="s">
        <v>166</v>
      </c>
      <c r="P202" s="729" t="s">
        <v>500</v>
      </c>
      <c r="Q202" s="681"/>
      <c r="S202" s="730">
        <v>775</v>
      </c>
      <c r="V202" s="683"/>
    </row>
    <row r="203" spans="1:30" ht="5.0999999999999996" customHeight="1" thickBot="1" x14ac:dyDescent="0.25">
      <c r="B203" s="707"/>
      <c r="C203" s="610"/>
      <c r="D203" s="77"/>
      <c r="E203" s="78"/>
      <c r="F203" s="81"/>
      <c r="G203" s="81"/>
      <c r="H203" s="81"/>
      <c r="I203" s="82"/>
      <c r="J203" s="82"/>
      <c r="K203" s="80"/>
      <c r="L203" s="629"/>
      <c r="N203" s="607"/>
      <c r="O203" s="600"/>
      <c r="P203" s="600"/>
      <c r="V203" s="683"/>
    </row>
    <row r="204" spans="1:30" ht="15" customHeight="1" x14ac:dyDescent="0.2">
      <c r="A204" s="633" t="s">
        <v>6</v>
      </c>
      <c r="B204" s="653" t="s">
        <v>162</v>
      </c>
      <c r="C204" s="635" t="s">
        <v>27</v>
      </c>
      <c r="D204" s="635"/>
      <c r="E204" s="654"/>
      <c r="F204" s="638">
        <f>I204</f>
        <v>0</v>
      </c>
      <c r="G204" s="639">
        <f>J204</f>
        <v>0</v>
      </c>
      <c r="H204" s="640">
        <f>K204</f>
        <v>0</v>
      </c>
      <c r="I204" s="655">
        <f>SUM(I207:I227)</f>
        <v>0</v>
      </c>
      <c r="J204" s="656">
        <f>SUM(J207:J227)</f>
        <v>0</v>
      </c>
      <c r="K204" s="657">
        <f>SUM(K207:K227)</f>
        <v>0</v>
      </c>
      <c r="L204" s="658">
        <f>F204+G204+H204</f>
        <v>0</v>
      </c>
      <c r="M204" s="642" t="e">
        <f>ROUND(L204/$L$236,6)</f>
        <v>#DIV/0!</v>
      </c>
      <c r="N204" s="607"/>
      <c r="O204" s="600"/>
      <c r="P204" s="600"/>
      <c r="V204" s="683"/>
    </row>
    <row r="205" spans="1:30" ht="15" customHeight="1" thickBot="1" x14ac:dyDescent="0.25">
      <c r="A205" s="660"/>
      <c r="B205" s="661"/>
      <c r="C205" s="645"/>
      <c r="D205" s="645"/>
      <c r="E205" s="662"/>
      <c r="F205" s="248" t="e">
        <f>F204/L204</f>
        <v>#DIV/0!</v>
      </c>
      <c r="G205" s="249" t="e">
        <f>G204/L204</f>
        <v>#DIV/0!</v>
      </c>
      <c r="H205" s="250" t="e">
        <f>H204/L204</f>
        <v>#DIV/0!</v>
      </c>
      <c r="I205" s="251" t="str">
        <f>IF(F204=I204,"SIM","NÃO")</f>
        <v>SIM</v>
      </c>
      <c r="J205" s="252" t="str">
        <f>IF(G204=J204,"SIM","NÃO")</f>
        <v>SIM</v>
      </c>
      <c r="K205" s="253" t="str">
        <f>IF(H204=K204,"SIM","NÃO")</f>
        <v>SIM</v>
      </c>
      <c r="L205" s="663"/>
      <c r="M205" s="652"/>
      <c r="N205" s="607"/>
      <c r="O205" s="600"/>
      <c r="P205" s="600"/>
      <c r="V205" s="683"/>
    </row>
    <row r="206" spans="1:30" s="736" customFormat="1" ht="15" customHeight="1" x14ac:dyDescent="0.2">
      <c r="A206" s="765" t="s">
        <v>153</v>
      </c>
      <c r="B206" s="790" t="s">
        <v>163</v>
      </c>
      <c r="C206" s="767"/>
      <c r="D206" s="767"/>
      <c r="E206" s="767"/>
      <c r="F206" s="767"/>
      <c r="G206" s="767"/>
      <c r="H206" s="767"/>
      <c r="I206" s="767"/>
      <c r="J206" s="767"/>
      <c r="K206" s="767"/>
      <c r="L206" s="767"/>
      <c r="M206" s="768"/>
      <c r="N206" s="735"/>
      <c r="O206" s="664" t="s">
        <v>158</v>
      </c>
      <c r="P206" s="664"/>
      <c r="Q206" s="665" t="s">
        <v>159</v>
      </c>
      <c r="R206" s="600"/>
      <c r="U206" s="602"/>
      <c r="V206" s="683"/>
      <c r="W206" s="602"/>
      <c r="X206" s="737"/>
    </row>
    <row r="207" spans="1:30" s="684" customFormat="1" ht="15" customHeight="1" x14ac:dyDescent="0.2">
      <c r="A207" s="738" t="str">
        <f>A120</f>
        <v>3.1.1</v>
      </c>
      <c r="B207" s="739" t="s">
        <v>246</v>
      </c>
      <c r="C207" s="740" t="s">
        <v>45</v>
      </c>
      <c r="D207" s="741">
        <v>2</v>
      </c>
      <c r="E207" s="722">
        <f t="shared" ref="E207:E208" si="177">G207+H207+F207</f>
        <v>0</v>
      </c>
      <c r="F207" s="742">
        <f>'5.A'!$F$650</f>
        <v>0</v>
      </c>
      <c r="G207" s="691">
        <f>'5.A'!$F$663</f>
        <v>0</v>
      </c>
      <c r="H207" s="743">
        <f>'5.A'!$F$686</f>
        <v>0</v>
      </c>
      <c r="I207" s="744">
        <f t="shared" ref="I207:I208" si="178">ROUND(F207*D207,2)</f>
        <v>0</v>
      </c>
      <c r="J207" s="694">
        <f t="shared" ref="J207:J208" si="179">ROUND(G207*D207,2)</f>
        <v>0</v>
      </c>
      <c r="K207" s="695">
        <f t="shared" ref="K207:K208" si="180">ROUND(H207*D207,2)</f>
        <v>0</v>
      </c>
      <c r="L207" s="696">
        <f t="shared" ref="L207:L208" si="181">ROUND(D207*F207,2)+ROUND(D207*G207,2)+ROUND(D207*H207,2)</f>
        <v>0</v>
      </c>
      <c r="M207" s="745" t="e">
        <f t="shared" ref="M207:M214" si="182">L207/$L$236</f>
        <v>#DIV/0!</v>
      </c>
      <c r="N207" s="607"/>
      <c r="O207" s="746" t="s">
        <v>28</v>
      </c>
      <c r="P207" s="747" t="s">
        <v>243</v>
      </c>
      <c r="Q207" s="681"/>
      <c r="R207" s="600"/>
      <c r="S207" s="601">
        <f>((2.66*5.25 *4*7)+(1.33*5.25*4*2))*4</f>
        <v>1787.52</v>
      </c>
      <c r="T207" s="600"/>
      <c r="U207" s="602"/>
      <c r="V207" s="683"/>
      <c r="W207" s="602"/>
      <c r="X207" s="603"/>
      <c r="Y207" s="600"/>
      <c r="Z207" s="600"/>
      <c r="AA207" s="600"/>
      <c r="AB207" s="600"/>
      <c r="AC207" s="600"/>
      <c r="AD207" s="600"/>
    </row>
    <row r="208" spans="1:30" s="684" customFormat="1" ht="15" customHeight="1" x14ac:dyDescent="0.2">
      <c r="A208" s="738" t="str">
        <f>A121</f>
        <v>3.1.2</v>
      </c>
      <c r="B208" s="748" t="s">
        <v>279</v>
      </c>
      <c r="C208" s="747" t="s">
        <v>46</v>
      </c>
      <c r="D208" s="749">
        <v>25</v>
      </c>
      <c r="E208" s="722">
        <f t="shared" si="177"/>
        <v>0</v>
      </c>
      <c r="F208" s="690">
        <f>'5.A'!$F$702</f>
        <v>0</v>
      </c>
      <c r="G208" s="691">
        <f>'5.A'!$F$715</f>
        <v>0</v>
      </c>
      <c r="H208" s="743">
        <f>'5.A'!$F$738</f>
        <v>0</v>
      </c>
      <c r="I208" s="744">
        <f t="shared" si="178"/>
        <v>0</v>
      </c>
      <c r="J208" s="694">
        <f t="shared" si="179"/>
        <v>0</v>
      </c>
      <c r="K208" s="695">
        <f t="shared" si="180"/>
        <v>0</v>
      </c>
      <c r="L208" s="696">
        <f t="shared" si="181"/>
        <v>0</v>
      </c>
      <c r="M208" s="697" t="e">
        <f t="shared" si="182"/>
        <v>#DIV/0!</v>
      </c>
      <c r="N208" s="607"/>
      <c r="O208" s="746" t="s">
        <v>28</v>
      </c>
      <c r="P208" s="747">
        <v>97670</v>
      </c>
      <c r="Q208" s="681"/>
      <c r="R208" s="600"/>
      <c r="S208" s="730">
        <f>(((21*28*6)+(0.7*28*5))*0.5)*4</f>
        <v>7252</v>
      </c>
      <c r="T208" s="600"/>
      <c r="U208" s="602"/>
      <c r="V208" s="683"/>
      <c r="W208" s="602"/>
      <c r="X208" s="603"/>
      <c r="Y208" s="600"/>
      <c r="Z208" s="600"/>
      <c r="AA208" s="600"/>
      <c r="AB208" s="600"/>
      <c r="AC208" s="600"/>
      <c r="AD208" s="600"/>
    </row>
    <row r="209" spans="1:30" s="684" customFormat="1" ht="15" customHeight="1" x14ac:dyDescent="0.2">
      <c r="A209" s="738" t="str">
        <f>A122</f>
        <v>3.1.3</v>
      </c>
      <c r="B209" s="750" t="s">
        <v>280</v>
      </c>
      <c r="C209" s="747" t="s">
        <v>46</v>
      </c>
      <c r="D209" s="749">
        <v>6</v>
      </c>
      <c r="E209" s="722">
        <f>G209+H209+F209</f>
        <v>0</v>
      </c>
      <c r="F209" s="690">
        <f>'5.A'!$F$754</f>
        <v>0</v>
      </c>
      <c r="G209" s="691">
        <f>'5.A'!$F$767</f>
        <v>0</v>
      </c>
      <c r="H209" s="743">
        <f>'5.A'!$F$790</f>
        <v>0</v>
      </c>
      <c r="I209" s="744">
        <f>ROUND(F209*D209,2)</f>
        <v>0</v>
      </c>
      <c r="J209" s="694">
        <f>ROUND(G209*D209,2)</f>
        <v>0</v>
      </c>
      <c r="K209" s="695">
        <f>ROUND(H209*D209,2)</f>
        <v>0</v>
      </c>
      <c r="L209" s="696">
        <f>ROUND(D209*F209,2)+ROUND(D209*G209,2)+ROUND(D209*H209,2)</f>
        <v>0</v>
      </c>
      <c r="M209" s="745" t="e">
        <f t="shared" si="182"/>
        <v>#DIV/0!</v>
      </c>
      <c r="N209" s="607"/>
      <c r="O209" s="746" t="s">
        <v>28</v>
      </c>
      <c r="P209" s="747">
        <v>93012</v>
      </c>
      <c r="Q209" s="681"/>
      <c r="R209" s="600"/>
      <c r="S209" s="730">
        <f>((21*28*6)+(0.7*28*5))*0.5*4</f>
        <v>7252</v>
      </c>
      <c r="T209" s="600"/>
      <c r="U209" s="602"/>
      <c r="V209" s="683"/>
      <c r="W209" s="602"/>
      <c r="X209" s="603"/>
      <c r="Y209" s="600"/>
      <c r="Z209" s="600"/>
      <c r="AA209" s="600"/>
      <c r="AB209" s="600"/>
      <c r="AC209" s="600"/>
      <c r="AD209" s="600"/>
    </row>
    <row r="210" spans="1:30" s="684" customFormat="1" ht="15" customHeight="1" x14ac:dyDescent="0.2">
      <c r="A210" s="738" t="str">
        <f>A124</f>
        <v>3.1.5</v>
      </c>
      <c r="B210" s="750" t="s">
        <v>281</v>
      </c>
      <c r="C210" s="740" t="s">
        <v>45</v>
      </c>
      <c r="D210" s="749">
        <v>2</v>
      </c>
      <c r="E210" s="722">
        <f t="shared" ref="E210:E214" si="183">G210+H210+F210</f>
        <v>0</v>
      </c>
      <c r="F210" s="690">
        <f>'5.A'!$F$858</f>
        <v>0</v>
      </c>
      <c r="G210" s="691">
        <f>'5.A'!$F$871</f>
        <v>0</v>
      </c>
      <c r="H210" s="743">
        <f>'5.A'!$F$894</f>
        <v>0</v>
      </c>
      <c r="I210" s="744">
        <f t="shared" ref="I210:I214" si="184">ROUND(F210*D210,2)</f>
        <v>0</v>
      </c>
      <c r="J210" s="694">
        <f t="shared" ref="J210:J214" si="185">ROUND(G210*D210,2)</f>
        <v>0</v>
      </c>
      <c r="K210" s="695">
        <f t="shared" ref="K210:K214" si="186">ROUND(H210*D210,2)</f>
        <v>0</v>
      </c>
      <c r="L210" s="696">
        <f t="shared" ref="L210:L214" si="187">ROUND(D210*F210,2)+ROUND(D210*G210,2)+ROUND(D210*H210,2)</f>
        <v>0</v>
      </c>
      <c r="M210" s="745" t="e">
        <f t="shared" si="182"/>
        <v>#DIV/0!</v>
      </c>
      <c r="N210" s="607"/>
      <c r="O210" s="746" t="s">
        <v>28</v>
      </c>
      <c r="P210" s="747">
        <v>93026</v>
      </c>
      <c r="Q210" s="681"/>
      <c r="R210" s="600"/>
      <c r="S210" s="730">
        <f t="shared" ref="S210:S218" si="188">((21*28*6)+(0.7*28*5))*0.5*4</f>
        <v>7252</v>
      </c>
      <c r="T210" s="600"/>
      <c r="U210" s="602"/>
      <c r="V210" s="683"/>
      <c r="W210" s="602"/>
      <c r="X210" s="603"/>
      <c r="Y210" s="600"/>
      <c r="Z210" s="600"/>
      <c r="AA210" s="600"/>
      <c r="AB210" s="600"/>
      <c r="AC210" s="600"/>
      <c r="AD210" s="600"/>
    </row>
    <row r="211" spans="1:30" s="684" customFormat="1" ht="15" customHeight="1" x14ac:dyDescent="0.2">
      <c r="A211" s="738" t="str">
        <f>A126</f>
        <v>3.1.7</v>
      </c>
      <c r="B211" s="750" t="s">
        <v>282</v>
      </c>
      <c r="C211" s="740" t="s">
        <v>45</v>
      </c>
      <c r="D211" s="749">
        <v>4</v>
      </c>
      <c r="E211" s="722">
        <f t="shared" si="183"/>
        <v>0</v>
      </c>
      <c r="F211" s="690">
        <f>'5.A'!$F$962</f>
        <v>0</v>
      </c>
      <c r="G211" s="691">
        <f>'5.A'!$F$975</f>
        <v>0</v>
      </c>
      <c r="H211" s="743">
        <f>'5.A'!$F$998</f>
        <v>0</v>
      </c>
      <c r="I211" s="744">
        <f t="shared" si="184"/>
        <v>0</v>
      </c>
      <c r="J211" s="694">
        <f t="shared" si="185"/>
        <v>0</v>
      </c>
      <c r="K211" s="695">
        <f t="shared" si="186"/>
        <v>0</v>
      </c>
      <c r="L211" s="696">
        <f t="shared" si="187"/>
        <v>0</v>
      </c>
      <c r="M211" s="745" t="e">
        <f t="shared" si="182"/>
        <v>#DIV/0!</v>
      </c>
      <c r="N211" s="607"/>
      <c r="O211" s="746" t="s">
        <v>28</v>
      </c>
      <c r="P211" s="747">
        <v>93017</v>
      </c>
      <c r="Q211" s="681"/>
      <c r="R211" s="600"/>
      <c r="S211" s="730">
        <f t="shared" si="188"/>
        <v>7252</v>
      </c>
      <c r="T211" s="600"/>
      <c r="U211" s="602"/>
      <c r="V211" s="683"/>
      <c r="W211" s="602"/>
      <c r="X211" s="603"/>
      <c r="Y211" s="600"/>
      <c r="Z211" s="600"/>
      <c r="AA211" s="600"/>
      <c r="AB211" s="600"/>
      <c r="AC211" s="600"/>
      <c r="AD211" s="600"/>
    </row>
    <row r="212" spans="1:30" s="684" customFormat="1" ht="15" customHeight="1" x14ac:dyDescent="0.2">
      <c r="A212" s="738" t="str">
        <f>A128</f>
        <v>3.1.9</v>
      </c>
      <c r="B212" s="750" t="s">
        <v>284</v>
      </c>
      <c r="C212" s="747" t="s">
        <v>44</v>
      </c>
      <c r="D212" s="749">
        <f>ROUND(1.1*((D208/2+D209/2)*0.8*0.8)+(D207*1.2*1.2*1.2),0)</f>
        <v>14</v>
      </c>
      <c r="E212" s="722">
        <f t="shared" si="183"/>
        <v>0</v>
      </c>
      <c r="F212" s="690">
        <f>'5.A'!$F$1066</f>
        <v>0</v>
      </c>
      <c r="G212" s="691">
        <f>'5.A'!$F$1079</f>
        <v>0</v>
      </c>
      <c r="H212" s="743">
        <f>'5.A'!$F$1102</f>
        <v>0</v>
      </c>
      <c r="I212" s="744">
        <f t="shared" si="184"/>
        <v>0</v>
      </c>
      <c r="J212" s="694">
        <f t="shared" si="185"/>
        <v>0</v>
      </c>
      <c r="K212" s="695">
        <f t="shared" si="186"/>
        <v>0</v>
      </c>
      <c r="L212" s="696">
        <f t="shared" si="187"/>
        <v>0</v>
      </c>
      <c r="M212" s="745" t="e">
        <f t="shared" si="182"/>
        <v>#DIV/0!</v>
      </c>
      <c r="N212" s="607"/>
      <c r="O212" s="746" t="s">
        <v>28</v>
      </c>
      <c r="P212" s="747">
        <v>93358</v>
      </c>
      <c r="Q212" s="681"/>
      <c r="R212" s="600"/>
      <c r="S212" s="730">
        <f t="shared" si="188"/>
        <v>7252</v>
      </c>
      <c r="T212" s="600"/>
      <c r="U212" s="602"/>
      <c r="V212" s="683"/>
      <c r="W212" s="602"/>
      <c r="X212" s="603"/>
      <c r="Y212" s="600"/>
      <c r="Z212" s="600"/>
      <c r="AA212" s="600"/>
      <c r="AB212" s="600"/>
      <c r="AC212" s="600"/>
      <c r="AD212" s="600"/>
    </row>
    <row r="213" spans="1:30" s="684" customFormat="1" ht="15" customHeight="1" x14ac:dyDescent="0.2">
      <c r="A213" s="738" t="str">
        <f>A129</f>
        <v>3.1.10</v>
      </c>
      <c r="B213" s="750" t="s">
        <v>283</v>
      </c>
      <c r="C213" s="747" t="s">
        <v>44</v>
      </c>
      <c r="D213" s="749">
        <f>ROUNDUP(1.1*((D208/2+D209/2)*0.8*0.1),0)</f>
        <v>2</v>
      </c>
      <c r="E213" s="722">
        <f t="shared" si="183"/>
        <v>0</v>
      </c>
      <c r="F213" s="690">
        <f>'5.A'!$F$1118</f>
        <v>0</v>
      </c>
      <c r="G213" s="691">
        <f>'5.A'!$F$1131</f>
        <v>0</v>
      </c>
      <c r="H213" s="743">
        <f>'5.A'!$F$1154</f>
        <v>0</v>
      </c>
      <c r="I213" s="744">
        <f t="shared" si="184"/>
        <v>0</v>
      </c>
      <c r="J213" s="694">
        <f t="shared" si="185"/>
        <v>0</v>
      </c>
      <c r="K213" s="695">
        <f t="shared" si="186"/>
        <v>0</v>
      </c>
      <c r="L213" s="696">
        <f t="shared" si="187"/>
        <v>0</v>
      </c>
      <c r="M213" s="745" t="e">
        <f t="shared" si="182"/>
        <v>#DIV/0!</v>
      </c>
      <c r="N213" s="607"/>
      <c r="O213" s="746" t="s">
        <v>28</v>
      </c>
      <c r="P213" s="747">
        <v>103491</v>
      </c>
      <c r="Q213" s="681"/>
      <c r="R213" s="600"/>
      <c r="S213" s="730">
        <f t="shared" si="188"/>
        <v>7252</v>
      </c>
      <c r="T213" s="600"/>
      <c r="U213" s="602"/>
      <c r="V213" s="683"/>
      <c r="W213" s="602"/>
      <c r="X213" s="603"/>
      <c r="Y213" s="600"/>
      <c r="Z213" s="600"/>
      <c r="AA213" s="600"/>
      <c r="AB213" s="600"/>
      <c r="AC213" s="600"/>
      <c r="AD213" s="600"/>
    </row>
    <row r="214" spans="1:30" s="684" customFormat="1" ht="15" customHeight="1" x14ac:dyDescent="0.2">
      <c r="A214" s="738" t="str">
        <f>A130</f>
        <v>3.1.11</v>
      </c>
      <c r="B214" s="750" t="s">
        <v>285</v>
      </c>
      <c r="C214" s="747" t="s">
        <v>44</v>
      </c>
      <c r="D214" s="749">
        <f>ROUND(1.1*((D208/2+D209/2)*0.8*0.8)+(D207*1.2*1.2*1.2),0)</f>
        <v>14</v>
      </c>
      <c r="E214" s="722">
        <f t="shared" si="183"/>
        <v>0</v>
      </c>
      <c r="F214" s="690">
        <f>'5.A'!$F$1170</f>
        <v>0</v>
      </c>
      <c r="G214" s="691">
        <f>'5.A'!$F$1183</f>
        <v>0</v>
      </c>
      <c r="H214" s="743">
        <f>'5.A'!$F$1206</f>
        <v>0</v>
      </c>
      <c r="I214" s="744">
        <f t="shared" si="184"/>
        <v>0</v>
      </c>
      <c r="J214" s="694">
        <f t="shared" si="185"/>
        <v>0</v>
      </c>
      <c r="K214" s="695">
        <f t="shared" si="186"/>
        <v>0</v>
      </c>
      <c r="L214" s="696">
        <f t="shared" si="187"/>
        <v>0</v>
      </c>
      <c r="M214" s="745" t="e">
        <f t="shared" si="182"/>
        <v>#DIV/0!</v>
      </c>
      <c r="N214" s="607"/>
      <c r="O214" s="746" t="s">
        <v>28</v>
      </c>
      <c r="P214" s="747">
        <v>93382</v>
      </c>
      <c r="Q214" s="681"/>
      <c r="R214" s="600"/>
      <c r="S214" s="730">
        <f t="shared" si="188"/>
        <v>7252</v>
      </c>
      <c r="T214" s="600"/>
      <c r="U214" s="602"/>
      <c r="V214" s="683"/>
      <c r="W214" s="602"/>
      <c r="X214" s="603"/>
      <c r="Y214" s="600"/>
      <c r="Z214" s="600"/>
      <c r="AA214" s="600"/>
      <c r="AB214" s="600"/>
      <c r="AC214" s="600"/>
      <c r="AD214" s="600"/>
    </row>
    <row r="215" spans="1:30" s="736" customFormat="1" ht="15" customHeight="1" x14ac:dyDescent="0.2">
      <c r="A215" s="751" t="s">
        <v>154</v>
      </c>
      <c r="B215" s="752" t="s">
        <v>287</v>
      </c>
      <c r="C215" s="753"/>
      <c r="D215" s="753"/>
      <c r="E215" s="753"/>
      <c r="F215" s="753"/>
      <c r="G215" s="753"/>
      <c r="H215" s="753"/>
      <c r="I215" s="753"/>
      <c r="J215" s="753"/>
      <c r="K215" s="753"/>
      <c r="L215" s="753"/>
      <c r="M215" s="754"/>
      <c r="N215" s="735"/>
      <c r="O215" s="755" t="s">
        <v>158</v>
      </c>
      <c r="P215" s="755"/>
      <c r="Q215" s="665" t="s">
        <v>159</v>
      </c>
      <c r="R215" s="600"/>
      <c r="U215" s="602"/>
      <c r="V215" s="683"/>
      <c r="W215" s="602"/>
      <c r="X215" s="737"/>
    </row>
    <row r="216" spans="1:30" s="684" customFormat="1" ht="15" customHeight="1" x14ac:dyDescent="0.2">
      <c r="A216" s="738" t="str">
        <f>A137</f>
        <v>3.2.8</v>
      </c>
      <c r="B216" s="757" t="s">
        <v>295</v>
      </c>
      <c r="C216" s="758" t="s">
        <v>46</v>
      </c>
      <c r="D216" s="688">
        <v>25</v>
      </c>
      <c r="E216" s="722">
        <f>G216+H216+F216</f>
        <v>0</v>
      </c>
      <c r="F216" s="690">
        <f>'5.A'!$F$1690</f>
        <v>0</v>
      </c>
      <c r="G216" s="691">
        <f>'5.A'!$F$1703</f>
        <v>0</v>
      </c>
      <c r="H216" s="743">
        <f>'5.A'!$F$1726</f>
        <v>0</v>
      </c>
      <c r="I216" s="744">
        <f>ROUND(F216*D216,2)</f>
        <v>0</v>
      </c>
      <c r="J216" s="694">
        <f>ROUND(G216*D216,2)</f>
        <v>0</v>
      </c>
      <c r="K216" s="695">
        <f>ROUND(H216*D216,2)</f>
        <v>0</v>
      </c>
      <c r="L216" s="696">
        <f>ROUND(D216*F216,2)+ROUND(D216*G216,2)+ROUND(D216*H216,2)</f>
        <v>0</v>
      </c>
      <c r="M216" s="745" t="e">
        <f>L216/$L$236</f>
        <v>#DIV/0!</v>
      </c>
      <c r="N216" s="607"/>
      <c r="O216" s="679" t="s">
        <v>28</v>
      </c>
      <c r="P216" s="759">
        <v>92992</v>
      </c>
      <c r="Q216" s="681"/>
      <c r="R216" s="600"/>
      <c r="S216" s="730">
        <f>(((1.35*2*21)+(2.7*7*21)+(0.7*28.5)+(4.46*4.3))*0.12)*4</f>
        <v>236.50943999999998</v>
      </c>
      <c r="T216" s="600"/>
      <c r="U216" s="602"/>
      <c r="V216" s="683"/>
      <c r="W216" s="602"/>
      <c r="X216" s="603"/>
      <c r="Y216" s="600"/>
      <c r="Z216" s="600"/>
      <c r="AA216" s="600"/>
      <c r="AB216" s="600"/>
      <c r="AC216" s="600"/>
      <c r="AD216" s="600"/>
    </row>
    <row r="217" spans="1:30" s="684" customFormat="1" ht="15" customHeight="1" x14ac:dyDescent="0.2">
      <c r="A217" s="738" t="s">
        <v>573</v>
      </c>
      <c r="B217" s="757" t="s">
        <v>293</v>
      </c>
      <c r="C217" s="758" t="s">
        <v>46</v>
      </c>
      <c r="D217" s="688">
        <v>150</v>
      </c>
      <c r="E217" s="722">
        <f t="shared" ref="E217:E219" si="189">G217+H217+F217</f>
        <v>0</v>
      </c>
      <c r="F217" s="690">
        <f>'5.A'!F1742</f>
        <v>0</v>
      </c>
      <c r="G217" s="691">
        <f>'5.A'!F1755</f>
        <v>0</v>
      </c>
      <c r="H217" s="743">
        <f>'5.A'!F1778</f>
        <v>0</v>
      </c>
      <c r="I217" s="744">
        <f t="shared" ref="I217:I219" si="190">ROUND(F217*D217,2)</f>
        <v>0</v>
      </c>
      <c r="J217" s="694">
        <f t="shared" ref="J217:J219" si="191">ROUND(G217*D217,2)</f>
        <v>0</v>
      </c>
      <c r="K217" s="695">
        <f t="shared" ref="K217:K219" si="192">ROUND(H217*D217,2)</f>
        <v>0</v>
      </c>
      <c r="L217" s="696">
        <f t="shared" ref="L217:L219" si="193">ROUND(D217*F217,2)+ROUND(D217*G217,2)+ROUND(D217*H217,2)</f>
        <v>0</v>
      </c>
      <c r="M217" s="745" t="e">
        <f>L217/$L$236</f>
        <v>#DIV/0!</v>
      </c>
      <c r="N217" s="607"/>
      <c r="O217" s="679" t="s">
        <v>28</v>
      </c>
      <c r="P217" s="759">
        <v>92992</v>
      </c>
      <c r="Q217" s="681"/>
      <c r="R217" s="600"/>
      <c r="S217" s="730">
        <f t="shared" si="188"/>
        <v>7252</v>
      </c>
      <c r="T217" s="600"/>
      <c r="U217" s="602"/>
      <c r="V217" s="683"/>
      <c r="W217" s="602"/>
      <c r="X217" s="603"/>
      <c r="Y217" s="600"/>
      <c r="Z217" s="600"/>
      <c r="AA217" s="600"/>
      <c r="AB217" s="600"/>
      <c r="AC217" s="600"/>
      <c r="AD217" s="600"/>
    </row>
    <row r="218" spans="1:30" s="684" customFormat="1" ht="15" customHeight="1" x14ac:dyDescent="0.2">
      <c r="A218" s="738" t="s">
        <v>574</v>
      </c>
      <c r="B218" s="757" t="s">
        <v>294</v>
      </c>
      <c r="C218" s="758" t="s">
        <v>46</v>
      </c>
      <c r="D218" s="688">
        <v>25</v>
      </c>
      <c r="E218" s="722">
        <f t="shared" si="189"/>
        <v>0</v>
      </c>
      <c r="F218" s="690">
        <f>'5.A'!F1794</f>
        <v>0</v>
      </c>
      <c r="G218" s="691">
        <f>'5.A'!F1807</f>
        <v>0</v>
      </c>
      <c r="H218" s="743">
        <f>'5.A'!F1830</f>
        <v>0</v>
      </c>
      <c r="I218" s="744">
        <f t="shared" si="190"/>
        <v>0</v>
      </c>
      <c r="J218" s="694">
        <f t="shared" si="191"/>
        <v>0</v>
      </c>
      <c r="K218" s="695">
        <f t="shared" si="192"/>
        <v>0</v>
      </c>
      <c r="L218" s="696">
        <f t="shared" si="193"/>
        <v>0</v>
      </c>
      <c r="M218" s="745" t="e">
        <f>L218/$L$236</f>
        <v>#DIV/0!</v>
      </c>
      <c r="N218" s="607"/>
      <c r="O218" s="679" t="s">
        <v>28</v>
      </c>
      <c r="P218" s="759">
        <v>92992</v>
      </c>
      <c r="Q218" s="681"/>
      <c r="R218" s="600"/>
      <c r="S218" s="730">
        <f t="shared" si="188"/>
        <v>7252</v>
      </c>
      <c r="T218" s="600"/>
      <c r="U218" s="602"/>
      <c r="V218" s="683"/>
      <c r="W218" s="602"/>
      <c r="X218" s="603"/>
      <c r="Y218" s="600"/>
      <c r="Z218" s="600"/>
      <c r="AA218" s="600"/>
      <c r="AB218" s="600"/>
      <c r="AC218" s="600"/>
      <c r="AD218" s="600"/>
    </row>
    <row r="219" spans="1:30" s="684" customFormat="1" ht="15" customHeight="1" x14ac:dyDescent="0.2">
      <c r="A219" s="738" t="str">
        <f>A144</f>
        <v>3.2.19</v>
      </c>
      <c r="B219" s="757" t="s">
        <v>350</v>
      </c>
      <c r="C219" s="758" t="s">
        <v>46</v>
      </c>
      <c r="D219" s="688">
        <v>5</v>
      </c>
      <c r="E219" s="722">
        <f t="shared" si="189"/>
        <v>0</v>
      </c>
      <c r="F219" s="690">
        <f>'5.A'!$F$2262</f>
        <v>0</v>
      </c>
      <c r="G219" s="691">
        <f>'5.A'!$F$2275</f>
        <v>0</v>
      </c>
      <c r="H219" s="743">
        <f>'5.A'!$F$2298</f>
        <v>0</v>
      </c>
      <c r="I219" s="744">
        <f t="shared" si="190"/>
        <v>0</v>
      </c>
      <c r="J219" s="694">
        <f t="shared" si="191"/>
        <v>0</v>
      </c>
      <c r="K219" s="695">
        <f t="shared" si="192"/>
        <v>0</v>
      </c>
      <c r="L219" s="696">
        <f t="shared" si="193"/>
        <v>0</v>
      </c>
      <c r="M219" s="745" t="e">
        <f>L219/$L$236</f>
        <v>#DIV/0!</v>
      </c>
      <c r="N219" s="607"/>
      <c r="O219" s="679" t="s">
        <v>372</v>
      </c>
      <c r="P219" s="759" t="s">
        <v>373</v>
      </c>
      <c r="Q219" s="681"/>
      <c r="R219" s="600"/>
      <c r="S219" s="730">
        <f t="shared" ref="S219" si="194">(((1.35*2*21)+(2.7*7*21)+(0.7*28.5)+(4.46*4.3))*0.12)*4</f>
        <v>236.50943999999998</v>
      </c>
      <c r="T219" s="600"/>
      <c r="U219" s="602"/>
      <c r="V219" s="683"/>
      <c r="W219" s="602"/>
      <c r="X219" s="603"/>
      <c r="Y219" s="600"/>
      <c r="Z219" s="600"/>
      <c r="AA219" s="600"/>
      <c r="AB219" s="600"/>
      <c r="AC219" s="600"/>
      <c r="AD219" s="600"/>
    </row>
    <row r="220" spans="1:30" s="736" customFormat="1" ht="15.95" customHeight="1" x14ac:dyDescent="0.2">
      <c r="A220" s="751" t="s">
        <v>342</v>
      </c>
      <c r="B220" s="752" t="s">
        <v>357</v>
      </c>
      <c r="C220" s="753"/>
      <c r="D220" s="753"/>
      <c r="E220" s="753"/>
      <c r="F220" s="753"/>
      <c r="G220" s="753"/>
      <c r="H220" s="753"/>
      <c r="I220" s="753"/>
      <c r="J220" s="753"/>
      <c r="K220" s="753"/>
      <c r="L220" s="753"/>
      <c r="M220" s="754"/>
      <c r="N220" s="735"/>
      <c r="O220" s="755" t="s">
        <v>158</v>
      </c>
      <c r="P220" s="755"/>
      <c r="Q220" s="665" t="s">
        <v>159</v>
      </c>
      <c r="R220" s="600"/>
      <c r="U220" s="602"/>
      <c r="V220" s="683"/>
      <c r="W220" s="602"/>
      <c r="X220" s="737"/>
    </row>
    <row r="221" spans="1:30" s="684" customFormat="1" ht="15.95" customHeight="1" x14ac:dyDescent="0.2">
      <c r="A221" s="738" t="str">
        <f t="shared" ref="A221:A227" si="195">A165</f>
        <v>3.5.1</v>
      </c>
      <c r="B221" s="757" t="s">
        <v>538</v>
      </c>
      <c r="C221" s="758" t="s">
        <v>48</v>
      </c>
      <c r="D221" s="688">
        <f>ROUNDUP(3*2,0)</f>
        <v>6</v>
      </c>
      <c r="E221" s="722">
        <f t="shared" ref="E221" si="196">G221+H221+F221</f>
        <v>0</v>
      </c>
      <c r="F221" s="690">
        <f>'5.A'!$F$3718</f>
        <v>0</v>
      </c>
      <c r="G221" s="691">
        <f>'5.A'!$F$3731</f>
        <v>0</v>
      </c>
      <c r="H221" s="743">
        <f>'5.A'!$F$3754</f>
        <v>0</v>
      </c>
      <c r="I221" s="744">
        <f t="shared" ref="I221" si="197">ROUND(F221*D221,2)</f>
        <v>0</v>
      </c>
      <c r="J221" s="694">
        <f t="shared" ref="J221" si="198">ROUND(G221*D221,2)</f>
        <v>0</v>
      </c>
      <c r="K221" s="695">
        <f t="shared" ref="K221" si="199">ROUND(H221*D221,2)</f>
        <v>0</v>
      </c>
      <c r="L221" s="696">
        <f t="shared" ref="L221" si="200">ROUND(D221*F221,2)+ROUND(D221*G221,2)+ROUND(D221*H221,2)</f>
        <v>0</v>
      </c>
      <c r="M221" s="745" t="e">
        <f t="shared" ref="M221:M227" si="201">L221/$L$236</f>
        <v>#DIV/0!</v>
      </c>
      <c r="N221" s="607"/>
      <c r="O221" s="679" t="s">
        <v>28</v>
      </c>
      <c r="P221" s="759">
        <v>97101</v>
      </c>
      <c r="Q221" s="681"/>
      <c r="R221" s="600"/>
      <c r="S221" s="730">
        <f t="shared" ref="S221" si="202">(((1.35*2*21)+(2.7*7*21)+(0.7*28.5)+(4.46*4.3))*0.12)*4</f>
        <v>236.50943999999998</v>
      </c>
      <c r="T221" s="600"/>
      <c r="U221" s="602"/>
      <c r="V221" s="683"/>
      <c r="W221" s="602"/>
      <c r="X221" s="603"/>
      <c r="Y221" s="600"/>
      <c r="Z221" s="600"/>
      <c r="AA221" s="600"/>
      <c r="AB221" s="600"/>
      <c r="AC221" s="600"/>
      <c r="AD221" s="600"/>
    </row>
    <row r="222" spans="1:30" s="684" customFormat="1" ht="26.1" customHeight="1" x14ac:dyDescent="0.2">
      <c r="A222" s="738" t="str">
        <f t="shared" si="195"/>
        <v>3.5.2</v>
      </c>
      <c r="B222" s="757" t="s">
        <v>383</v>
      </c>
      <c r="C222" s="758" t="s">
        <v>48</v>
      </c>
      <c r="D222" s="688">
        <f>ROUNDUP(9.6,0)</f>
        <v>10</v>
      </c>
      <c r="E222" s="722">
        <f t="shared" ref="E222:E227" si="203">G222+H222+F222</f>
        <v>0</v>
      </c>
      <c r="F222" s="690">
        <f>'5.A'!$F$3770</f>
        <v>0</v>
      </c>
      <c r="G222" s="691">
        <f>'5.A'!$F$3783</f>
        <v>0</v>
      </c>
      <c r="H222" s="743">
        <f>'5.A'!$F$3806</f>
        <v>0</v>
      </c>
      <c r="I222" s="744">
        <f t="shared" ref="I222:I227" si="204">ROUND(F222*D222,2)</f>
        <v>0</v>
      </c>
      <c r="J222" s="694">
        <f t="shared" ref="J222:J227" si="205">ROUND(G222*D222,2)</f>
        <v>0</v>
      </c>
      <c r="K222" s="695">
        <f t="shared" ref="K222:K227" si="206">ROUND(H222*D222,2)</f>
        <v>0</v>
      </c>
      <c r="L222" s="696">
        <f t="shared" ref="L222:L227" si="207">ROUND(D222*F222,2)+ROUND(D222*G222,2)+ROUND(D222*H222,2)</f>
        <v>0</v>
      </c>
      <c r="M222" s="745" t="e">
        <f t="shared" si="201"/>
        <v>#DIV/0!</v>
      </c>
      <c r="N222" s="607"/>
      <c r="O222" s="679" t="s">
        <v>28</v>
      </c>
      <c r="P222" s="759">
        <v>89307</v>
      </c>
      <c r="Q222" s="681"/>
      <c r="R222" s="600"/>
      <c r="S222" s="730">
        <f t="shared" ref="S222:S227" si="208">(((1.35*2*21)+(2.7*7*21)+(0.7*28.5)+(4.46*4.3))*0.12)*4</f>
        <v>236.50943999999998</v>
      </c>
      <c r="T222" s="600"/>
      <c r="U222" s="602"/>
      <c r="V222" s="683"/>
      <c r="W222" s="602"/>
      <c r="X222" s="603"/>
      <c r="Y222" s="600"/>
      <c r="Z222" s="600"/>
      <c r="AA222" s="600"/>
      <c r="AB222" s="600"/>
      <c r="AC222" s="600"/>
      <c r="AD222" s="600"/>
    </row>
    <row r="223" spans="1:30" s="684" customFormat="1" ht="15.95" customHeight="1" x14ac:dyDescent="0.2">
      <c r="A223" s="738" t="str">
        <f t="shared" si="195"/>
        <v>3.5.3</v>
      </c>
      <c r="B223" s="757" t="s">
        <v>382</v>
      </c>
      <c r="C223" s="758" t="s">
        <v>48</v>
      </c>
      <c r="D223" s="688">
        <f>ROUNDUP(2.4,0)</f>
        <v>3</v>
      </c>
      <c r="E223" s="722">
        <f t="shared" si="203"/>
        <v>0</v>
      </c>
      <c r="F223" s="690">
        <f>'5.A'!$F$3822</f>
        <v>0</v>
      </c>
      <c r="G223" s="691">
        <f>'5.A'!$F$3835</f>
        <v>0</v>
      </c>
      <c r="H223" s="743">
        <f>'5.A'!$F$3858</f>
        <v>0</v>
      </c>
      <c r="I223" s="744">
        <f t="shared" si="204"/>
        <v>0</v>
      </c>
      <c r="J223" s="694">
        <f t="shared" si="205"/>
        <v>0</v>
      </c>
      <c r="K223" s="695">
        <f t="shared" si="206"/>
        <v>0</v>
      </c>
      <c r="L223" s="696">
        <f t="shared" si="207"/>
        <v>0</v>
      </c>
      <c r="M223" s="745" t="e">
        <f t="shared" si="201"/>
        <v>#DIV/0!</v>
      </c>
      <c r="N223" s="607"/>
      <c r="O223" s="679" t="s">
        <v>28</v>
      </c>
      <c r="P223" s="759">
        <v>98679</v>
      </c>
      <c r="Q223" s="681"/>
      <c r="R223" s="600"/>
      <c r="S223" s="730">
        <f t="shared" si="208"/>
        <v>236.50943999999998</v>
      </c>
      <c r="T223" s="600"/>
      <c r="U223" s="602"/>
      <c r="V223" s="683"/>
      <c r="W223" s="602"/>
      <c r="X223" s="603"/>
      <c r="Y223" s="600"/>
      <c r="Z223" s="600"/>
      <c r="AA223" s="600"/>
      <c r="AB223" s="600"/>
      <c r="AC223" s="600"/>
      <c r="AD223" s="600"/>
    </row>
    <row r="224" spans="1:30" s="684" customFormat="1" ht="26.1" customHeight="1" x14ac:dyDescent="0.2">
      <c r="A224" s="738" t="str">
        <f t="shared" si="195"/>
        <v>3.5.4</v>
      </c>
      <c r="B224" s="757" t="s">
        <v>384</v>
      </c>
      <c r="C224" s="758" t="s">
        <v>48</v>
      </c>
      <c r="D224" s="688">
        <f>ROUNDUP(2.4,0)</f>
        <v>3</v>
      </c>
      <c r="E224" s="722">
        <f t="shared" si="203"/>
        <v>0</v>
      </c>
      <c r="F224" s="690">
        <f>'5.A'!$F$3874</f>
        <v>0</v>
      </c>
      <c r="G224" s="691">
        <f>'5.A'!$F$3887</f>
        <v>0</v>
      </c>
      <c r="H224" s="743">
        <f>'5.A'!$F$3910</f>
        <v>0</v>
      </c>
      <c r="I224" s="744">
        <f t="shared" si="204"/>
        <v>0</v>
      </c>
      <c r="J224" s="694">
        <f t="shared" si="205"/>
        <v>0</v>
      </c>
      <c r="K224" s="695">
        <f t="shared" si="206"/>
        <v>0</v>
      </c>
      <c r="L224" s="696">
        <f t="shared" si="207"/>
        <v>0</v>
      </c>
      <c r="M224" s="745" t="e">
        <f t="shared" si="201"/>
        <v>#DIV/0!</v>
      </c>
      <c r="N224" s="607"/>
      <c r="O224" s="679" t="s">
        <v>28</v>
      </c>
      <c r="P224" s="759">
        <v>101964</v>
      </c>
      <c r="Q224" s="681"/>
      <c r="R224" s="600"/>
      <c r="S224" s="730">
        <f t="shared" si="208"/>
        <v>236.50943999999998</v>
      </c>
      <c r="T224" s="600"/>
      <c r="U224" s="602"/>
      <c r="V224" s="683"/>
      <c r="W224" s="602"/>
      <c r="X224" s="603"/>
      <c r="Y224" s="600"/>
      <c r="Z224" s="600"/>
      <c r="AA224" s="600"/>
      <c r="AB224" s="600"/>
      <c r="AC224" s="600"/>
      <c r="AD224" s="600"/>
    </row>
    <row r="225" spans="1:30" s="684" customFormat="1" ht="15.95" customHeight="1" x14ac:dyDescent="0.2">
      <c r="A225" s="738" t="str">
        <f t="shared" si="195"/>
        <v>3.5.5</v>
      </c>
      <c r="B225" s="757" t="s">
        <v>481</v>
      </c>
      <c r="C225" s="758" t="s">
        <v>45</v>
      </c>
      <c r="D225" s="688">
        <v>2</v>
      </c>
      <c r="E225" s="722">
        <f t="shared" si="203"/>
        <v>0</v>
      </c>
      <c r="F225" s="690">
        <f>'5.A'!$F$3926</f>
        <v>0</v>
      </c>
      <c r="G225" s="691">
        <f>'5.A'!$F$3939</f>
        <v>0</v>
      </c>
      <c r="H225" s="743">
        <f>'5.A'!$F$3962</f>
        <v>0</v>
      </c>
      <c r="I225" s="744">
        <f t="shared" si="204"/>
        <v>0</v>
      </c>
      <c r="J225" s="694">
        <f t="shared" si="205"/>
        <v>0</v>
      </c>
      <c r="K225" s="695">
        <f t="shared" si="206"/>
        <v>0</v>
      </c>
      <c r="L225" s="696">
        <f t="shared" si="207"/>
        <v>0</v>
      </c>
      <c r="M225" s="745" t="e">
        <f t="shared" si="201"/>
        <v>#DIV/0!</v>
      </c>
      <c r="N225" s="607"/>
      <c r="O225" s="679" t="s">
        <v>28</v>
      </c>
      <c r="P225" s="759">
        <v>94807</v>
      </c>
      <c r="Q225" s="681"/>
      <c r="R225" s="600"/>
      <c r="S225" s="730">
        <f t="shared" si="208"/>
        <v>236.50943999999998</v>
      </c>
      <c r="T225" s="600"/>
      <c r="U225" s="602"/>
      <c r="V225" s="683"/>
      <c r="W225" s="602"/>
      <c r="X225" s="603"/>
      <c r="Y225" s="600"/>
      <c r="Z225" s="600"/>
      <c r="AA225" s="600"/>
      <c r="AB225" s="600"/>
      <c r="AC225" s="600"/>
      <c r="AD225" s="600"/>
    </row>
    <row r="226" spans="1:30" s="684" customFormat="1" ht="15.95" customHeight="1" x14ac:dyDescent="0.2">
      <c r="A226" s="738" t="str">
        <f t="shared" si="195"/>
        <v>3.5.6</v>
      </c>
      <c r="B226" s="757" t="s">
        <v>482</v>
      </c>
      <c r="C226" s="758" t="s">
        <v>48</v>
      </c>
      <c r="D226" s="688">
        <f>ROUNDUP(28.8,0)</f>
        <v>29</v>
      </c>
      <c r="E226" s="722">
        <f t="shared" si="203"/>
        <v>0</v>
      </c>
      <c r="F226" s="690">
        <f>'5.A'!$F$3978</f>
        <v>0</v>
      </c>
      <c r="G226" s="691">
        <f>'5.A'!$F$3991</f>
        <v>0</v>
      </c>
      <c r="H226" s="743">
        <f>'5.A'!$F$4014</f>
        <v>0</v>
      </c>
      <c r="I226" s="744">
        <f t="shared" si="204"/>
        <v>0</v>
      </c>
      <c r="J226" s="694">
        <f t="shared" si="205"/>
        <v>0</v>
      </c>
      <c r="K226" s="695">
        <f t="shared" si="206"/>
        <v>0</v>
      </c>
      <c r="L226" s="696">
        <f t="shared" si="207"/>
        <v>0</v>
      </c>
      <c r="M226" s="745" t="e">
        <f t="shared" si="201"/>
        <v>#DIV/0!</v>
      </c>
      <c r="N226" s="607"/>
      <c r="O226" s="679" t="s">
        <v>28</v>
      </c>
      <c r="P226" s="759">
        <v>104641</v>
      </c>
      <c r="Q226" s="681" t="s">
        <v>483</v>
      </c>
      <c r="R226" s="600"/>
      <c r="S226" s="730">
        <f t="shared" si="208"/>
        <v>236.50943999999998</v>
      </c>
      <c r="T226" s="600"/>
      <c r="U226" s="602"/>
      <c r="V226" s="683"/>
      <c r="W226" s="602"/>
      <c r="X226" s="603"/>
      <c r="Y226" s="600"/>
      <c r="Z226" s="600"/>
      <c r="AA226" s="600"/>
      <c r="AB226" s="600"/>
      <c r="AC226" s="600"/>
      <c r="AD226" s="600"/>
    </row>
    <row r="227" spans="1:30" s="684" customFormat="1" ht="26.1" customHeight="1" thickBot="1" x14ac:dyDescent="0.25">
      <c r="A227" s="760" t="str">
        <f t="shared" si="195"/>
        <v>3.5.7</v>
      </c>
      <c r="B227" s="761" t="s">
        <v>478</v>
      </c>
      <c r="C227" s="762" t="s">
        <v>48</v>
      </c>
      <c r="D227" s="701">
        <f>ROUNDUP(4.4,0)</f>
        <v>5</v>
      </c>
      <c r="E227" s="702">
        <f t="shared" si="203"/>
        <v>0</v>
      </c>
      <c r="F227" s="245">
        <f>'5.A'!$F$4030</f>
        <v>0</v>
      </c>
      <c r="G227" s="246">
        <f>'5.A'!$F$4043</f>
        <v>0</v>
      </c>
      <c r="H227" s="247">
        <f>'5.A'!$F$4066</f>
        <v>0</v>
      </c>
      <c r="I227" s="256">
        <f t="shared" si="204"/>
        <v>0</v>
      </c>
      <c r="J227" s="257">
        <f t="shared" si="205"/>
        <v>0</v>
      </c>
      <c r="K227" s="258">
        <f t="shared" si="206"/>
        <v>0</v>
      </c>
      <c r="L227" s="705">
        <f t="shared" si="207"/>
        <v>0</v>
      </c>
      <c r="M227" s="706" t="e">
        <f t="shared" si="201"/>
        <v>#DIV/0!</v>
      </c>
      <c r="N227" s="607"/>
      <c r="O227" s="679" t="s">
        <v>28</v>
      </c>
      <c r="P227" s="759">
        <v>100754</v>
      </c>
      <c r="Q227" s="681" t="s">
        <v>484</v>
      </c>
      <c r="R227" s="600"/>
      <c r="S227" s="730">
        <f t="shared" si="208"/>
        <v>236.50943999999998</v>
      </c>
      <c r="T227" s="600"/>
      <c r="U227" s="602"/>
      <c r="V227" s="683"/>
      <c r="W227" s="602"/>
      <c r="X227" s="603"/>
      <c r="Y227" s="600"/>
      <c r="Z227" s="600"/>
      <c r="AA227" s="600"/>
      <c r="AB227" s="600"/>
      <c r="AC227" s="600"/>
      <c r="AD227" s="600"/>
    </row>
    <row r="228" spans="1:30" ht="5.0999999999999996" customHeight="1" thickBot="1" x14ac:dyDescent="0.25">
      <c r="B228" s="707"/>
      <c r="C228" s="610"/>
      <c r="D228" s="77"/>
      <c r="E228" s="78"/>
      <c r="F228" s="81"/>
      <c r="G228" s="81"/>
      <c r="H228" s="81"/>
      <c r="I228" s="82"/>
      <c r="J228" s="82"/>
      <c r="K228" s="80"/>
      <c r="L228" s="629"/>
      <c r="N228" s="607"/>
      <c r="O228" s="708"/>
      <c r="P228" s="708"/>
      <c r="Q228" s="681"/>
      <c r="V228" s="683"/>
    </row>
    <row r="229" spans="1:30" ht="15" customHeight="1" x14ac:dyDescent="0.2">
      <c r="A229" s="633" t="s">
        <v>155</v>
      </c>
      <c r="B229" s="763" t="s">
        <v>161</v>
      </c>
      <c r="C229" s="635" t="s">
        <v>27</v>
      </c>
      <c r="D229" s="635"/>
      <c r="E229" s="654"/>
      <c r="F229" s="638">
        <f>I229</f>
        <v>0</v>
      </c>
      <c r="G229" s="639">
        <f>J229</f>
        <v>0</v>
      </c>
      <c r="H229" s="640">
        <f>K229</f>
        <v>0</v>
      </c>
      <c r="I229" s="655">
        <f>SUM(I232:I234)</f>
        <v>0</v>
      </c>
      <c r="J229" s="656">
        <f>SUM(J232:J234)</f>
        <v>0</v>
      </c>
      <c r="K229" s="657">
        <f>SUM(K232:K234)</f>
        <v>0</v>
      </c>
      <c r="L229" s="658">
        <f>F229+G229+H229</f>
        <v>0</v>
      </c>
      <c r="M229" s="642" t="e">
        <f>ROUND(L229/$L$236,6)</f>
        <v>#DIV/0!</v>
      </c>
      <c r="N229" s="607"/>
      <c r="O229" s="708"/>
      <c r="P229" s="708"/>
      <c r="Q229" s="681"/>
      <c r="V229" s="683"/>
    </row>
    <row r="230" spans="1:30" ht="15" customHeight="1" thickBot="1" x14ac:dyDescent="0.25">
      <c r="A230" s="660"/>
      <c r="B230" s="764"/>
      <c r="C230" s="645"/>
      <c r="D230" s="645"/>
      <c r="E230" s="662"/>
      <c r="F230" s="248" t="e">
        <f>F229/L229</f>
        <v>#DIV/0!</v>
      </c>
      <c r="G230" s="249" t="e">
        <f>G229/L229</f>
        <v>#DIV/0!</v>
      </c>
      <c r="H230" s="250" t="e">
        <f>H229/L229</f>
        <v>#DIV/0!</v>
      </c>
      <c r="I230" s="251" t="str">
        <f>IF(F229=I229,"SIM","NÃO")</f>
        <v>SIM</v>
      </c>
      <c r="J230" s="252" t="str">
        <f>IF(G229=J229,"SIM","NÃO")</f>
        <v>SIM</v>
      </c>
      <c r="K230" s="253" t="str">
        <f>IF(H229=K229,"SIM","NÃO")</f>
        <v>SIM</v>
      </c>
      <c r="L230" s="663"/>
      <c r="M230" s="652"/>
      <c r="N230" s="607"/>
      <c r="O230" s="708"/>
      <c r="P230" s="708"/>
      <c r="Q230" s="681"/>
      <c r="V230" s="683"/>
    </row>
    <row r="231" spans="1:30" s="736" customFormat="1" ht="15" customHeight="1" x14ac:dyDescent="0.2">
      <c r="A231" s="765" t="s">
        <v>156</v>
      </c>
      <c r="B231" s="766" t="s">
        <v>164</v>
      </c>
      <c r="C231" s="767"/>
      <c r="D231" s="767"/>
      <c r="E231" s="767"/>
      <c r="F231" s="767"/>
      <c r="G231" s="767"/>
      <c r="H231" s="767"/>
      <c r="I231" s="767"/>
      <c r="J231" s="767"/>
      <c r="K231" s="767"/>
      <c r="L231" s="767"/>
      <c r="M231" s="768"/>
      <c r="N231" s="735"/>
      <c r="O231" s="664" t="s">
        <v>158</v>
      </c>
      <c r="P231" s="664"/>
      <c r="Q231" s="665" t="s">
        <v>159</v>
      </c>
      <c r="R231" s="600"/>
      <c r="U231" s="602"/>
      <c r="V231" s="683"/>
      <c r="W231" s="602"/>
      <c r="X231" s="737"/>
    </row>
    <row r="232" spans="1:30" s="684" customFormat="1" ht="15" customHeight="1" x14ac:dyDescent="0.2">
      <c r="A232" s="738" t="s">
        <v>553</v>
      </c>
      <c r="B232" s="769" t="s">
        <v>607</v>
      </c>
      <c r="C232" s="747" t="s">
        <v>131</v>
      </c>
      <c r="D232" s="749">
        <v>1</v>
      </c>
      <c r="E232" s="722">
        <f t="shared" ref="E232" si="209">G232+H232+F232</f>
        <v>0</v>
      </c>
      <c r="F232" s="690">
        <f>'5.A'!F4134</f>
        <v>0</v>
      </c>
      <c r="G232" s="691">
        <f>'5.A'!F4147</f>
        <v>0</v>
      </c>
      <c r="H232" s="743">
        <f>'5.A'!F4170</f>
        <v>0</v>
      </c>
      <c r="I232" s="744">
        <f t="shared" ref="I232" si="210">ROUND(F232*D232,2)</f>
        <v>0</v>
      </c>
      <c r="J232" s="694">
        <f t="shared" ref="J232" si="211">ROUND(G232*D232,2)</f>
        <v>0</v>
      </c>
      <c r="K232" s="695">
        <f t="shared" ref="K232" si="212">ROUND(H232*D232,2)</f>
        <v>0</v>
      </c>
      <c r="L232" s="696">
        <f t="shared" ref="L232" si="213">ROUND(D232*F232,2)+ROUND(D232*G232,2)+ROUND(D232*H232,2)</f>
        <v>0</v>
      </c>
      <c r="M232" s="745" t="e">
        <f>L232/$L$236</f>
        <v>#DIV/0!</v>
      </c>
      <c r="N232" s="607"/>
      <c r="O232" s="679" t="s">
        <v>28</v>
      </c>
      <c r="P232" s="759">
        <v>88264</v>
      </c>
      <c r="Q232" s="681"/>
      <c r="R232" s="600"/>
      <c r="S232" s="730"/>
      <c r="T232" s="600"/>
      <c r="U232" s="602"/>
      <c r="V232" s="683"/>
      <c r="W232" s="602"/>
      <c r="X232" s="603"/>
      <c r="Y232" s="600"/>
      <c r="Z232" s="600"/>
      <c r="AA232" s="600"/>
      <c r="AB232" s="600"/>
      <c r="AC232" s="600"/>
      <c r="AD232" s="600"/>
    </row>
    <row r="233" spans="1:30" s="736" customFormat="1" ht="15" customHeight="1" x14ac:dyDescent="0.2">
      <c r="A233" s="751" t="s">
        <v>157</v>
      </c>
      <c r="B233" s="770" t="s">
        <v>165</v>
      </c>
      <c r="C233" s="753"/>
      <c r="D233" s="753"/>
      <c r="E233" s="753"/>
      <c r="F233" s="753"/>
      <c r="G233" s="753"/>
      <c r="H233" s="753"/>
      <c r="I233" s="753"/>
      <c r="J233" s="753"/>
      <c r="K233" s="753"/>
      <c r="L233" s="753"/>
      <c r="M233" s="754"/>
      <c r="N233" s="735"/>
      <c r="O233" s="664" t="s">
        <v>158</v>
      </c>
      <c r="P233" s="664"/>
      <c r="Q233" s="665" t="s">
        <v>159</v>
      </c>
      <c r="R233" s="600"/>
      <c r="U233" s="602"/>
      <c r="V233" s="683"/>
      <c r="W233" s="602"/>
      <c r="X233" s="737"/>
    </row>
    <row r="234" spans="1:30" s="684" customFormat="1" ht="15" customHeight="1" thickBot="1" x14ac:dyDescent="0.25">
      <c r="A234" s="723" t="str">
        <f>A178</f>
        <v>4.2.1</v>
      </c>
      <c r="B234" s="771" t="s">
        <v>231</v>
      </c>
      <c r="C234" s="772" t="s">
        <v>131</v>
      </c>
      <c r="D234" s="773">
        <v>1</v>
      </c>
      <c r="E234" s="702">
        <f t="shared" ref="E234" si="214">G234+H234+F234</f>
        <v>0</v>
      </c>
      <c r="F234" s="245">
        <f>'5.A'!$F$4186</f>
        <v>0</v>
      </c>
      <c r="G234" s="246">
        <f>'5.A'!$F$4199</f>
        <v>0</v>
      </c>
      <c r="H234" s="247">
        <f>'5.A'!$F$4222</f>
        <v>0</v>
      </c>
      <c r="I234" s="256">
        <f t="shared" ref="I234" si="215">ROUND(F234*D234,2)</f>
        <v>0</v>
      </c>
      <c r="J234" s="257">
        <f t="shared" ref="J234" si="216">ROUND(G234*D234,2)</f>
        <v>0</v>
      </c>
      <c r="K234" s="258">
        <f t="shared" ref="K234" si="217">ROUND(H234*D234,2)</f>
        <v>0</v>
      </c>
      <c r="L234" s="705">
        <f t="shared" ref="L234" si="218">ROUND(D234*F234,2)+ROUND(D234*G234,2)+ROUND(D234*H234,2)</f>
        <v>0</v>
      </c>
      <c r="M234" s="706" t="e">
        <f>L234/$L$236</f>
        <v>#DIV/0!</v>
      </c>
      <c r="N234" s="607"/>
      <c r="O234" s="679" t="s">
        <v>28</v>
      </c>
      <c r="P234" s="759">
        <v>88247</v>
      </c>
      <c r="Q234" s="681"/>
      <c r="R234" s="600"/>
      <c r="S234" s="730"/>
      <c r="T234" s="600"/>
      <c r="U234" s="602"/>
      <c r="V234" s="683"/>
      <c r="W234" s="602"/>
      <c r="X234" s="603"/>
      <c r="Y234" s="600"/>
      <c r="Z234" s="600"/>
      <c r="AA234" s="600"/>
      <c r="AB234" s="600"/>
      <c r="AC234" s="600"/>
      <c r="AD234" s="600"/>
    </row>
    <row r="235" spans="1:30" ht="5.0999999999999996" customHeight="1" thickBot="1" x14ac:dyDescent="0.25">
      <c r="D235" s="77"/>
      <c r="E235" s="78"/>
      <c r="F235" s="79"/>
      <c r="G235" s="79"/>
      <c r="H235" s="79"/>
      <c r="I235" s="80"/>
      <c r="J235" s="80"/>
      <c r="K235" s="80"/>
      <c r="L235" s="629"/>
      <c r="N235" s="607"/>
      <c r="O235" s="600"/>
      <c r="P235" s="600"/>
      <c r="V235" s="683"/>
    </row>
    <row r="236" spans="1:30" ht="15" customHeight="1" thickBot="1" x14ac:dyDescent="0.25">
      <c r="A236" s="774" t="s">
        <v>315</v>
      </c>
      <c r="B236" s="775"/>
      <c r="C236" s="775"/>
      <c r="D236" s="775"/>
      <c r="E236" s="775"/>
      <c r="F236" s="775"/>
      <c r="G236" s="775"/>
      <c r="H236" s="775"/>
      <c r="I236" s="776"/>
      <c r="J236" s="776"/>
      <c r="K236" s="777"/>
      <c r="L236" s="778">
        <f>L190+L197+L204+L229</f>
        <v>0</v>
      </c>
      <c r="M236" s="779" t="e">
        <f>M190+M197+M204+M229</f>
        <v>#DIV/0!</v>
      </c>
      <c r="N236" s="780"/>
    </row>
    <row r="237" spans="1:30" ht="15" customHeight="1" thickBot="1" x14ac:dyDescent="0.25">
      <c r="A237" s="781" t="s">
        <v>303</v>
      </c>
      <c r="B237" s="782"/>
      <c r="C237" s="782"/>
      <c r="D237" s="782"/>
      <c r="E237" s="782"/>
      <c r="F237" s="782"/>
      <c r="G237" s="782"/>
      <c r="H237" s="782"/>
      <c r="I237" s="783"/>
      <c r="J237" s="783"/>
      <c r="K237" s="783"/>
      <c r="L237" s="784">
        <f>F190+F197+F204+F229</f>
        <v>0</v>
      </c>
      <c r="M237" s="785" t="e">
        <f>ROUND(L237/L236,4)</f>
        <v>#DIV/0!</v>
      </c>
      <c r="N237" s="786">
        <f>L237+L238</f>
        <v>0</v>
      </c>
      <c r="O237" s="106" t="e">
        <f>N237/L236</f>
        <v>#DIV/0!</v>
      </c>
      <c r="P237" s="219"/>
    </row>
    <row r="238" spans="1:30" ht="15" customHeight="1" thickBot="1" x14ac:dyDescent="0.25">
      <c r="A238" s="781" t="s">
        <v>304</v>
      </c>
      <c r="B238" s="782"/>
      <c r="C238" s="782"/>
      <c r="D238" s="782"/>
      <c r="E238" s="782"/>
      <c r="F238" s="782"/>
      <c r="G238" s="782"/>
      <c r="H238" s="782"/>
      <c r="I238" s="783"/>
      <c r="J238" s="783"/>
      <c r="K238" s="787"/>
      <c r="L238" s="784">
        <f>G190+G197+G204+G229</f>
        <v>0</v>
      </c>
      <c r="M238" s="785" t="e">
        <f>ROUND(L238/L236,4)</f>
        <v>#DIV/0!</v>
      </c>
      <c r="N238" s="788">
        <f>L239</f>
        <v>0</v>
      </c>
      <c r="O238" s="106" t="e">
        <f>N238/L236</f>
        <v>#DIV/0!</v>
      </c>
    </row>
    <row r="239" spans="1:30" ht="15" customHeight="1" thickBot="1" x14ac:dyDescent="0.25">
      <c r="A239" s="781" t="s">
        <v>305</v>
      </c>
      <c r="B239" s="782"/>
      <c r="C239" s="782"/>
      <c r="D239" s="782"/>
      <c r="E239" s="782"/>
      <c r="F239" s="782"/>
      <c r="G239" s="782"/>
      <c r="H239" s="782"/>
      <c r="I239" s="783"/>
      <c r="J239" s="783"/>
      <c r="K239" s="789"/>
      <c r="L239" s="784">
        <f>H190+H197+H204+H229</f>
        <v>0</v>
      </c>
      <c r="M239" s="785" t="e">
        <f>ROUND(L239/L236,4)</f>
        <v>#DIV/0!</v>
      </c>
    </row>
    <row r="240" spans="1:30" ht="6.95" customHeight="1" x14ac:dyDescent="0.2">
      <c r="D240" s="77"/>
      <c r="E240" s="78"/>
      <c r="F240" s="79"/>
      <c r="G240" s="79"/>
      <c r="H240" s="79"/>
      <c r="I240" s="80"/>
      <c r="J240" s="80"/>
      <c r="K240" s="80"/>
      <c r="L240" s="629"/>
      <c r="N240" s="607"/>
      <c r="O240" s="600"/>
      <c r="P240" s="600"/>
      <c r="V240" s="683"/>
    </row>
    <row r="241" spans="1:22" ht="24.95" customHeight="1" thickBot="1" x14ac:dyDescent="0.25">
      <c r="A241" s="791"/>
      <c r="B241" s="791"/>
      <c r="C241" s="791"/>
      <c r="D241" s="791"/>
      <c r="E241" s="791"/>
      <c r="F241" s="792"/>
      <c r="G241" s="791"/>
      <c r="H241" s="791"/>
      <c r="I241" s="793"/>
      <c r="J241" s="793"/>
      <c r="K241" s="793"/>
      <c r="L241" s="793"/>
      <c r="M241" s="791"/>
      <c r="N241" s="607"/>
      <c r="O241" s="600"/>
      <c r="P241" s="600"/>
      <c r="V241" s="683"/>
    </row>
    <row r="242" spans="1:22" ht="24.95" customHeight="1" thickBot="1" x14ac:dyDescent="0.25">
      <c r="A242" s="794" t="s">
        <v>27</v>
      </c>
      <c r="B242" s="795"/>
      <c r="C242" s="795"/>
      <c r="D242" s="795"/>
      <c r="E242" s="795"/>
      <c r="F242" s="795"/>
      <c r="G242" s="795"/>
      <c r="H242" s="795"/>
      <c r="I242" s="795"/>
      <c r="J242" s="795"/>
      <c r="K242" s="795"/>
      <c r="L242" s="795"/>
      <c r="M242" s="796"/>
      <c r="N242" s="607"/>
      <c r="O242" s="600"/>
      <c r="P242" s="600"/>
      <c r="V242" s="683"/>
    </row>
    <row r="243" spans="1:22" ht="24.95" customHeight="1" x14ac:dyDescent="0.2">
      <c r="A243" s="791"/>
      <c r="B243" s="791"/>
      <c r="C243" s="791"/>
      <c r="D243" s="791"/>
      <c r="E243" s="791"/>
      <c r="F243" s="791"/>
      <c r="G243" s="791"/>
      <c r="H243" s="791"/>
      <c r="I243" s="791"/>
      <c r="J243" s="791"/>
      <c r="K243" s="791"/>
      <c r="L243" s="791"/>
      <c r="M243" s="791"/>
      <c r="N243" s="797">
        <f>SUM(D232:D234,D206:D227,D199:D202,D192:D195,D176:D178,D120:D171,D112:D115,D105:D108,D89:D91,D34:D84,D26:D29,D19:D22)</f>
        <v>1416</v>
      </c>
      <c r="O243" s="600"/>
      <c r="P243" s="600"/>
      <c r="V243" s="683"/>
    </row>
    <row r="244" spans="1:22" ht="24.95" customHeight="1" thickBot="1" x14ac:dyDescent="0.25">
      <c r="A244" s="791"/>
      <c r="B244" s="791"/>
      <c r="C244" s="791"/>
      <c r="D244" s="791"/>
      <c r="E244" s="791"/>
      <c r="F244" s="791"/>
      <c r="G244" s="791"/>
      <c r="H244" s="791"/>
      <c r="I244" s="791"/>
      <c r="J244" s="791"/>
      <c r="K244" s="791"/>
      <c r="L244" s="791"/>
      <c r="M244" s="791"/>
      <c r="N244" s="607"/>
      <c r="O244" s="600"/>
      <c r="P244" s="600"/>
      <c r="V244" s="683"/>
    </row>
    <row r="245" spans="1:22" ht="24.95" customHeight="1" x14ac:dyDescent="0.2">
      <c r="A245" s="798" t="str">
        <f>$A$12</f>
        <v>ENTRADA DE ENERGIA 1 - PTB 033 - BAIRRO ELDORADO</v>
      </c>
      <c r="B245" s="799"/>
      <c r="C245" s="799"/>
      <c r="D245" s="799"/>
      <c r="E245" s="799"/>
      <c r="F245" s="800">
        <f>L93</f>
        <v>0</v>
      </c>
      <c r="G245" s="801"/>
      <c r="H245" s="801"/>
      <c r="I245" s="801"/>
      <c r="J245" s="801"/>
      <c r="K245" s="801"/>
      <c r="L245" s="802"/>
      <c r="M245" s="803" t="e">
        <f>F245/$F$248</f>
        <v>#DIV/0!</v>
      </c>
      <c r="N245" s="607"/>
      <c r="O245" s="600"/>
      <c r="P245" s="600"/>
      <c r="V245" s="683"/>
    </row>
    <row r="246" spans="1:22" ht="24.95" customHeight="1" x14ac:dyDescent="0.2">
      <c r="A246" s="804" t="str">
        <f>$A$98</f>
        <v>ENTRADA DE ENERGIA 2 - PTB 107 - BAIRRO JOÃO PAULO II</v>
      </c>
      <c r="B246" s="805"/>
      <c r="C246" s="805"/>
      <c r="D246" s="805"/>
      <c r="E246" s="805"/>
      <c r="F246" s="806">
        <f>L180</f>
        <v>0</v>
      </c>
      <c r="G246" s="807"/>
      <c r="H246" s="807"/>
      <c r="I246" s="807"/>
      <c r="J246" s="807"/>
      <c r="K246" s="807"/>
      <c r="L246" s="808"/>
      <c r="M246" s="809" t="e">
        <f>F246/$F$248</f>
        <v>#DIV/0!</v>
      </c>
      <c r="N246" s="607"/>
      <c r="O246" s="600"/>
      <c r="P246" s="600"/>
      <c r="V246" s="683"/>
    </row>
    <row r="247" spans="1:22" ht="24.95" customHeight="1" thickBot="1" x14ac:dyDescent="0.25">
      <c r="A247" s="810" t="str">
        <f>$A$185</f>
        <v>ENTRADA DE ENERGIA 3 - PTB 003 - BAIRRO MACENO</v>
      </c>
      <c r="B247" s="811"/>
      <c r="C247" s="811"/>
      <c r="D247" s="811"/>
      <c r="E247" s="812"/>
      <c r="F247" s="813">
        <f>L236</f>
        <v>0</v>
      </c>
      <c r="G247" s="814"/>
      <c r="H247" s="814"/>
      <c r="I247" s="814"/>
      <c r="J247" s="814"/>
      <c r="K247" s="814"/>
      <c r="L247" s="815"/>
      <c r="M247" s="816" t="e">
        <f>F247/$F$248</f>
        <v>#DIV/0!</v>
      </c>
      <c r="N247" s="607"/>
      <c r="O247" s="600"/>
      <c r="P247" s="600"/>
      <c r="V247" s="683"/>
    </row>
    <row r="248" spans="1:22" ht="24.95" customHeight="1" thickBot="1" x14ac:dyDescent="0.25">
      <c r="A248" s="817"/>
      <c r="B248" s="818" t="s">
        <v>43</v>
      </c>
      <c r="C248" s="818"/>
      <c r="D248" s="818"/>
      <c r="E248" s="819"/>
      <c r="F248" s="820">
        <f>SUM(F245:L247)</f>
        <v>0</v>
      </c>
      <c r="G248" s="821"/>
      <c r="H248" s="821"/>
      <c r="I248" s="821"/>
      <c r="J248" s="821"/>
      <c r="K248" s="821"/>
      <c r="L248" s="822"/>
      <c r="M248" s="823" t="e">
        <f>SUM(M245:M247)</f>
        <v>#DIV/0!</v>
      </c>
      <c r="N248" s="607"/>
      <c r="O248" s="600"/>
      <c r="P248" s="600"/>
      <c r="V248" s="683"/>
    </row>
    <row r="249" spans="1:22" ht="24.95" customHeight="1" x14ac:dyDescent="0.2">
      <c r="A249" s="791"/>
      <c r="B249" s="791"/>
      <c r="C249" s="791"/>
      <c r="D249" s="791"/>
      <c r="E249" s="791"/>
      <c r="F249" s="791"/>
      <c r="G249" s="791"/>
      <c r="H249" s="824"/>
      <c r="I249" s="825"/>
      <c r="J249" s="826"/>
      <c r="K249" s="826"/>
      <c r="L249" s="825"/>
      <c r="M249" s="791"/>
      <c r="N249" s="607"/>
      <c r="O249" s="600"/>
      <c r="P249" s="600"/>
      <c r="V249" s="683"/>
    </row>
    <row r="250" spans="1:22" ht="24.95" customHeight="1" thickBot="1" x14ac:dyDescent="0.25">
      <c r="A250" s="791"/>
      <c r="B250" s="791"/>
      <c r="C250" s="791"/>
      <c r="D250" s="791"/>
      <c r="E250" s="791"/>
      <c r="F250" s="791"/>
      <c r="G250" s="791"/>
      <c r="H250" s="824"/>
      <c r="I250" s="791"/>
      <c r="J250" s="791"/>
      <c r="K250" s="791"/>
      <c r="L250" s="791"/>
      <c r="M250" s="791"/>
      <c r="N250" s="607"/>
      <c r="O250" s="600"/>
      <c r="P250" s="600"/>
      <c r="V250" s="683"/>
    </row>
    <row r="251" spans="1:22" ht="24.95" customHeight="1" x14ac:dyDescent="0.2">
      <c r="A251" s="818" t="s">
        <v>307</v>
      </c>
      <c r="B251" s="818"/>
      <c r="C251" s="818"/>
      <c r="D251" s="818"/>
      <c r="E251" s="818"/>
      <c r="F251" s="827">
        <f>L94+L181+L237</f>
        <v>0</v>
      </c>
      <c r="G251" s="828"/>
      <c r="H251" s="828"/>
      <c r="I251" s="828"/>
      <c r="J251" s="828"/>
      <c r="K251" s="828"/>
      <c r="L251" s="829"/>
      <c r="M251" s="830" t="e">
        <f>F251/$F$254</f>
        <v>#DIV/0!</v>
      </c>
      <c r="N251" s="607"/>
      <c r="O251" s="600"/>
      <c r="P251" s="600"/>
      <c r="V251" s="683"/>
    </row>
    <row r="252" spans="1:22" ht="24.95" customHeight="1" x14ac:dyDescent="0.2">
      <c r="A252" s="818" t="s">
        <v>308</v>
      </c>
      <c r="B252" s="818"/>
      <c r="C252" s="818"/>
      <c r="D252" s="818"/>
      <c r="E252" s="819"/>
      <c r="F252" s="831">
        <f>L95+L182+L238</f>
        <v>0</v>
      </c>
      <c r="G252" s="832"/>
      <c r="H252" s="832"/>
      <c r="I252" s="832"/>
      <c r="J252" s="832"/>
      <c r="K252" s="832"/>
      <c r="L252" s="833"/>
      <c r="M252" s="834" t="e">
        <f>F252/$F$254</f>
        <v>#DIV/0!</v>
      </c>
      <c r="N252" s="607"/>
      <c r="O252" s="600"/>
      <c r="P252" s="600"/>
      <c r="V252" s="683"/>
    </row>
    <row r="253" spans="1:22" ht="24.95" customHeight="1" thickBot="1" x14ac:dyDescent="0.25">
      <c r="A253" s="818" t="s">
        <v>306</v>
      </c>
      <c r="B253" s="818"/>
      <c r="C253" s="818"/>
      <c r="D253" s="818"/>
      <c r="E253" s="819"/>
      <c r="F253" s="831">
        <f>L96+L183+L239</f>
        <v>0</v>
      </c>
      <c r="G253" s="832"/>
      <c r="H253" s="832"/>
      <c r="I253" s="832"/>
      <c r="J253" s="832"/>
      <c r="K253" s="832"/>
      <c r="L253" s="833"/>
      <c r="M253" s="834" t="e">
        <f>F253/$F$254</f>
        <v>#DIV/0!</v>
      </c>
      <c r="N253" s="607"/>
      <c r="O253" s="600"/>
      <c r="P253" s="600"/>
      <c r="V253" s="683"/>
    </row>
    <row r="254" spans="1:22" ht="24.95" customHeight="1" thickBot="1" x14ac:dyDescent="0.25">
      <c r="A254" s="817"/>
      <c r="B254" s="818" t="s">
        <v>43</v>
      </c>
      <c r="C254" s="818"/>
      <c r="D254" s="818"/>
      <c r="E254" s="818"/>
      <c r="F254" s="835">
        <f>SUM(F251:L253)</f>
        <v>0</v>
      </c>
      <c r="G254" s="836"/>
      <c r="H254" s="836"/>
      <c r="I254" s="836"/>
      <c r="J254" s="836"/>
      <c r="K254" s="836"/>
      <c r="L254" s="837"/>
      <c r="M254" s="838" t="e">
        <f>SUM(M251:M253)</f>
        <v>#DIV/0!</v>
      </c>
      <c r="N254" s="607"/>
      <c r="O254" s="600"/>
      <c r="P254" s="600"/>
      <c r="V254" s="683"/>
    </row>
    <row r="255" spans="1:22" ht="24.95" customHeight="1" x14ac:dyDescent="0.2">
      <c r="A255" s="791"/>
      <c r="B255" s="791"/>
      <c r="C255" s="791"/>
      <c r="D255" s="791"/>
      <c r="E255" s="791"/>
      <c r="F255" s="791"/>
      <c r="G255" s="791"/>
      <c r="H255" s="824"/>
      <c r="I255" s="791"/>
      <c r="J255" s="791"/>
      <c r="K255" s="791"/>
      <c r="L255" s="791"/>
      <c r="M255" s="791"/>
      <c r="N255" s="607"/>
      <c r="O255" s="600"/>
      <c r="P255" s="600"/>
      <c r="V255" s="683"/>
    </row>
    <row r="256" spans="1:22" ht="24.95" customHeight="1" x14ac:dyDescent="0.2">
      <c r="A256" s="600"/>
      <c r="B256" s="600"/>
      <c r="C256" s="600"/>
      <c r="D256" s="600"/>
      <c r="E256" s="600"/>
      <c r="F256" s="600"/>
      <c r="G256" s="600"/>
      <c r="H256" s="600"/>
      <c r="I256" s="600"/>
      <c r="J256" s="600"/>
      <c r="K256" s="600"/>
      <c r="L256" s="600"/>
      <c r="M256" s="791"/>
      <c r="N256" s="607"/>
      <c r="O256" s="600"/>
      <c r="P256" s="600"/>
      <c r="V256" s="683"/>
    </row>
    <row r="257" spans="1:30" ht="24.95" customHeight="1" x14ac:dyDescent="0.2">
      <c r="A257" s="600"/>
      <c r="B257" s="600"/>
      <c r="C257" s="600"/>
      <c r="D257" s="600"/>
      <c r="E257" s="600"/>
      <c r="F257" s="842" t="s">
        <v>639</v>
      </c>
      <c r="G257" s="842"/>
      <c r="H257" s="842"/>
      <c r="I257" s="842"/>
      <c r="J257" s="842"/>
      <c r="K257" s="842"/>
      <c r="L257" s="842"/>
      <c r="M257" s="791"/>
      <c r="N257" s="607"/>
      <c r="O257" s="600"/>
      <c r="P257" s="600"/>
      <c r="V257" s="683"/>
    </row>
    <row r="258" spans="1:30" ht="24.95" customHeight="1" x14ac:dyDescent="0.2">
      <c r="A258" s="600"/>
      <c r="B258" s="600"/>
      <c r="C258" s="600"/>
      <c r="D258" s="600"/>
      <c r="E258" s="600"/>
      <c r="F258" s="842" t="s">
        <v>640</v>
      </c>
      <c r="G258" s="842"/>
      <c r="H258" s="842"/>
      <c r="I258" s="842"/>
      <c r="J258" s="842"/>
      <c r="K258" s="842"/>
      <c r="L258" s="842"/>
      <c r="M258" s="791"/>
      <c r="N258" s="607"/>
      <c r="O258" s="600"/>
      <c r="P258" s="600"/>
      <c r="V258" s="683"/>
    </row>
    <row r="259" spans="1:30" ht="24.95" customHeight="1" x14ac:dyDescent="0.2">
      <c r="A259" s="600"/>
      <c r="B259" s="600"/>
      <c r="C259" s="600"/>
      <c r="D259" s="600"/>
      <c r="E259" s="600"/>
      <c r="F259" s="842" t="s">
        <v>641</v>
      </c>
      <c r="G259" s="842"/>
      <c r="H259" s="842"/>
      <c r="I259" s="842"/>
      <c r="J259" s="842"/>
      <c r="K259" s="842"/>
      <c r="L259" s="842"/>
      <c r="M259" s="791"/>
      <c r="N259" s="607"/>
      <c r="O259" s="600"/>
      <c r="P259" s="600"/>
      <c r="V259" s="683"/>
    </row>
    <row r="260" spans="1:30" ht="24.95" customHeight="1" x14ac:dyDescent="0.2">
      <c r="A260" s="600"/>
      <c r="B260" s="600"/>
      <c r="C260" s="600"/>
      <c r="D260" s="600"/>
      <c r="E260" s="600"/>
      <c r="F260" s="600"/>
      <c r="G260" s="600"/>
      <c r="H260" s="600"/>
      <c r="I260" s="600"/>
      <c r="J260" s="600"/>
      <c r="K260" s="600"/>
      <c r="L260" s="600"/>
      <c r="M260" s="791"/>
      <c r="N260" s="607"/>
      <c r="O260" s="600"/>
      <c r="P260" s="600"/>
      <c r="V260" s="683"/>
    </row>
    <row r="261" spans="1:30" ht="24.95" customHeight="1" x14ac:dyDescent="0.2">
      <c r="A261" s="600"/>
      <c r="B261" s="600"/>
      <c r="C261" s="600"/>
      <c r="D261" s="600"/>
      <c r="E261" s="600"/>
      <c r="F261" s="600"/>
      <c r="G261" s="600"/>
      <c r="H261" s="600"/>
      <c r="I261" s="600"/>
      <c r="J261" s="600"/>
      <c r="K261" s="600"/>
      <c r="L261" s="600"/>
      <c r="M261" s="791"/>
      <c r="N261" s="607"/>
      <c r="O261" s="600"/>
      <c r="P261" s="600"/>
      <c r="V261" s="683"/>
    </row>
    <row r="262" spans="1:30" ht="24.95" customHeight="1" x14ac:dyDescent="0.2">
      <c r="A262" s="600"/>
      <c r="B262" s="600"/>
      <c r="C262" s="600"/>
      <c r="D262" s="600"/>
      <c r="E262" s="600"/>
      <c r="F262" s="600"/>
      <c r="G262" s="600"/>
      <c r="H262" s="600"/>
      <c r="I262" s="600"/>
      <c r="J262" s="600"/>
      <c r="K262" s="600"/>
      <c r="L262" s="600"/>
      <c r="M262" s="791"/>
      <c r="N262" s="607"/>
      <c r="O262" s="600"/>
      <c r="P262" s="600"/>
      <c r="V262" s="683"/>
    </row>
    <row r="263" spans="1:30" ht="24.95" customHeight="1" x14ac:dyDescent="0.2">
      <c r="A263" s="791"/>
      <c r="B263" s="791"/>
      <c r="C263" s="791"/>
      <c r="D263" s="791"/>
      <c r="E263" s="791"/>
      <c r="F263" s="791"/>
      <c r="G263" s="791"/>
      <c r="H263" s="791"/>
      <c r="I263" s="791"/>
      <c r="J263" s="791"/>
      <c r="K263" s="791"/>
      <c r="L263" s="791"/>
      <c r="M263" s="791"/>
      <c r="N263" s="607"/>
      <c r="O263" s="600"/>
      <c r="P263" s="600"/>
      <c r="V263" s="683"/>
    </row>
    <row r="264" spans="1:30" s="613" customFormat="1" x14ac:dyDescent="0.2">
      <c r="A264" s="608"/>
      <c r="B264" s="609"/>
      <c r="C264" s="608"/>
      <c r="D264" s="839"/>
      <c r="E264" s="611"/>
      <c r="F264" s="610"/>
      <c r="G264" s="610"/>
      <c r="H264" s="610"/>
      <c r="I264" s="840"/>
      <c r="J264" s="840"/>
      <c r="K264" s="840"/>
      <c r="L264" s="841"/>
      <c r="M264" s="841"/>
      <c r="N264" s="596"/>
      <c r="O264" s="597"/>
      <c r="P264" s="598"/>
      <c r="Q264" s="599"/>
      <c r="R264" s="600"/>
      <c r="S264" s="601"/>
      <c r="T264" s="600"/>
      <c r="U264" s="602"/>
      <c r="V264" s="602"/>
      <c r="W264" s="602"/>
      <c r="X264" s="603"/>
      <c r="Y264" s="600"/>
      <c r="Z264" s="600"/>
      <c r="AA264" s="600"/>
      <c r="AB264" s="600"/>
      <c r="AC264" s="600"/>
      <c r="AD264" s="600"/>
    </row>
    <row r="269" spans="1:30" x14ac:dyDescent="0.2">
      <c r="M269" s="597"/>
      <c r="O269" s="598"/>
    </row>
    <row r="270" spans="1:30" x14ac:dyDescent="0.2">
      <c r="M270" s="597"/>
      <c r="O270" s="598"/>
    </row>
    <row r="271" spans="1:30" x14ac:dyDescent="0.2">
      <c r="O271" s="598"/>
    </row>
    <row r="272" spans="1:30" x14ac:dyDescent="0.2">
      <c r="M272" s="597"/>
      <c r="O272" s="598"/>
    </row>
    <row r="273" spans="13:15" x14ac:dyDescent="0.2">
      <c r="M273" s="597"/>
      <c r="O273" s="598"/>
    </row>
  </sheetData>
  <sheetProtection algorithmName="SHA-512" hashValue="yW1rinlJvUnIxlkrc8a13gxB4o5WGHjraSGowvhm9b39zSS3wrx/zjsjhfi0rs/avmOJ3Qq2CaKUuCyF5usp7w==" saltValue="7hqu/aswFIjwf4fmJ3iXYg==" spinCount="100000" sheet="1" objects="1" scenarios="1" selectLockedCells="1"/>
  <mergeCells count="146">
    <mergeCell ref="A1:M4"/>
    <mergeCell ref="F257:L257"/>
    <mergeCell ref="F258:L258"/>
    <mergeCell ref="F259:L259"/>
    <mergeCell ref="L264:M264"/>
    <mergeCell ref="O88:P88"/>
    <mergeCell ref="O90:P90"/>
    <mergeCell ref="O18:P18"/>
    <mergeCell ref="O33:P33"/>
    <mergeCell ref="O43:P43"/>
    <mergeCell ref="O25:P25"/>
    <mergeCell ref="O104:P104"/>
    <mergeCell ref="O111:P111"/>
    <mergeCell ref="O119:P119"/>
    <mergeCell ref="O175:P175"/>
    <mergeCell ref="O177:P177"/>
    <mergeCell ref="O191:P191"/>
    <mergeCell ref="O198:P198"/>
    <mergeCell ref="O206:P206"/>
    <mergeCell ref="O55:P55"/>
    <mergeCell ref="O69:P69"/>
    <mergeCell ref="O77:P77"/>
    <mergeCell ref="O215:P215"/>
    <mergeCell ref="O132:P132"/>
    <mergeCell ref="O145:P145"/>
    <mergeCell ref="O156:P156"/>
    <mergeCell ref="O164:P164"/>
    <mergeCell ref="O220:P220"/>
    <mergeCell ref="A31:A32"/>
    <mergeCell ref="B31:B32"/>
    <mergeCell ref="C31:E32"/>
    <mergeCell ref="A93:H93"/>
    <mergeCell ref="F10:K10"/>
    <mergeCell ref="L24:L25"/>
    <mergeCell ref="M24:M25"/>
    <mergeCell ref="A9:A10"/>
    <mergeCell ref="B10:E10"/>
    <mergeCell ref="A24:A25"/>
    <mergeCell ref="B24:B25"/>
    <mergeCell ref="C24:E25"/>
    <mergeCell ref="B9:E9"/>
    <mergeCell ref="A12:M12"/>
    <mergeCell ref="A8:M8"/>
    <mergeCell ref="L86:L87"/>
    <mergeCell ref="M86:M87"/>
    <mergeCell ref="A6:M6"/>
    <mergeCell ref="A17:A18"/>
    <mergeCell ref="B17:B18"/>
    <mergeCell ref="C17:E18"/>
    <mergeCell ref="L17:L18"/>
    <mergeCell ref="M17:M18"/>
    <mergeCell ref="A14:A15"/>
    <mergeCell ref="M14:M15"/>
    <mergeCell ref="B14:B15"/>
    <mergeCell ref="C14:C15"/>
    <mergeCell ref="D14:D15"/>
    <mergeCell ref="M9:M10"/>
    <mergeCell ref="L9:L10"/>
    <mergeCell ref="F9:K9"/>
    <mergeCell ref="L31:L32"/>
    <mergeCell ref="M31:M32"/>
    <mergeCell ref="A86:A87"/>
    <mergeCell ref="B86:B87"/>
    <mergeCell ref="C86:E87"/>
    <mergeCell ref="A94:H94"/>
    <mergeCell ref="A95:H95"/>
    <mergeCell ref="A96:H96"/>
    <mergeCell ref="A98:M98"/>
    <mergeCell ref="A100:A101"/>
    <mergeCell ref="B100:B101"/>
    <mergeCell ref="C100:C101"/>
    <mergeCell ref="D100:D101"/>
    <mergeCell ref="M100:M101"/>
    <mergeCell ref="A110:A111"/>
    <mergeCell ref="B110:B111"/>
    <mergeCell ref="C110:E111"/>
    <mergeCell ref="L110:L111"/>
    <mergeCell ref="M110:M111"/>
    <mergeCell ref="A103:A104"/>
    <mergeCell ref="B103:B104"/>
    <mergeCell ref="C103:E104"/>
    <mergeCell ref="L103:L104"/>
    <mergeCell ref="M103:M104"/>
    <mergeCell ref="A173:A174"/>
    <mergeCell ref="B173:B174"/>
    <mergeCell ref="C173:E174"/>
    <mergeCell ref="L173:L174"/>
    <mergeCell ref="M173:M174"/>
    <mergeCell ref="A117:A118"/>
    <mergeCell ref="B117:B118"/>
    <mergeCell ref="C117:E118"/>
    <mergeCell ref="L117:L118"/>
    <mergeCell ref="M117:M118"/>
    <mergeCell ref="A187:A188"/>
    <mergeCell ref="B187:B188"/>
    <mergeCell ref="C187:C188"/>
    <mergeCell ref="D187:D188"/>
    <mergeCell ref="M187:M188"/>
    <mergeCell ref="A180:H180"/>
    <mergeCell ref="A181:H181"/>
    <mergeCell ref="A182:H182"/>
    <mergeCell ref="A183:H183"/>
    <mergeCell ref="A185:M185"/>
    <mergeCell ref="A197:A198"/>
    <mergeCell ref="B197:B198"/>
    <mergeCell ref="C197:E198"/>
    <mergeCell ref="L197:L198"/>
    <mergeCell ref="M197:M198"/>
    <mergeCell ref="A190:A191"/>
    <mergeCell ref="B190:B191"/>
    <mergeCell ref="C190:E191"/>
    <mergeCell ref="L190:L191"/>
    <mergeCell ref="M190:M191"/>
    <mergeCell ref="A229:A230"/>
    <mergeCell ref="B229:B230"/>
    <mergeCell ref="C229:E230"/>
    <mergeCell ref="L229:L230"/>
    <mergeCell ref="M229:M230"/>
    <mergeCell ref="A204:A205"/>
    <mergeCell ref="B204:B205"/>
    <mergeCell ref="C204:E205"/>
    <mergeCell ref="L204:L205"/>
    <mergeCell ref="M204:M205"/>
    <mergeCell ref="A239:H239"/>
    <mergeCell ref="O231:P231"/>
    <mergeCell ref="O233:P233"/>
    <mergeCell ref="A236:H236"/>
    <mergeCell ref="B254:E254"/>
    <mergeCell ref="F254:L254"/>
    <mergeCell ref="F252:L252"/>
    <mergeCell ref="A253:E253"/>
    <mergeCell ref="F253:L253"/>
    <mergeCell ref="A242:M242"/>
    <mergeCell ref="A245:E245"/>
    <mergeCell ref="F245:L245"/>
    <mergeCell ref="A246:E246"/>
    <mergeCell ref="F246:L246"/>
    <mergeCell ref="A247:E247"/>
    <mergeCell ref="F247:L247"/>
    <mergeCell ref="B248:E248"/>
    <mergeCell ref="F248:L248"/>
    <mergeCell ref="A251:E251"/>
    <mergeCell ref="F251:L251"/>
    <mergeCell ref="A252:E252"/>
    <mergeCell ref="A237:H237"/>
    <mergeCell ref="A238:H238"/>
  </mergeCells>
  <phoneticPr fontId="48" type="noConversion"/>
  <printOptions horizontalCentered="1"/>
  <pageMargins left="0.39370078740157483" right="0.35433070866141736" top="0.35433070866141736" bottom="0.27559055118110237" header="0.27559055118110237" footer="0.31496062992125984"/>
  <pageSetup paperSize="9" scale="58" fitToHeight="0" orientation="landscape" r:id="rId1"/>
  <headerFooter alignWithMargins="0">
    <oddFooter>&amp;C&amp;"Times New Roman,Negrito itálico"Página &amp;P / &amp;N</oddFooter>
  </headerFooter>
  <rowBreaks count="5" manualBreakCount="5">
    <brk id="54" max="12" man="1"/>
    <brk id="96" max="12" man="1"/>
    <brk id="144" max="12" man="1"/>
    <brk id="183" max="12" man="1"/>
    <brk id="239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2">
    <pageSetUpPr fitToPage="1"/>
  </sheetPr>
  <dimension ref="A1:S108"/>
  <sheetViews>
    <sheetView view="pageBreakPreview" zoomScale="80" zoomScaleSheetLayoutView="80" workbookViewId="0">
      <selection sqref="A1:M5"/>
    </sheetView>
  </sheetViews>
  <sheetFormatPr defaultRowHeight="12.75" x14ac:dyDescent="0.2"/>
  <cols>
    <col min="1" max="1" width="7.140625" style="600" customWidth="1"/>
    <col min="2" max="2" width="38.28515625" style="600" customWidth="1"/>
    <col min="3" max="3" width="19.140625" style="600" bestFit="1" customWidth="1"/>
    <col min="4" max="5" width="15.140625" style="600" bestFit="1" customWidth="1"/>
    <col min="6" max="6" width="13.85546875" style="600" customWidth="1"/>
    <col min="7" max="8" width="15.140625" style="600" bestFit="1" customWidth="1"/>
    <col min="9" max="9" width="13.85546875" style="600" customWidth="1"/>
    <col min="10" max="11" width="15.140625" style="600" bestFit="1" customWidth="1"/>
    <col min="12" max="12" width="13.85546875" style="600" customWidth="1"/>
    <col min="13" max="13" width="19.140625" style="600" bestFit="1" customWidth="1"/>
    <col min="14" max="14" width="14.28515625" style="857" customWidth="1"/>
    <col min="15" max="15" width="9.140625" style="600"/>
    <col min="16" max="19" width="11" style="600" bestFit="1" customWidth="1"/>
    <col min="20" max="16384" width="9.140625" style="600"/>
  </cols>
  <sheetData>
    <row r="1" spans="1:19" s="844" customFormat="1" ht="14.25" customHeight="1" x14ac:dyDescent="0.2">
      <c r="A1" s="843" t="str">
        <f>'3.A'!$A$1</f>
        <v>TIMBRE DO LICITANTE</v>
      </c>
      <c r="B1" s="843"/>
      <c r="C1" s="843"/>
      <c r="D1" s="843"/>
      <c r="E1" s="843"/>
      <c r="F1" s="843"/>
      <c r="G1" s="843"/>
      <c r="H1" s="843"/>
      <c r="I1" s="843"/>
      <c r="J1" s="843"/>
      <c r="K1" s="843"/>
      <c r="L1" s="843"/>
      <c r="M1" s="843"/>
    </row>
    <row r="2" spans="1:19" s="844" customFormat="1" ht="14.1" customHeight="1" x14ac:dyDescent="0.2">
      <c r="A2" s="843"/>
      <c r="B2" s="843"/>
      <c r="C2" s="843"/>
      <c r="D2" s="843"/>
      <c r="E2" s="843"/>
      <c r="F2" s="843"/>
      <c r="G2" s="843"/>
      <c r="H2" s="843"/>
      <c r="I2" s="843"/>
      <c r="J2" s="843"/>
      <c r="K2" s="843"/>
      <c r="L2" s="843"/>
      <c r="M2" s="843"/>
    </row>
    <row r="3" spans="1:19" s="844" customFormat="1" ht="8.1" customHeight="1" x14ac:dyDescent="0.2">
      <c r="A3" s="843"/>
      <c r="B3" s="843"/>
      <c r="C3" s="843"/>
      <c r="D3" s="843"/>
      <c r="E3" s="843"/>
      <c r="F3" s="843"/>
      <c r="G3" s="843"/>
      <c r="H3" s="843"/>
      <c r="I3" s="843"/>
      <c r="J3" s="843"/>
      <c r="K3" s="843"/>
      <c r="L3" s="843"/>
      <c r="M3" s="843"/>
    </row>
    <row r="4" spans="1:19" s="844" customFormat="1" ht="14.25" customHeight="1" x14ac:dyDescent="0.2">
      <c r="A4" s="843"/>
      <c r="B4" s="843"/>
      <c r="C4" s="843"/>
      <c r="D4" s="843"/>
      <c r="E4" s="843"/>
      <c r="F4" s="843"/>
      <c r="G4" s="843"/>
      <c r="H4" s="843"/>
      <c r="I4" s="843"/>
      <c r="J4" s="843"/>
      <c r="K4" s="843"/>
      <c r="L4" s="843"/>
      <c r="M4" s="843"/>
    </row>
    <row r="5" spans="1:19" s="844" customFormat="1" ht="20.25" customHeight="1" x14ac:dyDescent="0.2">
      <c r="A5" s="843"/>
      <c r="B5" s="843"/>
      <c r="C5" s="843"/>
      <c r="D5" s="843"/>
      <c r="E5" s="843"/>
      <c r="F5" s="843"/>
      <c r="G5" s="843"/>
      <c r="H5" s="843"/>
      <c r="I5" s="843"/>
      <c r="J5" s="843"/>
      <c r="K5" s="843"/>
      <c r="L5" s="843"/>
      <c r="M5" s="843"/>
    </row>
    <row r="6" spans="1:19" s="604" customFormat="1" ht="9" customHeight="1" x14ac:dyDescent="0.2">
      <c r="A6" s="608"/>
      <c r="B6" s="608"/>
      <c r="C6" s="609"/>
      <c r="D6" s="608"/>
      <c r="E6" s="610"/>
      <c r="F6" s="611"/>
      <c r="G6" s="610"/>
      <c r="H6" s="610"/>
      <c r="I6" s="610"/>
      <c r="J6" s="610"/>
      <c r="K6" s="610"/>
      <c r="L6" s="610"/>
    </row>
    <row r="7" spans="1:19" s="846" customFormat="1" ht="20.100000000000001" customHeight="1" x14ac:dyDescent="0.2">
      <c r="A7" s="845" t="s">
        <v>634</v>
      </c>
      <c r="B7" s="845"/>
      <c r="C7" s="845"/>
      <c r="D7" s="845"/>
      <c r="E7" s="845"/>
      <c r="F7" s="845"/>
      <c r="G7" s="845"/>
      <c r="H7" s="845"/>
      <c r="I7" s="845"/>
      <c r="J7" s="845"/>
      <c r="K7" s="845"/>
      <c r="L7" s="845"/>
      <c r="M7" s="845"/>
      <c r="O7" s="844"/>
    </row>
    <row r="8" spans="1:19" s="846" customFormat="1" ht="9" customHeight="1" x14ac:dyDescent="0.2">
      <c r="A8" s="847"/>
      <c r="B8" s="847"/>
      <c r="C8" s="847"/>
      <c r="D8" s="847"/>
      <c r="E8" s="847"/>
      <c r="F8" s="847"/>
      <c r="G8" s="847"/>
      <c r="H8" s="847"/>
      <c r="I8" s="847"/>
      <c r="J8" s="847"/>
      <c r="K8" s="847"/>
      <c r="L8" s="847"/>
      <c r="M8" s="847"/>
      <c r="O8" s="844"/>
    </row>
    <row r="9" spans="1:19" s="846" customFormat="1" ht="20.100000000000001" customHeight="1" x14ac:dyDescent="0.2">
      <c r="A9" s="848" t="str">
        <f>'3.A'!$A$8</f>
        <v>REFORMA DE 3 ENTRADAS DE ENERGIA EM 3 POÇOS TUBULARES DO AQUÍFERO BAURU (PTB) NO MUNÍCIPIO DE SÃO JOSÉ DO RIO PRETO</v>
      </c>
      <c r="B9" s="848"/>
      <c r="C9" s="848"/>
      <c r="D9" s="848"/>
      <c r="E9" s="848"/>
      <c r="F9" s="848"/>
      <c r="G9" s="848"/>
      <c r="H9" s="848"/>
      <c r="I9" s="848"/>
      <c r="J9" s="848"/>
      <c r="K9" s="848"/>
      <c r="L9" s="848"/>
      <c r="M9" s="848"/>
      <c r="O9" s="844"/>
    </row>
    <row r="10" spans="1:19" s="846" customFormat="1" ht="20.100000000000001" customHeight="1" x14ac:dyDescent="0.2">
      <c r="A10" s="848"/>
      <c r="B10" s="848"/>
      <c r="C10" s="848"/>
      <c r="D10" s="848"/>
      <c r="E10" s="848"/>
      <c r="F10" s="848"/>
      <c r="G10" s="848"/>
      <c r="H10" s="848"/>
      <c r="I10" s="848"/>
      <c r="J10" s="848"/>
      <c r="K10" s="848"/>
      <c r="L10" s="848"/>
      <c r="M10" s="848"/>
      <c r="O10" s="844"/>
    </row>
    <row r="11" spans="1:19" s="846" customFormat="1" ht="8.1" customHeight="1" x14ac:dyDescent="0.2">
      <c r="A11" s="849"/>
      <c r="B11" s="849"/>
      <c r="C11" s="849"/>
      <c r="D11" s="849"/>
      <c r="E11" s="849"/>
      <c r="F11" s="849"/>
      <c r="G11" s="849"/>
      <c r="H11" s="849"/>
      <c r="I11" s="849"/>
      <c r="J11" s="849"/>
      <c r="K11" s="849"/>
      <c r="L11" s="849"/>
      <c r="M11" s="849"/>
      <c r="O11" s="844"/>
    </row>
    <row r="12" spans="1:19" s="846" customFormat="1" ht="20.100000000000001" customHeight="1" x14ac:dyDescent="0.2">
      <c r="A12" s="848" t="str">
        <f>'3.A'!$A$12</f>
        <v>ENTRADA DE ENERGIA 1 - PTB 033 - BAIRRO ELDORADO</v>
      </c>
      <c r="B12" s="848"/>
      <c r="C12" s="848"/>
      <c r="D12" s="848"/>
      <c r="E12" s="848"/>
      <c r="F12" s="848"/>
      <c r="G12" s="848"/>
      <c r="H12" s="848"/>
      <c r="I12" s="848"/>
      <c r="J12" s="848"/>
      <c r="K12" s="848"/>
      <c r="L12" s="848"/>
      <c r="M12" s="848"/>
      <c r="O12" s="844"/>
    </row>
    <row r="13" spans="1:19" s="846" customFormat="1" ht="20.100000000000001" customHeight="1" x14ac:dyDescent="0.2">
      <c r="A13" s="848"/>
      <c r="B13" s="848"/>
      <c r="C13" s="848"/>
      <c r="D13" s="848"/>
      <c r="E13" s="848"/>
      <c r="F13" s="848"/>
      <c r="G13" s="848"/>
      <c r="H13" s="848"/>
      <c r="I13" s="848"/>
      <c r="J13" s="848"/>
      <c r="K13" s="848"/>
      <c r="L13" s="848"/>
      <c r="M13" s="848"/>
      <c r="O13" s="844"/>
    </row>
    <row r="14" spans="1:19" s="846" customFormat="1" ht="8.1" customHeight="1" thickBot="1" x14ac:dyDescent="0.25">
      <c r="A14" s="849"/>
      <c r="B14" s="849"/>
      <c r="C14" s="84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O14" s="844"/>
    </row>
    <row r="15" spans="1:19" ht="20.100000000000001" customHeight="1" thickTop="1" x14ac:dyDescent="0.25">
      <c r="A15" s="850"/>
      <c r="B15" s="850"/>
      <c r="C15" s="851"/>
      <c r="D15" s="852" t="s">
        <v>63</v>
      </c>
      <c r="E15" s="853"/>
      <c r="F15" s="853"/>
      <c r="G15" s="854" t="s">
        <v>64</v>
      </c>
      <c r="H15" s="853"/>
      <c r="I15" s="853"/>
      <c r="J15" s="854" t="s">
        <v>65</v>
      </c>
      <c r="K15" s="853"/>
      <c r="L15" s="855"/>
      <c r="M15" s="856"/>
      <c r="O15" s="858"/>
      <c r="P15" s="859"/>
      <c r="Q15" s="859"/>
      <c r="R15" s="859"/>
    </row>
    <row r="16" spans="1:19" ht="20.100000000000001" customHeight="1" thickBot="1" x14ac:dyDescent="0.25">
      <c r="A16" s="850"/>
      <c r="B16" s="850"/>
      <c r="C16" s="851"/>
      <c r="D16" s="860" t="s">
        <v>110</v>
      </c>
      <c r="E16" s="861" t="s">
        <v>19</v>
      </c>
      <c r="F16" s="861" t="s">
        <v>111</v>
      </c>
      <c r="G16" s="861" t="s">
        <v>110</v>
      </c>
      <c r="H16" s="861" t="s">
        <v>19</v>
      </c>
      <c r="I16" s="861" t="s">
        <v>111</v>
      </c>
      <c r="J16" s="861" t="s">
        <v>110</v>
      </c>
      <c r="K16" s="861" t="s">
        <v>19</v>
      </c>
      <c r="L16" s="862" t="s">
        <v>111</v>
      </c>
      <c r="M16" s="863"/>
      <c r="O16" s="864"/>
      <c r="P16" s="377"/>
      <c r="Q16" s="377"/>
      <c r="R16" s="377"/>
      <c r="S16" s="865"/>
    </row>
    <row r="17" spans="1:18" ht="21" customHeight="1" thickTop="1" x14ac:dyDescent="0.2">
      <c r="A17" s="866" t="str">
        <f>'3.A'!$A$17</f>
        <v>1.0</v>
      </c>
      <c r="B17" s="867" t="str">
        <f>VLOOKUP(A17,'3.A'!$A$12:$M$239,2,FALSE)</f>
        <v>CANTEIRO DE OBRAS</v>
      </c>
      <c r="C17" s="402">
        <f>VLOOKUP(A17,'3.A'!$A$12:$M$239,12,FALSE)</f>
        <v>0</v>
      </c>
      <c r="D17" s="868">
        <f>D18+E18+F18</f>
        <v>0</v>
      </c>
      <c r="E17" s="869"/>
      <c r="F17" s="869"/>
      <c r="G17" s="868">
        <f>G18+H18+I18</f>
        <v>0</v>
      </c>
      <c r="H17" s="869"/>
      <c r="I17" s="870"/>
      <c r="J17" s="868">
        <f>J18+K18+L18</f>
        <v>0</v>
      </c>
      <c r="K17" s="869"/>
      <c r="L17" s="870"/>
      <c r="M17" s="399">
        <f>SUM(D18:L18)</f>
        <v>0</v>
      </c>
    </row>
    <row r="18" spans="1:18" ht="21" customHeight="1" x14ac:dyDescent="0.2">
      <c r="A18" s="871"/>
      <c r="B18" s="872"/>
      <c r="C18" s="873"/>
      <c r="D18" s="131">
        <f>'3.A'!I19+'3.A'!I22</f>
        <v>0</v>
      </c>
      <c r="E18" s="131">
        <f>'3.A'!J19+'3.A'!J22</f>
        <v>0</v>
      </c>
      <c r="F18" s="131">
        <f>'3.A'!K19+'3.A'!K22</f>
        <v>0</v>
      </c>
      <c r="G18" s="131">
        <f>ROUND('3.A'!I20,2)</f>
        <v>0</v>
      </c>
      <c r="H18" s="131">
        <f>ROUND('3.A'!J20,2)</f>
        <v>0</v>
      </c>
      <c r="I18" s="131">
        <f>ROUND('3.A'!K20,2)</f>
        <v>0</v>
      </c>
      <c r="J18" s="131">
        <f>'3.A'!I21</f>
        <v>0</v>
      </c>
      <c r="K18" s="131">
        <f>'3.A'!J21</f>
        <v>0</v>
      </c>
      <c r="L18" s="131">
        <f>'3.A'!K21</f>
        <v>0</v>
      </c>
      <c r="M18" s="395"/>
    </row>
    <row r="19" spans="1:18" ht="21" customHeight="1" x14ac:dyDescent="0.2">
      <c r="A19" s="871"/>
      <c r="B19" s="872"/>
      <c r="C19" s="230" t="e">
        <f>C17/$C$30</f>
        <v>#DIV/0!</v>
      </c>
      <c r="D19" s="400" t="e">
        <f>D17/$C$17</f>
        <v>#DIV/0!</v>
      </c>
      <c r="E19" s="401"/>
      <c r="F19" s="401"/>
      <c r="G19" s="400" t="e">
        <f>G17/$C$17</f>
        <v>#DIV/0!</v>
      </c>
      <c r="H19" s="401"/>
      <c r="I19" s="401"/>
      <c r="J19" s="400" t="e">
        <f>J17/$C$17</f>
        <v>#DIV/0!</v>
      </c>
      <c r="K19" s="401"/>
      <c r="L19" s="401"/>
      <c r="M19" s="232" t="e">
        <f>M17/C17</f>
        <v>#DIV/0!</v>
      </c>
    </row>
    <row r="20" spans="1:18" ht="21" customHeight="1" x14ac:dyDescent="0.2">
      <c r="A20" s="874" t="str">
        <f>'3.A'!$A$24</f>
        <v>2.0</v>
      </c>
      <c r="B20" s="875" t="str">
        <f>VLOOKUP(A20,'3.A'!$A$12:$M$239,2,FALSE)</f>
        <v>ENTRADA DE ENERGIA - POSTO SIMPLIFICADO DE SERVIÇO (PPS) - 225,0 KVA</v>
      </c>
      <c r="C20" s="876">
        <f>VLOOKUP(A20,'3.A'!$A$12:$M$239,12,FALSE)</f>
        <v>0</v>
      </c>
      <c r="D20" s="392">
        <f>D21+E21+F21</f>
        <v>0</v>
      </c>
      <c r="E20" s="393"/>
      <c r="F20" s="394"/>
      <c r="G20" s="392">
        <f>G21+H21+I21</f>
        <v>0</v>
      </c>
      <c r="H20" s="393"/>
      <c r="I20" s="394"/>
      <c r="J20" s="392"/>
      <c r="K20" s="393"/>
      <c r="L20" s="394"/>
      <c r="M20" s="391">
        <f>SUM(D21:L21)</f>
        <v>0</v>
      </c>
    </row>
    <row r="21" spans="1:18" ht="21" customHeight="1" x14ac:dyDescent="0.2">
      <c r="A21" s="874"/>
      <c r="B21" s="875"/>
      <c r="C21" s="876"/>
      <c r="D21" s="235">
        <f>'3.A'!F26+'3.A'!F27</f>
        <v>0</v>
      </c>
      <c r="E21" s="235">
        <f>'3.A'!G26+'3.A'!G27</f>
        <v>0</v>
      </c>
      <c r="F21" s="235">
        <f>'3.A'!H26+'3.A'!H27</f>
        <v>0</v>
      </c>
      <c r="G21" s="235">
        <f>'3.A'!I28+'3.A'!I29</f>
        <v>0</v>
      </c>
      <c r="H21" s="235">
        <f>'3.A'!J28+'3.A'!J29</f>
        <v>0</v>
      </c>
      <c r="I21" s="235">
        <f>'3.A'!K28+'3.A'!K29</f>
        <v>0</v>
      </c>
      <c r="J21" s="235"/>
      <c r="K21" s="235"/>
      <c r="L21" s="235"/>
      <c r="M21" s="391"/>
    </row>
    <row r="22" spans="1:18" s="881" customFormat="1" ht="21" customHeight="1" x14ac:dyDescent="0.2">
      <c r="A22" s="874"/>
      <c r="B22" s="875"/>
      <c r="C22" s="236" t="e">
        <f>C20/$C$30</f>
        <v>#DIV/0!</v>
      </c>
      <c r="D22" s="877" t="e">
        <f>D20/$C$20</f>
        <v>#DIV/0!</v>
      </c>
      <c r="E22" s="878"/>
      <c r="F22" s="879"/>
      <c r="G22" s="877" t="e">
        <f t="shared" ref="G22" si="0">G20/$C$20</f>
        <v>#DIV/0!</v>
      </c>
      <c r="H22" s="878"/>
      <c r="I22" s="879"/>
      <c r="J22" s="877"/>
      <c r="K22" s="878"/>
      <c r="L22" s="879"/>
      <c r="M22" s="237" t="e">
        <f>M20/C20</f>
        <v>#DIV/0!</v>
      </c>
      <c r="N22" s="880"/>
      <c r="R22" s="122"/>
    </row>
    <row r="23" spans="1:18" ht="21" customHeight="1" x14ac:dyDescent="0.2">
      <c r="A23" s="871" t="str">
        <f>'3.A'!$A$31</f>
        <v>3.0</v>
      </c>
      <c r="B23" s="872" t="str">
        <f>VLOOKUP(A23,'3.A'!$A$12:$M$239,2,FALSE)</f>
        <v>ADEQUAÇÃO ELÉTRICA</v>
      </c>
      <c r="C23" s="882">
        <f>VLOOKUP(A23,'3.A'!$A$12:$M$239,12,FALSE)</f>
        <v>0</v>
      </c>
      <c r="D23" s="408"/>
      <c r="E23" s="409"/>
      <c r="F23" s="410"/>
      <c r="G23" s="408">
        <f>G24+H24+I24</f>
        <v>0</v>
      </c>
      <c r="H23" s="409"/>
      <c r="I23" s="410"/>
      <c r="J23" s="408"/>
      <c r="K23" s="409"/>
      <c r="L23" s="410"/>
      <c r="M23" s="395">
        <f>SUM(D24:L24)</f>
        <v>0</v>
      </c>
    </row>
    <row r="24" spans="1:18" ht="21" customHeight="1" x14ac:dyDescent="0.2">
      <c r="A24" s="871"/>
      <c r="B24" s="872"/>
      <c r="C24" s="882"/>
      <c r="D24" s="235"/>
      <c r="E24" s="235"/>
      <c r="F24" s="235"/>
      <c r="G24" s="235">
        <f>'3.A'!F31</f>
        <v>0</v>
      </c>
      <c r="H24" s="235">
        <f>'3.A'!G31</f>
        <v>0</v>
      </c>
      <c r="I24" s="235">
        <f>'3.A'!H31</f>
        <v>0</v>
      </c>
      <c r="J24" s="235"/>
      <c r="K24" s="235"/>
      <c r="L24" s="235"/>
      <c r="M24" s="395"/>
    </row>
    <row r="25" spans="1:18" s="881" customFormat="1" ht="21" customHeight="1" x14ac:dyDescent="0.2">
      <c r="A25" s="871"/>
      <c r="B25" s="872"/>
      <c r="C25" s="231" t="e">
        <f>C23/$C$30</f>
        <v>#DIV/0!</v>
      </c>
      <c r="D25" s="883"/>
      <c r="E25" s="884"/>
      <c r="F25" s="885"/>
      <c r="G25" s="883" t="e">
        <f t="shared" ref="G25" si="1">G23/$C$23</f>
        <v>#DIV/0!</v>
      </c>
      <c r="H25" s="884"/>
      <c r="I25" s="885"/>
      <c r="J25" s="883"/>
      <c r="K25" s="884"/>
      <c r="L25" s="885"/>
      <c r="M25" s="232" t="e">
        <f>M23/C23</f>
        <v>#DIV/0!</v>
      </c>
      <c r="N25" s="880"/>
      <c r="R25" s="122"/>
    </row>
    <row r="26" spans="1:18" ht="21" customHeight="1" x14ac:dyDescent="0.2">
      <c r="A26" s="874" t="str">
        <f>'3.A'!$A$86</f>
        <v>4.0</v>
      </c>
      <c r="B26" s="875" t="str">
        <f>VLOOKUP(A26,'3.A'!$A$12:$M$239,2,FALSE)</f>
        <v>SERVIÇOS COMPLEMENTARES</v>
      </c>
      <c r="C26" s="876">
        <f>VLOOKUP(A26,'3.A'!$A$12:$M$239,12,FALSE)</f>
        <v>0</v>
      </c>
      <c r="D26" s="396"/>
      <c r="E26" s="397"/>
      <c r="F26" s="398"/>
      <c r="G26" s="396"/>
      <c r="H26" s="397"/>
      <c r="I26" s="398"/>
      <c r="J26" s="392">
        <f>J27+K27+L27</f>
        <v>0</v>
      </c>
      <c r="K26" s="393"/>
      <c r="L26" s="394"/>
      <c r="M26" s="391">
        <f>SUM(D27:L27)</f>
        <v>0</v>
      </c>
    </row>
    <row r="27" spans="1:18" ht="21" customHeight="1" x14ac:dyDescent="0.2">
      <c r="A27" s="874"/>
      <c r="B27" s="875"/>
      <c r="C27" s="876"/>
      <c r="D27" s="235"/>
      <c r="E27" s="235"/>
      <c r="F27" s="235"/>
      <c r="G27" s="235"/>
      <c r="H27" s="235"/>
      <c r="I27" s="235"/>
      <c r="J27" s="235">
        <f>'3.A'!I86</f>
        <v>0</v>
      </c>
      <c r="K27" s="235">
        <f>'3.A'!J86</f>
        <v>0</v>
      </c>
      <c r="L27" s="235">
        <f>'3.A'!K86</f>
        <v>0</v>
      </c>
      <c r="M27" s="391"/>
    </row>
    <row r="28" spans="1:18" s="881" customFormat="1" ht="21" customHeight="1" thickBot="1" x14ac:dyDescent="0.25">
      <c r="A28" s="886"/>
      <c r="B28" s="887"/>
      <c r="C28" s="259" t="e">
        <f>C26/$C$30</f>
        <v>#DIV/0!</v>
      </c>
      <c r="D28" s="888"/>
      <c r="E28" s="889"/>
      <c r="F28" s="890"/>
      <c r="G28" s="888"/>
      <c r="H28" s="889"/>
      <c r="I28" s="890"/>
      <c r="J28" s="888" t="e">
        <f t="shared" ref="J28" si="2">J26/$C$26</f>
        <v>#DIV/0!</v>
      </c>
      <c r="K28" s="889"/>
      <c r="L28" s="890"/>
      <c r="M28" s="260" t="e">
        <f>M26/C26</f>
        <v>#DIV/0!</v>
      </c>
      <c r="N28" s="880"/>
      <c r="R28" s="122"/>
    </row>
    <row r="29" spans="1:18" ht="16.5" thickTop="1" thickBot="1" x14ac:dyDescent="0.25">
      <c r="A29" s="891"/>
      <c r="B29" s="604"/>
      <c r="C29" s="128"/>
      <c r="D29" s="128"/>
      <c r="E29" s="128"/>
      <c r="F29" s="128"/>
      <c r="G29" s="129"/>
      <c r="H29" s="129"/>
      <c r="I29" s="129"/>
      <c r="J29" s="129"/>
      <c r="K29" s="129"/>
      <c r="L29" s="129"/>
      <c r="M29" s="130"/>
    </row>
    <row r="30" spans="1:18" ht="21" customHeight="1" thickTop="1" x14ac:dyDescent="0.2">
      <c r="A30" s="891"/>
      <c r="B30" s="892" t="s">
        <v>109</v>
      </c>
      <c r="C30" s="406">
        <f>ROUND(C17+C20+C23+C26+C45+C48+C51+C54+C73+C76+C79+C82,2)</f>
        <v>0</v>
      </c>
      <c r="D30" s="868">
        <f>D31+E31+F31</f>
        <v>0</v>
      </c>
      <c r="E30" s="869"/>
      <c r="F30" s="869"/>
      <c r="G30" s="893">
        <f>ROUND(G31+H31+I31,2)</f>
        <v>0</v>
      </c>
      <c r="H30" s="894"/>
      <c r="I30" s="894"/>
      <c r="J30" s="893">
        <f>ROUND(J31+K31+L31,2)</f>
        <v>0</v>
      </c>
      <c r="K30" s="894"/>
      <c r="L30" s="894"/>
      <c r="M30" s="411">
        <f>ROUND(M17+M20+M23+M26,2)</f>
        <v>0</v>
      </c>
    </row>
    <row r="31" spans="1:18" ht="21" customHeight="1" x14ac:dyDescent="0.2">
      <c r="A31" s="891"/>
      <c r="B31" s="892"/>
      <c r="C31" s="407"/>
      <c r="D31" s="132">
        <f t="shared" ref="D31:L31" si="3">D18+D21+D24+D27</f>
        <v>0</v>
      </c>
      <c r="E31" s="132">
        <f t="shared" si="3"/>
        <v>0</v>
      </c>
      <c r="F31" s="132">
        <f t="shared" si="3"/>
        <v>0</v>
      </c>
      <c r="G31" s="132">
        <f t="shared" si="3"/>
        <v>0</v>
      </c>
      <c r="H31" s="132">
        <f t="shared" si="3"/>
        <v>0</v>
      </c>
      <c r="I31" s="132">
        <f t="shared" si="3"/>
        <v>0</v>
      </c>
      <c r="J31" s="132">
        <f t="shared" si="3"/>
        <v>0</v>
      </c>
      <c r="K31" s="132">
        <f t="shared" si="3"/>
        <v>0</v>
      </c>
      <c r="L31" s="132">
        <f t="shared" si="3"/>
        <v>0</v>
      </c>
      <c r="M31" s="412"/>
    </row>
    <row r="32" spans="1:18" s="881" customFormat="1" ht="21" customHeight="1" thickBot="1" x14ac:dyDescent="0.25">
      <c r="A32" s="895"/>
      <c r="B32" s="892"/>
      <c r="C32" s="234" t="e">
        <f>C19+C22+C25+C28+C47+C50+C53+C56+C75+C78+C81+C84</f>
        <v>#DIV/0!</v>
      </c>
      <c r="D32" s="404" t="e">
        <f>ROUND(D30/$C$30,6)</f>
        <v>#DIV/0!</v>
      </c>
      <c r="E32" s="405"/>
      <c r="F32" s="405"/>
      <c r="G32" s="404" t="e">
        <f>ROUND(G30/$C$30,6)</f>
        <v>#DIV/0!</v>
      </c>
      <c r="H32" s="405"/>
      <c r="I32" s="405"/>
      <c r="J32" s="404" t="e">
        <f>ROUND(J30/$C$30,6)</f>
        <v>#DIV/0!</v>
      </c>
      <c r="K32" s="405"/>
      <c r="L32" s="405"/>
      <c r="M32" s="233" t="e">
        <f>ROUND(D32+J32+G32,6)</f>
        <v>#DIV/0!</v>
      </c>
      <c r="N32" s="880"/>
    </row>
    <row r="33" spans="1:15" ht="16.5" thickTop="1" thickBot="1" x14ac:dyDescent="0.25">
      <c r="A33" s="891"/>
      <c r="B33" s="896"/>
      <c r="C33" s="128"/>
      <c r="D33" s="128"/>
      <c r="E33" s="128"/>
      <c r="F33" s="128"/>
      <c r="G33" s="597"/>
      <c r="H33" s="597"/>
      <c r="I33" s="597"/>
      <c r="J33" s="597"/>
      <c r="K33" s="597"/>
      <c r="L33" s="597"/>
      <c r="M33" s="129"/>
    </row>
    <row r="34" spans="1:15" ht="21" customHeight="1" thickTop="1" x14ac:dyDescent="0.2">
      <c r="A34" s="665"/>
      <c r="B34" s="897" t="s">
        <v>107</v>
      </c>
      <c r="C34" s="898" t="s">
        <v>25</v>
      </c>
      <c r="D34" s="899">
        <f>D30</f>
        <v>0</v>
      </c>
      <c r="E34" s="899"/>
      <c r="F34" s="899"/>
      <c r="G34" s="899">
        <f>D34+G30</f>
        <v>0</v>
      </c>
      <c r="H34" s="899"/>
      <c r="I34" s="868"/>
      <c r="J34" s="899">
        <f>G34+J30</f>
        <v>0</v>
      </c>
      <c r="K34" s="899"/>
      <c r="L34" s="900"/>
      <c r="M34" s="610"/>
    </row>
    <row r="35" spans="1:15" ht="21" customHeight="1" x14ac:dyDescent="0.2">
      <c r="A35" s="665"/>
      <c r="B35" s="897" t="s">
        <v>107</v>
      </c>
      <c r="C35" s="901" t="s">
        <v>25</v>
      </c>
      <c r="D35" s="902">
        <f>D31</f>
        <v>0</v>
      </c>
      <c r="E35" s="902">
        <f>E31</f>
        <v>0</v>
      </c>
      <c r="F35" s="902">
        <f>F31</f>
        <v>0</v>
      </c>
      <c r="G35" s="902">
        <f>D35+G31</f>
        <v>0</v>
      </c>
      <c r="H35" s="902">
        <f>E35+H31</f>
        <v>0</v>
      </c>
      <c r="I35" s="903">
        <f>F35+I31</f>
        <v>0</v>
      </c>
      <c r="J35" s="902">
        <f>G35+J31</f>
        <v>0</v>
      </c>
      <c r="K35" s="902">
        <f>H35+K31</f>
        <v>0</v>
      </c>
      <c r="L35" s="904">
        <f>I35+L31</f>
        <v>0</v>
      </c>
      <c r="M35" s="610"/>
    </row>
    <row r="36" spans="1:15" ht="21" customHeight="1" x14ac:dyDescent="0.2">
      <c r="A36" s="665"/>
      <c r="B36" s="897" t="s">
        <v>108</v>
      </c>
      <c r="C36" s="901" t="s">
        <v>25</v>
      </c>
      <c r="D36" s="882">
        <f>ROUND($C$30-D34,2)</f>
        <v>0</v>
      </c>
      <c r="E36" s="882"/>
      <c r="F36" s="882"/>
      <c r="G36" s="882">
        <f>ROUND($C$30-G34,2)</f>
        <v>0</v>
      </c>
      <c r="H36" s="882"/>
      <c r="I36" s="905"/>
      <c r="J36" s="882">
        <f>ROUND($C$30-J34,2)</f>
        <v>0</v>
      </c>
      <c r="K36" s="882"/>
      <c r="L36" s="906"/>
      <c r="M36" s="610"/>
    </row>
    <row r="37" spans="1:15" ht="21" customHeight="1" thickBot="1" x14ac:dyDescent="0.25">
      <c r="A37" s="665"/>
      <c r="B37" s="897" t="s">
        <v>108</v>
      </c>
      <c r="C37" s="907" t="s">
        <v>25</v>
      </c>
      <c r="D37" s="908">
        <f>ROUND('3.A'!$F$251-'4.A'!D35,2)</f>
        <v>0</v>
      </c>
      <c r="E37" s="909">
        <f>ROUND('3.A'!$F$252-'4.A'!E35,2)</f>
        <v>0</v>
      </c>
      <c r="F37" s="908">
        <f>ROUND('3.A'!$F$253-'4.A'!F35,2)</f>
        <v>0</v>
      </c>
      <c r="G37" s="908">
        <f>ROUND('3.A'!$F$251-'4.A'!G35,2)</f>
        <v>0</v>
      </c>
      <c r="H37" s="909">
        <f>ROUND('3.A'!$F$252-'4.A'!H35,2)</f>
        <v>0</v>
      </c>
      <c r="I37" s="910">
        <f>ROUND('3.A'!$F$253-'4.A'!I35,2)</f>
        <v>0</v>
      </c>
      <c r="J37" s="908">
        <f>ROUND('3.A'!$F$251-'4.A'!J35,2)</f>
        <v>0</v>
      </c>
      <c r="K37" s="909">
        <f>ROUND('3.A'!$F$252-'4.A'!K35,2)</f>
        <v>0</v>
      </c>
      <c r="L37" s="911">
        <f>ROUND('3.A'!$F$253-'4.A'!L35,2)</f>
        <v>0</v>
      </c>
      <c r="M37" s="610"/>
    </row>
    <row r="38" spans="1:15" ht="6" customHeight="1" thickTop="1" x14ac:dyDescent="0.2">
      <c r="A38" s="912"/>
      <c r="B38" s="912"/>
      <c r="C38" s="608"/>
      <c r="D38" s="608"/>
      <c r="E38" s="608"/>
      <c r="F38" s="608"/>
      <c r="G38" s="913"/>
      <c r="H38" s="913"/>
      <c r="I38" s="913"/>
      <c r="J38" s="913"/>
      <c r="K38" s="913"/>
      <c r="L38" s="913"/>
      <c r="M38" s="847"/>
    </row>
    <row r="39" spans="1:15" s="846" customFormat="1" ht="8.1" customHeight="1" x14ac:dyDescent="0.2">
      <c r="A39" s="849"/>
      <c r="B39" s="849"/>
      <c r="C39" s="849"/>
      <c r="D39" s="849"/>
      <c r="E39" s="849"/>
      <c r="F39" s="849"/>
      <c r="G39" s="849"/>
      <c r="H39" s="849"/>
      <c r="I39" s="849"/>
      <c r="J39" s="849"/>
      <c r="K39" s="849"/>
      <c r="L39" s="849"/>
      <c r="M39" s="849"/>
      <c r="O39" s="844"/>
    </row>
    <row r="40" spans="1:15" s="846" customFormat="1" ht="20.100000000000001" customHeight="1" x14ac:dyDescent="0.2">
      <c r="A40" s="848" t="str">
        <f>'3.A'!$A$98</f>
        <v>ENTRADA DE ENERGIA 2 - PTB 107 - BAIRRO JOÃO PAULO II</v>
      </c>
      <c r="B40" s="848"/>
      <c r="C40" s="848"/>
      <c r="D40" s="848"/>
      <c r="E40" s="848"/>
      <c r="F40" s="848"/>
      <c r="G40" s="848"/>
      <c r="H40" s="848"/>
      <c r="I40" s="848"/>
      <c r="J40" s="848"/>
      <c r="K40" s="848"/>
      <c r="L40" s="848"/>
      <c r="M40" s="848"/>
      <c r="O40" s="844"/>
    </row>
    <row r="41" spans="1:15" s="846" customFormat="1" ht="20.100000000000001" customHeight="1" x14ac:dyDescent="0.2">
      <c r="A41" s="848"/>
      <c r="B41" s="848"/>
      <c r="C41" s="848"/>
      <c r="D41" s="848"/>
      <c r="E41" s="848"/>
      <c r="F41" s="848"/>
      <c r="G41" s="848"/>
      <c r="H41" s="848"/>
      <c r="I41" s="848"/>
      <c r="J41" s="848"/>
      <c r="K41" s="848"/>
      <c r="L41" s="848"/>
      <c r="M41" s="848"/>
      <c r="O41" s="844"/>
    </row>
    <row r="42" spans="1:15" s="846" customFormat="1" ht="8.1" customHeight="1" thickBot="1" x14ac:dyDescent="0.25">
      <c r="A42" s="849"/>
      <c r="B42" s="849"/>
      <c r="C42" s="849"/>
      <c r="D42" s="849"/>
      <c r="E42" s="849"/>
      <c r="F42" s="849"/>
      <c r="G42" s="849"/>
      <c r="H42" s="849"/>
      <c r="I42" s="849"/>
      <c r="J42" s="849"/>
      <c r="K42" s="849"/>
      <c r="L42" s="849"/>
      <c r="M42" s="849"/>
      <c r="O42" s="844"/>
    </row>
    <row r="43" spans="1:15" ht="20.100000000000001" customHeight="1" thickTop="1" x14ac:dyDescent="0.25">
      <c r="A43" s="850"/>
      <c r="B43" s="850"/>
      <c r="C43" s="851"/>
      <c r="D43" s="852" t="s">
        <v>525</v>
      </c>
      <c r="E43" s="853"/>
      <c r="F43" s="853"/>
      <c r="G43" s="854" t="s">
        <v>526</v>
      </c>
      <c r="H43" s="853"/>
      <c r="I43" s="853"/>
      <c r="J43" s="854" t="s">
        <v>527</v>
      </c>
      <c r="K43" s="853"/>
      <c r="L43" s="855"/>
      <c r="M43" s="856"/>
    </row>
    <row r="44" spans="1:15" ht="20.100000000000001" customHeight="1" thickBot="1" x14ac:dyDescent="0.25">
      <c r="A44" s="850"/>
      <c r="B44" s="850"/>
      <c r="C44" s="851"/>
      <c r="D44" s="860" t="s">
        <v>110</v>
      </c>
      <c r="E44" s="861" t="s">
        <v>19</v>
      </c>
      <c r="F44" s="861" t="s">
        <v>111</v>
      </c>
      <c r="G44" s="861" t="s">
        <v>110</v>
      </c>
      <c r="H44" s="861" t="s">
        <v>19</v>
      </c>
      <c r="I44" s="861" t="s">
        <v>111</v>
      </c>
      <c r="J44" s="861" t="s">
        <v>110</v>
      </c>
      <c r="K44" s="861" t="s">
        <v>19</v>
      </c>
      <c r="L44" s="862" t="s">
        <v>111</v>
      </c>
      <c r="M44" s="863"/>
    </row>
    <row r="45" spans="1:15" ht="21" customHeight="1" thickTop="1" x14ac:dyDescent="0.2">
      <c r="A45" s="866" t="str">
        <f>'3.A'!$A$103</f>
        <v>1.0</v>
      </c>
      <c r="B45" s="867" t="str">
        <f>VLOOKUP(A45,'3.A'!$A$12:$M$239,2,FALSE)</f>
        <v>CANTEIRO DE OBRAS</v>
      </c>
      <c r="C45" s="402">
        <f>VLOOKUP(A45,'3.A'!$A$12:$M$239,12,FALSE)</f>
        <v>0</v>
      </c>
      <c r="D45" s="868">
        <f>D46+E46+F46</f>
        <v>0</v>
      </c>
      <c r="E45" s="869"/>
      <c r="F45" s="869"/>
      <c r="G45" s="868">
        <f>G46+H46+I46</f>
        <v>0</v>
      </c>
      <c r="H45" s="869"/>
      <c r="I45" s="870"/>
      <c r="J45" s="868">
        <f>J46+K46+L46</f>
        <v>0</v>
      </c>
      <c r="K45" s="869"/>
      <c r="L45" s="870"/>
      <c r="M45" s="399">
        <f>SUM(D46:L46)</f>
        <v>0</v>
      </c>
    </row>
    <row r="46" spans="1:15" ht="21" customHeight="1" x14ac:dyDescent="0.2">
      <c r="A46" s="871"/>
      <c r="B46" s="872"/>
      <c r="C46" s="873"/>
      <c r="D46" s="131">
        <f>'3.A'!I105+'3.A'!I108</f>
        <v>0</v>
      </c>
      <c r="E46" s="131">
        <f>'3.A'!J105+'3.A'!J108</f>
        <v>0</v>
      </c>
      <c r="F46" s="131">
        <f>'3.A'!K105+'3.A'!K108</f>
        <v>0</v>
      </c>
      <c r="G46" s="131">
        <f>ROUND('3.A'!I106,2)</f>
        <v>0</v>
      </c>
      <c r="H46" s="131">
        <f>'3.A'!J106</f>
        <v>0</v>
      </c>
      <c r="I46" s="131">
        <f>'3.A'!K106</f>
        <v>0</v>
      </c>
      <c r="J46" s="131">
        <f>'3.A'!I107</f>
        <v>0</v>
      </c>
      <c r="K46" s="131">
        <f>'3.A'!J107</f>
        <v>0</v>
      </c>
      <c r="L46" s="131">
        <f>'3.A'!K107</f>
        <v>0</v>
      </c>
      <c r="M46" s="395"/>
    </row>
    <row r="47" spans="1:15" ht="21" customHeight="1" x14ac:dyDescent="0.2">
      <c r="A47" s="871"/>
      <c r="B47" s="872"/>
      <c r="C47" s="230" t="e">
        <f>C45/$C$30</f>
        <v>#DIV/0!</v>
      </c>
      <c r="D47" s="400" t="e">
        <f>D45/$C$17</f>
        <v>#DIV/0!</v>
      </c>
      <c r="E47" s="401"/>
      <c r="F47" s="401"/>
      <c r="G47" s="400" t="e">
        <f>G45/$C$17</f>
        <v>#DIV/0!</v>
      </c>
      <c r="H47" s="401"/>
      <c r="I47" s="401"/>
      <c r="J47" s="400" t="e">
        <f>J45/$C$17</f>
        <v>#DIV/0!</v>
      </c>
      <c r="K47" s="401"/>
      <c r="L47" s="401"/>
      <c r="M47" s="232" t="e">
        <f>M45/C45</f>
        <v>#DIV/0!</v>
      </c>
    </row>
    <row r="48" spans="1:15" ht="21" customHeight="1" x14ac:dyDescent="0.2">
      <c r="A48" s="874" t="str">
        <f>'3.A'!$A$110</f>
        <v>2.0</v>
      </c>
      <c r="B48" s="875" t="str">
        <f>'3.A'!$B$110</f>
        <v>ENTRADA DE ENERGIA - POSTO SIMPLIFICADO DE SERVIÇO (PPS) - 112,5 KVA</v>
      </c>
      <c r="C48" s="876">
        <f>'3.A'!$L$110</f>
        <v>0</v>
      </c>
      <c r="D48" s="392">
        <f>D49+E49+F49</f>
        <v>0</v>
      </c>
      <c r="E48" s="393"/>
      <c r="F48" s="394"/>
      <c r="G48" s="392">
        <f>G49+H49+I49</f>
        <v>0</v>
      </c>
      <c r="H48" s="393"/>
      <c r="I48" s="394"/>
      <c r="J48" s="392"/>
      <c r="K48" s="393"/>
      <c r="L48" s="394"/>
      <c r="M48" s="391">
        <f>SUM(D49:L49)</f>
        <v>0</v>
      </c>
    </row>
    <row r="49" spans="1:18" ht="21" customHeight="1" x14ac:dyDescent="0.2">
      <c r="A49" s="874"/>
      <c r="B49" s="875"/>
      <c r="C49" s="876"/>
      <c r="D49" s="235">
        <f>'3.A'!I112+'3.A'!I113</f>
        <v>0</v>
      </c>
      <c r="E49" s="235">
        <f>'3.A'!J112+'3.A'!J113</f>
        <v>0</v>
      </c>
      <c r="F49" s="235">
        <f>'3.A'!K112+'3.A'!K113</f>
        <v>0</v>
      </c>
      <c r="G49" s="235">
        <f>'3.A'!I114+'3.A'!I115</f>
        <v>0</v>
      </c>
      <c r="H49" s="235">
        <f>'3.A'!J114+'3.A'!J115</f>
        <v>0</v>
      </c>
      <c r="I49" s="235">
        <f>'3.A'!K114+'3.A'!K115</f>
        <v>0</v>
      </c>
      <c r="J49" s="235"/>
      <c r="K49" s="235"/>
      <c r="L49" s="235"/>
      <c r="M49" s="391"/>
    </row>
    <row r="50" spans="1:18" s="881" customFormat="1" ht="21" customHeight="1" x14ac:dyDescent="0.2">
      <c r="A50" s="874"/>
      <c r="B50" s="875"/>
      <c r="C50" s="236" t="e">
        <f>C48/$C$30</f>
        <v>#DIV/0!</v>
      </c>
      <c r="D50" s="877" t="e">
        <f>D48/$C$20</f>
        <v>#DIV/0!</v>
      </c>
      <c r="E50" s="878"/>
      <c r="F50" s="879"/>
      <c r="G50" s="877" t="e">
        <f t="shared" ref="G50" si="4">G48/$C$20</f>
        <v>#DIV/0!</v>
      </c>
      <c r="H50" s="878"/>
      <c r="I50" s="879"/>
      <c r="J50" s="877"/>
      <c r="K50" s="878"/>
      <c r="L50" s="879"/>
      <c r="M50" s="237" t="e">
        <f>M48/C48</f>
        <v>#DIV/0!</v>
      </c>
      <c r="N50" s="880"/>
      <c r="R50" s="122"/>
    </row>
    <row r="51" spans="1:18" ht="21" customHeight="1" x14ac:dyDescent="0.2">
      <c r="A51" s="871" t="str">
        <f>'3.A'!$A$117</f>
        <v>3.0</v>
      </c>
      <c r="B51" s="872" t="str">
        <f>VLOOKUP(A51,'3.A'!$A$12:$M$239,2,FALSE)</f>
        <v>ADEQUAÇÃO ELÉTRICA</v>
      </c>
      <c r="C51" s="882">
        <f>'3.A'!$L$117</f>
        <v>0</v>
      </c>
      <c r="D51" s="408"/>
      <c r="E51" s="409"/>
      <c r="F51" s="410"/>
      <c r="G51" s="408">
        <f>G52+H52+I52</f>
        <v>0</v>
      </c>
      <c r="H51" s="409"/>
      <c r="I51" s="410"/>
      <c r="J51" s="408"/>
      <c r="K51" s="409"/>
      <c r="L51" s="410"/>
      <c r="M51" s="395">
        <f>SUM(D52:L52)</f>
        <v>0</v>
      </c>
    </row>
    <row r="52" spans="1:18" ht="21" customHeight="1" x14ac:dyDescent="0.2">
      <c r="A52" s="871"/>
      <c r="B52" s="872"/>
      <c r="C52" s="882"/>
      <c r="D52" s="235"/>
      <c r="E52" s="235"/>
      <c r="F52" s="235"/>
      <c r="G52" s="235">
        <f>'3.A'!I117</f>
        <v>0</v>
      </c>
      <c r="H52" s="235">
        <f>'3.A'!J117</f>
        <v>0</v>
      </c>
      <c r="I52" s="235">
        <f>'3.A'!K117</f>
        <v>0</v>
      </c>
      <c r="J52" s="235"/>
      <c r="K52" s="235"/>
      <c r="L52" s="235"/>
      <c r="M52" s="395"/>
    </row>
    <row r="53" spans="1:18" s="881" customFormat="1" ht="21" customHeight="1" x14ac:dyDescent="0.2">
      <c r="A53" s="871"/>
      <c r="B53" s="872"/>
      <c r="C53" s="231" t="e">
        <f>C51/$C$30</f>
        <v>#DIV/0!</v>
      </c>
      <c r="D53" s="883"/>
      <c r="E53" s="884"/>
      <c r="F53" s="885"/>
      <c r="G53" s="883" t="e">
        <f t="shared" ref="G53" si="5">G51/$C$23</f>
        <v>#DIV/0!</v>
      </c>
      <c r="H53" s="884"/>
      <c r="I53" s="885"/>
      <c r="J53" s="883"/>
      <c r="K53" s="884"/>
      <c r="L53" s="885"/>
      <c r="M53" s="232" t="e">
        <f>M51/C51</f>
        <v>#DIV/0!</v>
      </c>
      <c r="N53" s="880"/>
      <c r="R53" s="122"/>
    </row>
    <row r="54" spans="1:18" ht="21" customHeight="1" x14ac:dyDescent="0.2">
      <c r="A54" s="874" t="str">
        <f>'3.A'!$A$173</f>
        <v>4.0</v>
      </c>
      <c r="B54" s="875" t="str">
        <f>VLOOKUP(A54,'3.A'!$A$12:$M$239,2,FALSE)</f>
        <v>SERVIÇOS COMPLEMENTARES</v>
      </c>
      <c r="C54" s="876">
        <f>'3.A'!$L$173</f>
        <v>0</v>
      </c>
      <c r="D54" s="396"/>
      <c r="E54" s="397"/>
      <c r="F54" s="398"/>
      <c r="G54" s="396"/>
      <c r="H54" s="397"/>
      <c r="I54" s="398"/>
      <c r="J54" s="392">
        <f>J55+K55+L55</f>
        <v>0</v>
      </c>
      <c r="K54" s="393"/>
      <c r="L54" s="394"/>
      <c r="M54" s="391">
        <f>SUM(D55:L55)</f>
        <v>0</v>
      </c>
    </row>
    <row r="55" spans="1:18" ht="21" customHeight="1" x14ac:dyDescent="0.2">
      <c r="A55" s="874"/>
      <c r="B55" s="875"/>
      <c r="C55" s="876"/>
      <c r="D55" s="235"/>
      <c r="E55" s="235"/>
      <c r="F55" s="235"/>
      <c r="G55" s="235"/>
      <c r="H55" s="235"/>
      <c r="I55" s="235"/>
      <c r="J55" s="235">
        <f>'3.A'!I173</f>
        <v>0</v>
      </c>
      <c r="K55" s="235">
        <f>'3.A'!J173</f>
        <v>0</v>
      </c>
      <c r="L55" s="235">
        <f>'3.A'!K173</f>
        <v>0</v>
      </c>
      <c r="M55" s="391"/>
    </row>
    <row r="56" spans="1:18" s="881" customFormat="1" ht="21" customHeight="1" thickBot="1" x14ac:dyDescent="0.25">
      <c r="A56" s="886"/>
      <c r="B56" s="887"/>
      <c r="C56" s="259" t="e">
        <f>C54/$C$30</f>
        <v>#DIV/0!</v>
      </c>
      <c r="D56" s="888"/>
      <c r="E56" s="889"/>
      <c r="F56" s="890"/>
      <c r="G56" s="888"/>
      <c r="H56" s="889"/>
      <c r="I56" s="890"/>
      <c r="J56" s="888" t="e">
        <f t="shared" ref="J56" si="6">J54/$C$26</f>
        <v>#DIV/0!</v>
      </c>
      <c r="K56" s="889"/>
      <c r="L56" s="890"/>
      <c r="M56" s="260" t="e">
        <f>M54/C54</f>
        <v>#DIV/0!</v>
      </c>
      <c r="N56" s="880"/>
      <c r="R56" s="122"/>
    </row>
    <row r="57" spans="1:18" ht="16.5" thickTop="1" thickBot="1" x14ac:dyDescent="0.25">
      <c r="A57" s="891"/>
      <c r="B57" s="604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30"/>
    </row>
    <row r="58" spans="1:18" ht="21" customHeight="1" thickTop="1" x14ac:dyDescent="0.2">
      <c r="A58" s="891"/>
      <c r="B58" s="892" t="s">
        <v>109</v>
      </c>
      <c r="C58" s="406">
        <f>ROUND(C17+C20+C23+C26+C45+C48+C51+C54+C73+C76+C79+C82,2)</f>
        <v>0</v>
      </c>
      <c r="D58" s="868">
        <f>D59+E59+F59</f>
        <v>0</v>
      </c>
      <c r="E58" s="869"/>
      <c r="F58" s="869"/>
      <c r="G58" s="893">
        <f>ROUND(G59+H59+I59,2)</f>
        <v>0</v>
      </c>
      <c r="H58" s="894"/>
      <c r="I58" s="894"/>
      <c r="J58" s="893">
        <f>ROUND(J59+K59+L59,2)</f>
        <v>0</v>
      </c>
      <c r="K58" s="894"/>
      <c r="L58" s="894"/>
      <c r="M58" s="411">
        <f>ROUND(M45+M48+M51+M54,2)</f>
        <v>0</v>
      </c>
    </row>
    <row r="59" spans="1:18" ht="21" customHeight="1" x14ac:dyDescent="0.2">
      <c r="A59" s="891"/>
      <c r="B59" s="892"/>
      <c r="C59" s="407"/>
      <c r="D59" s="132">
        <f t="shared" ref="D59:L59" si="7">D46+D49+D52+D55</f>
        <v>0</v>
      </c>
      <c r="E59" s="132">
        <f t="shared" si="7"/>
        <v>0</v>
      </c>
      <c r="F59" s="132">
        <f t="shared" si="7"/>
        <v>0</v>
      </c>
      <c r="G59" s="132">
        <f t="shared" si="7"/>
        <v>0</v>
      </c>
      <c r="H59" s="132">
        <f t="shared" si="7"/>
        <v>0</v>
      </c>
      <c r="I59" s="132">
        <f t="shared" si="7"/>
        <v>0</v>
      </c>
      <c r="J59" s="132">
        <f t="shared" si="7"/>
        <v>0</v>
      </c>
      <c r="K59" s="132">
        <f t="shared" si="7"/>
        <v>0</v>
      </c>
      <c r="L59" s="132">
        <f t="shared" si="7"/>
        <v>0</v>
      </c>
      <c r="M59" s="412"/>
    </row>
    <row r="60" spans="1:18" s="881" customFormat="1" ht="21" customHeight="1" thickBot="1" x14ac:dyDescent="0.25">
      <c r="A60" s="895"/>
      <c r="B60" s="892"/>
      <c r="C60" s="234" t="e">
        <f>C19+C22+C25+C28+C47+C50+C53+C56+C75+C78+C81+C84</f>
        <v>#DIV/0!</v>
      </c>
      <c r="D60" s="404" t="e">
        <f>ROUND(D58/$C$30,6)</f>
        <v>#DIV/0!</v>
      </c>
      <c r="E60" s="405"/>
      <c r="F60" s="405"/>
      <c r="G60" s="404" t="e">
        <f>ROUND(G58/$C$30,6)</f>
        <v>#DIV/0!</v>
      </c>
      <c r="H60" s="405"/>
      <c r="I60" s="405"/>
      <c r="J60" s="404" t="e">
        <f>ROUND(J58/$C$30,6)</f>
        <v>#DIV/0!</v>
      </c>
      <c r="K60" s="405"/>
      <c r="L60" s="405"/>
      <c r="M60" s="233" t="e">
        <f>ROUND(D60+J60+G60,6)</f>
        <v>#DIV/0!</v>
      </c>
      <c r="N60" s="880"/>
    </row>
    <row r="61" spans="1:18" ht="16.5" thickTop="1" thickBot="1" x14ac:dyDescent="0.25">
      <c r="A61" s="891"/>
      <c r="B61" s="896"/>
      <c r="C61" s="128"/>
      <c r="D61" s="128"/>
      <c r="E61" s="128"/>
      <c r="F61" s="128"/>
      <c r="G61" s="597"/>
      <c r="H61" s="597"/>
      <c r="I61" s="597"/>
      <c r="J61" s="597"/>
      <c r="K61" s="597"/>
      <c r="L61" s="597"/>
      <c r="M61" s="129"/>
    </row>
    <row r="62" spans="1:18" ht="21" customHeight="1" thickTop="1" x14ac:dyDescent="0.2">
      <c r="A62" s="665"/>
      <c r="B62" s="897" t="s">
        <v>107</v>
      </c>
      <c r="C62" s="898" t="s">
        <v>25</v>
      </c>
      <c r="D62" s="899">
        <f>J34+D58</f>
        <v>0</v>
      </c>
      <c r="E62" s="899"/>
      <c r="F62" s="899"/>
      <c r="G62" s="899">
        <f>D62+G58</f>
        <v>0</v>
      </c>
      <c r="H62" s="899"/>
      <c r="I62" s="868"/>
      <c r="J62" s="899">
        <f>G62+J58</f>
        <v>0</v>
      </c>
      <c r="K62" s="899"/>
      <c r="L62" s="900"/>
      <c r="M62" s="610"/>
    </row>
    <row r="63" spans="1:18" ht="21" customHeight="1" x14ac:dyDescent="0.2">
      <c r="A63" s="665"/>
      <c r="B63" s="897" t="s">
        <v>107</v>
      </c>
      <c r="C63" s="901" t="s">
        <v>25</v>
      </c>
      <c r="D63" s="902">
        <f>J35+D59</f>
        <v>0</v>
      </c>
      <c r="E63" s="902">
        <f>K35+E59</f>
        <v>0</v>
      </c>
      <c r="F63" s="902">
        <f>L35+F59</f>
        <v>0</v>
      </c>
      <c r="G63" s="902">
        <f>D63+G59</f>
        <v>0</v>
      </c>
      <c r="H63" s="902">
        <f>E63+H59</f>
        <v>0</v>
      </c>
      <c r="I63" s="903">
        <f>F63+I59</f>
        <v>0</v>
      </c>
      <c r="J63" s="902">
        <f>G63+J59</f>
        <v>0</v>
      </c>
      <c r="K63" s="902">
        <f>H63+K59</f>
        <v>0</v>
      </c>
      <c r="L63" s="904">
        <f>I63+L59</f>
        <v>0</v>
      </c>
      <c r="M63" s="610"/>
    </row>
    <row r="64" spans="1:18" ht="21" customHeight="1" x14ac:dyDescent="0.2">
      <c r="A64" s="665"/>
      <c r="B64" s="897" t="s">
        <v>108</v>
      </c>
      <c r="C64" s="901" t="s">
        <v>25</v>
      </c>
      <c r="D64" s="882">
        <f>ROUND($C$30-D62,2)</f>
        <v>0</v>
      </c>
      <c r="E64" s="882"/>
      <c r="F64" s="882"/>
      <c r="G64" s="882">
        <f>ROUND($C$30-G62,2)</f>
        <v>0</v>
      </c>
      <c r="H64" s="882"/>
      <c r="I64" s="905"/>
      <c r="J64" s="882">
        <f>ROUND($C$30-J62,2)</f>
        <v>0</v>
      </c>
      <c r="K64" s="882"/>
      <c r="L64" s="906"/>
      <c r="M64" s="610"/>
    </row>
    <row r="65" spans="1:18" ht="21" customHeight="1" thickBot="1" x14ac:dyDescent="0.25">
      <c r="A65" s="665"/>
      <c r="B65" s="897" t="s">
        <v>108</v>
      </c>
      <c r="C65" s="907" t="s">
        <v>25</v>
      </c>
      <c r="D65" s="908">
        <f>ROUND('3.A'!$F$251-'4.A'!D63,2)</f>
        <v>0</v>
      </c>
      <c r="E65" s="909">
        <f>ROUND('3.A'!$F$252-'4.A'!E63,2)</f>
        <v>0</v>
      </c>
      <c r="F65" s="908">
        <f>ROUND('3.A'!$F$253-'4.A'!F63,2)</f>
        <v>0</v>
      </c>
      <c r="G65" s="908">
        <f>ROUND('3.A'!$F$251-'4.A'!G63,2)</f>
        <v>0</v>
      </c>
      <c r="H65" s="909">
        <f>ROUND('3.A'!$F$252-'4.A'!H63,2)</f>
        <v>0</v>
      </c>
      <c r="I65" s="910">
        <f>ROUND('3.A'!$F$253-'4.A'!I63,2)</f>
        <v>0</v>
      </c>
      <c r="J65" s="908">
        <f>ROUND('3.A'!$F$251-'4.A'!J63,2)</f>
        <v>0</v>
      </c>
      <c r="K65" s="909">
        <f>ROUND('3.A'!$F$252-'4.A'!K63,2)</f>
        <v>0</v>
      </c>
      <c r="L65" s="911">
        <f>ROUND('3.A'!$F$253-'4.A'!L63,2)</f>
        <v>0</v>
      </c>
      <c r="M65" s="610"/>
    </row>
    <row r="66" spans="1:18" ht="6" customHeight="1" thickTop="1" x14ac:dyDescent="0.2">
      <c r="A66" s="912"/>
      <c r="B66" s="912"/>
      <c r="C66" s="608"/>
      <c r="D66" s="608"/>
      <c r="E66" s="608"/>
      <c r="F66" s="608"/>
      <c r="G66" s="913"/>
      <c r="H66" s="913"/>
      <c r="I66" s="913"/>
      <c r="J66" s="913"/>
      <c r="K66" s="913"/>
      <c r="L66" s="913"/>
      <c r="M66" s="847"/>
    </row>
    <row r="67" spans="1:18" s="846" customFormat="1" ht="8.1" customHeight="1" x14ac:dyDescent="0.2">
      <c r="A67" s="849"/>
      <c r="B67" s="849"/>
      <c r="C67" s="849"/>
      <c r="D67" s="849"/>
      <c r="E67" s="849"/>
      <c r="F67" s="849"/>
      <c r="G67" s="849"/>
      <c r="H67" s="849"/>
      <c r="I67" s="849"/>
      <c r="J67" s="849"/>
      <c r="K67" s="849"/>
      <c r="L67" s="849"/>
      <c r="M67" s="849"/>
      <c r="O67" s="844"/>
    </row>
    <row r="68" spans="1:18" s="846" customFormat="1" ht="20.100000000000001" customHeight="1" x14ac:dyDescent="0.2">
      <c r="A68" s="848" t="str">
        <f>'3.A'!$A$185</f>
        <v>ENTRADA DE ENERGIA 3 - PTB 003 - BAIRRO MACENO</v>
      </c>
      <c r="B68" s="848"/>
      <c r="C68" s="848"/>
      <c r="D68" s="848"/>
      <c r="E68" s="848"/>
      <c r="F68" s="848"/>
      <c r="G68" s="848"/>
      <c r="H68" s="848"/>
      <c r="I68" s="848"/>
      <c r="J68" s="848"/>
      <c r="K68" s="848"/>
      <c r="L68" s="848"/>
      <c r="M68" s="848"/>
      <c r="O68" s="844"/>
    </row>
    <row r="69" spans="1:18" s="846" customFormat="1" ht="20.100000000000001" customHeight="1" x14ac:dyDescent="0.2">
      <c r="A69" s="848"/>
      <c r="B69" s="848"/>
      <c r="C69" s="848"/>
      <c r="D69" s="848"/>
      <c r="E69" s="848"/>
      <c r="F69" s="848"/>
      <c r="G69" s="848"/>
      <c r="H69" s="848"/>
      <c r="I69" s="848"/>
      <c r="J69" s="848"/>
      <c r="K69" s="848"/>
      <c r="L69" s="848"/>
      <c r="M69" s="848"/>
      <c r="O69" s="844"/>
    </row>
    <row r="70" spans="1:18" s="846" customFormat="1" ht="8.1" customHeight="1" thickBot="1" x14ac:dyDescent="0.25">
      <c r="A70" s="849"/>
      <c r="B70" s="849"/>
      <c r="C70" s="849"/>
      <c r="D70" s="849"/>
      <c r="E70" s="849"/>
      <c r="F70" s="849"/>
      <c r="G70" s="849"/>
      <c r="H70" s="849"/>
      <c r="I70" s="849"/>
      <c r="J70" s="849"/>
      <c r="K70" s="849"/>
      <c r="L70" s="849"/>
      <c r="M70" s="849"/>
      <c r="O70" s="844"/>
    </row>
    <row r="71" spans="1:18" ht="20.100000000000001" customHeight="1" thickTop="1" x14ac:dyDescent="0.25">
      <c r="A71" s="850"/>
      <c r="B71" s="850"/>
      <c r="C71" s="851"/>
      <c r="D71" s="852" t="s">
        <v>528</v>
      </c>
      <c r="E71" s="853"/>
      <c r="F71" s="853"/>
      <c r="G71" s="854" t="s">
        <v>529</v>
      </c>
      <c r="H71" s="853"/>
      <c r="I71" s="853"/>
      <c r="J71" s="854" t="s">
        <v>530</v>
      </c>
      <c r="K71" s="853"/>
      <c r="L71" s="855"/>
      <c r="M71" s="856"/>
    </row>
    <row r="72" spans="1:18" ht="20.100000000000001" customHeight="1" thickBot="1" x14ac:dyDescent="0.25">
      <c r="A72" s="850"/>
      <c r="B72" s="850"/>
      <c r="C72" s="851"/>
      <c r="D72" s="860" t="s">
        <v>110</v>
      </c>
      <c r="E72" s="861" t="s">
        <v>19</v>
      </c>
      <c r="F72" s="861" t="s">
        <v>111</v>
      </c>
      <c r="G72" s="861" t="s">
        <v>110</v>
      </c>
      <c r="H72" s="861" t="s">
        <v>19</v>
      </c>
      <c r="I72" s="861" t="s">
        <v>111</v>
      </c>
      <c r="J72" s="861" t="s">
        <v>110</v>
      </c>
      <c r="K72" s="861" t="s">
        <v>19</v>
      </c>
      <c r="L72" s="862" t="s">
        <v>111</v>
      </c>
      <c r="M72" s="863"/>
    </row>
    <row r="73" spans="1:18" ht="21" customHeight="1" thickTop="1" x14ac:dyDescent="0.2">
      <c r="A73" s="866" t="str">
        <f>'3.A'!$A$190</f>
        <v>1.0</v>
      </c>
      <c r="B73" s="867" t="str">
        <f>VLOOKUP(A73,'3.A'!$A$12:$M$239,2,FALSE)</f>
        <v>CANTEIRO DE OBRAS</v>
      </c>
      <c r="C73" s="402">
        <f>VLOOKUP(A73,'3.A'!$A$12:$M$239,12,FALSE)</f>
        <v>0</v>
      </c>
      <c r="D73" s="868">
        <f>D74+E74+F74</f>
        <v>0</v>
      </c>
      <c r="E73" s="869"/>
      <c r="F73" s="869"/>
      <c r="G73" s="868">
        <f>G74+H74+I74</f>
        <v>0</v>
      </c>
      <c r="H73" s="869"/>
      <c r="I73" s="870"/>
      <c r="J73" s="868">
        <f>J74+K74+L74</f>
        <v>0</v>
      </c>
      <c r="K73" s="869"/>
      <c r="L73" s="870"/>
      <c r="M73" s="399">
        <f>SUM(D74:L74)</f>
        <v>0</v>
      </c>
    </row>
    <row r="74" spans="1:18" ht="21" customHeight="1" x14ac:dyDescent="0.2">
      <c r="A74" s="871"/>
      <c r="B74" s="872"/>
      <c r="C74" s="873"/>
      <c r="D74" s="131">
        <f>'3.A'!I192+'3.A'!I195</f>
        <v>0</v>
      </c>
      <c r="E74" s="131">
        <f>'3.A'!J192+'3.A'!J195</f>
        <v>0</v>
      </c>
      <c r="F74" s="131">
        <f>'3.A'!K192+'3.A'!K195</f>
        <v>0</v>
      </c>
      <c r="G74" s="131">
        <f>'3.A'!I193</f>
        <v>0</v>
      </c>
      <c r="H74" s="131">
        <f>'3.A'!J193</f>
        <v>0</v>
      </c>
      <c r="I74" s="131">
        <f>'3.A'!K193</f>
        <v>0</v>
      </c>
      <c r="J74" s="131">
        <f>'3.A'!I194</f>
        <v>0</v>
      </c>
      <c r="K74" s="131">
        <f>'3.A'!J194</f>
        <v>0</v>
      </c>
      <c r="L74" s="131">
        <f>'3.A'!K194</f>
        <v>0</v>
      </c>
      <c r="M74" s="395"/>
    </row>
    <row r="75" spans="1:18" ht="21" customHeight="1" x14ac:dyDescent="0.2">
      <c r="A75" s="871"/>
      <c r="B75" s="872"/>
      <c r="C75" s="230" t="e">
        <f>C73/$C$30</f>
        <v>#DIV/0!</v>
      </c>
      <c r="D75" s="400" t="e">
        <f>D73/$C$17</f>
        <v>#DIV/0!</v>
      </c>
      <c r="E75" s="401"/>
      <c r="F75" s="401"/>
      <c r="G75" s="400" t="e">
        <f>G73/$C$17</f>
        <v>#DIV/0!</v>
      </c>
      <c r="H75" s="401"/>
      <c r="I75" s="401"/>
      <c r="J75" s="400" t="e">
        <f>J73/$C$17</f>
        <v>#DIV/0!</v>
      </c>
      <c r="K75" s="401"/>
      <c r="L75" s="401"/>
      <c r="M75" s="232" t="e">
        <f>M73/C73</f>
        <v>#DIV/0!</v>
      </c>
    </row>
    <row r="76" spans="1:18" ht="21" customHeight="1" x14ac:dyDescent="0.2">
      <c r="A76" s="874" t="str">
        <f>'3.A'!$A$197</f>
        <v>2.0</v>
      </c>
      <c r="B76" s="875" t="str">
        <f>'3.A'!$B$197</f>
        <v>ENTRADA DE ENERGIA - POSTO SIMPLIFICADO DE SERVIÇO (PPS) - 112,5 KVA</v>
      </c>
      <c r="C76" s="876">
        <f>'3.A'!$L$197</f>
        <v>0</v>
      </c>
      <c r="D76" s="392">
        <f>D77+E77+F77</f>
        <v>0</v>
      </c>
      <c r="E76" s="393"/>
      <c r="F76" s="394"/>
      <c r="G76" s="392">
        <f>G77+H77+I77</f>
        <v>0</v>
      </c>
      <c r="H76" s="393"/>
      <c r="I76" s="394"/>
      <c r="J76" s="392"/>
      <c r="K76" s="393"/>
      <c r="L76" s="394"/>
      <c r="M76" s="391">
        <f>SUM(D77:L77)</f>
        <v>0</v>
      </c>
    </row>
    <row r="77" spans="1:18" ht="21" customHeight="1" x14ac:dyDescent="0.2">
      <c r="A77" s="874"/>
      <c r="B77" s="875"/>
      <c r="C77" s="876"/>
      <c r="D77" s="235">
        <f>'3.A'!I199+'3.A'!I200</f>
        <v>0</v>
      </c>
      <c r="E77" s="235">
        <f>'3.A'!J199+'3.A'!J200</f>
        <v>0</v>
      </c>
      <c r="F77" s="235">
        <f>'3.A'!K199+'3.A'!K200</f>
        <v>0</v>
      </c>
      <c r="G77" s="235">
        <f>'3.A'!I201+'3.A'!I202</f>
        <v>0</v>
      </c>
      <c r="H77" s="235">
        <f>'3.A'!J201+'3.A'!J202</f>
        <v>0</v>
      </c>
      <c r="I77" s="235">
        <f>'3.A'!K201+'3.A'!K202</f>
        <v>0</v>
      </c>
      <c r="J77" s="235"/>
      <c r="K77" s="235"/>
      <c r="L77" s="235"/>
      <c r="M77" s="391"/>
    </row>
    <row r="78" spans="1:18" s="881" customFormat="1" ht="21" customHeight="1" x14ac:dyDescent="0.2">
      <c r="A78" s="874"/>
      <c r="B78" s="875"/>
      <c r="C78" s="236" t="e">
        <f>C76/$C$30</f>
        <v>#DIV/0!</v>
      </c>
      <c r="D78" s="877" t="e">
        <f>D76/$C$20</f>
        <v>#DIV/0!</v>
      </c>
      <c r="E78" s="878"/>
      <c r="F78" s="879"/>
      <c r="G78" s="877" t="e">
        <f t="shared" ref="G78" si="8">G76/$C$20</f>
        <v>#DIV/0!</v>
      </c>
      <c r="H78" s="878"/>
      <c r="I78" s="879"/>
      <c r="J78" s="877"/>
      <c r="K78" s="878"/>
      <c r="L78" s="879"/>
      <c r="M78" s="237" t="e">
        <f>M76/C76</f>
        <v>#DIV/0!</v>
      </c>
      <c r="N78" s="880"/>
      <c r="R78" s="122"/>
    </row>
    <row r="79" spans="1:18" ht="21" customHeight="1" x14ac:dyDescent="0.2">
      <c r="A79" s="871" t="str">
        <f>'3.A'!$A$204</f>
        <v>3.0</v>
      </c>
      <c r="B79" s="872" t="str">
        <f>VLOOKUP(A79,'3.A'!$A$12:$M$239,2,FALSE)</f>
        <v>ADEQUAÇÃO ELÉTRICA</v>
      </c>
      <c r="C79" s="882">
        <f>'3.A'!$L$204</f>
        <v>0</v>
      </c>
      <c r="D79" s="408"/>
      <c r="E79" s="409"/>
      <c r="F79" s="410"/>
      <c r="G79" s="408">
        <f>G80+H80+I80</f>
        <v>0</v>
      </c>
      <c r="H79" s="409"/>
      <c r="I79" s="410"/>
      <c r="J79" s="408"/>
      <c r="K79" s="409"/>
      <c r="L79" s="410"/>
      <c r="M79" s="395">
        <f>SUM(D80:L80)</f>
        <v>0</v>
      </c>
    </row>
    <row r="80" spans="1:18" ht="21" customHeight="1" x14ac:dyDescent="0.2">
      <c r="A80" s="871"/>
      <c r="B80" s="872"/>
      <c r="C80" s="882"/>
      <c r="D80" s="235"/>
      <c r="E80" s="235"/>
      <c r="F80" s="235"/>
      <c r="G80" s="235">
        <f>'3.A'!I204</f>
        <v>0</v>
      </c>
      <c r="H80" s="235">
        <f>'3.A'!J204</f>
        <v>0</v>
      </c>
      <c r="I80" s="235">
        <f>'3.A'!K204</f>
        <v>0</v>
      </c>
      <c r="J80" s="235"/>
      <c r="K80" s="235"/>
      <c r="L80" s="235"/>
      <c r="M80" s="395"/>
    </row>
    <row r="81" spans="1:18" s="881" customFormat="1" ht="21" customHeight="1" x14ac:dyDescent="0.2">
      <c r="A81" s="871"/>
      <c r="B81" s="872"/>
      <c r="C81" s="231" t="e">
        <f>C79/$C$30</f>
        <v>#DIV/0!</v>
      </c>
      <c r="D81" s="883"/>
      <c r="E81" s="884"/>
      <c r="F81" s="885"/>
      <c r="G81" s="883" t="e">
        <f t="shared" ref="G81" si="9">G79/$C$23</f>
        <v>#DIV/0!</v>
      </c>
      <c r="H81" s="884"/>
      <c r="I81" s="885"/>
      <c r="J81" s="883"/>
      <c r="K81" s="884"/>
      <c r="L81" s="885"/>
      <c r="M81" s="232" t="e">
        <f>M79/C79</f>
        <v>#DIV/0!</v>
      </c>
      <c r="N81" s="880"/>
      <c r="R81" s="122"/>
    </row>
    <row r="82" spans="1:18" ht="21" customHeight="1" x14ac:dyDescent="0.2">
      <c r="A82" s="874" t="str">
        <f>'3.A'!$A$229</f>
        <v>4.0</v>
      </c>
      <c r="B82" s="875" t="str">
        <f>VLOOKUP(A82,'3.A'!$A$12:$M$239,2,FALSE)</f>
        <v>SERVIÇOS COMPLEMENTARES</v>
      </c>
      <c r="C82" s="876">
        <f>'3.A'!$L$229</f>
        <v>0</v>
      </c>
      <c r="D82" s="396"/>
      <c r="E82" s="397"/>
      <c r="F82" s="398"/>
      <c r="G82" s="396"/>
      <c r="H82" s="397"/>
      <c r="I82" s="398"/>
      <c r="J82" s="392">
        <f>J83+K83+L83</f>
        <v>0</v>
      </c>
      <c r="K82" s="393"/>
      <c r="L82" s="394"/>
      <c r="M82" s="391">
        <f>SUM(D83:L83)</f>
        <v>0</v>
      </c>
    </row>
    <row r="83" spans="1:18" ht="21" customHeight="1" x14ac:dyDescent="0.2">
      <c r="A83" s="874"/>
      <c r="B83" s="875"/>
      <c r="C83" s="876"/>
      <c r="D83" s="235"/>
      <c r="E83" s="235"/>
      <c r="F83" s="235"/>
      <c r="G83" s="235"/>
      <c r="H83" s="235"/>
      <c r="I83" s="235"/>
      <c r="J83" s="235">
        <f>'3.A'!I229</f>
        <v>0</v>
      </c>
      <c r="K83" s="235">
        <f>'3.A'!J229</f>
        <v>0</v>
      </c>
      <c r="L83" s="235">
        <f>'3.A'!K229</f>
        <v>0</v>
      </c>
      <c r="M83" s="391"/>
    </row>
    <row r="84" spans="1:18" s="881" customFormat="1" ht="21" customHeight="1" thickBot="1" x14ac:dyDescent="0.25">
      <c r="A84" s="886"/>
      <c r="B84" s="887"/>
      <c r="C84" s="259" t="e">
        <f>C82/$C$30</f>
        <v>#DIV/0!</v>
      </c>
      <c r="D84" s="888"/>
      <c r="E84" s="889"/>
      <c r="F84" s="890"/>
      <c r="G84" s="888"/>
      <c r="H84" s="889"/>
      <c r="I84" s="890"/>
      <c r="J84" s="888" t="e">
        <f t="shared" ref="J84" si="10">J82/$C$26</f>
        <v>#DIV/0!</v>
      </c>
      <c r="K84" s="889"/>
      <c r="L84" s="890"/>
      <c r="M84" s="260" t="e">
        <f>M82/C82</f>
        <v>#DIV/0!</v>
      </c>
      <c r="N84" s="880"/>
      <c r="R84" s="122"/>
    </row>
    <row r="85" spans="1:18" ht="16.5" thickTop="1" thickBot="1" x14ac:dyDescent="0.25">
      <c r="A85" s="891"/>
      <c r="B85" s="604"/>
      <c r="C85" s="128"/>
      <c r="D85" s="128"/>
      <c r="E85" s="128"/>
      <c r="F85" s="128"/>
      <c r="G85" s="129"/>
      <c r="H85" s="129"/>
      <c r="I85" s="129"/>
      <c r="J85" s="129"/>
      <c r="K85" s="129"/>
      <c r="L85" s="129"/>
      <c r="M85" s="130"/>
    </row>
    <row r="86" spans="1:18" ht="21" customHeight="1" thickTop="1" x14ac:dyDescent="0.2">
      <c r="A86" s="891"/>
      <c r="B86" s="892" t="s">
        <v>109</v>
      </c>
      <c r="C86" s="406">
        <f>ROUND(C17+C20+C23+C26+C45+C48+C51+C54+C73+C76+C79+C82,2)</f>
        <v>0</v>
      </c>
      <c r="D86" s="868">
        <f>D87+E87+F87</f>
        <v>0</v>
      </c>
      <c r="E86" s="869"/>
      <c r="F86" s="869"/>
      <c r="G86" s="893">
        <f>ROUND(G87+H87+I87,2)</f>
        <v>0</v>
      </c>
      <c r="H86" s="894"/>
      <c r="I86" s="894"/>
      <c r="J86" s="893">
        <f>ROUND(J87+K87+L87,2)</f>
        <v>0</v>
      </c>
      <c r="K86" s="894"/>
      <c r="L86" s="894"/>
      <c r="M86" s="411">
        <f>ROUND(M73+M76+M79+M82,2)</f>
        <v>0</v>
      </c>
    </row>
    <row r="87" spans="1:18" ht="21" customHeight="1" x14ac:dyDescent="0.2">
      <c r="A87" s="891"/>
      <c r="B87" s="892"/>
      <c r="C87" s="407"/>
      <c r="D87" s="132">
        <f t="shared" ref="D87:L87" si="11">D74+D77+D80+D83</f>
        <v>0</v>
      </c>
      <c r="E87" s="132">
        <f t="shared" si="11"/>
        <v>0</v>
      </c>
      <c r="F87" s="132">
        <f t="shared" si="11"/>
        <v>0</v>
      </c>
      <c r="G87" s="132">
        <f t="shared" si="11"/>
        <v>0</v>
      </c>
      <c r="H87" s="132">
        <f t="shared" si="11"/>
        <v>0</v>
      </c>
      <c r="I87" s="132">
        <f t="shared" si="11"/>
        <v>0</v>
      </c>
      <c r="J87" s="132">
        <f t="shared" si="11"/>
        <v>0</v>
      </c>
      <c r="K87" s="132">
        <f t="shared" si="11"/>
        <v>0</v>
      </c>
      <c r="L87" s="132">
        <f t="shared" si="11"/>
        <v>0</v>
      </c>
      <c r="M87" s="412"/>
    </row>
    <row r="88" spans="1:18" s="881" customFormat="1" ht="21" customHeight="1" thickBot="1" x14ac:dyDescent="0.25">
      <c r="A88" s="895"/>
      <c r="B88" s="892"/>
      <c r="C88" s="234" t="e">
        <f>C19+C22+C25+C28+C47+C50+C53+C56+C75+C78+C81+C84</f>
        <v>#DIV/0!</v>
      </c>
      <c r="D88" s="404" t="e">
        <f>ROUND(D86/$C$30,6)</f>
        <v>#DIV/0!</v>
      </c>
      <c r="E88" s="405"/>
      <c r="F88" s="405"/>
      <c r="G88" s="404" t="e">
        <f>ROUND(G86/$C$30,6)</f>
        <v>#DIV/0!</v>
      </c>
      <c r="H88" s="405"/>
      <c r="I88" s="405"/>
      <c r="J88" s="404" t="e">
        <f>ROUND(J86/$C$30,6)</f>
        <v>#DIV/0!</v>
      </c>
      <c r="K88" s="405"/>
      <c r="L88" s="405"/>
      <c r="M88" s="233" t="e">
        <f>ROUND(D88+J88+G88,6)</f>
        <v>#DIV/0!</v>
      </c>
      <c r="N88" s="880"/>
    </row>
    <row r="89" spans="1:18" ht="16.5" thickTop="1" thickBot="1" x14ac:dyDescent="0.25">
      <c r="A89" s="891"/>
      <c r="B89" s="896"/>
      <c r="C89" s="128"/>
      <c r="D89" s="128"/>
      <c r="E89" s="128"/>
      <c r="F89" s="128"/>
      <c r="G89" s="597"/>
      <c r="H89" s="597"/>
      <c r="I89" s="597"/>
      <c r="J89" s="597"/>
      <c r="K89" s="597"/>
      <c r="L89" s="597"/>
      <c r="M89" s="129"/>
    </row>
    <row r="90" spans="1:18" ht="21" customHeight="1" thickTop="1" x14ac:dyDescent="0.2">
      <c r="A90" s="665"/>
      <c r="B90" s="897" t="s">
        <v>107</v>
      </c>
      <c r="C90" s="898" t="s">
        <v>25</v>
      </c>
      <c r="D90" s="899">
        <f>J62+D86</f>
        <v>0</v>
      </c>
      <c r="E90" s="899"/>
      <c r="F90" s="899"/>
      <c r="G90" s="899">
        <f>D90+G86</f>
        <v>0</v>
      </c>
      <c r="H90" s="899"/>
      <c r="I90" s="868"/>
      <c r="J90" s="899">
        <f>G90+J86</f>
        <v>0</v>
      </c>
      <c r="K90" s="899"/>
      <c r="L90" s="900"/>
      <c r="M90" s="610"/>
    </row>
    <row r="91" spans="1:18" ht="21" customHeight="1" x14ac:dyDescent="0.2">
      <c r="A91" s="665"/>
      <c r="B91" s="897" t="s">
        <v>107</v>
      </c>
      <c r="C91" s="901" t="s">
        <v>25</v>
      </c>
      <c r="D91" s="902">
        <f>J63+D87</f>
        <v>0</v>
      </c>
      <c r="E91" s="902">
        <f>K63+E87</f>
        <v>0</v>
      </c>
      <c r="F91" s="902">
        <f>L63+F87</f>
        <v>0</v>
      </c>
      <c r="G91" s="902">
        <f>D91+G87</f>
        <v>0</v>
      </c>
      <c r="H91" s="902">
        <f>E91+H87</f>
        <v>0</v>
      </c>
      <c r="I91" s="903">
        <f>F91+I87</f>
        <v>0</v>
      </c>
      <c r="J91" s="902">
        <f>G91+J87</f>
        <v>0</v>
      </c>
      <c r="K91" s="902">
        <f>H91+K87</f>
        <v>0</v>
      </c>
      <c r="L91" s="904">
        <f>I91+L87</f>
        <v>0</v>
      </c>
      <c r="M91" s="610"/>
    </row>
    <row r="92" spans="1:18" ht="21" customHeight="1" x14ac:dyDescent="0.2">
      <c r="A92" s="665"/>
      <c r="B92" s="897" t="s">
        <v>108</v>
      </c>
      <c r="C92" s="901" t="s">
        <v>25</v>
      </c>
      <c r="D92" s="882">
        <f>ROUND($C$30-D90,2)</f>
        <v>0</v>
      </c>
      <c r="E92" s="882"/>
      <c r="F92" s="882"/>
      <c r="G92" s="882">
        <f>ROUND($C$30-G90,2)</f>
        <v>0</v>
      </c>
      <c r="H92" s="882"/>
      <c r="I92" s="905"/>
      <c r="J92" s="882">
        <f>ROUND($C$30-J90,2)</f>
        <v>0</v>
      </c>
      <c r="K92" s="882"/>
      <c r="L92" s="906"/>
      <c r="M92" s="610"/>
    </row>
    <row r="93" spans="1:18" ht="21" customHeight="1" thickBot="1" x14ac:dyDescent="0.25">
      <c r="A93" s="665"/>
      <c r="B93" s="897" t="s">
        <v>108</v>
      </c>
      <c r="C93" s="907" t="s">
        <v>25</v>
      </c>
      <c r="D93" s="908">
        <f>ROUND('3.A'!$F$251-'4.A'!D91,2)</f>
        <v>0</v>
      </c>
      <c r="E93" s="909">
        <f>ROUND('3.A'!$F$252-'4.A'!E91,2)</f>
        <v>0</v>
      </c>
      <c r="F93" s="908">
        <f>ROUND('3.A'!$F$253-'4.A'!F91,2)</f>
        <v>0</v>
      </c>
      <c r="G93" s="908">
        <f>ROUND('3.A'!$F$251-'4.A'!G91,2)</f>
        <v>0</v>
      </c>
      <c r="H93" s="909">
        <f>ROUND('3.A'!$F$252-'4.A'!H91,2)</f>
        <v>0</v>
      </c>
      <c r="I93" s="910">
        <f>ROUND('3.A'!$F$253-'4.A'!I91,2)</f>
        <v>0</v>
      </c>
      <c r="J93" s="908">
        <f>ROUND('3.A'!$F$251-'4.A'!J91,2)</f>
        <v>0</v>
      </c>
      <c r="K93" s="909">
        <f>ROUND('3.A'!$F$252-'4.A'!K91,2)</f>
        <v>0</v>
      </c>
      <c r="L93" s="911">
        <f>ROUND('3.A'!$F$253-'4.A'!L91,2)</f>
        <v>0</v>
      </c>
      <c r="M93" s="610"/>
    </row>
    <row r="94" spans="1:18" ht="6" customHeight="1" thickTop="1" x14ac:dyDescent="0.2">
      <c r="A94" s="912"/>
      <c r="B94" s="912"/>
      <c r="C94" s="608"/>
      <c r="D94" s="608"/>
      <c r="E94" s="608"/>
      <c r="F94" s="608"/>
      <c r="G94" s="913"/>
      <c r="H94" s="913"/>
      <c r="I94" s="913"/>
      <c r="J94" s="913"/>
      <c r="K94" s="913"/>
      <c r="L94" s="913"/>
      <c r="M94" s="847"/>
    </row>
    <row r="95" spans="1:18" x14ac:dyDescent="0.2">
      <c r="A95" s="914"/>
      <c r="B95" s="914"/>
      <c r="C95" s="914"/>
      <c r="D95" s="914"/>
      <c r="E95" s="914"/>
      <c r="F95" s="914"/>
      <c r="G95" s="914"/>
      <c r="H95" s="914"/>
      <c r="I95" s="914"/>
      <c r="J95" s="914"/>
      <c r="K95" s="914"/>
      <c r="L95" s="914"/>
      <c r="M95" s="914"/>
    </row>
    <row r="96" spans="1:18" x14ac:dyDescent="0.2">
      <c r="A96" s="915"/>
      <c r="B96" s="915"/>
      <c r="C96" s="915"/>
      <c r="D96" s="915"/>
      <c r="E96" s="915"/>
      <c r="F96" s="915"/>
      <c r="G96" s="915"/>
      <c r="H96" s="915"/>
      <c r="I96" s="915"/>
      <c r="J96" s="915"/>
      <c r="K96" s="915"/>
      <c r="L96" s="915"/>
      <c r="M96" s="915"/>
    </row>
    <row r="97" spans="1:13" x14ac:dyDescent="0.2">
      <c r="A97" s="915"/>
      <c r="B97" s="915"/>
      <c r="C97" s="915"/>
      <c r="D97" s="915"/>
      <c r="E97" s="914" t="str">
        <f>IF(D34=D35+E35+F35,"si","no")</f>
        <v>si</v>
      </c>
      <c r="F97" s="915"/>
      <c r="G97" s="915"/>
      <c r="H97" s="914" t="str">
        <f>IF(G34=G35+H35+I35,"si","no")</f>
        <v>si</v>
      </c>
      <c r="I97" s="915"/>
      <c r="J97" s="915"/>
      <c r="K97" s="914" t="str">
        <f>IF(J34=J35+K35+L35,"si","no")</f>
        <v>si</v>
      </c>
      <c r="L97" s="915"/>
      <c r="M97" s="915"/>
    </row>
    <row r="98" spans="1:13" x14ac:dyDescent="0.2">
      <c r="B98" s="915"/>
      <c r="E98" s="914" t="str">
        <f>IF(D36=D37+E37+F37,"si","no")</f>
        <v>si</v>
      </c>
      <c r="F98" s="916"/>
      <c r="G98" s="916"/>
      <c r="H98" s="914" t="str">
        <f>IF(G36=G37+H37+I37,"si","no")</f>
        <v>si</v>
      </c>
      <c r="I98" s="916"/>
      <c r="J98" s="916"/>
      <c r="K98" s="914" t="str">
        <f>IF(J36=J37+K37+L37,"si","no")</f>
        <v>si</v>
      </c>
    </row>
    <row r="99" spans="1:13" x14ac:dyDescent="0.2">
      <c r="E99" s="917" t="str">
        <f>IF(D34+D36=$C$30,"si","no")</f>
        <v>si</v>
      </c>
      <c r="F99" s="916"/>
      <c r="G99" s="916"/>
      <c r="H99" s="917" t="str">
        <f>IF(G34+G36=$C$30,"si","no")</f>
        <v>si</v>
      </c>
      <c r="I99" s="916"/>
      <c r="J99" s="916"/>
      <c r="K99" s="917" t="str">
        <f>IF(J34+J36=$C$30,"si","no")</f>
        <v>si</v>
      </c>
    </row>
    <row r="101" spans="1:13" x14ac:dyDescent="0.2">
      <c r="E101" s="914" t="str">
        <f>IF(D62=D63+E63+F63,"si","no")</f>
        <v>si</v>
      </c>
      <c r="F101" s="915"/>
      <c r="G101" s="915"/>
      <c r="H101" s="914" t="str">
        <f>IF(G62=G63+H63+I63,"si","no")</f>
        <v>si</v>
      </c>
      <c r="I101" s="915"/>
      <c r="J101" s="915"/>
      <c r="K101" s="914" t="str">
        <f>IF(J62=J63+K63+L63,"si","no")</f>
        <v>si</v>
      </c>
    </row>
    <row r="102" spans="1:13" x14ac:dyDescent="0.2">
      <c r="E102" s="914" t="str">
        <f>IF(D64=D65+E65+F65,"si","no")</f>
        <v>si</v>
      </c>
      <c r="F102" s="916"/>
      <c r="G102" s="916"/>
      <c r="H102" s="914" t="str">
        <f>IF(G64=G65+H65+I65,"si","no")</f>
        <v>si</v>
      </c>
      <c r="I102" s="916"/>
      <c r="J102" s="916"/>
      <c r="K102" s="914" t="str">
        <f>IF(J64=J65+K65+L65,"si","no")</f>
        <v>si</v>
      </c>
    </row>
    <row r="103" spans="1:13" x14ac:dyDescent="0.2">
      <c r="E103" s="917" t="str">
        <f>IF(D62+D64=$C$30,"si","no")</f>
        <v>si</v>
      </c>
      <c r="F103" s="916"/>
      <c r="G103" s="916"/>
      <c r="H103" s="917" t="str">
        <f>IF(G62+G64=$C$30,"si","no")</f>
        <v>si</v>
      </c>
      <c r="I103" s="916"/>
      <c r="J103" s="916"/>
      <c r="K103" s="917" t="str">
        <f>IF(J62+J64=$C$30,"si","no")</f>
        <v>si</v>
      </c>
    </row>
    <row r="105" spans="1:13" x14ac:dyDescent="0.2">
      <c r="E105" s="914" t="str">
        <f>IF(D90=D91+E91+F91,"si","no")</f>
        <v>si</v>
      </c>
      <c r="F105" s="915"/>
      <c r="G105" s="915"/>
      <c r="H105" s="914" t="str">
        <f>IF(G90=G91+H91+I91,"si","no")</f>
        <v>si</v>
      </c>
      <c r="I105" s="915"/>
      <c r="J105" s="915"/>
      <c r="K105" s="914" t="str">
        <f>IF(J90=J91+K91+L91,"si","no")</f>
        <v>si</v>
      </c>
    </row>
    <row r="106" spans="1:13" x14ac:dyDescent="0.2">
      <c r="E106" s="914" t="str">
        <f>IF(D92=D93+E93+F93,"si","no")</f>
        <v>si</v>
      </c>
      <c r="F106" s="916"/>
      <c r="G106" s="916"/>
      <c r="H106" s="914" t="str">
        <f>IF(G92=G93+H93+I93,"si","no")</f>
        <v>si</v>
      </c>
      <c r="I106" s="916"/>
      <c r="J106" s="916"/>
      <c r="K106" s="914" t="str">
        <f>IF(J92=J93+K93+L93,"si","no")</f>
        <v>si</v>
      </c>
    </row>
    <row r="107" spans="1:13" x14ac:dyDescent="0.2">
      <c r="E107" s="917" t="str">
        <f>IF(D90+D92=$C$30,"si","no")</f>
        <v>si</v>
      </c>
      <c r="F107" s="916"/>
      <c r="G107" s="916"/>
      <c r="H107" s="917" t="str">
        <f>IF(G90+G92=$C$30,"si","no")</f>
        <v>si</v>
      </c>
      <c r="I107" s="916"/>
      <c r="J107" s="916"/>
      <c r="K107" s="917" t="str">
        <f>IF(J90+J92=$C$30,"si","no")</f>
        <v>si</v>
      </c>
    </row>
    <row r="108" spans="1:13" x14ac:dyDescent="0.2">
      <c r="E108" s="917"/>
      <c r="F108" s="916"/>
      <c r="G108" s="916"/>
      <c r="H108" s="917"/>
      <c r="I108" s="916"/>
      <c r="J108" s="916"/>
      <c r="K108" s="917"/>
    </row>
  </sheetData>
  <sheetProtection algorithmName="SHA-512" hashValue="+F+JsFv3jqgChJ1O4thaPBSycFezi5tUVzAJJpChr3xSXv22t8nstb6VouZINRbkT7jCfOezb2mZf7oCvn9n9Q==" saltValue="F2Z93GBWH7ikZ8xpkt8Kwg==" spinCount="100000" sheet="1" objects="1" scenarios="1" selectLockedCells="1"/>
  <mergeCells count="187">
    <mergeCell ref="O15:O16"/>
    <mergeCell ref="D92:F92"/>
    <mergeCell ref="G92:I92"/>
    <mergeCell ref="J92:L92"/>
    <mergeCell ref="M86:M87"/>
    <mergeCell ref="D88:F88"/>
    <mergeCell ref="G88:I88"/>
    <mergeCell ref="J88:L88"/>
    <mergeCell ref="D90:F90"/>
    <mergeCell ref="G90:I90"/>
    <mergeCell ref="J90:L90"/>
    <mergeCell ref="J76:L76"/>
    <mergeCell ref="M76:M77"/>
    <mergeCell ref="D78:F78"/>
    <mergeCell ref="G78:I78"/>
    <mergeCell ref="J78:L78"/>
    <mergeCell ref="D64:F64"/>
    <mergeCell ref="G64:I64"/>
    <mergeCell ref="J64:L64"/>
    <mergeCell ref="A68:M69"/>
    <mergeCell ref="A71:C72"/>
    <mergeCell ref="D71:F71"/>
    <mergeCell ref="G71:I71"/>
    <mergeCell ref="J71:L71"/>
    <mergeCell ref="B86:B88"/>
    <mergeCell ref="C86:C87"/>
    <mergeCell ref="D86:F86"/>
    <mergeCell ref="G86:I86"/>
    <mergeCell ref="J86:L86"/>
    <mergeCell ref="J82:L82"/>
    <mergeCell ref="M82:M83"/>
    <mergeCell ref="D84:F84"/>
    <mergeCell ref="G84:I84"/>
    <mergeCell ref="J84:L84"/>
    <mergeCell ref="A82:A84"/>
    <mergeCell ref="B82:B84"/>
    <mergeCell ref="C82:C83"/>
    <mergeCell ref="D82:F82"/>
    <mergeCell ref="G82:I82"/>
    <mergeCell ref="J79:L79"/>
    <mergeCell ref="M79:M80"/>
    <mergeCell ref="D81:F81"/>
    <mergeCell ref="G81:I81"/>
    <mergeCell ref="J81:L81"/>
    <mergeCell ref="A79:A81"/>
    <mergeCell ref="B79:B81"/>
    <mergeCell ref="C79:C80"/>
    <mergeCell ref="D79:F79"/>
    <mergeCell ref="G79:I79"/>
    <mergeCell ref="A76:A78"/>
    <mergeCell ref="B76:B78"/>
    <mergeCell ref="C76:C77"/>
    <mergeCell ref="D76:F76"/>
    <mergeCell ref="G76:I76"/>
    <mergeCell ref="J73:L73"/>
    <mergeCell ref="M73:M74"/>
    <mergeCell ref="D75:F75"/>
    <mergeCell ref="G75:I75"/>
    <mergeCell ref="J75:L75"/>
    <mergeCell ref="A73:A75"/>
    <mergeCell ref="B73:B75"/>
    <mergeCell ref="C73:C74"/>
    <mergeCell ref="D73:F73"/>
    <mergeCell ref="G73:I73"/>
    <mergeCell ref="M71:M72"/>
    <mergeCell ref="M58:M59"/>
    <mergeCell ref="D60:F60"/>
    <mergeCell ref="G60:I60"/>
    <mergeCell ref="J60:L60"/>
    <mergeCell ref="D62:F62"/>
    <mergeCell ref="G62:I62"/>
    <mergeCell ref="J62:L62"/>
    <mergeCell ref="B58:B60"/>
    <mergeCell ref="C58:C59"/>
    <mergeCell ref="D58:F58"/>
    <mergeCell ref="G58:I58"/>
    <mergeCell ref="J58:L58"/>
    <mergeCell ref="J54:L54"/>
    <mergeCell ref="M54:M55"/>
    <mergeCell ref="D56:F56"/>
    <mergeCell ref="G56:I56"/>
    <mergeCell ref="J56:L56"/>
    <mergeCell ref="A54:A56"/>
    <mergeCell ref="B54:B56"/>
    <mergeCell ref="C54:C55"/>
    <mergeCell ref="D54:F54"/>
    <mergeCell ref="G54:I54"/>
    <mergeCell ref="M48:M49"/>
    <mergeCell ref="D50:F50"/>
    <mergeCell ref="G50:I50"/>
    <mergeCell ref="J50:L50"/>
    <mergeCell ref="A51:A53"/>
    <mergeCell ref="B51:B53"/>
    <mergeCell ref="C51:C52"/>
    <mergeCell ref="D51:F51"/>
    <mergeCell ref="G51:I51"/>
    <mergeCell ref="J51:L51"/>
    <mergeCell ref="M51:M52"/>
    <mergeCell ref="D53:F53"/>
    <mergeCell ref="G53:I53"/>
    <mergeCell ref="J53:L53"/>
    <mergeCell ref="J47:L47"/>
    <mergeCell ref="A48:A50"/>
    <mergeCell ref="B48:B50"/>
    <mergeCell ref="C48:C49"/>
    <mergeCell ref="D48:F48"/>
    <mergeCell ref="G48:I48"/>
    <mergeCell ref="J48:L48"/>
    <mergeCell ref="A12:M13"/>
    <mergeCell ref="A40:M41"/>
    <mergeCell ref="A43:C44"/>
    <mergeCell ref="D43:F43"/>
    <mergeCell ref="G43:I43"/>
    <mergeCell ref="J43:L43"/>
    <mergeCell ref="M43:M44"/>
    <mergeCell ref="M30:M31"/>
    <mergeCell ref="D32:F32"/>
    <mergeCell ref="J32:L32"/>
    <mergeCell ref="J34:L34"/>
    <mergeCell ref="J36:L36"/>
    <mergeCell ref="G34:I34"/>
    <mergeCell ref="D34:F34"/>
    <mergeCell ref="D36:F36"/>
    <mergeCell ref="G36:I36"/>
    <mergeCell ref="A45:A47"/>
    <mergeCell ref="B45:B47"/>
    <mergeCell ref="C45:C46"/>
    <mergeCell ref="D45:F45"/>
    <mergeCell ref="G45:I45"/>
    <mergeCell ref="J45:L45"/>
    <mergeCell ref="M45:M46"/>
    <mergeCell ref="D47:F47"/>
    <mergeCell ref="G47:I47"/>
    <mergeCell ref="A15:C16"/>
    <mergeCell ref="D15:F15"/>
    <mergeCell ref="J15:L15"/>
    <mergeCell ref="B30:B32"/>
    <mergeCell ref="G30:I30"/>
    <mergeCell ref="G32:I32"/>
    <mergeCell ref="C30:C31"/>
    <mergeCell ref="D30:F30"/>
    <mergeCell ref="J30:L30"/>
    <mergeCell ref="A23:A25"/>
    <mergeCell ref="B23:B25"/>
    <mergeCell ref="C23:C24"/>
    <mergeCell ref="D23:F23"/>
    <mergeCell ref="G23:I23"/>
    <mergeCell ref="J23:L23"/>
    <mergeCell ref="A20:A22"/>
    <mergeCell ref="M15:M16"/>
    <mergeCell ref="M17:M18"/>
    <mergeCell ref="A17:A19"/>
    <mergeCell ref="B17:B19"/>
    <mergeCell ref="D19:F19"/>
    <mergeCell ref="J19:L19"/>
    <mergeCell ref="G15:I15"/>
    <mergeCell ref="G17:I17"/>
    <mergeCell ref="G19:I19"/>
    <mergeCell ref="C17:C18"/>
    <mergeCell ref="D17:F17"/>
    <mergeCell ref="A9:M10"/>
    <mergeCell ref="J17:L17"/>
    <mergeCell ref="A7:M7"/>
    <mergeCell ref="A1:M5"/>
    <mergeCell ref="M23:M24"/>
    <mergeCell ref="D25:F25"/>
    <mergeCell ref="G25:I25"/>
    <mergeCell ref="J25:L25"/>
    <mergeCell ref="A26:A28"/>
    <mergeCell ref="B26:B28"/>
    <mergeCell ref="C26:C27"/>
    <mergeCell ref="D26:F26"/>
    <mergeCell ref="G26:I26"/>
    <mergeCell ref="J26:L26"/>
    <mergeCell ref="M26:M27"/>
    <mergeCell ref="D28:F28"/>
    <mergeCell ref="G28:I28"/>
    <mergeCell ref="J28:L28"/>
    <mergeCell ref="M20:M21"/>
    <mergeCell ref="D22:F22"/>
    <mergeCell ref="G22:I22"/>
    <mergeCell ref="J22:L22"/>
    <mergeCell ref="B20:B22"/>
    <mergeCell ref="C20:C21"/>
    <mergeCell ref="D20:F20"/>
    <mergeCell ref="G20:I20"/>
    <mergeCell ref="J20:L20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64" fitToHeight="0" orientation="landscape" horizontalDpi="4294967293" verticalDpi="4294967293" r:id="rId1"/>
  <rowBreaks count="2" manualBreakCount="2">
    <brk id="38" max="12" man="1"/>
    <brk id="66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10"/>
  <dimension ref="A1:W4235"/>
  <sheetViews>
    <sheetView view="pageBreakPreview" topLeftCell="A206" zoomScale="83" zoomScaleNormal="75" zoomScaleSheetLayoutView="83" workbookViewId="0">
      <selection activeCell="C256" sqref="C256"/>
    </sheetView>
  </sheetViews>
  <sheetFormatPr defaultRowHeight="12.75" x14ac:dyDescent="0.2"/>
  <cols>
    <col min="1" max="1" width="11.5703125" style="49" bestFit="1" customWidth="1"/>
    <col min="2" max="2" width="139.7109375" style="2" customWidth="1"/>
    <col min="3" max="3" width="12.28515625" style="2" customWidth="1"/>
    <col min="4" max="4" width="9.7109375" style="2" customWidth="1"/>
    <col min="5" max="5" width="21.7109375" style="11" customWidth="1"/>
    <col min="6" max="6" width="14.28515625" style="48" customWidth="1"/>
    <col min="7" max="7" width="14" style="48" hidden="1" customWidth="1"/>
    <col min="8" max="8" width="11.5703125" style="52" hidden="1" customWidth="1"/>
    <col min="9" max="9" width="13" style="57" hidden="1" customWidth="1"/>
    <col min="10" max="10" width="11" style="57" hidden="1" customWidth="1"/>
    <col min="11" max="11" width="12" style="57" hidden="1" customWidth="1"/>
    <col min="12" max="12" width="11.85546875" style="52" hidden="1" customWidth="1"/>
    <col min="13" max="13" width="12.42578125" style="50" hidden="1" customWidth="1"/>
    <col min="14" max="14" width="5.140625" style="50" hidden="1" customWidth="1"/>
    <col min="15" max="16" width="8.42578125" style="51" hidden="1" customWidth="1"/>
    <col min="17" max="17" width="14.7109375" style="2" hidden="1" customWidth="1"/>
    <col min="18" max="18" width="18.7109375" style="2" hidden="1" customWidth="1"/>
    <col min="19" max="19" width="11.28515625" style="65" hidden="1" customWidth="1"/>
    <col min="20" max="21" width="9.28515625" style="2" hidden="1" customWidth="1"/>
    <col min="22" max="22" width="4.140625" style="2" hidden="1" customWidth="1"/>
    <col min="23" max="28" width="0" style="2" hidden="1" customWidth="1"/>
    <col min="29" max="16384" width="9.140625" style="2"/>
  </cols>
  <sheetData>
    <row r="1" spans="1:22" ht="9.9499999999999993" customHeight="1" x14ac:dyDescent="0.2">
      <c r="A1" s="414" t="str">
        <f>'3.A'!$A$1</f>
        <v>TIMBRE DO LICITANTE</v>
      </c>
      <c r="B1" s="415"/>
      <c r="C1" s="415"/>
      <c r="D1" s="415"/>
      <c r="E1" s="415"/>
      <c r="F1" s="416"/>
      <c r="G1" s="71"/>
      <c r="H1" s="384"/>
      <c r="I1" s="383"/>
      <c r="J1" s="2"/>
      <c r="K1" s="2"/>
      <c r="L1" s="2"/>
      <c r="Q1" s="48"/>
      <c r="R1" s="48"/>
      <c r="S1" s="2"/>
    </row>
    <row r="2" spans="1:22" ht="11.1" customHeight="1" x14ac:dyDescent="0.2">
      <c r="A2" s="417"/>
      <c r="B2" s="559"/>
      <c r="C2" s="559"/>
      <c r="D2" s="559"/>
      <c r="E2" s="559"/>
      <c r="F2" s="418"/>
      <c r="G2" s="70"/>
      <c r="H2" s="384"/>
      <c r="I2" s="383"/>
      <c r="J2" s="2"/>
      <c r="K2" s="2"/>
      <c r="L2" s="2"/>
      <c r="Q2" s="48"/>
      <c r="R2" s="48"/>
      <c r="S2" s="2"/>
    </row>
    <row r="3" spans="1:22" ht="12.75" customHeight="1" x14ac:dyDescent="0.2">
      <c r="A3" s="417"/>
      <c r="B3" s="559"/>
      <c r="C3" s="559"/>
      <c r="D3" s="559"/>
      <c r="E3" s="559"/>
      <c r="F3" s="418"/>
      <c r="G3" s="71"/>
      <c r="H3" s="384"/>
      <c r="I3" s="383"/>
      <c r="J3" s="2"/>
      <c r="K3" s="2"/>
      <c r="L3" s="2"/>
      <c r="Q3" s="48"/>
      <c r="R3" s="48"/>
      <c r="S3" s="2"/>
    </row>
    <row r="4" spans="1:22" ht="6" customHeight="1" x14ac:dyDescent="0.2">
      <c r="A4" s="417"/>
      <c r="B4" s="559"/>
      <c r="C4" s="559"/>
      <c r="D4" s="559"/>
      <c r="E4" s="559"/>
      <c r="F4" s="418"/>
      <c r="G4" s="70"/>
      <c r="H4" s="384"/>
      <c r="I4" s="383"/>
      <c r="J4" s="2"/>
      <c r="K4" s="2"/>
      <c r="L4" s="2"/>
      <c r="Q4" s="48"/>
      <c r="R4" s="48"/>
      <c r="S4" s="2"/>
    </row>
    <row r="5" spans="1:22" ht="12.75" customHeight="1" x14ac:dyDescent="0.2">
      <c r="A5" s="417"/>
      <c r="B5" s="559"/>
      <c r="C5" s="559"/>
      <c r="D5" s="559"/>
      <c r="E5" s="559"/>
      <c r="F5" s="418"/>
      <c r="G5" s="3"/>
      <c r="H5" s="384"/>
      <c r="I5" s="383"/>
      <c r="J5" s="2"/>
      <c r="K5" s="2"/>
      <c r="L5" s="2"/>
      <c r="Q5" s="48"/>
      <c r="R5" s="48"/>
      <c r="S5" s="2"/>
    </row>
    <row r="6" spans="1:22" ht="6" customHeight="1" x14ac:dyDescent="0.2">
      <c r="A6" s="74"/>
      <c r="B6" s="9"/>
      <c r="C6" s="10"/>
      <c r="D6" s="57"/>
      <c r="F6" s="20"/>
      <c r="G6" s="12"/>
      <c r="J6" s="2"/>
      <c r="K6" s="2"/>
      <c r="L6" s="2"/>
      <c r="Q6" s="48"/>
      <c r="R6" s="48"/>
      <c r="S6" s="2"/>
    </row>
    <row r="7" spans="1:22" ht="32.1" customHeight="1" thickBot="1" x14ac:dyDescent="0.25">
      <c r="A7" s="426" t="str">
        <f>'3.A'!$A$8</f>
        <v>REFORMA DE 3 ENTRADAS DE ENERGIA EM 3 POÇOS TUBULARES DO AQUÍFERO BAURU (PTB) NO MUNÍCIPIO DE SÃO JOSÉ DO RIO PRETO</v>
      </c>
      <c r="B7" s="427"/>
      <c r="C7" s="427"/>
      <c r="D7" s="427"/>
      <c r="E7" s="427"/>
      <c r="F7" s="428"/>
      <c r="G7" s="4"/>
      <c r="Q7" s="48"/>
      <c r="R7" s="48"/>
    </row>
    <row r="8" spans="1:22" x14ac:dyDescent="0.2">
      <c r="A8" s="429" t="str">
        <f>'3.A'!$B$9</f>
        <v>LEIS SOCIAIS HORISTA - JORNADA NORMAL</v>
      </c>
      <c r="B8" s="430"/>
      <c r="C8" s="123">
        <f>'8.A'!$C$43</f>
        <v>0</v>
      </c>
      <c r="D8" s="422" t="s">
        <v>233</v>
      </c>
      <c r="E8" s="423"/>
      <c r="F8" s="918">
        <f>'3.A'!M9</f>
        <v>46023</v>
      </c>
      <c r="G8" s="5"/>
      <c r="Q8" s="48"/>
      <c r="R8" s="48"/>
    </row>
    <row r="9" spans="1:22" ht="13.5" thickBot="1" x14ac:dyDescent="0.25">
      <c r="A9" s="431" t="str">
        <f>'3.A'!$B$10</f>
        <v>BDI</v>
      </c>
      <c r="B9" s="432"/>
      <c r="C9" s="124">
        <f>'7.A'!$E$29</f>
        <v>0</v>
      </c>
      <c r="D9" s="424"/>
      <c r="E9" s="425"/>
      <c r="F9" s="919"/>
      <c r="G9" s="6"/>
      <c r="Q9" s="48"/>
      <c r="R9" s="48"/>
    </row>
    <row r="10" spans="1:22" ht="15" customHeight="1" thickBot="1" x14ac:dyDescent="0.3">
      <c r="A10" s="419" t="s">
        <v>635</v>
      </c>
      <c r="B10" s="420"/>
      <c r="C10" s="420"/>
      <c r="D10" s="420"/>
      <c r="E10" s="420"/>
      <c r="F10" s="421"/>
      <c r="G10" s="7"/>
      <c r="Q10" s="48"/>
      <c r="R10" s="48"/>
    </row>
    <row r="11" spans="1:22" s="137" customFormat="1" ht="12" customHeight="1" thickBot="1" x14ac:dyDescent="0.25">
      <c r="A11" s="150"/>
      <c r="B11" s="145"/>
      <c r="C11" s="146"/>
      <c r="D11" s="141"/>
      <c r="E11" s="147"/>
      <c r="F11" s="142"/>
      <c r="G11" s="142"/>
      <c r="H11" s="139"/>
      <c r="I11" s="141"/>
      <c r="J11" s="141"/>
      <c r="K11" s="141"/>
      <c r="L11" s="139"/>
      <c r="M11" s="143"/>
      <c r="N11" s="143"/>
      <c r="O11" s="144"/>
      <c r="P11" s="144"/>
      <c r="Q11" s="135"/>
      <c r="R11" s="135"/>
      <c r="S11" s="149"/>
    </row>
    <row r="12" spans="1:22" s="137" customFormat="1" ht="50.1" customHeight="1" x14ac:dyDescent="0.2">
      <c r="A12" s="151" t="str">
        <f>'3.A'!$A$19</f>
        <v>1.1</v>
      </c>
      <c r="B12" s="14" t="str">
        <f>IF(A12="","",VLOOKUP(A12,'3.A'!$A$17:$M$279,2,FALSE))</f>
        <v>MOBILIZAÇÃO DO CANTEIRO DE OBRAS</v>
      </c>
      <c r="C12" s="413" t="s">
        <v>62</v>
      </c>
      <c r="D12" s="413"/>
      <c r="E12" s="15" t="str">
        <f>IF(A12="","",VLOOKUP(A12,'3.A'!$A$17:$M$279,3,FALSE))</f>
        <v>GB</v>
      </c>
      <c r="F12" s="16">
        <f>ROUND(F26+F39+F62,2)</f>
        <v>0</v>
      </c>
      <c r="G12" s="118">
        <f>VLOOKUP(A12,'3.A'!$A$19:$I$279,4,FALSE)</f>
        <v>1</v>
      </c>
      <c r="H12" s="47">
        <f>SUM(F14:F25)</f>
        <v>0</v>
      </c>
      <c r="I12" s="47">
        <f>SUM(F28:F38)</f>
        <v>0</v>
      </c>
      <c r="J12" s="47">
        <f>SUM(F41:F61)</f>
        <v>0</v>
      </c>
      <c r="K12" s="47">
        <f>SUM(H12:J12)</f>
        <v>0</v>
      </c>
      <c r="L12" s="47" t="str">
        <f>IF(K12=F12,"SIM","NÃO")</f>
        <v>SIM</v>
      </c>
      <c r="M12" s="58">
        <f>ROUND(SUM(F14:F23)*C24,2)+ROUND(SUM(F14:F24)*C25,2)+ROUND(SUM(F14:F23),2)+ROUND(SUM(F28:F37)*C38,2)+ROUND(SUM(F28:F37),2)+ROUND(SUM(F41:F60)*C61,2)+ROUND(SUM(F41:F60),2)</f>
        <v>0</v>
      </c>
      <c r="N12" s="50" t="str">
        <f>IF(M12=F12,"SIM","NÃO")</f>
        <v>SIM</v>
      </c>
      <c r="O12" s="51" t="str">
        <f>VLOOKUP(A12,'3.A'!$A$8:$E$279,3,FALSE)</f>
        <v>GB</v>
      </c>
      <c r="P12" s="51" t="str">
        <f>IF(O12=E12,"SIM","NÃO")</f>
        <v>SIM</v>
      </c>
      <c r="Q12" s="53">
        <f>ROUND(G12*F26,2)+ROUND(G12*F39,2)+ROUND(G12*F62,2)</f>
        <v>0</v>
      </c>
      <c r="R12" s="59">
        <f>VLOOKUP(A12,'3.A'!$A$17:$L$279,12,FALSE)</f>
        <v>0</v>
      </c>
      <c r="S12" s="60" t="str">
        <f>IF(Q12=R12,"si","no")</f>
        <v>si</v>
      </c>
      <c r="T12" s="61">
        <f>SUM(L14:L23)+SUM(L28:L37)+SUM(L41:L60)</f>
        <v>31.979999999999997</v>
      </c>
      <c r="U12" s="52">
        <f>G12*C20+G12*C22+G12*C15+G12*C16+G12*C18+G12*C21+G12*C19+G12*C14+G12*C17+G12*C23+G12*C34+G12*C28+G12*C36+G12*C35+G12*C33+G12*C30+G12*C29+G12*C31+G12*C37+G12*C32+G12*C41+G12*C42+G12*C43+G12*C51+G12*C52+G12*C53+G12*C54+G12*C55+G12*C56+G12*C57+G12*C58+G12*C59+G12*C60+G12*C49+G12*C50+G12*C44+G12*C45+G12*C46+G12*C47+G12*C48</f>
        <v>31.979999999999997</v>
      </c>
      <c r="V12" s="54" t="str">
        <f>IF(T12=U12,"si","no")</f>
        <v>si</v>
      </c>
    </row>
    <row r="13" spans="1:22" s="137" customFormat="1" ht="12.75" customHeight="1" x14ac:dyDescent="0.2">
      <c r="A13" s="152" t="s">
        <v>3</v>
      </c>
      <c r="B13" s="153" t="s">
        <v>58</v>
      </c>
      <c r="C13" s="140" t="s">
        <v>59</v>
      </c>
      <c r="D13" s="140" t="s">
        <v>16</v>
      </c>
      <c r="E13" s="154" t="s">
        <v>60</v>
      </c>
      <c r="F13" s="148" t="s">
        <v>61</v>
      </c>
      <c r="G13" s="21"/>
      <c r="H13" s="52"/>
      <c r="I13" s="57"/>
      <c r="J13" s="57"/>
      <c r="K13" s="57"/>
      <c r="L13" s="52"/>
      <c r="M13" s="57"/>
      <c r="N13" s="57"/>
      <c r="O13" s="56"/>
      <c r="P13" s="56"/>
      <c r="Q13" s="48"/>
      <c r="R13" s="48"/>
      <c r="S13" s="65"/>
      <c r="T13" s="2"/>
      <c r="U13" s="2"/>
      <c r="V13" s="2"/>
    </row>
    <row r="14" spans="1:22" s="149" customFormat="1" ht="12.75" customHeight="1" x14ac:dyDescent="0.2">
      <c r="A14" s="22">
        <f>'6.A'!$A$18</f>
        <v>88264</v>
      </c>
      <c r="B14" s="23" t="str">
        <f>IF(A14="","",VLOOKUP(A14,'6.A'!$A$11:$G$180,2,FALSE))</f>
        <v>ELETRICISTA COM ENCARGOS COMPLEMENTARES</v>
      </c>
      <c r="C14" s="99">
        <v>8</v>
      </c>
      <c r="D14" s="57" t="str">
        <f>IF(A14="","",VLOOKUP(A14,'6.A'!$A$11:$G$180,4,FALSE))</f>
        <v>H</v>
      </c>
      <c r="E14" s="100">
        <f>IF(A14="","",VLOOKUP(A14,'6.A'!$A$11:$G$180,5,FALSE))</f>
        <v>0</v>
      </c>
      <c r="F14" s="24">
        <f t="shared" ref="F14:F23" si="0">IF(A14="","0,00",ROUND(C14*E14,2))</f>
        <v>0</v>
      </c>
      <c r="G14" s="52"/>
      <c r="H14" s="52">
        <f>IF(A14="","",VLOOKUP(A14,'6.A'!$A$11:$E$7984,5,FALSE))</f>
        <v>0</v>
      </c>
      <c r="I14" s="52" t="str">
        <f t="shared" ref="I14" si="1">IF(H14="","",IF(E14=H14,"SIM","NÃO"))</f>
        <v>SIM</v>
      </c>
      <c r="J14" s="52" t="str">
        <f>IF(H14="","",VLOOKUP(A14,'6.A'!$A$11:$E$564,4,FALSE))</f>
        <v>H</v>
      </c>
      <c r="K14" s="52" t="str">
        <f t="shared" ref="K14" si="2">IF(H14="","",IF(J14=D14,"SIM","NÃO"))</f>
        <v>SIM</v>
      </c>
      <c r="L14" s="52">
        <f>IF(H14="","",IF(C14="","",G12*C14))</f>
        <v>8</v>
      </c>
      <c r="M14" s="117" t="str">
        <f>IF(A14="","",VLOOKUP(A14,'6.A'!$A$11:$C$564,2,FALSE))</f>
        <v>ELETRICISTA COM ENCARGOS COMPLEMENTARES</v>
      </c>
      <c r="N14" s="57" t="str">
        <f t="shared" ref="N14" si="3">IF(A14="","",IF(M14=B14,"si","no"))</f>
        <v>si</v>
      </c>
      <c r="O14" s="56"/>
      <c r="P14" s="56"/>
      <c r="Q14" s="48"/>
      <c r="R14" s="48"/>
      <c r="S14" s="65"/>
      <c r="T14" s="2"/>
      <c r="U14" s="2"/>
      <c r="V14" s="2"/>
    </row>
    <row r="15" spans="1:22" s="149" customFormat="1" ht="12.75" customHeight="1" x14ac:dyDescent="0.2">
      <c r="A15" s="22">
        <f>'6.A'!$A$20</f>
        <v>88309</v>
      </c>
      <c r="B15" s="23" t="str">
        <f>IF(A15="","",VLOOKUP(A15,'6.A'!$A$11:$G$180,2,FALSE))</f>
        <v>PEDREIRO COM ENCARGOS COMPLEMENTARES</v>
      </c>
      <c r="C15" s="99">
        <v>8</v>
      </c>
      <c r="D15" s="57" t="str">
        <f>IF(A15="","",VLOOKUP(A15,'6.A'!$A$11:$G$180,4,FALSE))</f>
        <v>H</v>
      </c>
      <c r="E15" s="100">
        <f>IF(A15="","",VLOOKUP(A15,'6.A'!$A$11:$G$180,5,FALSE))</f>
        <v>0</v>
      </c>
      <c r="F15" s="24">
        <f>IF(A15="","0,00",ROUND(C15*E15,2))</f>
        <v>0</v>
      </c>
      <c r="G15" s="52"/>
      <c r="H15" s="52">
        <f>IF(A15="","",VLOOKUP(A15,'6.A'!$A$11:$E$7984,5,FALSE))</f>
        <v>0</v>
      </c>
      <c r="I15" s="52" t="str">
        <f t="shared" ref="I15:I20" si="4">IF(H15="","",IF(E15=H15,"SIM","NÃO"))</f>
        <v>SIM</v>
      </c>
      <c r="J15" s="52" t="str">
        <f>IF(H15="","",VLOOKUP(A15,'6.A'!$A$11:$E$564,4,FALSE))</f>
        <v>H</v>
      </c>
      <c r="K15" s="52" t="str">
        <f t="shared" ref="K15" si="5">IF(H15="","",IF(J15=D15,"SIM","NÃO"))</f>
        <v>SIM</v>
      </c>
      <c r="L15" s="52">
        <f>IF(H15="","",IF(C15="","",G12*C15))</f>
        <v>8</v>
      </c>
      <c r="M15" s="117" t="str">
        <f>IF(A15="","",VLOOKUP(A15,'6.A'!$A$11:$C$564,2,FALSE))</f>
        <v>PEDREIRO COM ENCARGOS COMPLEMENTARES</v>
      </c>
      <c r="N15" s="57" t="str">
        <f t="shared" ref="N15" si="6">IF(A15="","",IF(M15=B15,"si","no"))</f>
        <v>si</v>
      </c>
      <c r="O15" s="56"/>
      <c r="P15" s="56"/>
      <c r="Q15" s="48"/>
      <c r="R15" s="48"/>
      <c r="S15" s="65"/>
      <c r="T15" s="2"/>
      <c r="U15" s="2"/>
      <c r="V15" s="2"/>
    </row>
    <row r="16" spans="1:22" s="149" customFormat="1" ht="12.75" customHeight="1" x14ac:dyDescent="0.2">
      <c r="A16" s="155">
        <f>'6.A'!$A$24</f>
        <v>90776</v>
      </c>
      <c r="B16" s="138" t="str">
        <f>IF(A16="","",VLOOKUP(A16,'6.A'!$A$11:$G$180,2,FALSE))</f>
        <v>ENCARREGADO GERAL COM ENCARGOS COMPLEMENTARES</v>
      </c>
      <c r="C16" s="156">
        <v>8</v>
      </c>
      <c r="D16" s="157" t="str">
        <f>IF(A16="","",VLOOKUP(A16,'6.A'!$A$11:$G$180,4,FALSE))</f>
        <v>H</v>
      </c>
      <c r="E16" s="158">
        <f>IF(A16="","",VLOOKUP(A16,'6.A'!$A$11:$G$180,5,FALSE))</f>
        <v>0</v>
      </c>
      <c r="F16" s="24">
        <f>IF(A16="","0,00",ROUND(C16*E16,2))</f>
        <v>0</v>
      </c>
      <c r="G16" s="52"/>
      <c r="H16" s="52">
        <f>IF(A16="","",VLOOKUP(A16,'6.A'!$A$11:$E$7984,5,FALSE))</f>
        <v>0</v>
      </c>
      <c r="I16" s="52" t="str">
        <f t="shared" si="4"/>
        <v>SIM</v>
      </c>
      <c r="J16" s="52" t="str">
        <f>IF(H16="","",VLOOKUP(A16,'6.A'!$A$11:$E$564,4,FALSE))</f>
        <v>H</v>
      </c>
      <c r="K16" s="52" t="str">
        <f>IF(H16="","",IF(J16=D16,"SIM","NÃO"))</f>
        <v>SIM</v>
      </c>
      <c r="L16" s="52">
        <f>IF(H16="","",IF(C16="","",G12*C16))</f>
        <v>8</v>
      </c>
      <c r="M16" s="117" t="str">
        <f>IF(A16="","",VLOOKUP(A16,'6.A'!$A$11:$C$564,2,FALSE))</f>
        <v>ENCARREGADO GERAL COM ENCARGOS COMPLEMENTARES</v>
      </c>
      <c r="N16" s="57" t="str">
        <f>IF(A16="","",IF(M16=B16,"si","no"))</f>
        <v>si</v>
      </c>
      <c r="O16" s="56"/>
      <c r="P16" s="56"/>
      <c r="Q16" s="48"/>
      <c r="R16" s="48"/>
      <c r="S16" s="65"/>
      <c r="T16" s="2"/>
      <c r="U16" s="2"/>
      <c r="V16" s="2"/>
    </row>
    <row r="17" spans="1:22" s="149" customFormat="1" ht="12.75" customHeight="1" x14ac:dyDescent="0.2">
      <c r="A17" s="155"/>
      <c r="B17" s="138"/>
      <c r="C17" s="156"/>
      <c r="D17" s="157"/>
      <c r="E17" s="158"/>
      <c r="F17" s="24" t="str">
        <f t="shared" ref="F17" si="7">IF(A17="","0,00",ROUND(C17*E17,2))</f>
        <v>0,00</v>
      </c>
      <c r="G17" s="52"/>
      <c r="H17" s="52" t="str">
        <f>IF(A17="","",VLOOKUP(A17,'6.A'!$A$11:$E$7984,5,FALSE))</f>
        <v/>
      </c>
      <c r="I17" s="52" t="str">
        <f t="shared" si="4"/>
        <v/>
      </c>
      <c r="J17" s="52" t="str">
        <f>IF(H17="","",VLOOKUP(A17,'6.A'!$A$11:$E$564,4,FALSE))</f>
        <v/>
      </c>
      <c r="K17" s="52" t="str">
        <f>IF(H17="","",IF(J17=D17,"SIM","NÃO"))</f>
        <v/>
      </c>
      <c r="L17" s="52" t="str">
        <f>IF(H17="","",IF(C17="","",G12*C17))</f>
        <v/>
      </c>
      <c r="M17" s="117" t="str">
        <f>IF(A17="","",VLOOKUP(A17,'6.A'!$A$11:$C$564,2,FALSE))</f>
        <v/>
      </c>
      <c r="N17" s="57" t="str">
        <f>IF(A17="","",IF(M17=B17,"si","no"))</f>
        <v/>
      </c>
      <c r="O17" s="56"/>
      <c r="P17" s="56"/>
      <c r="Q17" s="48"/>
      <c r="R17" s="48"/>
      <c r="S17" s="65"/>
      <c r="T17" s="2"/>
      <c r="U17" s="2"/>
      <c r="V17" s="2"/>
    </row>
    <row r="18" spans="1:22" s="149" customFormat="1" ht="12.75" customHeight="1" x14ac:dyDescent="0.2">
      <c r="A18" s="22"/>
      <c r="B18" s="23"/>
      <c r="C18" s="99"/>
      <c r="D18" s="57"/>
      <c r="E18" s="100"/>
      <c r="F18" s="24" t="str">
        <f>IF(A18="","0,00",ROUND(C18*E18,2))</f>
        <v>0,00</v>
      </c>
      <c r="G18" s="52"/>
      <c r="H18" s="52" t="str">
        <f>IF(A18="","",VLOOKUP(A18,'6.A'!$A$11:$E$7984,5,FALSE))</f>
        <v/>
      </c>
      <c r="I18" s="52" t="str">
        <f t="shared" si="4"/>
        <v/>
      </c>
      <c r="J18" s="52" t="str">
        <f>IF(H18="","",VLOOKUP(A18,'6.A'!$A$11:$E$564,4,FALSE))</f>
        <v/>
      </c>
      <c r="K18" s="52" t="str">
        <f>IF(H18="","",IF(J18=D18,"SIM","NÃO"))</f>
        <v/>
      </c>
      <c r="L18" s="52" t="str">
        <f>IF(H18="","",IF(C18="","",G12*C18))</f>
        <v/>
      </c>
      <c r="M18" s="117" t="str">
        <f>IF(A18="","",VLOOKUP(A18,'6.A'!$A$11:$C$564,2,FALSE))</f>
        <v/>
      </c>
      <c r="N18" s="57" t="str">
        <f>IF(A18="","",IF(M18=B18,"si","no"))</f>
        <v/>
      </c>
      <c r="O18" s="56"/>
      <c r="P18" s="56"/>
      <c r="Q18" s="48"/>
      <c r="R18" s="48"/>
      <c r="S18" s="65"/>
      <c r="T18" s="2"/>
      <c r="U18" s="2"/>
      <c r="V18" s="2"/>
    </row>
    <row r="19" spans="1:22" s="149" customFormat="1" ht="12.75" customHeight="1" x14ac:dyDescent="0.2">
      <c r="A19" s="155"/>
      <c r="B19" s="138"/>
      <c r="C19" s="156"/>
      <c r="D19" s="157"/>
      <c r="E19" s="158"/>
      <c r="F19" s="24" t="str">
        <f t="shared" si="0"/>
        <v>0,00</v>
      </c>
      <c r="G19" s="52"/>
      <c r="H19" s="52" t="str">
        <f>IF(A19="","",VLOOKUP(A19,'6.A'!$A$11:$E$7984,5,FALSE))</f>
        <v/>
      </c>
      <c r="I19" s="52" t="str">
        <f t="shared" si="4"/>
        <v/>
      </c>
      <c r="J19" s="52" t="str">
        <f>IF(H19="","",VLOOKUP(A19,'6.A'!$A$11:$E$564,4,FALSE))</f>
        <v/>
      </c>
      <c r="K19" s="52" t="str">
        <f>IF(H19="","",IF(J19=D19,"SIM","NÃO"))</f>
        <v/>
      </c>
      <c r="L19" s="52" t="str">
        <f>IF(H19="","",IF(C19="","",G12*C19))</f>
        <v/>
      </c>
      <c r="M19" s="117" t="str">
        <f>IF(A19="","",VLOOKUP(A19,'6.A'!$A$11:$C$564,2,FALSE))</f>
        <v/>
      </c>
      <c r="N19" s="57" t="str">
        <f>IF(A19="","",IF(M19=B19,"si","no"))</f>
        <v/>
      </c>
      <c r="O19" s="56"/>
      <c r="P19" s="56"/>
      <c r="Q19" s="48"/>
      <c r="R19" s="48"/>
      <c r="S19" s="65"/>
      <c r="T19" s="2"/>
      <c r="U19" s="2"/>
      <c r="V19" s="2"/>
    </row>
    <row r="20" spans="1:22" s="149" customFormat="1" ht="12.75" customHeight="1" x14ac:dyDescent="0.2">
      <c r="A20" s="155"/>
      <c r="B20" s="138" t="str">
        <f>IF(A20="","",VLOOKUP(A20,'6.A'!$A$11:$G$180,2,FALSE))</f>
        <v/>
      </c>
      <c r="C20" s="156"/>
      <c r="D20" s="157" t="str">
        <f>IF(A20="","",VLOOKUP(A20,'6.A'!$A$11:$G$180,4,FALSE))</f>
        <v/>
      </c>
      <c r="E20" s="158" t="str">
        <f>IF(A20="","",VLOOKUP(A20,'6.A'!$A$11:$G$180,5,FALSE))</f>
        <v/>
      </c>
      <c r="F20" s="24" t="str">
        <f t="shared" si="0"/>
        <v>0,00</v>
      </c>
      <c r="G20" s="52"/>
      <c r="H20" s="52" t="str">
        <f>IF(A20="","",VLOOKUP(A20,'6.A'!$A$11:$E$7984,5,FALSE))</f>
        <v/>
      </c>
      <c r="I20" s="52" t="str">
        <f t="shared" si="4"/>
        <v/>
      </c>
      <c r="J20" s="52" t="str">
        <f>IF(H20="","",VLOOKUP(A20,'6.A'!$A$11:$E$564,4,FALSE))</f>
        <v/>
      </c>
      <c r="K20" s="52" t="str">
        <f>IF(H20="","",IF(J20=D20,"SIM","NÃO"))</f>
        <v/>
      </c>
      <c r="L20" s="52" t="str">
        <f>IF(H20="","",IF(C20="","",G12*C20))</f>
        <v/>
      </c>
      <c r="M20" s="117" t="str">
        <f>IF(A20="","",VLOOKUP(A20,'6.A'!$A$11:$C$564,2,FALSE))</f>
        <v/>
      </c>
      <c r="N20" s="57" t="str">
        <f>IF(A20="","",IF(M20=B20,"si","no"))</f>
        <v/>
      </c>
      <c r="O20" s="56"/>
      <c r="P20" s="56"/>
      <c r="Q20" s="48"/>
      <c r="R20" s="48"/>
      <c r="S20" s="65"/>
      <c r="T20" s="2"/>
      <c r="U20" s="2"/>
      <c r="V20" s="2"/>
    </row>
    <row r="21" spans="1:22" s="149" customFormat="1" ht="12.75" customHeight="1" x14ac:dyDescent="0.2">
      <c r="A21" s="155"/>
      <c r="B21" s="138" t="str">
        <f>IF(A21="","",VLOOKUP(A21,'6.A'!$A$11:$G$180,2,FALSE))</f>
        <v/>
      </c>
      <c r="C21" s="156"/>
      <c r="D21" s="157" t="str">
        <f>IF(A21="","",VLOOKUP(A21,'6.A'!$A$11:$G$180,4,FALSE))</f>
        <v/>
      </c>
      <c r="E21" s="158" t="str">
        <f>IF(A21="","",VLOOKUP(A21,'6.A'!$A$11:$G$180,5,FALSE))</f>
        <v/>
      </c>
      <c r="F21" s="24" t="str">
        <f t="shared" si="0"/>
        <v>0,00</v>
      </c>
      <c r="G21" s="52"/>
      <c r="H21" s="52" t="str">
        <f>IF(A21="","",VLOOKUP(A21,'6.A'!$A$11:$E$7984,5,FALSE))</f>
        <v/>
      </c>
      <c r="I21" s="52" t="str">
        <f t="shared" ref="I21" si="8">IF(H21="","",IF(E21=H21,"SIM","NÃO"))</f>
        <v/>
      </c>
      <c r="J21" s="52" t="str">
        <f>IF(H21="","",VLOOKUP(A21,'6.A'!$A$11:$E$564,4,FALSE))</f>
        <v/>
      </c>
      <c r="K21" s="52" t="str">
        <f t="shared" ref="K21" si="9">IF(H21="","",IF(J21=D21,"SIM","NÃO"))</f>
        <v/>
      </c>
      <c r="L21" s="52" t="str">
        <f>IF(H21="","",IF(C21="","",G12*C21))</f>
        <v/>
      </c>
      <c r="M21" s="117" t="str">
        <f>IF(A21="","",VLOOKUP(A21,'6.A'!$A$11:$C$564,2,FALSE))</f>
        <v/>
      </c>
      <c r="N21" s="57" t="str">
        <f t="shared" ref="N21" si="10">IF(A21="","",IF(M21=B21,"si","no"))</f>
        <v/>
      </c>
      <c r="O21" s="56"/>
      <c r="P21" s="56"/>
      <c r="Q21" s="48"/>
      <c r="R21" s="48"/>
      <c r="S21" s="65"/>
      <c r="T21" s="2"/>
      <c r="U21" s="2"/>
      <c r="V21" s="2"/>
    </row>
    <row r="22" spans="1:22" s="149" customFormat="1" ht="12.75" customHeight="1" x14ac:dyDescent="0.2">
      <c r="A22" s="155"/>
      <c r="B22" s="138" t="str">
        <f>IF(A22="","",VLOOKUP(A22,'6.A'!$A$11:$G$180,2,FALSE))</f>
        <v/>
      </c>
      <c r="C22" s="156"/>
      <c r="D22" s="157" t="str">
        <f>IF(A22="","",VLOOKUP(A22,'6.A'!$A$11:$G$180,4,FALSE))</f>
        <v/>
      </c>
      <c r="E22" s="158" t="str">
        <f>IF(A22="","",VLOOKUP(A22,'6.A'!$A$11:$G$180,5,FALSE))</f>
        <v/>
      </c>
      <c r="F22" s="24" t="str">
        <f t="shared" si="0"/>
        <v>0,00</v>
      </c>
      <c r="G22" s="52"/>
      <c r="H22" s="52" t="str">
        <f>IF(A22="","",VLOOKUP(A22,'6.A'!$A$11:$E$7984,5,FALSE))</f>
        <v/>
      </c>
      <c r="I22" s="52" t="str">
        <f>IF(H22="","",IF(E22=H22,"SIM","NÃO"))</f>
        <v/>
      </c>
      <c r="J22" s="52" t="str">
        <f>IF(H22="","",VLOOKUP(A22,'6.A'!$A$11:$E$564,4,FALSE))</f>
        <v/>
      </c>
      <c r="K22" s="52" t="str">
        <f>IF(H22="","",IF(J22=D22,"SIM","NÃO"))</f>
        <v/>
      </c>
      <c r="L22" s="52" t="str">
        <f>IF(H22="","",IF(C22="","",G12*C22))</f>
        <v/>
      </c>
      <c r="M22" s="117" t="str">
        <f>IF(A22="","",VLOOKUP(A22,'6.A'!$A$11:$C$564,2,FALSE))</f>
        <v/>
      </c>
      <c r="N22" s="57" t="str">
        <f>IF(A22="","",IF(M22=B22,"si","no"))</f>
        <v/>
      </c>
      <c r="O22" s="56"/>
      <c r="P22" s="56"/>
      <c r="Q22" s="48"/>
      <c r="R22" s="48"/>
      <c r="S22" s="65"/>
      <c r="T22" s="2"/>
      <c r="U22" s="2"/>
      <c r="V22" s="2"/>
    </row>
    <row r="23" spans="1:22" s="149" customFormat="1" ht="12.75" customHeight="1" x14ac:dyDescent="0.2">
      <c r="A23" s="155"/>
      <c r="B23" s="138" t="str">
        <f>IF(A23="","",VLOOKUP(A23,'6.A'!$A$11:$G$180,2,FALSE))</f>
        <v/>
      </c>
      <c r="C23" s="156"/>
      <c r="D23" s="157" t="str">
        <f>IF(A23="","",VLOOKUP(A23,'6.A'!$A$11:$G$180,4,FALSE))</f>
        <v/>
      </c>
      <c r="E23" s="158" t="str">
        <f>IF(A23="","",VLOOKUP(A23,'6.A'!$A$11:$G$180,5,FALSE))</f>
        <v/>
      </c>
      <c r="F23" s="24" t="str">
        <f t="shared" si="0"/>
        <v>0,00</v>
      </c>
      <c r="G23" s="52"/>
      <c r="H23" s="52" t="str">
        <f>IF(A23="","",VLOOKUP(A23,'6.A'!$A$11:$E$7984,5,FALSE))</f>
        <v/>
      </c>
      <c r="I23" s="52" t="str">
        <f t="shared" ref="I23" si="11">IF(H23="","",IF(E23=H23,"SIM","NÃO"))</f>
        <v/>
      </c>
      <c r="J23" s="52" t="str">
        <f>IF(H23="","",VLOOKUP(A23,'6.A'!$A$11:$E$564,4,FALSE))</f>
        <v/>
      </c>
      <c r="K23" s="52" t="str">
        <f t="shared" ref="K23" si="12">IF(H23="","",IF(J23=D23,"SIM","NÃO"))</f>
        <v/>
      </c>
      <c r="L23" s="52" t="str">
        <f>IF(H23="","",IF(C23="","",G12*C23))</f>
        <v/>
      </c>
      <c r="M23" s="117" t="str">
        <f>IF(A23="","",VLOOKUP(A23,'6.A'!$A$11:$C$564,2,FALSE))</f>
        <v/>
      </c>
      <c r="N23" s="57" t="str">
        <f t="shared" ref="N23" si="13">IF(A23="","",IF(M23=B23,"si","no"))</f>
        <v/>
      </c>
      <c r="O23" s="56"/>
      <c r="P23" s="56"/>
      <c r="Q23" s="48"/>
      <c r="R23" s="48"/>
      <c r="S23" s="65"/>
      <c r="T23" s="2"/>
      <c r="U23" s="2"/>
      <c r="V23" s="2"/>
    </row>
    <row r="24" spans="1:22" s="149" customFormat="1" ht="12.75" customHeight="1" x14ac:dyDescent="0.2">
      <c r="A24" s="152"/>
      <c r="B24" s="26" t="str">
        <f>$A$8</f>
        <v>LEIS SOCIAIS HORISTA - JORNADA NORMAL</v>
      </c>
      <c r="C24" s="27">
        <f>$C$8</f>
        <v>0</v>
      </c>
      <c r="D24" s="141"/>
      <c r="E24" s="147"/>
      <c r="F24" s="162">
        <f>ROUND(SUM(F14:F23)*C24,2)</f>
        <v>0</v>
      </c>
      <c r="G24" s="63"/>
      <c r="H24" s="52"/>
      <c r="I24" s="57"/>
      <c r="J24" s="57"/>
      <c r="K24" s="57"/>
      <c r="L24" s="52"/>
      <c r="M24" s="62"/>
      <c r="N24" s="57"/>
      <c r="O24" s="56"/>
      <c r="P24" s="56"/>
      <c r="Q24" s="48"/>
      <c r="R24" s="48"/>
      <c r="S24" s="65"/>
      <c r="T24" s="2"/>
      <c r="U24" s="2"/>
      <c r="V24" s="2"/>
    </row>
    <row r="25" spans="1:22" s="149" customFormat="1" ht="12.75" customHeight="1" x14ac:dyDescent="0.2">
      <c r="A25" s="155"/>
      <c r="B25" s="26" t="str">
        <f>$A$9</f>
        <v>BDI</v>
      </c>
      <c r="C25" s="27">
        <f>$C$9</f>
        <v>0</v>
      </c>
      <c r="D25" s="136"/>
      <c r="E25" s="147"/>
      <c r="F25" s="162">
        <f>ROUND(SUM(F14:F24)*C25,2)</f>
        <v>0</v>
      </c>
      <c r="G25" s="63"/>
      <c r="H25" s="52"/>
      <c r="I25" s="57"/>
      <c r="J25" s="57"/>
      <c r="K25" s="57"/>
      <c r="L25" s="52"/>
      <c r="M25" s="62"/>
      <c r="N25" s="57"/>
      <c r="O25" s="56"/>
      <c r="P25" s="56"/>
      <c r="Q25" s="48"/>
      <c r="R25" s="48"/>
      <c r="S25" s="65"/>
      <c r="T25" s="2"/>
      <c r="U25" s="2"/>
      <c r="V25" s="2"/>
    </row>
    <row r="26" spans="1:22" s="149" customFormat="1" ht="12.75" customHeight="1" x14ac:dyDescent="0.2">
      <c r="A26" s="163"/>
      <c r="B26" s="164" t="s">
        <v>56</v>
      </c>
      <c r="C26" s="165"/>
      <c r="D26" s="166"/>
      <c r="E26" s="167"/>
      <c r="F26" s="168">
        <f>ROUND(SUM(F14:F25),2)</f>
        <v>0</v>
      </c>
      <c r="G26" s="63"/>
      <c r="H26" s="52"/>
      <c r="I26" s="57"/>
      <c r="J26" s="57"/>
      <c r="K26" s="57"/>
      <c r="L26" s="52"/>
      <c r="M26" s="62"/>
      <c r="N26" s="57"/>
      <c r="O26" s="56"/>
      <c r="P26" s="56"/>
      <c r="Q26" s="48"/>
      <c r="R26" s="48"/>
      <c r="S26" s="65"/>
      <c r="T26" s="2"/>
      <c r="U26" s="2"/>
      <c r="V26" s="2"/>
    </row>
    <row r="27" spans="1:22" s="149" customFormat="1" ht="12.75" customHeight="1" x14ac:dyDescent="0.2">
      <c r="A27" s="152" t="s">
        <v>5</v>
      </c>
      <c r="B27" s="153" t="s">
        <v>130</v>
      </c>
      <c r="C27" s="140" t="s">
        <v>59</v>
      </c>
      <c r="D27" s="140" t="s">
        <v>16</v>
      </c>
      <c r="E27" s="154" t="s">
        <v>60</v>
      </c>
      <c r="F27" s="148" t="s">
        <v>61</v>
      </c>
      <c r="G27" s="21"/>
      <c r="H27" s="52"/>
      <c r="I27" s="57"/>
      <c r="J27" s="57"/>
      <c r="K27" s="57"/>
      <c r="L27" s="52"/>
      <c r="M27" s="62"/>
      <c r="N27" s="57"/>
      <c r="O27" s="56"/>
      <c r="P27" s="56"/>
      <c r="Q27" s="48"/>
      <c r="R27" s="48"/>
      <c r="S27" s="65"/>
      <c r="T27" s="2"/>
      <c r="U27" s="2"/>
      <c r="V27" s="2"/>
    </row>
    <row r="28" spans="1:22" s="149" customFormat="1" ht="12.75" customHeight="1" x14ac:dyDescent="0.2">
      <c r="A28" s="22">
        <f>'6.A'!$A$28</f>
        <v>5928</v>
      </c>
      <c r="B28" s="55" t="str">
        <f>IF(A28="","",VLOOKUP(A28,'6.A'!$A$11:$G$180,2,FALSE))</f>
        <v>GUINDAUTO HIDRÁULICO COM CAMINHÃO TOCO 189 CV, CAP. CARGA 6200 KG, ALCANCE 9,70 M - CHP</v>
      </c>
      <c r="C28" s="99">
        <f>600*0.0093</f>
        <v>5.5799999999999992</v>
      </c>
      <c r="D28" s="57" t="str">
        <f>IF(A28="","",VLOOKUP(A28,'6.A'!$A$11:$G$180,4,FALSE))</f>
        <v>CHP</v>
      </c>
      <c r="E28" s="100">
        <f>IF(A28="","",VLOOKUP(A28,'6.A'!$A$11:$G$180,5,FALSE))</f>
        <v>0</v>
      </c>
      <c r="F28" s="24">
        <f t="shared" ref="F28:F37" si="14">IF(A28="","0,00",ROUND(C28*E28,2))</f>
        <v>0</v>
      </c>
      <c r="G28" s="52"/>
      <c r="H28" s="52">
        <f>IF(A28="","",VLOOKUP(A28,'6.A'!$A$11:$E$7984,5,FALSE))</f>
        <v>0</v>
      </c>
      <c r="I28" s="52" t="str">
        <f t="shared" ref="I28:I37" si="15">IF(H28="","",IF(E28=H28,"SIM","NÃO"))</f>
        <v>SIM</v>
      </c>
      <c r="J28" s="52" t="str">
        <f>IF(H28="","",VLOOKUP(A28,'6.A'!$A$11:$E$564,4,FALSE))</f>
        <v>CHP</v>
      </c>
      <c r="K28" s="52" t="str">
        <f t="shared" ref="K28:K37" si="16">IF(H28="","",IF(J28=D28,"SIM","NÃO"))</f>
        <v>SIM</v>
      </c>
      <c r="L28" s="52">
        <f>IF(H28="","",IF(C28="","",G12*C28))</f>
        <v>5.5799999999999992</v>
      </c>
      <c r="M28" s="117" t="str">
        <f>IF(A28="","",VLOOKUP(A28,'6.A'!$A$11:$C$564,2,FALSE))</f>
        <v>GUINDAUTO HIDRÁULICO COM CAMINHÃO TOCO 189 CV, CAP. CARGA 6200 KG, ALCANCE 9,70 M - CHP</v>
      </c>
      <c r="N28" s="57" t="str">
        <f t="shared" ref="N28:N37" si="17">IF(A28="","",IF(M28=B28,"si","no"))</f>
        <v>si</v>
      </c>
      <c r="O28" s="56"/>
      <c r="P28" s="56"/>
      <c r="Q28" s="48"/>
      <c r="R28" s="48"/>
      <c r="S28" s="65"/>
      <c r="T28" s="2"/>
      <c r="U28" s="2"/>
      <c r="V28" s="2"/>
    </row>
    <row r="29" spans="1:22" s="149" customFormat="1" ht="12.75" customHeight="1" x14ac:dyDescent="0.2">
      <c r="A29" s="22">
        <f>'6.A'!$A$29</f>
        <v>5930</v>
      </c>
      <c r="B29" s="23" t="str">
        <f>IF(A29="","",VLOOKUP(A29,'6.A'!$A$11:$G$180,2,FALSE))</f>
        <v>GUINDAUTO HIDRÁULICO COM CAMINHÃO TOCO 189 CV, CAP. CARGA 6200 KG, ALCANCE 9,70 M - CHI</v>
      </c>
      <c r="C29" s="99">
        <f>600*0.004</f>
        <v>2.4</v>
      </c>
      <c r="D29" s="57" t="str">
        <f>IF(A29="","",VLOOKUP(A29,'6.A'!$A$11:$G$180,4,FALSE))</f>
        <v>CHI</v>
      </c>
      <c r="E29" s="100">
        <f>IF(A29="","",VLOOKUP(A29,'6.A'!$A$11:$G$180,5,FALSE))</f>
        <v>0</v>
      </c>
      <c r="F29" s="24">
        <f t="shared" si="14"/>
        <v>0</v>
      </c>
      <c r="G29" s="52"/>
      <c r="H29" s="52">
        <f>IF(A29="","",VLOOKUP(A29,'6.A'!$A$11:$E$7984,5,FALSE))</f>
        <v>0</v>
      </c>
      <c r="I29" s="52" t="str">
        <f t="shared" si="15"/>
        <v>SIM</v>
      </c>
      <c r="J29" s="52" t="str">
        <f>IF(H29="","",VLOOKUP(A29,'6.A'!$A$11:$E$564,4,FALSE))</f>
        <v>CHI</v>
      </c>
      <c r="K29" s="52" t="str">
        <f t="shared" si="16"/>
        <v>SIM</v>
      </c>
      <c r="L29" s="52">
        <f>IF(H29="","",IF(C29="","",G12*C29))</f>
        <v>2.4</v>
      </c>
      <c r="M29" s="117" t="str">
        <f>IF(A29="","",VLOOKUP(A29,'6.A'!$A$11:$C$564,2,FALSE))</f>
        <v>GUINDAUTO HIDRÁULICO COM CAMINHÃO TOCO 189 CV, CAP. CARGA 6200 KG, ALCANCE 9,70 M - CHI</v>
      </c>
      <c r="N29" s="57" t="str">
        <f t="shared" si="17"/>
        <v>si</v>
      </c>
      <c r="O29" s="56"/>
      <c r="P29" s="56"/>
      <c r="Q29" s="48"/>
      <c r="R29" s="48"/>
      <c r="S29" s="65"/>
      <c r="T29" s="2"/>
      <c r="U29" s="2"/>
      <c r="V29" s="2"/>
    </row>
    <row r="30" spans="1:22" s="149" customFormat="1" ht="12.75" customHeight="1" x14ac:dyDescent="0.2">
      <c r="A30" s="155"/>
      <c r="B30" s="138"/>
      <c r="C30" s="156"/>
      <c r="D30" s="157"/>
      <c r="E30" s="158"/>
      <c r="F30" s="24" t="str">
        <f t="shared" si="14"/>
        <v>0,00</v>
      </c>
      <c r="G30" s="52"/>
      <c r="H30" s="52" t="str">
        <f>IF(A30="","",VLOOKUP(A30,'6.A'!$A$11:$E$7984,5,FALSE))</f>
        <v/>
      </c>
      <c r="I30" s="52" t="str">
        <f t="shared" si="15"/>
        <v/>
      </c>
      <c r="J30" s="52" t="str">
        <f>IF(H30="","",VLOOKUP(A30,'6.A'!$A$11:$E$564,4,FALSE))</f>
        <v/>
      </c>
      <c r="K30" s="52" t="str">
        <f t="shared" si="16"/>
        <v/>
      </c>
      <c r="L30" s="52" t="str">
        <f>IF(H30="","",IF(C30="","",G12*C30))</f>
        <v/>
      </c>
      <c r="M30" s="117" t="str">
        <f>IF(A30="","",VLOOKUP(A30,'6.A'!$A$11:$C$564,2,FALSE))</f>
        <v/>
      </c>
      <c r="N30" s="57" t="str">
        <f t="shared" si="17"/>
        <v/>
      </c>
      <c r="O30" s="56"/>
      <c r="P30" s="56"/>
      <c r="Q30" s="48"/>
      <c r="R30" s="48"/>
      <c r="S30" s="65"/>
      <c r="T30" s="2"/>
      <c r="U30" s="2"/>
      <c r="V30" s="2"/>
    </row>
    <row r="31" spans="1:22" s="149" customFormat="1" ht="12.75" customHeight="1" x14ac:dyDescent="0.2">
      <c r="A31" s="155"/>
      <c r="B31" s="138"/>
      <c r="C31" s="156"/>
      <c r="D31" s="157"/>
      <c r="E31" s="158"/>
      <c r="F31" s="24" t="str">
        <f t="shared" si="14"/>
        <v>0,00</v>
      </c>
      <c r="G31" s="52"/>
      <c r="H31" s="52" t="str">
        <f>IF(A31="","",VLOOKUP(A31,'6.A'!$A$11:$E$7984,5,FALSE))</f>
        <v/>
      </c>
      <c r="I31" s="52" t="str">
        <f t="shared" si="15"/>
        <v/>
      </c>
      <c r="J31" s="52" t="str">
        <f>IF(H31="","",VLOOKUP(A31,'6.A'!$A$11:$E$564,4,FALSE))</f>
        <v/>
      </c>
      <c r="K31" s="52" t="str">
        <f t="shared" si="16"/>
        <v/>
      </c>
      <c r="L31" s="52" t="str">
        <f>IF(H31="","",IF(C31="","",G12*C31))</f>
        <v/>
      </c>
      <c r="M31" s="117" t="str">
        <f>IF(A31="","",VLOOKUP(A31,'6.A'!$A$11:$C$564,2,FALSE))</f>
        <v/>
      </c>
      <c r="N31" s="57" t="str">
        <f t="shared" si="17"/>
        <v/>
      </c>
      <c r="O31" s="56"/>
      <c r="P31" s="56"/>
      <c r="Q31" s="48"/>
      <c r="R31" s="48"/>
      <c r="S31" s="65"/>
      <c r="T31" s="2"/>
      <c r="U31" s="2"/>
      <c r="V31" s="2"/>
    </row>
    <row r="32" spans="1:22" s="149" customFormat="1" ht="12.75" customHeight="1" x14ac:dyDescent="0.2">
      <c r="A32" s="155"/>
      <c r="B32" s="138"/>
      <c r="C32" s="156"/>
      <c r="D32" s="157"/>
      <c r="E32" s="158"/>
      <c r="F32" s="24" t="str">
        <f t="shared" si="14"/>
        <v>0,00</v>
      </c>
      <c r="G32" s="52"/>
      <c r="H32" s="52" t="str">
        <f>IF(A32="","",VLOOKUP(A32,'6.A'!$A$11:$E$7984,5,FALSE))</f>
        <v/>
      </c>
      <c r="I32" s="52" t="str">
        <f t="shared" si="15"/>
        <v/>
      </c>
      <c r="J32" s="52" t="str">
        <f>IF(H32="","",VLOOKUP(A32,'6.A'!$A$11:$E$564,4,FALSE))</f>
        <v/>
      </c>
      <c r="K32" s="52" t="str">
        <f t="shared" si="16"/>
        <v/>
      </c>
      <c r="L32" s="52" t="str">
        <f>IF(H32="","",IF(C32="","",G12*C32))</f>
        <v/>
      </c>
      <c r="M32" s="117" t="str">
        <f>IF(A32="","",VLOOKUP(A32,'6.A'!$A$11:$C$564,2,FALSE))</f>
        <v/>
      </c>
      <c r="N32" s="57" t="str">
        <f t="shared" si="17"/>
        <v/>
      </c>
      <c r="O32" s="56"/>
      <c r="P32" s="56"/>
      <c r="Q32" s="48"/>
      <c r="R32" s="48"/>
      <c r="S32" s="65"/>
      <c r="T32" s="2"/>
      <c r="U32" s="2"/>
      <c r="V32" s="2"/>
    </row>
    <row r="33" spans="1:22" s="149" customFormat="1" ht="12.75" customHeight="1" x14ac:dyDescent="0.2">
      <c r="A33" s="155"/>
      <c r="B33" s="138"/>
      <c r="C33" s="156"/>
      <c r="D33" s="157"/>
      <c r="E33" s="158"/>
      <c r="F33" s="24" t="str">
        <f t="shared" si="14"/>
        <v>0,00</v>
      </c>
      <c r="G33" s="52"/>
      <c r="H33" s="52" t="str">
        <f>IF(A33="","",VLOOKUP(A33,'6.A'!$A$11:$E$7984,5,FALSE))</f>
        <v/>
      </c>
      <c r="I33" s="52" t="str">
        <f t="shared" si="15"/>
        <v/>
      </c>
      <c r="J33" s="52" t="str">
        <f>IF(H33="","",VLOOKUP(A33,'6.A'!$A$11:$E$564,4,FALSE))</f>
        <v/>
      </c>
      <c r="K33" s="52" t="str">
        <f t="shared" si="16"/>
        <v/>
      </c>
      <c r="L33" s="52" t="str">
        <f>IF(H33="","",IF(C33="","",G12*C33))</f>
        <v/>
      </c>
      <c r="M33" s="117" t="str">
        <f>IF(A33="","",VLOOKUP(A33,'6.A'!$A$11:$C$564,2,FALSE))</f>
        <v/>
      </c>
      <c r="N33" s="57" t="str">
        <f t="shared" si="17"/>
        <v/>
      </c>
      <c r="O33" s="56"/>
      <c r="P33" s="56"/>
      <c r="Q33" s="48"/>
      <c r="R33" s="48"/>
      <c r="S33" s="65"/>
      <c r="T33" s="2"/>
      <c r="U33" s="2"/>
      <c r="V33" s="2"/>
    </row>
    <row r="34" spans="1:22" s="149" customFormat="1" ht="12.75" customHeight="1" x14ac:dyDescent="0.2">
      <c r="A34" s="155"/>
      <c r="B34" s="138" t="str">
        <f>IF(A34="","",VLOOKUP(A34,'6.A'!$A$11:$G$180,2,FALSE))</f>
        <v/>
      </c>
      <c r="C34" s="156"/>
      <c r="D34" s="157" t="str">
        <f>IF(A34="","",VLOOKUP(A34,'6.A'!$A$11:$G$180,4,FALSE))</f>
        <v/>
      </c>
      <c r="E34" s="158" t="str">
        <f>IF(A34="","",VLOOKUP(A34,'6.A'!$A$11:$G$180,5,FALSE))</f>
        <v/>
      </c>
      <c r="F34" s="24" t="str">
        <f t="shared" si="14"/>
        <v>0,00</v>
      </c>
      <c r="G34" s="52"/>
      <c r="H34" s="52" t="str">
        <f>IF(A34="","",VLOOKUP(A34,'6.A'!$A$11:$E$7984,5,FALSE))</f>
        <v/>
      </c>
      <c r="I34" s="52" t="str">
        <f t="shared" si="15"/>
        <v/>
      </c>
      <c r="J34" s="52" t="str">
        <f>IF(H34="","",VLOOKUP(A34,'6.A'!$A$11:$E$564,4,FALSE))</f>
        <v/>
      </c>
      <c r="K34" s="52" t="str">
        <f t="shared" si="16"/>
        <v/>
      </c>
      <c r="L34" s="52" t="str">
        <f>IF(H34="","",IF(C34="","",G12*C34))</f>
        <v/>
      </c>
      <c r="M34" s="117" t="str">
        <f>IF(A34="","",VLOOKUP(A34,'6.A'!$A$11:$C$564,2,FALSE))</f>
        <v/>
      </c>
      <c r="N34" s="57" t="str">
        <f>IF(A34="","",IF(M34=B34,"si","no"))</f>
        <v/>
      </c>
      <c r="O34" s="56"/>
      <c r="P34" s="56"/>
      <c r="Q34" s="48"/>
      <c r="R34" s="48"/>
      <c r="S34" s="65"/>
      <c r="T34" s="2"/>
      <c r="U34" s="2"/>
      <c r="V34" s="2"/>
    </row>
    <row r="35" spans="1:22" s="149" customFormat="1" ht="12.75" customHeight="1" x14ac:dyDescent="0.2">
      <c r="A35" s="155"/>
      <c r="B35" s="138" t="str">
        <f>IF(A35="","",VLOOKUP(A35,'6.A'!$A$11:$G$180,2,FALSE))</f>
        <v/>
      </c>
      <c r="C35" s="156"/>
      <c r="D35" s="157" t="str">
        <f>IF(A35="","",VLOOKUP(A35,'6.A'!$A$11:$G$180,4,FALSE))</f>
        <v/>
      </c>
      <c r="E35" s="158" t="str">
        <f>IF(A35="","",VLOOKUP(A35,'6.A'!$A$11:$G$180,5,FALSE))</f>
        <v/>
      </c>
      <c r="F35" s="24" t="str">
        <f t="shared" si="14"/>
        <v>0,00</v>
      </c>
      <c r="G35" s="52"/>
      <c r="H35" s="52" t="str">
        <f>IF(A35="","",VLOOKUP(A35,'6.A'!$A$11:$E$7984,5,FALSE))</f>
        <v/>
      </c>
      <c r="I35" s="52" t="str">
        <f t="shared" si="15"/>
        <v/>
      </c>
      <c r="J35" s="52" t="str">
        <f>IF(H35="","",VLOOKUP(A35,'6.A'!$A$11:$E$564,4,FALSE))</f>
        <v/>
      </c>
      <c r="K35" s="52" t="str">
        <f t="shared" si="16"/>
        <v/>
      </c>
      <c r="L35" s="52" t="str">
        <f>IF(H35="","",IF(C35="","",G12*C35))</f>
        <v/>
      </c>
      <c r="M35" s="117" t="str">
        <f>IF(A35="","",VLOOKUP(A35,'6.A'!$A$11:$C$564,2,FALSE))</f>
        <v/>
      </c>
      <c r="N35" s="57" t="str">
        <f>IF(A35="","",IF(M35=B35,"si","no"))</f>
        <v/>
      </c>
      <c r="O35" s="56"/>
      <c r="P35" s="56"/>
      <c r="Q35" s="48"/>
      <c r="R35" s="48"/>
      <c r="S35" s="65"/>
      <c r="T35" s="2"/>
      <c r="U35" s="2"/>
      <c r="V35" s="2"/>
    </row>
    <row r="36" spans="1:22" s="149" customFormat="1" ht="12.75" customHeight="1" x14ac:dyDescent="0.2">
      <c r="A36" s="22"/>
      <c r="B36" s="23" t="str">
        <f>IF(A36="","",VLOOKUP(A36,'6.A'!$A$11:$G$180,2,FALSE))</f>
        <v/>
      </c>
      <c r="C36" s="99"/>
      <c r="D36" s="157" t="str">
        <f>IF(A36="","",VLOOKUP(A36,'6.A'!$A$11:$G$180,4,FALSE))</f>
        <v/>
      </c>
      <c r="E36" s="158" t="str">
        <f>IF(A36="","",VLOOKUP(A36,'6.A'!$A$11:$G$180,5,FALSE))</f>
        <v/>
      </c>
      <c r="F36" s="24" t="str">
        <f t="shared" si="14"/>
        <v>0,00</v>
      </c>
      <c r="G36" s="52"/>
      <c r="H36" s="52" t="str">
        <f>IF(A36="","",VLOOKUP(A36,'6.A'!$A$11:$E$7984,5,FALSE))</f>
        <v/>
      </c>
      <c r="I36" s="52" t="str">
        <f t="shared" si="15"/>
        <v/>
      </c>
      <c r="J36" s="52" t="str">
        <f>IF(H36="","",VLOOKUP(A36,'6.A'!$A$11:$E$564,4,FALSE))</f>
        <v/>
      </c>
      <c r="K36" s="52" t="str">
        <f t="shared" si="16"/>
        <v/>
      </c>
      <c r="L36" s="52" t="str">
        <f>IF(H36="","",IF(C36="","",G12*C36))</f>
        <v/>
      </c>
      <c r="M36" s="117" t="str">
        <f>IF(A36="","",VLOOKUP(A36,'6.A'!$A$11:$C$564,2,FALSE))</f>
        <v/>
      </c>
      <c r="N36" s="57" t="str">
        <f t="shared" si="17"/>
        <v/>
      </c>
      <c r="O36" s="56"/>
      <c r="P36" s="56"/>
      <c r="Q36" s="48"/>
      <c r="R36" s="48"/>
      <c r="S36" s="65"/>
      <c r="T36" s="2"/>
      <c r="U36" s="2"/>
      <c r="V36" s="2"/>
    </row>
    <row r="37" spans="1:22" s="149" customFormat="1" ht="12.75" customHeight="1" x14ac:dyDescent="0.2">
      <c r="A37" s="155"/>
      <c r="B37" s="138" t="str">
        <f>IF(A37="","",VLOOKUP(A37,'6.A'!$A$11:$G$180,2,FALSE))</f>
        <v/>
      </c>
      <c r="C37" s="156"/>
      <c r="D37" s="157" t="str">
        <f>IF(A37="","",VLOOKUP(A37,'6.A'!$A$11:$G$180,4,FALSE))</f>
        <v/>
      </c>
      <c r="E37" s="158" t="str">
        <f>IF(A37="","",VLOOKUP(A37,'6.A'!$A$11:$G$180,5,FALSE))</f>
        <v/>
      </c>
      <c r="F37" s="24" t="str">
        <f t="shared" si="14"/>
        <v>0,00</v>
      </c>
      <c r="G37" s="52"/>
      <c r="H37" s="52" t="str">
        <f>IF(A37="","",VLOOKUP(A37,'6.A'!$A$11:$E$7984,5,FALSE))</f>
        <v/>
      </c>
      <c r="I37" s="52" t="str">
        <f t="shared" si="15"/>
        <v/>
      </c>
      <c r="J37" s="52" t="str">
        <f>IF(H37="","",VLOOKUP(A37,'6.A'!$A$11:$E$564,4,FALSE))</f>
        <v/>
      </c>
      <c r="K37" s="52" t="str">
        <f t="shared" si="16"/>
        <v/>
      </c>
      <c r="L37" s="52" t="str">
        <f>IF(H37="","",IF(C37="","",G12*C37))</f>
        <v/>
      </c>
      <c r="M37" s="117" t="str">
        <f>IF(A37="","",VLOOKUP(A37,'6.A'!$A$11:$C$564,2,FALSE))</f>
        <v/>
      </c>
      <c r="N37" s="57" t="str">
        <f t="shared" si="17"/>
        <v/>
      </c>
      <c r="O37" s="56"/>
      <c r="P37" s="56"/>
      <c r="Q37" s="48"/>
      <c r="R37" s="48"/>
      <c r="S37" s="65"/>
      <c r="T37" s="2"/>
      <c r="U37" s="2"/>
      <c r="V37" s="2"/>
    </row>
    <row r="38" spans="1:22" s="149" customFormat="1" ht="12.75" customHeight="1" x14ac:dyDescent="0.2">
      <c r="A38" s="155"/>
      <c r="B38" s="26" t="str">
        <f>$A$9</f>
        <v>BDI</v>
      </c>
      <c r="C38" s="27">
        <f>$C$9</f>
        <v>0</v>
      </c>
      <c r="D38" s="141"/>
      <c r="E38" s="147"/>
      <c r="F38" s="162">
        <f>ROUND(SUM(F28:F37)*C38,2)</f>
        <v>0</v>
      </c>
      <c r="G38" s="63"/>
      <c r="H38" s="52"/>
      <c r="I38" s="57"/>
      <c r="J38" s="57"/>
      <c r="K38" s="57"/>
      <c r="L38" s="52"/>
      <c r="M38" s="62"/>
      <c r="N38" s="57"/>
      <c r="O38" s="56"/>
      <c r="P38" s="56"/>
      <c r="Q38" s="48"/>
      <c r="R38" s="48"/>
      <c r="S38" s="65"/>
      <c r="T38" s="2"/>
      <c r="U38" s="2"/>
      <c r="V38" s="2"/>
    </row>
    <row r="39" spans="1:22" s="149" customFormat="1" ht="12.75" customHeight="1" x14ac:dyDescent="0.2">
      <c r="A39" s="163"/>
      <c r="B39" s="31" t="s">
        <v>117</v>
      </c>
      <c r="C39" s="36"/>
      <c r="D39" s="169"/>
      <c r="E39" s="170"/>
      <c r="F39" s="168">
        <f>ROUND(SUM(F28:F38),2)</f>
        <v>0</v>
      </c>
      <c r="G39" s="63"/>
      <c r="H39" s="52"/>
      <c r="I39" s="57"/>
      <c r="J39" s="57"/>
      <c r="K39" s="57"/>
      <c r="L39" s="52"/>
      <c r="M39" s="62"/>
      <c r="N39" s="57"/>
      <c r="O39" s="56"/>
      <c r="P39" s="56"/>
      <c r="Q39" s="48"/>
      <c r="R39" s="48"/>
      <c r="S39" s="65"/>
      <c r="T39" s="2"/>
      <c r="U39" s="2"/>
      <c r="V39" s="2"/>
    </row>
    <row r="40" spans="1:22" s="149" customFormat="1" ht="12.75" customHeight="1" x14ac:dyDescent="0.2">
      <c r="A40" s="152" t="s">
        <v>6</v>
      </c>
      <c r="B40" s="153" t="s">
        <v>17</v>
      </c>
      <c r="C40" s="140" t="s">
        <v>59</v>
      </c>
      <c r="D40" s="140" t="s">
        <v>16</v>
      </c>
      <c r="E40" s="154" t="s">
        <v>60</v>
      </c>
      <c r="F40" s="148" t="s">
        <v>61</v>
      </c>
      <c r="G40" s="21"/>
      <c r="H40" s="52"/>
      <c r="I40" s="57"/>
      <c r="J40" s="57"/>
      <c r="K40" s="57"/>
      <c r="L40" s="52"/>
      <c r="M40" s="62"/>
      <c r="N40" s="57"/>
      <c r="O40" s="56"/>
      <c r="P40" s="56"/>
      <c r="Q40" s="48"/>
      <c r="R40" s="48"/>
      <c r="S40" s="65"/>
      <c r="T40" s="2"/>
      <c r="U40" s="2"/>
      <c r="V40" s="2"/>
    </row>
    <row r="41" spans="1:22" s="149" customFormat="1" ht="12.75" customHeight="1" x14ac:dyDescent="0.2">
      <c r="A41" s="155"/>
      <c r="B41" s="138" t="str">
        <f>IF(A41="","",VLOOKUP(A41,'6.A'!$A$11:$G$180,2,FALSE))</f>
        <v/>
      </c>
      <c r="C41" s="156"/>
      <c r="D41" s="157" t="str">
        <f>IF(A41="","",VLOOKUP(A41,'6.A'!$A$11:$G$180,4,FALSE))</f>
        <v/>
      </c>
      <c r="E41" s="158" t="str">
        <f>IF(A41="","",VLOOKUP(A41,'6.A'!$A$11:$G$180,5,FALSE))</f>
        <v/>
      </c>
      <c r="F41" s="24" t="str">
        <f t="shared" ref="F41:F60" si="18">IF(A41="","0,00",ROUND(C41*E41,2))</f>
        <v>0,00</v>
      </c>
      <c r="G41" s="52"/>
      <c r="H41" s="52" t="str">
        <f>IF(A41="","",VLOOKUP(A41,'6.A'!$A$11:$E$7984,5,FALSE))</f>
        <v/>
      </c>
      <c r="I41" s="52" t="str">
        <f t="shared" ref="I41:I60" si="19">IF(H41="","",IF(E41=H41,"SIM","NÃO"))</f>
        <v/>
      </c>
      <c r="J41" s="52" t="str">
        <f>IF(H41="","",VLOOKUP(A41,'6.A'!$A$11:$E$564,4,FALSE))</f>
        <v/>
      </c>
      <c r="K41" s="52" t="str">
        <f t="shared" ref="K41:K60" si="20">IF(H41="","",IF(J41=D41,"SIM","NÃO"))</f>
        <v/>
      </c>
      <c r="L41" s="52" t="str">
        <f>IF(H41="","",IF(C41="","",G12*C41))</f>
        <v/>
      </c>
      <c r="M41" s="117" t="str">
        <f>IF(A41="","",VLOOKUP(A41,'6.A'!$A$11:$C$564,2,FALSE))</f>
        <v/>
      </c>
      <c r="N41" s="57" t="str">
        <f t="shared" ref="N41:N60" si="21">IF(A41="","",IF(M41=B41,"si","no"))</f>
        <v/>
      </c>
      <c r="O41" s="56"/>
      <c r="P41" s="56"/>
      <c r="Q41" s="48"/>
      <c r="R41" s="48"/>
      <c r="S41" s="65"/>
      <c r="T41" s="2"/>
      <c r="U41" s="2"/>
      <c r="V41" s="2"/>
    </row>
    <row r="42" spans="1:22" s="149" customFormat="1" ht="12.75" customHeight="1" x14ac:dyDescent="0.2">
      <c r="A42" s="155"/>
      <c r="B42" s="138" t="str">
        <f>IF(A42="","",VLOOKUP(A42,'6.A'!$A$11:$G$180,2,FALSE))</f>
        <v/>
      </c>
      <c r="C42" s="156"/>
      <c r="D42" s="157" t="str">
        <f>IF(A42="","",VLOOKUP(A42,'6.A'!$A$11:$G$180,4,FALSE))</f>
        <v/>
      </c>
      <c r="E42" s="158" t="str">
        <f>IF(A42="","",VLOOKUP(A42,'6.A'!$A$11:$G$180,5,FALSE))</f>
        <v/>
      </c>
      <c r="F42" s="24" t="str">
        <f t="shared" si="18"/>
        <v>0,00</v>
      </c>
      <c r="G42" s="52"/>
      <c r="H42" s="52" t="str">
        <f>IF(A42="","",VLOOKUP(A42,'6.A'!$A$11:$E$7984,5,FALSE))</f>
        <v/>
      </c>
      <c r="I42" s="52" t="str">
        <f t="shared" si="19"/>
        <v/>
      </c>
      <c r="J42" s="52" t="str">
        <f>IF(H42="","",VLOOKUP(A42,'6.A'!$A$11:$E$564,4,FALSE))</f>
        <v/>
      </c>
      <c r="K42" s="52" t="str">
        <f t="shared" si="20"/>
        <v/>
      </c>
      <c r="L42" s="52" t="str">
        <f>IF(H42="","",IF(C42="","",G12*C42))</f>
        <v/>
      </c>
      <c r="M42" s="117" t="str">
        <f>IF(A42="","",VLOOKUP(A42,'6.A'!$A$11:$C$564,2,FALSE))</f>
        <v/>
      </c>
      <c r="N42" s="57" t="str">
        <f t="shared" si="21"/>
        <v/>
      </c>
      <c r="O42" s="56"/>
      <c r="P42" s="56"/>
      <c r="Q42" s="48"/>
      <c r="R42" s="48"/>
      <c r="S42" s="65"/>
      <c r="T42" s="2"/>
      <c r="U42" s="2"/>
      <c r="V42" s="2"/>
    </row>
    <row r="43" spans="1:22" s="149" customFormat="1" ht="12.75" customHeight="1" x14ac:dyDescent="0.2">
      <c r="A43" s="155"/>
      <c r="B43" s="138" t="str">
        <f>IF(A43="","",VLOOKUP(A43,'6.A'!$A$11:$G$180,2,FALSE))</f>
        <v/>
      </c>
      <c r="C43" s="156"/>
      <c r="D43" s="157" t="str">
        <f>IF(A43="","",VLOOKUP(A43,'6.A'!$A$11:$G$180,4,FALSE))</f>
        <v/>
      </c>
      <c r="E43" s="158" t="str">
        <f>IF(A43="","",VLOOKUP(A43,'6.A'!$A$11:$G$180,5,FALSE))</f>
        <v/>
      </c>
      <c r="F43" s="24" t="str">
        <f t="shared" si="18"/>
        <v>0,00</v>
      </c>
      <c r="G43" s="52"/>
      <c r="H43" s="52" t="str">
        <f>IF(A43="","",VLOOKUP(A43,'6.A'!$A$11:$E$7984,5,FALSE))</f>
        <v/>
      </c>
      <c r="I43" s="52" t="str">
        <f t="shared" si="19"/>
        <v/>
      </c>
      <c r="J43" s="52" t="str">
        <f>IF(H43="","",VLOOKUP(A43,'6.A'!$A$11:$E$564,4,FALSE))</f>
        <v/>
      </c>
      <c r="K43" s="52" t="str">
        <f t="shared" si="20"/>
        <v/>
      </c>
      <c r="L43" s="52" t="str">
        <f>IF(H43="","",IF(C43="","",G12*C43))</f>
        <v/>
      </c>
      <c r="M43" s="117" t="str">
        <f>IF(A43="","",VLOOKUP(A43,'6.A'!$A$11:$C$564,2,FALSE))</f>
        <v/>
      </c>
      <c r="N43" s="57" t="str">
        <f t="shared" si="21"/>
        <v/>
      </c>
      <c r="O43" s="56"/>
      <c r="P43" s="56"/>
      <c r="Q43" s="48"/>
      <c r="R43" s="48"/>
      <c r="S43" s="65"/>
      <c r="T43" s="2"/>
      <c r="U43" s="2"/>
      <c r="V43" s="2"/>
    </row>
    <row r="44" spans="1:22" s="149" customFormat="1" ht="12.75" customHeight="1" x14ac:dyDescent="0.2">
      <c r="A44" s="155"/>
      <c r="B44" s="138" t="str">
        <f>IF(A44="","",VLOOKUP(A44,'6.A'!$A$11:$G$180,2,FALSE))</f>
        <v/>
      </c>
      <c r="C44" s="156"/>
      <c r="D44" s="157" t="str">
        <f>IF(A44="","",VLOOKUP(A44,'6.A'!$A$11:$G$180,4,FALSE))</f>
        <v/>
      </c>
      <c r="E44" s="158" t="str">
        <f>IF(A44="","",VLOOKUP(A44,'6.A'!$A$11:$G$180,5,FALSE))</f>
        <v/>
      </c>
      <c r="F44" s="24" t="str">
        <f t="shared" si="18"/>
        <v>0,00</v>
      </c>
      <c r="G44" s="52"/>
      <c r="H44" s="52" t="str">
        <f>IF(A44="","",VLOOKUP(A44,'6.A'!$A$11:$E$7984,5,FALSE))</f>
        <v/>
      </c>
      <c r="I44" s="52" t="str">
        <f t="shared" si="19"/>
        <v/>
      </c>
      <c r="J44" s="52" t="str">
        <f>IF(H44="","",VLOOKUP(A44,'6.A'!$A$11:$E$564,4,FALSE))</f>
        <v/>
      </c>
      <c r="K44" s="52" t="str">
        <f t="shared" si="20"/>
        <v/>
      </c>
      <c r="L44" s="52" t="str">
        <f>IF(H44="","",IF(C44="","",G12*C44))</f>
        <v/>
      </c>
      <c r="M44" s="117" t="str">
        <f>IF(A44="","",VLOOKUP(A44,'6.A'!$A$11:$C$564,2,FALSE))</f>
        <v/>
      </c>
      <c r="N44" s="57" t="str">
        <f t="shared" si="21"/>
        <v/>
      </c>
      <c r="O44" s="56"/>
      <c r="P44" s="56"/>
      <c r="Q44" s="48"/>
      <c r="R44" s="48"/>
      <c r="S44" s="65"/>
      <c r="T44" s="2"/>
      <c r="U44" s="2"/>
      <c r="V44" s="2"/>
    </row>
    <row r="45" spans="1:22" s="149" customFormat="1" ht="12.75" customHeight="1" x14ac:dyDescent="0.2">
      <c r="A45" s="155"/>
      <c r="B45" s="138" t="str">
        <f>IF(A45="","",VLOOKUP(A45,'6.A'!$A$11:$G$180,2,FALSE))</f>
        <v/>
      </c>
      <c r="C45" s="156"/>
      <c r="D45" s="157" t="str">
        <f>IF(A45="","",VLOOKUP(A45,'6.A'!$A$11:$G$180,4,FALSE))</f>
        <v/>
      </c>
      <c r="E45" s="158" t="str">
        <f>IF(A45="","",VLOOKUP(A45,'6.A'!$A$11:$G$180,5,FALSE))</f>
        <v/>
      </c>
      <c r="F45" s="24" t="str">
        <f t="shared" si="18"/>
        <v>0,00</v>
      </c>
      <c r="G45" s="52"/>
      <c r="H45" s="52" t="str">
        <f>IF(A45="","",VLOOKUP(A45,'6.A'!$A$11:$E$7984,5,FALSE))</f>
        <v/>
      </c>
      <c r="I45" s="52" t="str">
        <f t="shared" si="19"/>
        <v/>
      </c>
      <c r="J45" s="52" t="str">
        <f>IF(H45="","",VLOOKUP(A45,'6.A'!$A$11:$E$564,4,FALSE))</f>
        <v/>
      </c>
      <c r="K45" s="52" t="str">
        <f t="shared" si="20"/>
        <v/>
      </c>
      <c r="L45" s="52" t="str">
        <f>IF(H45="","",IF(C45="","",G12*C45))</f>
        <v/>
      </c>
      <c r="M45" s="117" t="str">
        <f>IF(A45="","",VLOOKUP(A45,'6.A'!$A$11:$C$564,2,FALSE))</f>
        <v/>
      </c>
      <c r="N45" s="57" t="str">
        <f t="shared" si="21"/>
        <v/>
      </c>
      <c r="O45" s="56"/>
      <c r="P45" s="56"/>
      <c r="Q45" s="48"/>
      <c r="R45" s="48"/>
      <c r="S45" s="65"/>
      <c r="T45" s="2"/>
      <c r="U45" s="2"/>
      <c r="V45" s="2"/>
    </row>
    <row r="46" spans="1:22" s="149" customFormat="1" ht="12.75" customHeight="1" x14ac:dyDescent="0.2">
      <c r="A46" s="155"/>
      <c r="B46" s="138" t="str">
        <f>IF(A46="","",VLOOKUP(A46,'6.A'!$A$11:$G$180,2,FALSE))</f>
        <v/>
      </c>
      <c r="C46" s="156"/>
      <c r="D46" s="157" t="str">
        <f>IF(A46="","",VLOOKUP(A46,'6.A'!$A$11:$G$180,4,FALSE))</f>
        <v/>
      </c>
      <c r="E46" s="158" t="str">
        <f>IF(A46="","",VLOOKUP(A46,'6.A'!$A$11:$G$180,5,FALSE))</f>
        <v/>
      </c>
      <c r="F46" s="24" t="str">
        <f t="shared" si="18"/>
        <v>0,00</v>
      </c>
      <c r="G46" s="52"/>
      <c r="H46" s="52" t="str">
        <f>IF(A46="","",VLOOKUP(A46,'6.A'!$A$11:$E$7984,5,FALSE))</f>
        <v/>
      </c>
      <c r="I46" s="52" t="str">
        <f t="shared" si="19"/>
        <v/>
      </c>
      <c r="J46" s="52" t="str">
        <f>IF(H46="","",VLOOKUP(A46,'6.A'!$A$11:$E$564,4,FALSE))</f>
        <v/>
      </c>
      <c r="K46" s="52" t="str">
        <f t="shared" si="20"/>
        <v/>
      </c>
      <c r="L46" s="52" t="str">
        <f>IF(H46="","",IF(C46="","",G12*C46))</f>
        <v/>
      </c>
      <c r="M46" s="117" t="str">
        <f>IF(A46="","",VLOOKUP(A46,'6.A'!$A$11:$C$564,2,FALSE))</f>
        <v/>
      </c>
      <c r="N46" s="57" t="str">
        <f t="shared" si="21"/>
        <v/>
      </c>
      <c r="O46" s="56"/>
      <c r="P46" s="56"/>
      <c r="Q46" s="48"/>
      <c r="R46" s="48"/>
      <c r="S46" s="65"/>
      <c r="T46" s="2"/>
      <c r="U46" s="2"/>
      <c r="V46" s="2"/>
    </row>
    <row r="47" spans="1:22" s="149" customFormat="1" ht="12.75" customHeight="1" x14ac:dyDescent="0.2">
      <c r="A47" s="155"/>
      <c r="B47" s="138" t="str">
        <f>IF(A47="","",VLOOKUP(A47,'6.A'!$A$11:$G$180,2,FALSE))</f>
        <v/>
      </c>
      <c r="C47" s="156"/>
      <c r="D47" s="157" t="str">
        <f>IF(A47="","",VLOOKUP(A47,'6.A'!$A$11:$G$180,4,FALSE))</f>
        <v/>
      </c>
      <c r="E47" s="158" t="str">
        <f>IF(A47="","",VLOOKUP(A47,'6.A'!$A$11:$G$180,5,FALSE))</f>
        <v/>
      </c>
      <c r="F47" s="24" t="str">
        <f t="shared" si="18"/>
        <v>0,00</v>
      </c>
      <c r="G47" s="52"/>
      <c r="H47" s="52" t="str">
        <f>IF(A47="","",VLOOKUP(A47,'6.A'!$A$11:$E$7984,5,FALSE))</f>
        <v/>
      </c>
      <c r="I47" s="52" t="str">
        <f t="shared" si="19"/>
        <v/>
      </c>
      <c r="J47" s="52" t="str">
        <f>IF(H47="","",VLOOKUP(A47,'6.A'!$A$11:$E$564,4,FALSE))</f>
        <v/>
      </c>
      <c r="K47" s="52" t="str">
        <f t="shared" si="20"/>
        <v/>
      </c>
      <c r="L47" s="52" t="str">
        <f>IF(H47="","",IF(C47="","",G12*C47))</f>
        <v/>
      </c>
      <c r="M47" s="117" t="str">
        <f>IF(A47="","",VLOOKUP(A47,'6.A'!$A$11:$C$564,2,FALSE))</f>
        <v/>
      </c>
      <c r="N47" s="57" t="str">
        <f t="shared" si="21"/>
        <v/>
      </c>
      <c r="O47" s="56"/>
      <c r="P47" s="56"/>
      <c r="Q47" s="48"/>
      <c r="R47" s="48"/>
      <c r="S47" s="65"/>
      <c r="T47" s="2"/>
      <c r="U47" s="2"/>
      <c r="V47" s="2"/>
    </row>
    <row r="48" spans="1:22" s="149" customFormat="1" ht="12.75" customHeight="1" x14ac:dyDescent="0.2">
      <c r="A48" s="155"/>
      <c r="B48" s="138" t="str">
        <f>IF(A48="","",VLOOKUP(A48,'6.A'!$A$11:$G$180,2,FALSE))</f>
        <v/>
      </c>
      <c r="C48" s="156"/>
      <c r="D48" s="157" t="str">
        <f>IF(A48="","",VLOOKUP(A48,'6.A'!$A$11:$G$180,4,FALSE))</f>
        <v/>
      </c>
      <c r="E48" s="158" t="str">
        <f>IF(A48="","",VLOOKUP(A48,'6.A'!$A$11:$G$180,5,FALSE))</f>
        <v/>
      </c>
      <c r="F48" s="24" t="str">
        <f t="shared" si="18"/>
        <v>0,00</v>
      </c>
      <c r="G48" s="52"/>
      <c r="H48" s="52" t="str">
        <f>IF(A48="","",VLOOKUP(A48,'6.A'!$A$11:$E$7984,5,FALSE))</f>
        <v/>
      </c>
      <c r="I48" s="52" t="str">
        <f t="shared" si="19"/>
        <v/>
      </c>
      <c r="J48" s="52" t="str">
        <f>IF(H48="","",VLOOKUP(A48,'6.A'!$A$11:$E$564,4,FALSE))</f>
        <v/>
      </c>
      <c r="K48" s="52" t="str">
        <f t="shared" si="20"/>
        <v/>
      </c>
      <c r="L48" s="52" t="str">
        <f>IF(H48="","",IF(C48="","",G12*C48))</f>
        <v/>
      </c>
      <c r="M48" s="117" t="str">
        <f>IF(A48="","",VLOOKUP(A48,'6.A'!$A$11:$C$564,2,FALSE))</f>
        <v/>
      </c>
      <c r="N48" s="57" t="str">
        <f t="shared" si="21"/>
        <v/>
      </c>
      <c r="O48" s="56"/>
      <c r="P48" s="56"/>
      <c r="Q48" s="48"/>
      <c r="R48" s="48"/>
      <c r="S48" s="65"/>
      <c r="T48" s="2"/>
      <c r="U48" s="2"/>
      <c r="V48" s="2"/>
    </row>
    <row r="49" spans="1:22" s="149" customFormat="1" ht="12.75" customHeight="1" x14ac:dyDescent="0.2">
      <c r="A49" s="155"/>
      <c r="B49" s="138" t="str">
        <f>IF(A49="","",VLOOKUP(A49,'6.A'!$A$11:$G$180,2,FALSE))</f>
        <v/>
      </c>
      <c r="C49" s="156"/>
      <c r="D49" s="157" t="str">
        <f>IF(A49="","",VLOOKUP(A49,'6.A'!$A$11:$G$180,4,FALSE))</f>
        <v/>
      </c>
      <c r="E49" s="158" t="str">
        <f>IF(A49="","",VLOOKUP(A49,'6.A'!$A$11:$G$180,5,FALSE))</f>
        <v/>
      </c>
      <c r="F49" s="24" t="str">
        <f t="shared" si="18"/>
        <v>0,00</v>
      </c>
      <c r="G49" s="52"/>
      <c r="H49" s="52" t="str">
        <f>IF(A49="","",VLOOKUP(A49,'6.A'!$A$11:$E$7984,5,FALSE))</f>
        <v/>
      </c>
      <c r="I49" s="52" t="str">
        <f t="shared" si="19"/>
        <v/>
      </c>
      <c r="J49" s="52" t="str">
        <f>IF(H49="","",VLOOKUP(A49,'6.A'!$A$11:$E$564,4,FALSE))</f>
        <v/>
      </c>
      <c r="K49" s="52" t="str">
        <f t="shared" si="20"/>
        <v/>
      </c>
      <c r="L49" s="52" t="str">
        <f>IF(H49="","",IF(C49="","",G12*C49))</f>
        <v/>
      </c>
      <c r="M49" s="117" t="str">
        <f>IF(A49="","",VLOOKUP(A49,'6.A'!$A$11:$C$564,2,FALSE))</f>
        <v/>
      </c>
      <c r="N49" s="57" t="str">
        <f t="shared" si="21"/>
        <v/>
      </c>
      <c r="O49" s="56"/>
      <c r="P49" s="56"/>
      <c r="Q49" s="48"/>
      <c r="R49" s="48"/>
      <c r="S49" s="65"/>
      <c r="T49" s="2"/>
      <c r="U49" s="2"/>
      <c r="V49" s="2"/>
    </row>
    <row r="50" spans="1:22" s="149" customFormat="1" ht="12.75" customHeight="1" x14ac:dyDescent="0.2">
      <c r="A50" s="155"/>
      <c r="B50" s="138" t="str">
        <f>IF(A50="","",VLOOKUP(A50,'6.A'!$A$11:$G$180,2,FALSE))</f>
        <v/>
      </c>
      <c r="C50" s="156"/>
      <c r="D50" s="157" t="str">
        <f>IF(A50="","",VLOOKUP(A50,'6.A'!$A$11:$G$180,4,FALSE))</f>
        <v/>
      </c>
      <c r="E50" s="158" t="str">
        <f>IF(A50="","",VLOOKUP(A50,'6.A'!$A$11:$G$180,5,FALSE))</f>
        <v/>
      </c>
      <c r="F50" s="24" t="str">
        <f t="shared" si="18"/>
        <v>0,00</v>
      </c>
      <c r="G50" s="52"/>
      <c r="H50" s="52" t="str">
        <f>IF(A50="","",VLOOKUP(A50,'6.A'!$A$11:$E$7984,5,FALSE))</f>
        <v/>
      </c>
      <c r="I50" s="52" t="str">
        <f t="shared" si="19"/>
        <v/>
      </c>
      <c r="J50" s="52" t="str">
        <f>IF(H50="","",VLOOKUP(A50,'6.A'!$A$11:$E$564,4,FALSE))</f>
        <v/>
      </c>
      <c r="K50" s="52" t="str">
        <f t="shared" si="20"/>
        <v/>
      </c>
      <c r="L50" s="52" t="str">
        <f>IF(H50="","",IF(C50="","",G12*C50))</f>
        <v/>
      </c>
      <c r="M50" s="117" t="str">
        <f>IF(A50="","",VLOOKUP(A50,'6.A'!$A$11:$C$564,2,FALSE))</f>
        <v/>
      </c>
      <c r="N50" s="57" t="str">
        <f t="shared" si="21"/>
        <v/>
      </c>
      <c r="O50" s="56"/>
      <c r="P50" s="56"/>
      <c r="Q50" s="48"/>
      <c r="R50" s="48"/>
      <c r="S50" s="65"/>
      <c r="T50" s="2"/>
      <c r="U50" s="2"/>
      <c r="V50" s="2"/>
    </row>
    <row r="51" spans="1:22" s="149" customFormat="1" ht="12.75" customHeight="1" x14ac:dyDescent="0.2">
      <c r="A51" s="155"/>
      <c r="B51" s="138" t="str">
        <f>IF(A51="","",VLOOKUP(A51,'6.A'!$A$11:$G$180,2,FALSE))</f>
        <v/>
      </c>
      <c r="C51" s="156"/>
      <c r="D51" s="157" t="str">
        <f>IF(A51="","",VLOOKUP(A51,'6.A'!$A$11:$G$180,4,FALSE))</f>
        <v/>
      </c>
      <c r="E51" s="158" t="str">
        <f>IF(A51="","",VLOOKUP(A51,'6.A'!$A$11:$G$180,5,FALSE))</f>
        <v/>
      </c>
      <c r="F51" s="24" t="str">
        <f t="shared" si="18"/>
        <v>0,00</v>
      </c>
      <c r="G51" s="52"/>
      <c r="H51" s="52" t="str">
        <f>IF(A51="","",VLOOKUP(A51,'6.A'!$A$11:$E$7984,5,FALSE))</f>
        <v/>
      </c>
      <c r="I51" s="52" t="str">
        <f t="shared" si="19"/>
        <v/>
      </c>
      <c r="J51" s="52" t="str">
        <f>IF(H51="","",VLOOKUP(A51,'6.A'!$A$11:$E$564,4,FALSE))</f>
        <v/>
      </c>
      <c r="K51" s="52" t="str">
        <f t="shared" si="20"/>
        <v/>
      </c>
      <c r="L51" s="52" t="str">
        <f>IF(H51="","",IF(C51="","",G12*C51))</f>
        <v/>
      </c>
      <c r="M51" s="117" t="str">
        <f>IF(A51="","",VLOOKUP(A51,'6.A'!$A$11:$C$564,2,FALSE))</f>
        <v/>
      </c>
      <c r="N51" s="57" t="str">
        <f t="shared" si="21"/>
        <v/>
      </c>
      <c r="O51" s="56"/>
      <c r="P51" s="56"/>
      <c r="Q51" s="48"/>
      <c r="R51" s="48"/>
      <c r="S51" s="65"/>
      <c r="T51" s="2"/>
      <c r="U51" s="2"/>
      <c r="V51" s="2"/>
    </row>
    <row r="52" spans="1:22" s="149" customFormat="1" ht="12.75" customHeight="1" x14ac:dyDescent="0.2">
      <c r="A52" s="155"/>
      <c r="B52" s="138" t="str">
        <f>IF(A52="","",VLOOKUP(A52,'6.A'!$A$11:$G$180,2,FALSE))</f>
        <v/>
      </c>
      <c r="C52" s="156"/>
      <c r="D52" s="157" t="str">
        <f>IF(A52="","",VLOOKUP(A52,'6.A'!$A$11:$G$180,4,FALSE))</f>
        <v/>
      </c>
      <c r="E52" s="158" t="str">
        <f>IF(A52="","",VLOOKUP(A52,'6.A'!$A$11:$G$180,5,FALSE))</f>
        <v/>
      </c>
      <c r="F52" s="24" t="str">
        <f t="shared" si="18"/>
        <v>0,00</v>
      </c>
      <c r="G52" s="52"/>
      <c r="H52" s="52" t="str">
        <f>IF(A52="","",VLOOKUP(A52,'6.A'!$A$11:$E$7984,5,FALSE))</f>
        <v/>
      </c>
      <c r="I52" s="52" t="str">
        <f t="shared" si="19"/>
        <v/>
      </c>
      <c r="J52" s="52" t="str">
        <f>IF(H52="","",VLOOKUP(A52,'6.A'!$A$11:$E$564,4,FALSE))</f>
        <v/>
      </c>
      <c r="K52" s="52" t="str">
        <f t="shared" si="20"/>
        <v/>
      </c>
      <c r="L52" s="52" t="str">
        <f>IF(H52="","",IF(C52="","",G12*C52))</f>
        <v/>
      </c>
      <c r="M52" s="117" t="str">
        <f>IF(A52="","",VLOOKUP(A52,'6.A'!$A$11:$C$564,2,FALSE))</f>
        <v/>
      </c>
      <c r="N52" s="57" t="str">
        <f t="shared" si="21"/>
        <v/>
      </c>
      <c r="O52" s="56"/>
      <c r="P52" s="56"/>
      <c r="Q52" s="48"/>
      <c r="R52" s="48"/>
      <c r="S52" s="65"/>
      <c r="T52" s="2"/>
      <c r="U52" s="2"/>
      <c r="V52" s="2"/>
    </row>
    <row r="53" spans="1:22" s="149" customFormat="1" ht="12.75" customHeight="1" x14ac:dyDescent="0.2">
      <c r="A53" s="155"/>
      <c r="B53" s="138" t="str">
        <f>IF(A53="","",VLOOKUP(A53,'6.A'!$A$11:$G$180,2,FALSE))</f>
        <v/>
      </c>
      <c r="C53" s="156"/>
      <c r="D53" s="157" t="str">
        <f>IF(A53="","",VLOOKUP(A53,'6.A'!$A$11:$G$180,4,FALSE))</f>
        <v/>
      </c>
      <c r="E53" s="158" t="str">
        <f>IF(A53="","",VLOOKUP(A53,'6.A'!$A$11:$G$180,5,FALSE))</f>
        <v/>
      </c>
      <c r="F53" s="24" t="str">
        <f t="shared" si="18"/>
        <v>0,00</v>
      </c>
      <c r="G53" s="52"/>
      <c r="H53" s="52" t="str">
        <f>IF(A53="","",VLOOKUP(A53,'6.A'!$A$11:$E$7984,5,FALSE))</f>
        <v/>
      </c>
      <c r="I53" s="52" t="str">
        <f t="shared" si="19"/>
        <v/>
      </c>
      <c r="J53" s="52" t="str">
        <f>IF(H53="","",VLOOKUP(A53,'6.A'!$A$11:$E$564,4,FALSE))</f>
        <v/>
      </c>
      <c r="K53" s="52" t="str">
        <f t="shared" si="20"/>
        <v/>
      </c>
      <c r="L53" s="52" t="str">
        <f>IF(H53="","",IF(C53="","",G12*C53))</f>
        <v/>
      </c>
      <c r="M53" s="117" t="str">
        <f>IF(A53="","",VLOOKUP(A53,'6.A'!$A$11:$C$564,2,FALSE))</f>
        <v/>
      </c>
      <c r="N53" s="57" t="str">
        <f t="shared" si="21"/>
        <v/>
      </c>
      <c r="O53" s="56"/>
      <c r="P53" s="56"/>
      <c r="Q53" s="48"/>
      <c r="R53" s="48"/>
      <c r="S53" s="65"/>
      <c r="T53" s="2"/>
      <c r="U53" s="2"/>
      <c r="V53" s="2"/>
    </row>
    <row r="54" spans="1:22" s="149" customFormat="1" ht="12.75" customHeight="1" x14ac:dyDescent="0.2">
      <c r="A54" s="155"/>
      <c r="B54" s="138" t="str">
        <f>IF(A54="","",VLOOKUP(A54,'6.A'!$A$11:$G$180,2,FALSE))</f>
        <v/>
      </c>
      <c r="C54" s="156"/>
      <c r="D54" s="157" t="str">
        <f>IF(A54="","",VLOOKUP(A54,'6.A'!$A$11:$G$180,4,FALSE))</f>
        <v/>
      </c>
      <c r="E54" s="158" t="str">
        <f>IF(A54="","",VLOOKUP(A54,'6.A'!$A$11:$G$180,5,FALSE))</f>
        <v/>
      </c>
      <c r="F54" s="24" t="str">
        <f t="shared" si="18"/>
        <v>0,00</v>
      </c>
      <c r="G54" s="52"/>
      <c r="H54" s="52" t="str">
        <f>IF(A54="","",VLOOKUP(A54,'6.A'!$A$11:$E$7984,5,FALSE))</f>
        <v/>
      </c>
      <c r="I54" s="52" t="str">
        <f t="shared" si="19"/>
        <v/>
      </c>
      <c r="J54" s="52" t="str">
        <f>IF(H54="","",VLOOKUP(A54,'6.A'!$A$11:$E$564,4,FALSE))</f>
        <v/>
      </c>
      <c r="K54" s="52" t="str">
        <f t="shared" si="20"/>
        <v/>
      </c>
      <c r="L54" s="52" t="str">
        <f>IF(H54="","",IF(C54="","",G12*C54))</f>
        <v/>
      </c>
      <c r="M54" s="117" t="str">
        <f>IF(A54="","",VLOOKUP(A54,'6.A'!$A$11:$C$564,2,FALSE))</f>
        <v/>
      </c>
      <c r="N54" s="57" t="str">
        <f t="shared" si="21"/>
        <v/>
      </c>
      <c r="O54" s="56"/>
      <c r="P54" s="56"/>
      <c r="Q54" s="48"/>
      <c r="R54" s="48"/>
      <c r="S54" s="65"/>
      <c r="T54" s="2"/>
      <c r="U54" s="2"/>
      <c r="V54" s="2"/>
    </row>
    <row r="55" spans="1:22" s="149" customFormat="1" ht="12.75" customHeight="1" x14ac:dyDescent="0.2">
      <c r="A55" s="155"/>
      <c r="B55" s="138" t="str">
        <f>IF(A55="","",VLOOKUP(A55,'6.A'!$A$11:$G$180,2,FALSE))</f>
        <v/>
      </c>
      <c r="C55" s="156"/>
      <c r="D55" s="157" t="str">
        <f>IF(A55="","",VLOOKUP(A55,'6.A'!$A$11:$G$180,4,FALSE))</f>
        <v/>
      </c>
      <c r="E55" s="158" t="str">
        <f>IF(A55="","",VLOOKUP(A55,'6.A'!$A$11:$G$180,5,FALSE))</f>
        <v/>
      </c>
      <c r="F55" s="24" t="str">
        <f t="shared" si="18"/>
        <v>0,00</v>
      </c>
      <c r="G55" s="52"/>
      <c r="H55" s="52" t="str">
        <f>IF(A55="","",VLOOKUP(A55,'6.A'!$A$11:$E$7984,5,FALSE))</f>
        <v/>
      </c>
      <c r="I55" s="52" t="str">
        <f t="shared" si="19"/>
        <v/>
      </c>
      <c r="J55" s="52" t="str">
        <f>IF(H55="","",VLOOKUP(A55,'6.A'!$A$11:$E$564,4,FALSE))</f>
        <v/>
      </c>
      <c r="K55" s="52" t="str">
        <f t="shared" si="20"/>
        <v/>
      </c>
      <c r="L55" s="52" t="str">
        <f>IF(H55="","",IF(C55="","",G12*C55))</f>
        <v/>
      </c>
      <c r="M55" s="117" t="str">
        <f>IF(A55="","",VLOOKUP(A55,'6.A'!$A$11:$C$564,2,FALSE))</f>
        <v/>
      </c>
      <c r="N55" s="57" t="str">
        <f t="shared" si="21"/>
        <v/>
      </c>
      <c r="O55" s="56"/>
      <c r="P55" s="56"/>
      <c r="Q55" s="48"/>
      <c r="R55" s="48"/>
      <c r="S55" s="65"/>
      <c r="T55" s="2"/>
      <c r="U55" s="2"/>
      <c r="V55" s="2"/>
    </row>
    <row r="56" spans="1:22" s="149" customFormat="1" ht="12.75" customHeight="1" x14ac:dyDescent="0.2">
      <c r="A56" s="155"/>
      <c r="B56" s="138" t="str">
        <f>IF(A56="","",VLOOKUP(A56,'6.A'!$A$11:$G$180,2,FALSE))</f>
        <v/>
      </c>
      <c r="C56" s="156"/>
      <c r="D56" s="157" t="str">
        <f>IF(A56="","",VLOOKUP(A56,'6.A'!$A$11:$G$180,4,FALSE))</f>
        <v/>
      </c>
      <c r="E56" s="158" t="str">
        <f>IF(A56="","",VLOOKUP(A56,'6.A'!$A$11:$G$180,5,FALSE))</f>
        <v/>
      </c>
      <c r="F56" s="24" t="str">
        <f t="shared" si="18"/>
        <v>0,00</v>
      </c>
      <c r="G56" s="52"/>
      <c r="H56" s="52" t="str">
        <f>IF(A56="","",VLOOKUP(A56,'6.A'!$A$11:$E$7984,5,FALSE))</f>
        <v/>
      </c>
      <c r="I56" s="52" t="str">
        <f t="shared" si="19"/>
        <v/>
      </c>
      <c r="J56" s="52" t="str">
        <f>IF(H56="","",VLOOKUP(A56,'6.A'!$A$11:$E$564,4,FALSE))</f>
        <v/>
      </c>
      <c r="K56" s="52" t="str">
        <f t="shared" si="20"/>
        <v/>
      </c>
      <c r="L56" s="52" t="str">
        <f>IF(H56="","",IF(C56="","",G12*C56))</f>
        <v/>
      </c>
      <c r="M56" s="117" t="str">
        <f>IF(A56="","",VLOOKUP(A56,'6.A'!$A$11:$C$564,2,FALSE))</f>
        <v/>
      </c>
      <c r="N56" s="57" t="str">
        <f t="shared" si="21"/>
        <v/>
      </c>
      <c r="O56" s="56"/>
      <c r="P56" s="56"/>
      <c r="Q56" s="48"/>
      <c r="R56" s="48"/>
      <c r="S56" s="65"/>
      <c r="T56" s="2"/>
      <c r="U56" s="2"/>
      <c r="V56" s="2"/>
    </row>
    <row r="57" spans="1:22" s="149" customFormat="1" ht="12.75" customHeight="1" x14ac:dyDescent="0.2">
      <c r="A57" s="155"/>
      <c r="B57" s="171" t="str">
        <f>IF(A57="","",VLOOKUP(A57,'6.A'!$A$11:$G$180,2,FALSE))</f>
        <v/>
      </c>
      <c r="C57" s="156"/>
      <c r="D57" s="157" t="str">
        <f>IF(A57="","",VLOOKUP(A57,'6.A'!$A$11:$G$180,4,FALSE))</f>
        <v/>
      </c>
      <c r="E57" s="158" t="str">
        <f>IF(A57="","",VLOOKUP(A57,'6.A'!$A$11:$G$180,5,FALSE))</f>
        <v/>
      </c>
      <c r="F57" s="24" t="str">
        <f t="shared" si="18"/>
        <v>0,00</v>
      </c>
      <c r="G57" s="52"/>
      <c r="H57" s="52" t="str">
        <f>IF(A57="","",VLOOKUP(A57,'6.A'!$A$11:$E$7984,5,FALSE))</f>
        <v/>
      </c>
      <c r="I57" s="52" t="str">
        <f t="shared" si="19"/>
        <v/>
      </c>
      <c r="J57" s="52" t="str">
        <f>IF(H57="","",VLOOKUP(A57,'6.A'!$A$11:$E$564,4,FALSE))</f>
        <v/>
      </c>
      <c r="K57" s="52" t="str">
        <f t="shared" si="20"/>
        <v/>
      </c>
      <c r="L57" s="52" t="str">
        <f>IF(H57="","",IF(C57="","",G12*C57))</f>
        <v/>
      </c>
      <c r="M57" s="117" t="str">
        <f>IF(A57="","",VLOOKUP(A57,'6.A'!$A$11:$C$564,2,FALSE))</f>
        <v/>
      </c>
      <c r="N57" s="57" t="str">
        <f t="shared" si="21"/>
        <v/>
      </c>
      <c r="O57" s="56"/>
      <c r="P57" s="56"/>
      <c r="Q57" s="48"/>
      <c r="R57" s="48"/>
      <c r="S57" s="65"/>
      <c r="T57" s="2"/>
      <c r="U57" s="2"/>
      <c r="V57" s="2"/>
    </row>
    <row r="58" spans="1:22" s="149" customFormat="1" ht="12.75" customHeight="1" x14ac:dyDescent="0.2">
      <c r="A58" s="155"/>
      <c r="B58" s="171" t="str">
        <f>IF(A58="","",VLOOKUP(A58,'6.A'!$A$11:$G$180,2,FALSE))</f>
        <v/>
      </c>
      <c r="C58" s="156"/>
      <c r="D58" s="157" t="str">
        <f>IF(A58="","",VLOOKUP(A58,'6.A'!$A$11:$G$180,4,FALSE))</f>
        <v/>
      </c>
      <c r="E58" s="158" t="str">
        <f>IF(A58="","",VLOOKUP(A58,'6.A'!$A$11:$G$180,5,FALSE))</f>
        <v/>
      </c>
      <c r="F58" s="24" t="str">
        <f t="shared" si="18"/>
        <v>0,00</v>
      </c>
      <c r="G58" s="52"/>
      <c r="H58" s="52" t="str">
        <f>IF(A58="","",VLOOKUP(A58,'6.A'!$A$11:$E$7984,5,FALSE))</f>
        <v/>
      </c>
      <c r="I58" s="52" t="str">
        <f t="shared" si="19"/>
        <v/>
      </c>
      <c r="J58" s="52" t="str">
        <f>IF(H58="","",VLOOKUP(A58,'6.A'!$A$11:$E$564,4,FALSE))</f>
        <v/>
      </c>
      <c r="K58" s="52" t="str">
        <f t="shared" si="20"/>
        <v/>
      </c>
      <c r="L58" s="52" t="str">
        <f>IF(H58="","",IF(C58="","",G12*C58))</f>
        <v/>
      </c>
      <c r="M58" s="117" t="str">
        <f>IF(A58="","",VLOOKUP(A58,'6.A'!$A$11:$C$564,2,FALSE))</f>
        <v/>
      </c>
      <c r="N58" s="57" t="str">
        <f t="shared" si="21"/>
        <v/>
      </c>
      <c r="O58" s="56"/>
      <c r="P58" s="56"/>
      <c r="Q58" s="48"/>
      <c r="R58" s="48"/>
      <c r="S58" s="65"/>
      <c r="T58" s="2"/>
      <c r="U58" s="2"/>
      <c r="V58" s="2"/>
    </row>
    <row r="59" spans="1:22" s="137" customFormat="1" ht="12.75" customHeight="1" x14ac:dyDescent="0.2">
      <c r="A59" s="155"/>
      <c r="B59" s="171" t="str">
        <f>IF(A59="","",VLOOKUP(A59,'6.A'!$A$11:$G$180,2,FALSE))</f>
        <v/>
      </c>
      <c r="C59" s="156"/>
      <c r="D59" s="157" t="str">
        <f>IF(A59="","",VLOOKUP(A59,'6.A'!$A$11:$G$180,4,FALSE))</f>
        <v/>
      </c>
      <c r="E59" s="158" t="str">
        <f>IF(A59="","",VLOOKUP(A59,'6.A'!$A$11:$G$180,5,FALSE))</f>
        <v/>
      </c>
      <c r="F59" s="24" t="str">
        <f t="shared" si="18"/>
        <v>0,00</v>
      </c>
      <c r="G59" s="52"/>
      <c r="H59" s="52" t="str">
        <f>IF(A59="","",VLOOKUP(A59,'6.A'!$A$11:$E$7984,5,FALSE))</f>
        <v/>
      </c>
      <c r="I59" s="52" t="str">
        <f t="shared" si="19"/>
        <v/>
      </c>
      <c r="J59" s="52" t="str">
        <f>IF(H59="","",VLOOKUP(A59,'6.A'!$A$11:$E$564,4,FALSE))</f>
        <v/>
      </c>
      <c r="K59" s="52" t="str">
        <f t="shared" si="20"/>
        <v/>
      </c>
      <c r="L59" s="52" t="str">
        <f>IF(H59="","",IF(C59="","",G12*C59))</f>
        <v/>
      </c>
      <c r="M59" s="117" t="str">
        <f>IF(A59="","",VLOOKUP(A59,'6.A'!$A$11:$C$564,2,FALSE))</f>
        <v/>
      </c>
      <c r="N59" s="57" t="str">
        <f t="shared" si="21"/>
        <v/>
      </c>
      <c r="O59" s="56"/>
      <c r="P59" s="56"/>
      <c r="Q59" s="48"/>
      <c r="R59" s="48"/>
      <c r="S59" s="65"/>
      <c r="T59" s="2"/>
      <c r="U59" s="2"/>
      <c r="V59" s="2"/>
    </row>
    <row r="60" spans="1:22" s="137" customFormat="1" ht="12.75" customHeight="1" x14ac:dyDescent="0.2">
      <c r="A60" s="155"/>
      <c r="B60" s="171" t="str">
        <f>IF(A60="","",VLOOKUP(A60,'6.A'!$A$11:$G$180,2,FALSE))</f>
        <v/>
      </c>
      <c r="C60" s="156"/>
      <c r="D60" s="157" t="str">
        <f>IF(A60="","",VLOOKUP(A60,'6.A'!$A$11:$G$180,4,FALSE))</f>
        <v/>
      </c>
      <c r="E60" s="158" t="str">
        <f>IF(A60="","",VLOOKUP(A60,'6.A'!$A$11:$G$180,5,FALSE))</f>
        <v/>
      </c>
      <c r="F60" s="24" t="str">
        <f t="shared" si="18"/>
        <v>0,00</v>
      </c>
      <c r="G60" s="52"/>
      <c r="H60" s="52" t="str">
        <f>IF(A60="","",VLOOKUP(A60,'6.A'!$A$11:$E$7984,5,FALSE))</f>
        <v/>
      </c>
      <c r="I60" s="52" t="str">
        <f t="shared" si="19"/>
        <v/>
      </c>
      <c r="J60" s="52" t="str">
        <f>IF(H60="","",VLOOKUP(A60,'6.A'!$A$11:$E$564,4,FALSE))</f>
        <v/>
      </c>
      <c r="K60" s="52" t="str">
        <f t="shared" si="20"/>
        <v/>
      </c>
      <c r="L60" s="52" t="str">
        <f>IF(H60="","",IF(C60="","",G12*C60))</f>
        <v/>
      </c>
      <c r="M60" s="117" t="str">
        <f>IF(A60="","",VLOOKUP(A60,'6.A'!$A$11:$C$564,2,FALSE))</f>
        <v/>
      </c>
      <c r="N60" s="57" t="str">
        <f t="shared" si="21"/>
        <v/>
      </c>
      <c r="O60" s="56"/>
      <c r="P60" s="56"/>
      <c r="Q60" s="48"/>
      <c r="R60" s="48"/>
      <c r="S60" s="65"/>
      <c r="T60" s="2"/>
      <c r="U60" s="2"/>
      <c r="V60" s="2"/>
    </row>
    <row r="61" spans="1:22" s="137" customFormat="1" ht="12.75" customHeight="1" x14ac:dyDescent="0.2">
      <c r="A61" s="155"/>
      <c r="B61" s="26" t="str">
        <f>$A$9</f>
        <v>BDI</v>
      </c>
      <c r="C61" s="40">
        <f>$C$9</f>
        <v>0</v>
      </c>
      <c r="D61" s="141"/>
      <c r="E61" s="147"/>
      <c r="F61" s="162">
        <f>ROUND(SUM(F41:F60)*C61,2)</f>
        <v>0</v>
      </c>
      <c r="G61" s="63"/>
      <c r="H61" s="52"/>
      <c r="I61" s="57"/>
      <c r="J61" s="57"/>
      <c r="K61" s="57"/>
      <c r="L61" s="52"/>
      <c r="M61" s="57"/>
      <c r="N61" s="57"/>
      <c r="O61" s="56"/>
      <c r="P61" s="56"/>
      <c r="Q61" s="48"/>
      <c r="R61" s="48"/>
      <c r="S61" s="65"/>
      <c r="T61" s="2"/>
      <c r="U61" s="2"/>
      <c r="V61" s="2"/>
    </row>
    <row r="62" spans="1:22" s="137" customFormat="1" ht="12.75" customHeight="1" thickBot="1" x14ac:dyDescent="0.25">
      <c r="A62" s="172"/>
      <c r="B62" s="42" t="s">
        <v>57</v>
      </c>
      <c r="C62" s="43"/>
      <c r="D62" s="173"/>
      <c r="E62" s="174"/>
      <c r="F62" s="175">
        <f>ROUND(SUM(F41:F61),2)</f>
        <v>0</v>
      </c>
      <c r="G62" s="63"/>
      <c r="H62" s="52"/>
      <c r="I62" s="57"/>
      <c r="J62" s="57"/>
      <c r="K62" s="57"/>
      <c r="L62" s="52"/>
      <c r="M62" s="57"/>
      <c r="N62" s="57"/>
      <c r="O62" s="56"/>
      <c r="P62" s="56"/>
      <c r="Q62" s="48"/>
      <c r="R62" s="48"/>
      <c r="S62" s="65"/>
      <c r="T62" s="2"/>
      <c r="U62" s="2"/>
      <c r="V62" s="2"/>
    </row>
    <row r="63" spans="1:22" s="137" customFormat="1" ht="12" customHeight="1" thickBot="1" x14ac:dyDescent="0.25">
      <c r="A63" s="150"/>
      <c r="B63" s="145"/>
      <c r="C63" s="146"/>
      <c r="D63" s="141"/>
      <c r="E63" s="147"/>
      <c r="F63" s="142"/>
      <c r="G63" s="142"/>
      <c r="H63" s="139"/>
      <c r="I63" s="141"/>
      <c r="J63" s="141"/>
      <c r="K63" s="141"/>
      <c r="L63" s="139"/>
      <c r="M63" s="143"/>
      <c r="N63" s="143"/>
      <c r="O63" s="144"/>
      <c r="P63" s="144"/>
      <c r="Q63" s="135"/>
      <c r="R63" s="135"/>
      <c r="S63" s="149"/>
    </row>
    <row r="64" spans="1:22" s="137" customFormat="1" ht="50.1" customHeight="1" x14ac:dyDescent="0.2">
      <c r="A64" s="151" t="str">
        <f>'3.A'!$A$20</f>
        <v>1.2</v>
      </c>
      <c r="B64" s="14" t="str">
        <f>IF(A64="","",VLOOKUP(A64,'3.A'!$A$17:$M$279,2,FALSE))</f>
        <v>OPERAÇÃO E MANUTENÇÃO DO CANTEIRO DE OBRAS</v>
      </c>
      <c r="C64" s="413" t="s">
        <v>62</v>
      </c>
      <c r="D64" s="413"/>
      <c r="E64" s="15" t="str">
        <f>IF(A64="","",VLOOKUP(A64,'3.A'!$A$17:$M$279,3,FALSE))</f>
        <v>GB</v>
      </c>
      <c r="F64" s="16">
        <f>ROUND(F78+F91+F114,2)</f>
        <v>0</v>
      </c>
      <c r="G64" s="118">
        <f>VLOOKUP(A64,'3.A'!$A$19:$I$279,4,FALSE)</f>
        <v>1</v>
      </c>
      <c r="H64" s="47">
        <f>SUM(F66:F77)</f>
        <v>0</v>
      </c>
      <c r="I64" s="47">
        <f>SUM(F80:F90)</f>
        <v>0</v>
      </c>
      <c r="J64" s="47">
        <f>SUM(F93:F113)</f>
        <v>0</v>
      </c>
      <c r="K64" s="47">
        <f>SUM(H64:J64)</f>
        <v>0</v>
      </c>
      <c r="L64" s="47" t="str">
        <f>IF(K64=F64,"SIM","NÃO")</f>
        <v>SIM</v>
      </c>
      <c r="M64" s="58">
        <f>ROUND(SUM(F66:F75)*C76,2)+ROUND(SUM(F66:F76)*C77,2)+ROUND(SUM(F66:F75),2)+ROUND(SUM(F80:F89)*C90,2)+ROUND(SUM(F80:F89),2)+ROUND(SUM(F93:F112)*C113,2)+ROUND(SUM(F93:F112),2)</f>
        <v>0</v>
      </c>
      <c r="N64" s="50" t="str">
        <f>IF(M64=F64,"SIM","NÃO")</f>
        <v>SIM</v>
      </c>
      <c r="O64" s="51" t="str">
        <f>VLOOKUP(A64,'3.A'!$A$8:$E$279,3,FALSE)</f>
        <v>GB</v>
      </c>
      <c r="P64" s="51" t="str">
        <f>IF(O64=E64,"SIM","NÃO")</f>
        <v>SIM</v>
      </c>
      <c r="Q64" s="53">
        <f>ROUND(G64*F78,2)+ROUND(G64*F91,2)+ROUND(G64*F114,2)</f>
        <v>0</v>
      </c>
      <c r="R64" s="59">
        <f>VLOOKUP(A64,'3.A'!$A$17:$L$279,12,FALSE)</f>
        <v>0</v>
      </c>
      <c r="S64" s="60" t="str">
        <f>IF(Q64=R64,"si","no")</f>
        <v>si</v>
      </c>
      <c r="T64" s="61">
        <f>SUM(L66:L75)+SUM(L80:L89)+SUM(L93:L112)</f>
        <v>82</v>
      </c>
      <c r="U64" s="52">
        <f>G64*C72+G64*C74+G64*C67+G64*C68+G64*C70+G64*C73+G64*C71+G64*C66+G64*C69+G64*C75+G64*C86+G64*C80+G64*C88+G64*C87+G64*C85+G64*C82+G64*C81+G64*C83+G64*C89+G64*C84+G64*C93+G64*C94+G64*C95+G64*C103+G64*C104+G64*C105+G64*C106+G64*C107+G64*C108+G64*C109+G64*C110+G64*C111+G64*C112+G64*C101+G64*C102+G64*C96+G64*C97+G64*C98+G64*C99+G64*C100</f>
        <v>82</v>
      </c>
      <c r="V64" s="54" t="str">
        <f>IF(T64=U64,"si","no")</f>
        <v>si</v>
      </c>
    </row>
    <row r="65" spans="1:22" s="137" customFormat="1" ht="12.75" customHeight="1" x14ac:dyDescent="0.2">
      <c r="A65" s="152" t="s">
        <v>3</v>
      </c>
      <c r="B65" s="153" t="s">
        <v>58</v>
      </c>
      <c r="C65" s="140" t="s">
        <v>59</v>
      </c>
      <c r="D65" s="140" t="s">
        <v>16</v>
      </c>
      <c r="E65" s="154" t="s">
        <v>60</v>
      </c>
      <c r="F65" s="148" t="s">
        <v>61</v>
      </c>
      <c r="G65" s="21"/>
      <c r="H65" s="52"/>
      <c r="I65" s="57"/>
      <c r="J65" s="57"/>
      <c r="K65" s="57"/>
      <c r="L65" s="52"/>
      <c r="M65" s="57"/>
      <c r="N65" s="57"/>
      <c r="O65" s="56"/>
      <c r="P65" s="56"/>
      <c r="Q65" s="48"/>
      <c r="R65" s="48"/>
      <c r="S65" s="65"/>
      <c r="T65" s="2"/>
      <c r="U65" s="2"/>
      <c r="V65" s="2"/>
    </row>
    <row r="66" spans="1:22" s="137" customFormat="1" ht="12.75" customHeight="1" x14ac:dyDescent="0.2">
      <c r="A66" s="155">
        <f>'6.A'!$A$24</f>
        <v>90776</v>
      </c>
      <c r="B66" s="138" t="str">
        <f>IF(A66="","",VLOOKUP(A66,'6.A'!$A$11:$G$180,2,FALSE))</f>
        <v>ENCARREGADO GERAL COM ENCARGOS COMPLEMENTARES</v>
      </c>
      <c r="C66" s="156">
        <f>2*4*10</f>
        <v>80</v>
      </c>
      <c r="D66" s="157" t="str">
        <f>IF(A66="","",VLOOKUP(A66,'6.A'!$A$11:$G$180,4,FALSE))</f>
        <v>H</v>
      </c>
      <c r="E66" s="158">
        <f>IF(A66="","",VLOOKUP(A66,'6.A'!$A$11:$G$180,5,FALSE))</f>
        <v>0</v>
      </c>
      <c r="F66" s="159">
        <f t="shared" ref="F66:F75" si="22">IF(A66="","0,00",ROUND(C66*E66,2))</f>
        <v>0</v>
      </c>
      <c r="G66" s="52"/>
      <c r="H66" s="52">
        <f>IF(A66="","",VLOOKUP(A66,'6.A'!$A$11:$E$7984,5,FALSE))</f>
        <v>0</v>
      </c>
      <c r="I66" s="52" t="str">
        <f>IF(H66="","",IF(E66=H66,"SIM","NÃO"))</f>
        <v>SIM</v>
      </c>
      <c r="J66" s="52" t="str">
        <f>IF(H66="","",VLOOKUP(A66,'6.A'!$A$11:$E$564,4,FALSE))</f>
        <v>H</v>
      </c>
      <c r="K66" s="52" t="str">
        <f t="shared" ref="K66" si="23">IF(H66="","",IF(J66=D66,"SIM","NÃO"))</f>
        <v>SIM</v>
      </c>
      <c r="L66" s="52">
        <f>IF(H66="","",IF(C66="","",G64*C66))</f>
        <v>80</v>
      </c>
      <c r="M66" s="117" t="str">
        <f>IF(A66="","",VLOOKUP(A66,'6.A'!$A$11:$C$564,2,FALSE))</f>
        <v>ENCARREGADO GERAL COM ENCARGOS COMPLEMENTARES</v>
      </c>
      <c r="N66" s="57" t="str">
        <f t="shared" ref="N66" si="24">IF(A66="","",IF(M66=B66,"si","no"))</f>
        <v>si</v>
      </c>
      <c r="O66" s="56"/>
      <c r="P66" s="56"/>
      <c r="Q66" s="48"/>
      <c r="R66" s="48"/>
      <c r="S66" s="65"/>
      <c r="T66" s="2"/>
      <c r="U66" s="2"/>
      <c r="V66" s="2"/>
    </row>
    <row r="67" spans="1:22" s="137" customFormat="1" ht="12.75" customHeight="1" x14ac:dyDescent="0.2">
      <c r="A67" s="22"/>
      <c r="B67" s="23"/>
      <c r="C67" s="99"/>
      <c r="D67" s="57"/>
      <c r="E67" s="100"/>
      <c r="F67" s="159" t="str">
        <f t="shared" si="22"/>
        <v>0,00</v>
      </c>
      <c r="G67" s="52"/>
      <c r="H67" s="52" t="str">
        <f>IF(A67="","",VLOOKUP(A67,'6.A'!$A$11:$E$7984,5,FALSE))</f>
        <v/>
      </c>
      <c r="I67" s="52" t="str">
        <f>IF(H67="","",IF(E67=H67,"SIM","NÃO"))</f>
        <v/>
      </c>
      <c r="J67" s="52" t="str">
        <f>IF(H67="","",VLOOKUP(A67,'6.A'!$A$11:$E$564,4,FALSE))</f>
        <v/>
      </c>
      <c r="K67" s="52" t="str">
        <f>IF(H67="","",IF(J67=D67,"SIM","NÃO"))</f>
        <v/>
      </c>
      <c r="L67" s="52" t="str">
        <f>IF(H67="","",IF(C67="","",G64*C67))</f>
        <v/>
      </c>
      <c r="M67" s="117" t="str">
        <f>IF(A67="","",VLOOKUP(A67,'6.A'!$A$11:$C$564,2,FALSE))</f>
        <v/>
      </c>
      <c r="N67" s="57" t="str">
        <f>IF(A67="","",IF(M67=B67,"si","no"))</f>
        <v/>
      </c>
      <c r="O67" s="56"/>
      <c r="P67" s="56"/>
      <c r="Q67" s="48"/>
      <c r="R67" s="48"/>
      <c r="S67" s="65"/>
      <c r="T67" s="2"/>
      <c r="U67" s="2"/>
      <c r="V67" s="2"/>
    </row>
    <row r="68" spans="1:22" s="137" customFormat="1" ht="12.75" customHeight="1" x14ac:dyDescent="0.2">
      <c r="A68" s="155"/>
      <c r="B68" s="138"/>
      <c r="C68" s="156"/>
      <c r="D68" s="157"/>
      <c r="E68" s="158"/>
      <c r="F68" s="159" t="str">
        <f>IF(A68="","0,00",ROUND(C68*E68,2))</f>
        <v>0,00</v>
      </c>
      <c r="G68" s="52"/>
      <c r="H68" s="52" t="str">
        <f>IF(A68="","",VLOOKUP(A68,'6.A'!$A$11:$E$7984,5,FALSE))</f>
        <v/>
      </c>
      <c r="I68" s="52" t="str">
        <f>IF(H68="","",IF(E68=H68,"SIM","NÃO"))</f>
        <v/>
      </c>
      <c r="J68" s="52" t="str">
        <f>IF(H68="","",VLOOKUP(A68,'6.A'!$A$11:$E$564,4,FALSE))</f>
        <v/>
      </c>
      <c r="K68" s="52" t="str">
        <f>IF(H68="","",IF(J68=D68,"SIM","NÃO"))</f>
        <v/>
      </c>
      <c r="L68" s="52" t="str">
        <f>IF(H68="","",IF(C68="","",G64*C68))</f>
        <v/>
      </c>
      <c r="M68" s="117" t="str">
        <f>IF(A68="","",VLOOKUP(A68,'6.A'!$A$11:$C$564,2,FALSE))</f>
        <v/>
      </c>
      <c r="N68" s="57" t="str">
        <f>IF(A68="","",IF(M68=B68,"si","no"))</f>
        <v/>
      </c>
      <c r="O68" s="56"/>
      <c r="P68" s="56"/>
      <c r="Q68" s="48"/>
      <c r="R68" s="48"/>
      <c r="S68" s="65"/>
      <c r="T68" s="2"/>
      <c r="U68" s="2"/>
      <c r="V68" s="2"/>
    </row>
    <row r="69" spans="1:22" s="137" customFormat="1" ht="12.75" customHeight="1" x14ac:dyDescent="0.2">
      <c r="A69" s="155"/>
      <c r="B69" s="138"/>
      <c r="C69" s="156"/>
      <c r="D69" s="157"/>
      <c r="E69" s="158"/>
      <c r="F69" s="159" t="str">
        <f>IF(A69="","0,00",ROUND(C69*E69,2))</f>
        <v>0,00</v>
      </c>
      <c r="G69" s="52"/>
      <c r="H69" s="52" t="str">
        <f>IF(A69="","",VLOOKUP(A69,'6.A'!$A$11:$E$7984,5,FALSE))</f>
        <v/>
      </c>
      <c r="I69" s="52" t="str">
        <f t="shared" ref="I69" si="25">IF(H69="","",IF(E69=H69,"SIM","NÃO"))</f>
        <v/>
      </c>
      <c r="J69" s="52" t="str">
        <f>IF(H69="","",VLOOKUP(A69,'6.A'!$A$11:$E$564,4,FALSE))</f>
        <v/>
      </c>
      <c r="K69" s="52" t="str">
        <f t="shared" ref="K69" si="26">IF(H69="","",IF(J69=D69,"SIM","NÃO"))</f>
        <v/>
      </c>
      <c r="L69" s="52" t="str">
        <f>IF(H69="","",IF(C69="","",G64*C69))</f>
        <v/>
      </c>
      <c r="M69" s="117" t="str">
        <f>IF(A69="","",VLOOKUP(A69,'6.A'!$A$11:$C$564,2,FALSE))</f>
        <v/>
      </c>
      <c r="N69" s="57" t="str">
        <f t="shared" ref="N69" si="27">IF(A69="","",IF(M69=B69,"si","no"))</f>
        <v/>
      </c>
      <c r="O69" s="56"/>
      <c r="P69" s="56"/>
      <c r="Q69" s="48"/>
      <c r="R69" s="48"/>
      <c r="S69" s="65"/>
      <c r="T69" s="2"/>
      <c r="U69" s="2"/>
      <c r="V69" s="2"/>
    </row>
    <row r="70" spans="1:22" s="137" customFormat="1" ht="12.75" customHeight="1" x14ac:dyDescent="0.2">
      <c r="A70" s="155"/>
      <c r="B70" s="138"/>
      <c r="C70" s="156"/>
      <c r="D70" s="157"/>
      <c r="E70" s="158"/>
      <c r="F70" s="159" t="str">
        <f>IF(A70="","0,00",ROUND(C70*E70,2))</f>
        <v>0,00</v>
      </c>
      <c r="G70" s="52"/>
      <c r="H70" s="52" t="str">
        <f>IF(A70="","",VLOOKUP(A70,'6.A'!$A$11:$E$7984,5,FALSE))</f>
        <v/>
      </c>
      <c r="I70" s="52" t="str">
        <f>IF(H70="","",IF(E70=H70,"SIM","NÃO"))</f>
        <v/>
      </c>
      <c r="J70" s="52" t="str">
        <f>IF(H70="","",VLOOKUP(A70,'6.A'!$A$11:$E$564,4,FALSE))</f>
        <v/>
      </c>
      <c r="K70" s="52" t="str">
        <f>IF(H70="","",IF(J70=D70,"SIM","NÃO"))</f>
        <v/>
      </c>
      <c r="L70" s="52" t="str">
        <f>IF(H70="","",IF(C70="","",G64*C70))</f>
        <v/>
      </c>
      <c r="M70" s="117" t="str">
        <f>IF(A70="","",VLOOKUP(A70,'6.A'!$A$11:$C$564,2,FALSE))</f>
        <v/>
      </c>
      <c r="N70" s="57" t="str">
        <f>IF(A70="","",IF(M70=B70,"si","no"))</f>
        <v/>
      </c>
      <c r="O70" s="56"/>
      <c r="P70" s="56"/>
      <c r="Q70" s="48"/>
      <c r="R70" s="48"/>
      <c r="S70" s="65"/>
      <c r="T70" s="2"/>
      <c r="U70" s="2"/>
      <c r="V70" s="2"/>
    </row>
    <row r="71" spans="1:22" s="137" customFormat="1" ht="12.75" customHeight="1" x14ac:dyDescent="0.2">
      <c r="A71" s="155"/>
      <c r="B71" s="138"/>
      <c r="C71" s="156"/>
      <c r="D71" s="157"/>
      <c r="E71" s="158"/>
      <c r="F71" s="159" t="str">
        <f>IF(A71="","0,00",ROUND(C71*E71,2))</f>
        <v>0,00</v>
      </c>
      <c r="G71" s="52"/>
      <c r="H71" s="52" t="str">
        <f>IF(A71="","",VLOOKUP(A71,'6.A'!$A$11:$E$7984,5,FALSE))</f>
        <v/>
      </c>
      <c r="I71" s="52" t="str">
        <f>IF(H71="","",IF(E71=H71,"SIM","NÃO"))</f>
        <v/>
      </c>
      <c r="J71" s="52" t="str">
        <f>IF(H71="","",VLOOKUP(A71,'6.A'!$A$11:$E$564,4,FALSE))</f>
        <v/>
      </c>
      <c r="K71" s="52" t="str">
        <f>IF(H71="","",IF(J71=D71,"SIM","NÃO"))</f>
        <v/>
      </c>
      <c r="L71" s="52" t="str">
        <f>IF(H71="","",IF(C71="","",G64*C71))</f>
        <v/>
      </c>
      <c r="M71" s="117" t="str">
        <f>IF(A71="","",VLOOKUP(A71,'6.A'!$A$11:$C$564,2,FALSE))</f>
        <v/>
      </c>
      <c r="N71" s="57" t="str">
        <f>IF(A71="","",IF(M71=B71,"si","no"))</f>
        <v/>
      </c>
      <c r="O71" s="56"/>
      <c r="P71" s="56"/>
      <c r="Q71" s="48"/>
      <c r="R71" s="48"/>
      <c r="S71" s="65"/>
      <c r="T71" s="2"/>
      <c r="U71" s="2"/>
      <c r="V71" s="2"/>
    </row>
    <row r="72" spans="1:22" s="137" customFormat="1" ht="12.75" customHeight="1" x14ac:dyDescent="0.2">
      <c r="A72" s="155"/>
      <c r="B72" s="138" t="str">
        <f>IF(A72="","",VLOOKUP(A72,'6.A'!$A$11:$G$180,2,FALSE))</f>
        <v/>
      </c>
      <c r="C72" s="156"/>
      <c r="D72" s="141" t="str">
        <f>IF(A72="","",VLOOKUP(A72,'6.A'!$A$11:$G$180,4,FALSE))</f>
        <v/>
      </c>
      <c r="E72" s="160" t="str">
        <f>IF(A72="","",VLOOKUP(A72,'6.A'!$A$11:$G$180,5,FALSE))</f>
        <v/>
      </c>
      <c r="F72" s="159" t="str">
        <f t="shared" si="22"/>
        <v>0,00</v>
      </c>
      <c r="G72" s="52"/>
      <c r="H72" s="52" t="str">
        <f>IF(A72="","",VLOOKUP(A72,'6.A'!$A$11:$E$7984,5,FALSE))</f>
        <v/>
      </c>
      <c r="I72" s="52" t="str">
        <f>IF(H72="","",IF(E72=H72,"SIM","NÃO"))</f>
        <v/>
      </c>
      <c r="J72" s="52" t="str">
        <f>IF(H72="","",VLOOKUP(A72,'6.A'!$A$11:$E$564,4,FALSE))</f>
        <v/>
      </c>
      <c r="K72" s="52" t="str">
        <f>IF(H72="","",IF(J72=D72,"SIM","NÃO"))</f>
        <v/>
      </c>
      <c r="L72" s="52" t="str">
        <f>IF(H72="","",IF(C72="","",G64*C72))</f>
        <v/>
      </c>
      <c r="M72" s="117" t="str">
        <f>IF(A72="","",VLOOKUP(A72,'6.A'!$A$11:$C$564,2,FALSE))</f>
        <v/>
      </c>
      <c r="N72" s="57" t="str">
        <f>IF(A72="","",IF(M72=B72,"si","no"))</f>
        <v/>
      </c>
      <c r="O72" s="56"/>
      <c r="P72" s="56"/>
      <c r="Q72" s="48"/>
      <c r="R72" s="48"/>
      <c r="S72" s="65"/>
      <c r="T72" s="2"/>
      <c r="U72" s="2"/>
      <c r="V72" s="2"/>
    </row>
    <row r="73" spans="1:22" s="149" customFormat="1" ht="12.75" customHeight="1" x14ac:dyDescent="0.2">
      <c r="A73" s="155"/>
      <c r="B73" s="138" t="str">
        <f>IF(A73="","",VLOOKUP(A73,'6.A'!$A$11:$G$180,2,FALSE))</f>
        <v/>
      </c>
      <c r="C73" s="156"/>
      <c r="D73" s="141" t="str">
        <f>IF(A73="","",VLOOKUP(A73,'6.A'!$A$11:$G$180,4,FALSE))</f>
        <v/>
      </c>
      <c r="E73" s="158" t="str">
        <f>IF(A73="","",VLOOKUP(A73,'6.A'!$A$11:$G$180,5,FALSE))</f>
        <v/>
      </c>
      <c r="F73" s="159" t="str">
        <f t="shared" si="22"/>
        <v>0,00</v>
      </c>
      <c r="G73" s="52"/>
      <c r="H73" s="52" t="str">
        <f>IF(A73="","",VLOOKUP(A73,'6.A'!$A$11:$E$7984,5,FALSE))</f>
        <v/>
      </c>
      <c r="I73" s="52" t="str">
        <f t="shared" ref="I73" si="28">IF(H73="","",IF(E73=H73,"SIM","NÃO"))</f>
        <v/>
      </c>
      <c r="J73" s="52" t="str">
        <f>IF(H73="","",VLOOKUP(A73,'6.A'!$A$11:$E$564,4,FALSE))</f>
        <v/>
      </c>
      <c r="K73" s="52" t="str">
        <f t="shared" ref="K73" si="29">IF(H73="","",IF(J73=D73,"SIM","NÃO"))</f>
        <v/>
      </c>
      <c r="L73" s="52" t="str">
        <f>IF(H73="","",IF(C73="","",G64*C73))</f>
        <v/>
      </c>
      <c r="M73" s="117" t="str">
        <f>IF(A73="","",VLOOKUP(A73,'6.A'!$A$11:$C$564,2,FALSE))</f>
        <v/>
      </c>
      <c r="N73" s="57" t="str">
        <f t="shared" ref="N73" si="30">IF(A73="","",IF(M73=B73,"si","no"))</f>
        <v/>
      </c>
      <c r="O73" s="56"/>
      <c r="P73" s="56"/>
      <c r="Q73" s="48"/>
      <c r="R73" s="48"/>
      <c r="S73" s="65"/>
      <c r="T73" s="2"/>
      <c r="U73" s="2"/>
      <c r="V73" s="2"/>
    </row>
    <row r="74" spans="1:22" s="149" customFormat="1" ht="12.75" customHeight="1" x14ac:dyDescent="0.2">
      <c r="A74" s="155"/>
      <c r="B74" s="138" t="str">
        <f>IF(A74="","",VLOOKUP(A74,'6.A'!$A$11:$G$180,2,FALSE))</f>
        <v/>
      </c>
      <c r="C74" s="156"/>
      <c r="D74" s="141" t="str">
        <f>IF(A74="","",VLOOKUP(A74,'6.A'!$A$11:$G$180,4,FALSE))</f>
        <v/>
      </c>
      <c r="E74" s="158" t="str">
        <f>IF(A74="","",VLOOKUP(A74,'6.A'!$A$11:$G$180,5,FALSE))</f>
        <v/>
      </c>
      <c r="F74" s="159" t="str">
        <f t="shared" si="22"/>
        <v>0,00</v>
      </c>
      <c r="G74" s="52"/>
      <c r="H74" s="52" t="str">
        <f>IF(A74="","",VLOOKUP(A74,'6.A'!$A$11:$E$7984,5,FALSE))</f>
        <v/>
      </c>
      <c r="I74" s="52" t="str">
        <f>IF(H74="","",IF(E74=H74,"SIM","NÃO"))</f>
        <v/>
      </c>
      <c r="J74" s="52" t="str">
        <f>IF(H74="","",VLOOKUP(A74,'6.A'!$A$11:$E$564,4,FALSE))</f>
        <v/>
      </c>
      <c r="K74" s="52" t="str">
        <f>IF(H74="","",IF(J74=D74,"SIM","NÃO"))</f>
        <v/>
      </c>
      <c r="L74" s="52" t="str">
        <f>IF(H74="","",IF(C74="","",G64*C74))</f>
        <v/>
      </c>
      <c r="M74" s="117" t="str">
        <f>IF(A74="","",VLOOKUP(A74,'6.A'!$A$11:$C$564,2,FALSE))</f>
        <v/>
      </c>
      <c r="N74" s="57" t="str">
        <f>IF(A74="","",IF(M74=B74,"si","no"))</f>
        <v/>
      </c>
      <c r="O74" s="56"/>
      <c r="P74" s="56"/>
      <c r="Q74" s="48"/>
      <c r="R74" s="48"/>
      <c r="S74" s="65"/>
      <c r="T74" s="2"/>
      <c r="U74" s="2"/>
      <c r="V74" s="2"/>
    </row>
    <row r="75" spans="1:22" s="149" customFormat="1" ht="12.75" customHeight="1" x14ac:dyDescent="0.2">
      <c r="A75" s="155"/>
      <c r="B75" s="138" t="str">
        <f>IF(A75="","",VLOOKUP(A75,'6.A'!$A$11:$G$180,2,FALSE))</f>
        <v/>
      </c>
      <c r="C75" s="156"/>
      <c r="D75" s="161" t="str">
        <f>IF(A75="","",VLOOKUP(A75,'6.A'!$A$11:$G$180,4,FALSE))</f>
        <v/>
      </c>
      <c r="E75" s="158" t="str">
        <f>IF(A75="","",VLOOKUP(A75,'6.A'!$A$11:$G$180,5,FALSE))</f>
        <v/>
      </c>
      <c r="F75" s="159" t="str">
        <f t="shared" si="22"/>
        <v>0,00</v>
      </c>
      <c r="G75" s="52"/>
      <c r="H75" s="52" t="str">
        <f>IF(A75="","",VLOOKUP(A75,'6.A'!$A$11:$E$7984,5,FALSE))</f>
        <v/>
      </c>
      <c r="I75" s="52" t="str">
        <f t="shared" ref="I75" si="31">IF(H75="","",IF(E75=H75,"SIM","NÃO"))</f>
        <v/>
      </c>
      <c r="J75" s="52" t="str">
        <f>IF(H75="","",VLOOKUP(A75,'6.A'!$A$11:$E$564,4,FALSE))</f>
        <v/>
      </c>
      <c r="K75" s="52" t="str">
        <f t="shared" ref="K75" si="32">IF(H75="","",IF(J75=D75,"SIM","NÃO"))</f>
        <v/>
      </c>
      <c r="L75" s="52" t="str">
        <f>IF(H75="","",IF(C75="","",G64*C75))</f>
        <v/>
      </c>
      <c r="M75" s="117" t="str">
        <f>IF(A75="","",VLOOKUP(A75,'6.A'!$A$11:$C$564,2,FALSE))</f>
        <v/>
      </c>
      <c r="N75" s="57" t="str">
        <f t="shared" ref="N75" si="33">IF(A75="","",IF(M75=B75,"si","no"))</f>
        <v/>
      </c>
      <c r="O75" s="56"/>
      <c r="P75" s="56"/>
      <c r="Q75" s="48"/>
      <c r="R75" s="48"/>
      <c r="S75" s="65"/>
      <c r="T75" s="2"/>
      <c r="U75" s="2"/>
      <c r="V75" s="2"/>
    </row>
    <row r="76" spans="1:22" s="149" customFormat="1" ht="12.75" customHeight="1" x14ac:dyDescent="0.2">
      <c r="A76" s="152"/>
      <c r="B76" s="26" t="str">
        <f>$A$8</f>
        <v>LEIS SOCIAIS HORISTA - JORNADA NORMAL</v>
      </c>
      <c r="C76" s="27">
        <f>$C$8</f>
        <v>0</v>
      </c>
      <c r="D76" s="141"/>
      <c r="E76" s="147"/>
      <c r="F76" s="162">
        <f>ROUND(SUM(F66:F75)*C76,2)</f>
        <v>0</v>
      </c>
      <c r="G76" s="63"/>
      <c r="H76" s="52"/>
      <c r="I76" s="57"/>
      <c r="J76" s="57"/>
      <c r="K76" s="57"/>
      <c r="L76" s="52"/>
      <c r="M76" s="62"/>
      <c r="N76" s="57"/>
      <c r="O76" s="56"/>
      <c r="P76" s="56"/>
      <c r="Q76" s="48"/>
      <c r="R76" s="48"/>
      <c r="S76" s="65"/>
      <c r="T76" s="2"/>
      <c r="U76" s="2"/>
      <c r="V76" s="2"/>
    </row>
    <row r="77" spans="1:22" s="149" customFormat="1" ht="12.75" customHeight="1" x14ac:dyDescent="0.2">
      <c r="A77" s="155"/>
      <c r="B77" s="26" t="str">
        <f>$A$9</f>
        <v>BDI</v>
      </c>
      <c r="C77" s="27">
        <f>$C$9</f>
        <v>0</v>
      </c>
      <c r="D77" s="136"/>
      <c r="E77" s="147"/>
      <c r="F77" s="162">
        <f>ROUND(SUM(F66:F76)*C77,2)</f>
        <v>0</v>
      </c>
      <c r="G77" s="63"/>
      <c r="H77" s="52"/>
      <c r="I77" s="57"/>
      <c r="J77" s="57"/>
      <c r="K77" s="57"/>
      <c r="L77" s="52"/>
      <c r="M77" s="62"/>
      <c r="N77" s="57"/>
      <c r="O77" s="56"/>
      <c r="P77" s="56"/>
      <c r="Q77" s="48"/>
      <c r="R77" s="48"/>
      <c r="S77" s="65"/>
      <c r="T77" s="2"/>
      <c r="U77" s="2"/>
      <c r="V77" s="2"/>
    </row>
    <row r="78" spans="1:22" s="149" customFormat="1" ht="12.75" customHeight="1" x14ac:dyDescent="0.2">
      <c r="A78" s="163"/>
      <c r="B78" s="164" t="s">
        <v>56</v>
      </c>
      <c r="C78" s="165"/>
      <c r="D78" s="166"/>
      <c r="E78" s="167"/>
      <c r="F78" s="168">
        <f>ROUND(SUM(F66:F77),2)</f>
        <v>0</v>
      </c>
      <c r="G78" s="63"/>
      <c r="H78" s="52"/>
      <c r="I78" s="57"/>
      <c r="J78" s="57"/>
      <c r="K78" s="57"/>
      <c r="L78" s="52"/>
      <c r="M78" s="62"/>
      <c r="N78" s="57"/>
      <c r="O78" s="56"/>
      <c r="P78" s="56"/>
      <c r="Q78" s="48"/>
      <c r="R78" s="48"/>
      <c r="S78" s="65"/>
      <c r="T78" s="2"/>
      <c r="U78" s="2"/>
      <c r="V78" s="2"/>
    </row>
    <row r="79" spans="1:22" s="149" customFormat="1" ht="12.75" customHeight="1" x14ac:dyDescent="0.2">
      <c r="A79" s="152" t="s">
        <v>5</v>
      </c>
      <c r="B79" s="153" t="s">
        <v>130</v>
      </c>
      <c r="C79" s="140" t="s">
        <v>59</v>
      </c>
      <c r="D79" s="140" t="s">
        <v>16</v>
      </c>
      <c r="E79" s="154" t="s">
        <v>60</v>
      </c>
      <c r="F79" s="148" t="s">
        <v>61</v>
      </c>
      <c r="G79" s="21"/>
      <c r="H79" s="52"/>
      <c r="I79" s="57"/>
      <c r="J79" s="57"/>
      <c r="K79" s="57"/>
      <c r="L79" s="52"/>
      <c r="M79" s="62"/>
      <c r="N79" s="57"/>
      <c r="O79" s="56"/>
      <c r="P79" s="56"/>
      <c r="Q79" s="48"/>
      <c r="R79" s="48"/>
      <c r="S79" s="65"/>
      <c r="T79" s="2"/>
      <c r="U79" s="2"/>
      <c r="V79" s="2"/>
    </row>
    <row r="80" spans="1:22" s="149" customFormat="1" ht="12.75" customHeight="1" x14ac:dyDescent="0.2">
      <c r="A80" s="22">
        <f>'6.A'!$A$30</f>
        <v>10776</v>
      </c>
      <c r="B80" s="23" t="str">
        <f>IF(A80="","",VLOOKUP(A80,'6.A'!$A$11:$G$180,2,FALSE))</f>
        <v>LOCACAO DE CONTAINER 2,30 X 6,00 M, ALT. 2,50 M, PARA ESCRITORIO, SEM DIVISORIAS INTERNAS E SEM SANITARIO</v>
      </c>
      <c r="C80" s="99">
        <v>2</v>
      </c>
      <c r="D80" s="57" t="str">
        <f>IF(A80="","",VLOOKUP(A80,'6.A'!$A$11:$G$180,4,FALSE))</f>
        <v>MÊS</v>
      </c>
      <c r="E80" s="100">
        <f>IF(A80="","",VLOOKUP(A80,'6.A'!$A$11:$G$180,5,FALSE))</f>
        <v>0</v>
      </c>
      <c r="F80" s="159">
        <f>IF(A80="","0,00",ROUND(C80*E80,2))</f>
        <v>0</v>
      </c>
      <c r="G80" s="52"/>
      <c r="H80" s="52">
        <f>IF(A80="","",VLOOKUP(A80,'6.A'!$A$11:$E$7984,5,FALSE))</f>
        <v>0</v>
      </c>
      <c r="I80" s="52" t="str">
        <f>IF(H80="","",IF(E80=H80,"SIM","NÃO"))</f>
        <v>SIM</v>
      </c>
      <c r="J80" s="52" t="str">
        <f>IF(H80="","",VLOOKUP(A80,'6.A'!$A$11:$E$564,4,FALSE))</f>
        <v>MÊS</v>
      </c>
      <c r="K80" s="52" t="str">
        <f>IF(H80="","",IF(J80=D80,"SIM","NÃO"))</f>
        <v>SIM</v>
      </c>
      <c r="L80" s="52">
        <f>IF(H80="","",IF(C80="","",G64*C80))</f>
        <v>2</v>
      </c>
      <c r="M80" s="117" t="str">
        <f>IF(A80="","",VLOOKUP(A80,'6.A'!$A$11:$C$564,2,FALSE))</f>
        <v>LOCACAO DE CONTAINER 2,30 X 6,00 M, ALT. 2,50 M, PARA ESCRITORIO, SEM DIVISORIAS INTERNAS E SEM SANITARIO</v>
      </c>
      <c r="N80" s="57" t="str">
        <f>IF(A80="","",IF(M80=B80,"si","no"))</f>
        <v>si</v>
      </c>
      <c r="O80" s="56"/>
      <c r="P80" s="56"/>
      <c r="Q80" s="48"/>
      <c r="R80" s="48"/>
      <c r="S80" s="65"/>
      <c r="T80" s="2"/>
      <c r="U80" s="2"/>
      <c r="V80" s="2"/>
    </row>
    <row r="81" spans="1:22" s="149" customFormat="1" ht="12.75" customHeight="1" x14ac:dyDescent="0.2">
      <c r="A81" s="155"/>
      <c r="B81" s="138"/>
      <c r="C81" s="156"/>
      <c r="D81" s="141"/>
      <c r="E81" s="160"/>
      <c r="F81" s="159" t="str">
        <f>IF(A81="","0,00",ROUND(C81*E81,2))</f>
        <v>0,00</v>
      </c>
      <c r="G81" s="52"/>
      <c r="H81" s="52" t="str">
        <f>IF(A81="","",VLOOKUP(A81,'6.A'!$A$11:$E$7984,5,FALSE))</f>
        <v/>
      </c>
      <c r="I81" s="52" t="str">
        <f>IF(H81="","",IF(E81=H81,"SIM","NÃO"))</f>
        <v/>
      </c>
      <c r="J81" s="52" t="str">
        <f>IF(H81="","",VLOOKUP(A81,'6.A'!$A$11:$E$564,4,FALSE))</f>
        <v/>
      </c>
      <c r="K81" s="52" t="str">
        <f>IF(H81="","",IF(J81=D81,"SIM","NÃO"))</f>
        <v/>
      </c>
      <c r="L81" s="52" t="str">
        <f>IF(H81="","",IF(C81="","",G64*C81))</f>
        <v/>
      </c>
      <c r="M81" s="117" t="str">
        <f>IF(A81="","",VLOOKUP(A81,'6.A'!$A$11:$C$564,2,FALSE))</f>
        <v/>
      </c>
      <c r="N81" s="57" t="str">
        <f>IF(A81="","",IF(M81=B81,"si","no"))</f>
        <v/>
      </c>
      <c r="O81" s="56"/>
      <c r="P81" s="56"/>
      <c r="Q81" s="48"/>
      <c r="R81" s="48"/>
      <c r="S81" s="65"/>
      <c r="T81" s="2"/>
      <c r="U81" s="2"/>
      <c r="V81" s="2"/>
    </row>
    <row r="82" spans="1:22" s="149" customFormat="1" ht="12.75" customHeight="1" x14ac:dyDescent="0.2">
      <c r="A82" s="22"/>
      <c r="B82" s="23"/>
      <c r="C82" s="156"/>
      <c r="D82" s="141"/>
      <c r="E82" s="100"/>
      <c r="F82" s="159" t="str">
        <f>IF(A82="","0,00",ROUND(C82*E82,2))</f>
        <v>0,00</v>
      </c>
      <c r="G82" s="52"/>
      <c r="H82" s="52" t="str">
        <f>IF(A82="","",VLOOKUP(A82,'6.A'!$A$11:$E$7984,5,FALSE))</f>
        <v/>
      </c>
      <c r="I82" s="52" t="str">
        <f>IF(H82="","",IF(E82=H82,"SIM","NÃO"))</f>
        <v/>
      </c>
      <c r="J82" s="52" t="str">
        <f>IF(H82="","",VLOOKUP(A82,'6.A'!$A$11:$E$564,4,FALSE))</f>
        <v/>
      </c>
      <c r="K82" s="52" t="str">
        <f>IF(H82="","",IF(J82=D82,"SIM","NÃO"))</f>
        <v/>
      </c>
      <c r="L82" s="52" t="str">
        <f>IF(H82="","",IF(C82="","",G64*C82))</f>
        <v/>
      </c>
      <c r="M82" s="117" t="str">
        <f>IF(A82="","",VLOOKUP(A82,'6.A'!$A$11:$C$564,2,FALSE))</f>
        <v/>
      </c>
      <c r="N82" s="57" t="str">
        <f>IF(A82="","",IF(M82=B82,"si","no"))</f>
        <v/>
      </c>
      <c r="O82" s="56"/>
      <c r="P82" s="56"/>
      <c r="Q82" s="48"/>
      <c r="R82" s="48"/>
      <c r="S82" s="65"/>
      <c r="T82" s="2"/>
      <c r="U82" s="2"/>
      <c r="V82" s="2"/>
    </row>
    <row r="83" spans="1:22" s="149" customFormat="1" ht="12.75" customHeight="1" x14ac:dyDescent="0.2">
      <c r="A83" s="22"/>
      <c r="B83" s="23"/>
      <c r="C83" s="156"/>
      <c r="D83" s="141"/>
      <c r="E83" s="100"/>
      <c r="F83" s="159" t="str">
        <f>IF(A83="","0,00",ROUND(C83*E83,2))</f>
        <v>0,00</v>
      </c>
      <c r="G83" s="52"/>
      <c r="H83" s="52" t="str">
        <f>IF(A83="","",VLOOKUP(A83,'6.A'!$A$11:$E$7984,5,FALSE))</f>
        <v/>
      </c>
      <c r="I83" s="52" t="str">
        <f>IF(H83="","",IF(E83=H83,"SIM","NÃO"))</f>
        <v/>
      </c>
      <c r="J83" s="52" t="str">
        <f>IF(H83="","",VLOOKUP(A83,'6.A'!$A$11:$E$564,4,FALSE))</f>
        <v/>
      </c>
      <c r="K83" s="52" t="str">
        <f>IF(H83="","",IF(J83=D83,"SIM","NÃO"))</f>
        <v/>
      </c>
      <c r="L83" s="52" t="str">
        <f>IF(H83="","",IF(C83="","",G64*C83))</f>
        <v/>
      </c>
      <c r="M83" s="117" t="str">
        <f>IF(A83="","",VLOOKUP(A83,'6.A'!$A$11:$C$564,2,FALSE))</f>
        <v/>
      </c>
      <c r="N83" s="57" t="str">
        <f>IF(A83="","",IF(M83=B83,"si","no"))</f>
        <v/>
      </c>
      <c r="O83" s="56"/>
      <c r="P83" s="56"/>
      <c r="Q83" s="48"/>
      <c r="R83" s="48"/>
      <c r="S83" s="65"/>
      <c r="T83" s="2"/>
      <c r="U83" s="2"/>
      <c r="V83" s="2"/>
    </row>
    <row r="84" spans="1:22" s="149" customFormat="1" ht="12.75" customHeight="1" x14ac:dyDescent="0.2">
      <c r="A84" s="22"/>
      <c r="B84" s="23" t="str">
        <f>IF(A84="","",VLOOKUP(A84,'6.A'!$A$11:$G$180,2,FALSE))</f>
        <v/>
      </c>
      <c r="C84" s="156"/>
      <c r="D84" s="141" t="str">
        <f>IF(A84="","",VLOOKUP(A84,'6.A'!$A$11:$G$180,4,FALSE))</f>
        <v/>
      </c>
      <c r="E84" s="100" t="str">
        <f>IF(A84="","",VLOOKUP(A84,'6.A'!$A$11:$G$180,5,FALSE))</f>
        <v/>
      </c>
      <c r="F84" s="159" t="str">
        <f t="shared" ref="F84:F89" si="34">IF(A84="","0,00",ROUND(C84*E84,2))</f>
        <v>0,00</v>
      </c>
      <c r="G84" s="52"/>
      <c r="H84" s="52" t="str">
        <f>IF(A84="","",VLOOKUP(A84,'6.A'!$A$11:$E$7984,5,FALSE))</f>
        <v/>
      </c>
      <c r="I84" s="52" t="str">
        <f t="shared" ref="I84:I89" si="35">IF(H84="","",IF(E84=H84,"SIM","NÃO"))</f>
        <v/>
      </c>
      <c r="J84" s="52" t="str">
        <f>IF(H84="","",VLOOKUP(A84,'6.A'!$A$11:$E$564,4,FALSE))</f>
        <v/>
      </c>
      <c r="K84" s="52" t="str">
        <f t="shared" ref="K84:K89" si="36">IF(H84="","",IF(J84=D84,"SIM","NÃO"))</f>
        <v/>
      </c>
      <c r="L84" s="52" t="str">
        <f>IF(H84="","",IF(C84="","",G64*C84))</f>
        <v/>
      </c>
      <c r="M84" s="117" t="str">
        <f>IF(A84="","",VLOOKUP(A84,'6.A'!$A$11:$C$564,2,FALSE))</f>
        <v/>
      </c>
      <c r="N84" s="57" t="str">
        <f t="shared" ref="N84:N85" si="37">IF(A84="","",IF(M84=B84,"si","no"))</f>
        <v/>
      </c>
      <c r="O84" s="56"/>
      <c r="P84" s="56"/>
      <c r="Q84" s="48"/>
      <c r="R84" s="48"/>
      <c r="S84" s="65"/>
      <c r="T84" s="2"/>
      <c r="U84" s="2"/>
      <c r="V84" s="2"/>
    </row>
    <row r="85" spans="1:22" s="149" customFormat="1" ht="12.75" customHeight="1" x14ac:dyDescent="0.2">
      <c r="A85" s="155"/>
      <c r="B85" s="138" t="str">
        <f>IF(A85="","",VLOOKUP(A85,'6.A'!$A$11:$G$180,2,FALSE))</f>
        <v/>
      </c>
      <c r="C85" s="156"/>
      <c r="D85" s="141" t="str">
        <f>IF(A85="","",VLOOKUP(A85,'6.A'!$A$11:$G$180,4,FALSE))</f>
        <v/>
      </c>
      <c r="E85" s="160" t="str">
        <f>IF(A85="","",VLOOKUP(A85,'6.A'!$A$11:$G$180,5,FALSE))</f>
        <v/>
      </c>
      <c r="F85" s="159" t="str">
        <f t="shared" si="34"/>
        <v>0,00</v>
      </c>
      <c r="G85" s="52"/>
      <c r="H85" s="52" t="str">
        <f>IF(A85="","",VLOOKUP(A85,'6.A'!$A$11:$E$7984,5,FALSE))</f>
        <v/>
      </c>
      <c r="I85" s="52" t="str">
        <f t="shared" si="35"/>
        <v/>
      </c>
      <c r="J85" s="52" t="str">
        <f>IF(H85="","",VLOOKUP(A85,'6.A'!$A$11:$E$564,4,FALSE))</f>
        <v/>
      </c>
      <c r="K85" s="52" t="str">
        <f t="shared" si="36"/>
        <v/>
      </c>
      <c r="L85" s="52" t="str">
        <f>IF(H85="","",IF(C85="","",G64*C85))</f>
        <v/>
      </c>
      <c r="M85" s="117" t="str">
        <f>IF(A85="","",VLOOKUP(A85,'6.A'!$A$11:$C$564,2,FALSE))</f>
        <v/>
      </c>
      <c r="N85" s="57" t="str">
        <f t="shared" si="37"/>
        <v/>
      </c>
      <c r="O85" s="56"/>
      <c r="P85" s="56"/>
      <c r="Q85" s="48"/>
      <c r="R85" s="48"/>
      <c r="S85" s="65"/>
      <c r="T85" s="2"/>
      <c r="U85" s="2"/>
      <c r="V85" s="2"/>
    </row>
    <row r="86" spans="1:22" s="149" customFormat="1" ht="12.75" customHeight="1" x14ac:dyDescent="0.2">
      <c r="A86" s="155"/>
      <c r="B86" s="138" t="str">
        <f>IF(A86="","",VLOOKUP(A86,'6.A'!$A$11:$G$180,2,FALSE))</f>
        <v/>
      </c>
      <c r="C86" s="156"/>
      <c r="D86" s="141" t="str">
        <f>IF(A86="","",VLOOKUP(A86,'6.A'!$A$11:$G$180,4,FALSE))</f>
        <v/>
      </c>
      <c r="E86" s="160" t="str">
        <f>IF(A86="","",VLOOKUP(A86,'6.A'!$A$11:$G$180,5,FALSE))</f>
        <v/>
      </c>
      <c r="F86" s="159" t="str">
        <f t="shared" si="34"/>
        <v>0,00</v>
      </c>
      <c r="G86" s="52"/>
      <c r="H86" s="52" t="str">
        <f>IF(A86="","",VLOOKUP(A86,'6.A'!$A$11:$E$7984,5,FALSE))</f>
        <v/>
      </c>
      <c r="I86" s="52" t="str">
        <f t="shared" si="35"/>
        <v/>
      </c>
      <c r="J86" s="52" t="str">
        <f>IF(H86="","",VLOOKUP(A86,'6.A'!$A$11:$E$564,4,FALSE))</f>
        <v/>
      </c>
      <c r="K86" s="52" t="str">
        <f t="shared" si="36"/>
        <v/>
      </c>
      <c r="L86" s="52" t="str">
        <f>IF(H86="","",IF(C86="","",G64*C86))</f>
        <v/>
      </c>
      <c r="M86" s="117" t="str">
        <f>IF(A86="","",VLOOKUP(A86,'6.A'!$A$11:$C$564,2,FALSE))</f>
        <v/>
      </c>
      <c r="N86" s="57" t="str">
        <f>IF(A86="","",IF(M86=B86,"si","no"))</f>
        <v/>
      </c>
      <c r="O86" s="56"/>
      <c r="P86" s="56"/>
      <c r="Q86" s="48"/>
      <c r="R86" s="48"/>
      <c r="S86" s="65"/>
      <c r="T86" s="2"/>
      <c r="U86" s="2"/>
      <c r="V86" s="2"/>
    </row>
    <row r="87" spans="1:22" s="149" customFormat="1" ht="12.75" customHeight="1" x14ac:dyDescent="0.2">
      <c r="A87" s="155"/>
      <c r="B87" s="138" t="str">
        <f>IF(A87="","",VLOOKUP(A87,'6.A'!$A$11:$G$180,2,FALSE))</f>
        <v/>
      </c>
      <c r="C87" s="156"/>
      <c r="D87" s="141" t="str">
        <f>IF(A87="","",VLOOKUP(A87,'6.A'!$A$11:$G$180,4,FALSE))</f>
        <v/>
      </c>
      <c r="E87" s="160" t="str">
        <f>IF(A87="","",VLOOKUP(A87,'6.A'!$A$11:$G$180,5,FALSE))</f>
        <v/>
      </c>
      <c r="F87" s="159" t="str">
        <f t="shared" si="34"/>
        <v>0,00</v>
      </c>
      <c r="G87" s="52"/>
      <c r="H87" s="52" t="str">
        <f>IF(A87="","",VLOOKUP(A87,'6.A'!$A$11:$E$7984,5,FALSE))</f>
        <v/>
      </c>
      <c r="I87" s="52" t="str">
        <f t="shared" si="35"/>
        <v/>
      </c>
      <c r="J87" s="52" t="str">
        <f>IF(H87="","",VLOOKUP(A87,'6.A'!$A$11:$E$564,4,FALSE))</f>
        <v/>
      </c>
      <c r="K87" s="52" t="str">
        <f t="shared" si="36"/>
        <v/>
      </c>
      <c r="L87" s="52" t="str">
        <f>IF(H87="","",IF(C87="","",G64*C87))</f>
        <v/>
      </c>
      <c r="M87" s="117" t="str">
        <f>IF(A87="","",VLOOKUP(A87,'6.A'!$A$11:$C$564,2,FALSE))</f>
        <v/>
      </c>
      <c r="N87" s="57" t="str">
        <f>IF(A87="","",IF(M87=B87,"si","no"))</f>
        <v/>
      </c>
      <c r="O87" s="56"/>
      <c r="P87" s="56"/>
      <c r="Q87" s="48"/>
      <c r="R87" s="48"/>
      <c r="S87" s="65"/>
      <c r="T87" s="2"/>
      <c r="U87" s="2"/>
      <c r="V87" s="2"/>
    </row>
    <row r="88" spans="1:22" s="149" customFormat="1" ht="12.75" customHeight="1" x14ac:dyDescent="0.2">
      <c r="A88" s="22"/>
      <c r="B88" s="23" t="str">
        <f>IF(A88="","",VLOOKUP(A88,'6.A'!$A$11:$G$180,2,FALSE))</f>
        <v/>
      </c>
      <c r="C88" s="99"/>
      <c r="D88" s="141" t="str">
        <f>IF(A88="","",VLOOKUP(A88,'6.A'!$A$11:$G$180,4,FALSE))</f>
        <v/>
      </c>
      <c r="E88" s="100" t="str">
        <f>IF(A88="","",VLOOKUP(A88,'6.A'!$A$11:$G$180,5,FALSE))</f>
        <v/>
      </c>
      <c r="F88" s="159" t="str">
        <f t="shared" si="34"/>
        <v>0,00</v>
      </c>
      <c r="G88" s="52"/>
      <c r="H88" s="52" t="str">
        <f>IF(A88="","",VLOOKUP(A88,'6.A'!$A$11:$E$7984,5,FALSE))</f>
        <v/>
      </c>
      <c r="I88" s="52" t="str">
        <f t="shared" si="35"/>
        <v/>
      </c>
      <c r="J88" s="52" t="str">
        <f>IF(H88="","",VLOOKUP(A88,'6.A'!$A$11:$E$564,4,FALSE))</f>
        <v/>
      </c>
      <c r="K88" s="52" t="str">
        <f t="shared" si="36"/>
        <v/>
      </c>
      <c r="L88" s="52" t="str">
        <f>IF(H88="","",IF(C88="","",G64*C88))</f>
        <v/>
      </c>
      <c r="M88" s="117" t="str">
        <f>IF(A88="","",VLOOKUP(A88,'6.A'!$A$11:$C$564,2,FALSE))</f>
        <v/>
      </c>
      <c r="N88" s="57" t="str">
        <f t="shared" ref="N88:N89" si="38">IF(A88="","",IF(M88=B88,"si","no"))</f>
        <v/>
      </c>
      <c r="O88" s="56"/>
      <c r="P88" s="56"/>
      <c r="Q88" s="48"/>
      <c r="R88" s="48"/>
      <c r="S88" s="65"/>
      <c r="T88" s="2"/>
      <c r="U88" s="2"/>
      <c r="V88" s="2"/>
    </row>
    <row r="89" spans="1:22" s="149" customFormat="1" ht="12.75" customHeight="1" x14ac:dyDescent="0.2">
      <c r="A89" s="155"/>
      <c r="B89" s="138" t="str">
        <f>IF(A89="","",VLOOKUP(A89,'6.A'!$A$11:$G$180,2,FALSE))</f>
        <v/>
      </c>
      <c r="C89" s="156"/>
      <c r="D89" s="141" t="str">
        <f>IF(A89="","",VLOOKUP(A89,'6.A'!$A$11:$G$180,4,FALSE))</f>
        <v/>
      </c>
      <c r="E89" s="160" t="str">
        <f>IF(A89="","",VLOOKUP(A89,'6.A'!$A$11:$G$180,5,FALSE))</f>
        <v/>
      </c>
      <c r="F89" s="159" t="str">
        <f t="shared" si="34"/>
        <v>0,00</v>
      </c>
      <c r="G89" s="52"/>
      <c r="H89" s="52" t="str">
        <f>IF(A89="","",VLOOKUP(A89,'6.A'!$A$11:$E$7984,5,FALSE))</f>
        <v/>
      </c>
      <c r="I89" s="52" t="str">
        <f t="shared" si="35"/>
        <v/>
      </c>
      <c r="J89" s="52" t="str">
        <f>IF(H89="","",VLOOKUP(A89,'6.A'!$A$11:$E$564,4,FALSE))</f>
        <v/>
      </c>
      <c r="K89" s="52" t="str">
        <f t="shared" si="36"/>
        <v/>
      </c>
      <c r="L89" s="52" t="str">
        <f>IF(H89="","",IF(C89="","",G64*C89))</f>
        <v/>
      </c>
      <c r="M89" s="117" t="str">
        <f>IF(A89="","",VLOOKUP(A89,'6.A'!$A$11:$C$564,2,FALSE))</f>
        <v/>
      </c>
      <c r="N89" s="57" t="str">
        <f t="shared" si="38"/>
        <v/>
      </c>
      <c r="O89" s="56"/>
      <c r="P89" s="56"/>
      <c r="Q89" s="48"/>
      <c r="R89" s="48"/>
      <c r="S89" s="65"/>
      <c r="T89" s="2"/>
      <c r="U89" s="2"/>
      <c r="V89" s="2"/>
    </row>
    <row r="90" spans="1:22" s="149" customFormat="1" ht="12.75" customHeight="1" x14ac:dyDescent="0.2">
      <c r="A90" s="155"/>
      <c r="B90" s="26" t="str">
        <f>$A$9</f>
        <v>BDI</v>
      </c>
      <c r="C90" s="27">
        <f>$C$9</f>
        <v>0</v>
      </c>
      <c r="D90" s="141"/>
      <c r="E90" s="147"/>
      <c r="F90" s="162">
        <f>ROUND(SUM(F80:F89)*C90,2)</f>
        <v>0</v>
      </c>
      <c r="G90" s="63"/>
      <c r="H90" s="52"/>
      <c r="I90" s="57"/>
      <c r="J90" s="57"/>
      <c r="K90" s="57"/>
      <c r="L90" s="52"/>
      <c r="M90" s="62"/>
      <c r="N90" s="57"/>
      <c r="O90" s="56"/>
      <c r="P90" s="56"/>
      <c r="Q90" s="48"/>
      <c r="R90" s="48"/>
      <c r="S90" s="65"/>
      <c r="T90" s="2"/>
      <c r="U90" s="2"/>
      <c r="V90" s="2"/>
    </row>
    <row r="91" spans="1:22" s="149" customFormat="1" ht="12.75" customHeight="1" x14ac:dyDescent="0.2">
      <c r="A91" s="163"/>
      <c r="B91" s="31" t="s">
        <v>117</v>
      </c>
      <c r="C91" s="36"/>
      <c r="D91" s="169"/>
      <c r="E91" s="170"/>
      <c r="F91" s="168">
        <f>ROUND(SUM(F80:F90),2)</f>
        <v>0</v>
      </c>
      <c r="G91" s="63"/>
      <c r="H91" s="52"/>
      <c r="I91" s="57"/>
      <c r="J91" s="57"/>
      <c r="K91" s="57"/>
      <c r="L91" s="52"/>
      <c r="M91" s="62"/>
      <c r="N91" s="57"/>
      <c r="O91" s="56"/>
      <c r="P91" s="56"/>
      <c r="Q91" s="48"/>
      <c r="R91" s="48"/>
      <c r="S91" s="65"/>
      <c r="T91" s="2"/>
      <c r="U91" s="2"/>
      <c r="V91" s="2"/>
    </row>
    <row r="92" spans="1:22" s="149" customFormat="1" ht="12.75" customHeight="1" x14ac:dyDescent="0.2">
      <c r="A92" s="152" t="s">
        <v>6</v>
      </c>
      <c r="B92" s="153" t="s">
        <v>17</v>
      </c>
      <c r="C92" s="140" t="s">
        <v>59</v>
      </c>
      <c r="D92" s="140" t="s">
        <v>16</v>
      </c>
      <c r="E92" s="154" t="s">
        <v>60</v>
      </c>
      <c r="F92" s="148" t="s">
        <v>61</v>
      </c>
      <c r="G92" s="21"/>
      <c r="H92" s="52"/>
      <c r="I92" s="57"/>
      <c r="J92" s="57"/>
      <c r="K92" s="57"/>
      <c r="L92" s="52"/>
      <c r="M92" s="62"/>
      <c r="N92" s="57"/>
      <c r="O92" s="56"/>
      <c r="P92" s="56"/>
      <c r="Q92" s="48"/>
      <c r="R92" s="48"/>
      <c r="S92" s="65"/>
      <c r="T92" s="2"/>
      <c r="U92" s="2"/>
      <c r="V92" s="2"/>
    </row>
    <row r="93" spans="1:22" s="149" customFormat="1" ht="12.75" customHeight="1" x14ac:dyDescent="0.2">
      <c r="A93" s="155"/>
      <c r="B93" s="138" t="str">
        <f>IF(A93="","",VLOOKUP(A93,'6.A'!$A$11:$G$180,2,FALSE))</f>
        <v/>
      </c>
      <c r="C93" s="156"/>
      <c r="D93" s="141" t="str">
        <f>IF(A93="","",VLOOKUP(A93,'6.A'!$A$11:$G$180,4,FALSE))</f>
        <v/>
      </c>
      <c r="E93" s="160" t="str">
        <f>IF(A93="","",VLOOKUP(A93,'6.A'!$A$11:$G$180,5,FALSE))</f>
        <v/>
      </c>
      <c r="F93" s="159" t="str">
        <f t="shared" ref="F93:F112" si="39">IF(A93="","0,00",ROUND(C93*E93,2))</f>
        <v>0,00</v>
      </c>
      <c r="G93" s="52"/>
      <c r="H93" s="52" t="str">
        <f>IF(A93="","",VLOOKUP(A93,'6.A'!$A$11:$E$7984,5,FALSE))</f>
        <v/>
      </c>
      <c r="I93" s="52" t="str">
        <f t="shared" ref="I93:I112" si="40">IF(H93="","",IF(E93=H93,"SIM","NÃO"))</f>
        <v/>
      </c>
      <c r="J93" s="52" t="str">
        <f>IF(H93="","",VLOOKUP(A93,'6.A'!$A$11:$E$564,4,FALSE))</f>
        <v/>
      </c>
      <c r="K93" s="52" t="str">
        <f t="shared" ref="K93:K112" si="41">IF(H93="","",IF(J93=D93,"SIM","NÃO"))</f>
        <v/>
      </c>
      <c r="L93" s="52" t="str">
        <f>IF(H93="","",IF(C93="","",G64*C93))</f>
        <v/>
      </c>
      <c r="M93" s="117" t="str">
        <f>IF(A93="","",VLOOKUP(A93,'6.A'!$A$11:$C$564,2,FALSE))</f>
        <v/>
      </c>
      <c r="N93" s="57" t="str">
        <f t="shared" ref="N93:N112" si="42">IF(A93="","",IF(M93=B93,"si","no"))</f>
        <v/>
      </c>
      <c r="O93" s="56"/>
      <c r="P93" s="56"/>
      <c r="Q93" s="48"/>
      <c r="R93" s="48"/>
      <c r="S93" s="65"/>
      <c r="T93" s="2"/>
      <c r="U93" s="2"/>
      <c r="V93" s="2"/>
    </row>
    <row r="94" spans="1:22" s="149" customFormat="1" ht="12.75" customHeight="1" x14ac:dyDescent="0.2">
      <c r="A94" s="155"/>
      <c r="B94" s="138" t="str">
        <f>IF(A94="","",VLOOKUP(A94,'6.A'!$A$11:$G$180,2,FALSE))</f>
        <v/>
      </c>
      <c r="C94" s="156"/>
      <c r="D94" s="141" t="str">
        <f>IF(A94="","",VLOOKUP(A94,'6.A'!$A$11:$G$180,4,FALSE))</f>
        <v/>
      </c>
      <c r="E94" s="160" t="str">
        <f>IF(A94="","",VLOOKUP(A94,'6.A'!$A$11:$G$180,5,FALSE))</f>
        <v/>
      </c>
      <c r="F94" s="159" t="str">
        <f t="shared" si="39"/>
        <v>0,00</v>
      </c>
      <c r="G94" s="52"/>
      <c r="H94" s="52" t="str">
        <f>IF(A94="","",VLOOKUP(A94,'6.A'!$A$11:$E$7984,5,FALSE))</f>
        <v/>
      </c>
      <c r="I94" s="52" t="str">
        <f t="shared" si="40"/>
        <v/>
      </c>
      <c r="J94" s="52" t="str">
        <f>IF(H94="","",VLOOKUP(A94,'6.A'!$A$11:$E$564,4,FALSE))</f>
        <v/>
      </c>
      <c r="K94" s="52" t="str">
        <f t="shared" si="41"/>
        <v/>
      </c>
      <c r="L94" s="52" t="str">
        <f>IF(H94="","",IF(C94="","",G64*C94))</f>
        <v/>
      </c>
      <c r="M94" s="117" t="str">
        <f>IF(A94="","",VLOOKUP(A94,'6.A'!$A$11:$C$564,2,FALSE))</f>
        <v/>
      </c>
      <c r="N94" s="57" t="str">
        <f t="shared" si="42"/>
        <v/>
      </c>
      <c r="O94" s="56"/>
      <c r="P94" s="56"/>
      <c r="Q94" s="48"/>
      <c r="R94" s="48"/>
      <c r="S94" s="65"/>
      <c r="T94" s="2"/>
      <c r="U94" s="2"/>
      <c r="V94" s="2"/>
    </row>
    <row r="95" spans="1:22" s="149" customFormat="1" ht="12.75" customHeight="1" x14ac:dyDescent="0.2">
      <c r="A95" s="155"/>
      <c r="B95" s="138" t="str">
        <f>IF(A95="","",VLOOKUP(A95,'6.A'!$A$11:$G$180,2,FALSE))</f>
        <v/>
      </c>
      <c r="C95" s="156"/>
      <c r="D95" s="141" t="str">
        <f>IF(A95="","",VLOOKUP(A95,'6.A'!$A$11:$G$180,4,FALSE))</f>
        <v/>
      </c>
      <c r="E95" s="160" t="str">
        <f>IF(A95="","",VLOOKUP(A95,'6.A'!$A$11:$G$180,5,FALSE))</f>
        <v/>
      </c>
      <c r="F95" s="159" t="str">
        <f t="shared" si="39"/>
        <v>0,00</v>
      </c>
      <c r="G95" s="52"/>
      <c r="H95" s="52" t="str">
        <f>IF(A95="","",VLOOKUP(A95,'6.A'!$A$11:$E$7984,5,FALSE))</f>
        <v/>
      </c>
      <c r="I95" s="52" t="str">
        <f t="shared" si="40"/>
        <v/>
      </c>
      <c r="J95" s="52" t="str">
        <f>IF(H95="","",VLOOKUP(A95,'6.A'!$A$11:$E$564,4,FALSE))</f>
        <v/>
      </c>
      <c r="K95" s="52" t="str">
        <f t="shared" si="41"/>
        <v/>
      </c>
      <c r="L95" s="52" t="str">
        <f>IF(H95="","",IF(C95="","",G64*C95))</f>
        <v/>
      </c>
      <c r="M95" s="117" t="str">
        <f>IF(A95="","",VLOOKUP(A95,'6.A'!$A$11:$C$564,2,FALSE))</f>
        <v/>
      </c>
      <c r="N95" s="57" t="str">
        <f t="shared" si="42"/>
        <v/>
      </c>
      <c r="O95" s="56"/>
      <c r="P95" s="56"/>
      <c r="Q95" s="48"/>
      <c r="R95" s="48"/>
      <c r="S95" s="65"/>
      <c r="T95" s="2"/>
      <c r="U95" s="2"/>
      <c r="V95" s="2"/>
    </row>
    <row r="96" spans="1:22" s="149" customFormat="1" ht="12.75" customHeight="1" x14ac:dyDescent="0.2">
      <c r="A96" s="155"/>
      <c r="B96" s="138" t="str">
        <f>IF(A96="","",VLOOKUP(A96,'6.A'!$A$11:$G$180,2,FALSE))</f>
        <v/>
      </c>
      <c r="C96" s="156"/>
      <c r="D96" s="141" t="str">
        <f>IF(A96="","",VLOOKUP(A96,'6.A'!$A$11:$G$180,4,FALSE))</f>
        <v/>
      </c>
      <c r="E96" s="160" t="str">
        <f>IF(A96="","",VLOOKUP(A96,'6.A'!$A$11:$G$180,5,FALSE))</f>
        <v/>
      </c>
      <c r="F96" s="159" t="str">
        <f t="shared" si="39"/>
        <v>0,00</v>
      </c>
      <c r="G96" s="52"/>
      <c r="H96" s="52" t="str">
        <f>IF(A96="","",VLOOKUP(A96,'6.A'!$A$11:$E$7984,5,FALSE))</f>
        <v/>
      </c>
      <c r="I96" s="52" t="str">
        <f t="shared" si="40"/>
        <v/>
      </c>
      <c r="J96" s="52" t="str">
        <f>IF(H96="","",VLOOKUP(A96,'6.A'!$A$11:$E$564,4,FALSE))</f>
        <v/>
      </c>
      <c r="K96" s="52" t="str">
        <f t="shared" si="41"/>
        <v/>
      </c>
      <c r="L96" s="52" t="str">
        <f>IF(H96="","",IF(C96="","",G64*C96))</f>
        <v/>
      </c>
      <c r="M96" s="117" t="str">
        <f>IF(A96="","",VLOOKUP(A96,'6.A'!$A$11:$C$564,2,FALSE))</f>
        <v/>
      </c>
      <c r="N96" s="57" t="str">
        <f t="shared" si="42"/>
        <v/>
      </c>
      <c r="O96" s="56"/>
      <c r="P96" s="56"/>
      <c r="Q96" s="48"/>
      <c r="R96" s="48"/>
      <c r="S96" s="65"/>
      <c r="T96" s="2"/>
      <c r="U96" s="2"/>
      <c r="V96" s="2"/>
    </row>
    <row r="97" spans="1:22" s="149" customFormat="1" ht="12.75" customHeight="1" x14ac:dyDescent="0.2">
      <c r="A97" s="155"/>
      <c r="B97" s="138" t="str">
        <f>IF(A97="","",VLOOKUP(A97,'6.A'!$A$11:$G$180,2,FALSE))</f>
        <v/>
      </c>
      <c r="C97" s="156"/>
      <c r="D97" s="141" t="str">
        <f>IF(A97="","",VLOOKUP(A97,'6.A'!$A$11:$G$180,4,FALSE))</f>
        <v/>
      </c>
      <c r="E97" s="160" t="str">
        <f>IF(A97="","",VLOOKUP(A97,'6.A'!$A$11:$G$180,5,FALSE))</f>
        <v/>
      </c>
      <c r="F97" s="159" t="str">
        <f t="shared" si="39"/>
        <v>0,00</v>
      </c>
      <c r="G97" s="52"/>
      <c r="H97" s="52" t="str">
        <f>IF(A97="","",VLOOKUP(A97,'6.A'!$A$11:$E$7984,5,FALSE))</f>
        <v/>
      </c>
      <c r="I97" s="52" t="str">
        <f t="shared" si="40"/>
        <v/>
      </c>
      <c r="J97" s="52" t="str">
        <f>IF(H97="","",VLOOKUP(A97,'6.A'!$A$11:$E$564,4,FALSE))</f>
        <v/>
      </c>
      <c r="K97" s="52" t="str">
        <f t="shared" si="41"/>
        <v/>
      </c>
      <c r="L97" s="52" t="str">
        <f>IF(H97="","",IF(C97="","",G64*C97))</f>
        <v/>
      </c>
      <c r="M97" s="117" t="str">
        <f>IF(A97="","",VLOOKUP(A97,'6.A'!$A$11:$C$564,2,FALSE))</f>
        <v/>
      </c>
      <c r="N97" s="57" t="str">
        <f t="shared" si="42"/>
        <v/>
      </c>
      <c r="O97" s="56"/>
      <c r="P97" s="56"/>
      <c r="Q97" s="48"/>
      <c r="R97" s="48"/>
      <c r="S97" s="65"/>
      <c r="T97" s="2"/>
      <c r="U97" s="2"/>
      <c r="V97" s="2"/>
    </row>
    <row r="98" spans="1:22" s="149" customFormat="1" ht="12.75" customHeight="1" x14ac:dyDescent="0.2">
      <c r="A98" s="155"/>
      <c r="B98" s="138" t="str">
        <f>IF(A98="","",VLOOKUP(A98,'6.A'!$A$11:$G$180,2,FALSE))</f>
        <v/>
      </c>
      <c r="C98" s="156"/>
      <c r="D98" s="141" t="str">
        <f>IF(A98="","",VLOOKUP(A98,'6.A'!$A$11:$G$180,4,FALSE))</f>
        <v/>
      </c>
      <c r="E98" s="160" t="str">
        <f>IF(A98="","",VLOOKUP(A98,'6.A'!$A$11:$G$180,5,FALSE))</f>
        <v/>
      </c>
      <c r="F98" s="159" t="str">
        <f t="shared" si="39"/>
        <v>0,00</v>
      </c>
      <c r="G98" s="52"/>
      <c r="H98" s="52" t="str">
        <f>IF(A98="","",VLOOKUP(A98,'6.A'!$A$11:$E$7984,5,FALSE))</f>
        <v/>
      </c>
      <c r="I98" s="52" t="str">
        <f t="shared" si="40"/>
        <v/>
      </c>
      <c r="J98" s="52" t="str">
        <f>IF(H98="","",VLOOKUP(A98,'6.A'!$A$11:$E$564,4,FALSE))</f>
        <v/>
      </c>
      <c r="K98" s="52" t="str">
        <f t="shared" si="41"/>
        <v/>
      </c>
      <c r="L98" s="52" t="str">
        <f>IF(H98="","",IF(C98="","",G64*C98))</f>
        <v/>
      </c>
      <c r="M98" s="117" t="str">
        <f>IF(A98="","",VLOOKUP(A98,'6.A'!$A$11:$C$564,2,FALSE))</f>
        <v/>
      </c>
      <c r="N98" s="57" t="str">
        <f t="shared" si="42"/>
        <v/>
      </c>
      <c r="O98" s="56"/>
      <c r="P98" s="56"/>
      <c r="Q98" s="48"/>
      <c r="R98" s="48"/>
      <c r="S98" s="65"/>
      <c r="T98" s="2"/>
      <c r="U98" s="2"/>
      <c r="V98" s="2"/>
    </row>
    <row r="99" spans="1:22" s="149" customFormat="1" ht="12.75" customHeight="1" x14ac:dyDescent="0.2">
      <c r="A99" s="155"/>
      <c r="B99" s="138" t="str">
        <f>IF(A99="","",VLOOKUP(A99,'6.A'!$A$11:$G$180,2,FALSE))</f>
        <v/>
      </c>
      <c r="C99" s="156"/>
      <c r="D99" s="141" t="str">
        <f>IF(A99="","",VLOOKUP(A99,'6.A'!$A$11:$G$180,4,FALSE))</f>
        <v/>
      </c>
      <c r="E99" s="160" t="str">
        <f>IF(A99="","",VLOOKUP(A99,'6.A'!$A$11:$G$180,5,FALSE))</f>
        <v/>
      </c>
      <c r="F99" s="159" t="str">
        <f t="shared" si="39"/>
        <v>0,00</v>
      </c>
      <c r="G99" s="52"/>
      <c r="H99" s="52" t="str">
        <f>IF(A99="","",VLOOKUP(A99,'6.A'!$A$11:$E$7984,5,FALSE))</f>
        <v/>
      </c>
      <c r="I99" s="52" t="str">
        <f t="shared" si="40"/>
        <v/>
      </c>
      <c r="J99" s="52" t="str">
        <f>IF(H99="","",VLOOKUP(A99,'6.A'!$A$11:$E$564,4,FALSE))</f>
        <v/>
      </c>
      <c r="K99" s="52" t="str">
        <f t="shared" si="41"/>
        <v/>
      </c>
      <c r="L99" s="52" t="str">
        <f>IF(H99="","",IF(C99="","",G64*C99))</f>
        <v/>
      </c>
      <c r="M99" s="117" t="str">
        <f>IF(A99="","",VLOOKUP(A99,'6.A'!$A$11:$C$564,2,FALSE))</f>
        <v/>
      </c>
      <c r="N99" s="57" t="str">
        <f t="shared" si="42"/>
        <v/>
      </c>
      <c r="O99" s="56"/>
      <c r="P99" s="56"/>
      <c r="Q99" s="48"/>
      <c r="R99" s="48"/>
      <c r="S99" s="65"/>
      <c r="T99" s="2"/>
      <c r="U99" s="2"/>
      <c r="V99" s="2"/>
    </row>
    <row r="100" spans="1:22" s="149" customFormat="1" ht="12.75" customHeight="1" x14ac:dyDescent="0.2">
      <c r="A100" s="155"/>
      <c r="B100" s="138" t="str">
        <f>IF(A100="","",VLOOKUP(A100,'6.A'!$A$11:$G$180,2,FALSE))</f>
        <v/>
      </c>
      <c r="C100" s="156"/>
      <c r="D100" s="141" t="str">
        <f>IF(A100="","",VLOOKUP(A100,'6.A'!$A$11:$G$180,4,FALSE))</f>
        <v/>
      </c>
      <c r="E100" s="160" t="str">
        <f>IF(A100="","",VLOOKUP(A100,'6.A'!$A$11:$G$180,5,FALSE))</f>
        <v/>
      </c>
      <c r="F100" s="159" t="str">
        <f t="shared" si="39"/>
        <v>0,00</v>
      </c>
      <c r="G100" s="52"/>
      <c r="H100" s="52" t="str">
        <f>IF(A100="","",VLOOKUP(A100,'6.A'!$A$11:$E$7984,5,FALSE))</f>
        <v/>
      </c>
      <c r="I100" s="52" t="str">
        <f t="shared" si="40"/>
        <v/>
      </c>
      <c r="J100" s="52" t="str">
        <f>IF(H100="","",VLOOKUP(A100,'6.A'!$A$11:$E$564,4,FALSE))</f>
        <v/>
      </c>
      <c r="K100" s="52" t="str">
        <f t="shared" si="41"/>
        <v/>
      </c>
      <c r="L100" s="52" t="str">
        <f>IF(H100="","",IF(C100="","",G64*C100))</f>
        <v/>
      </c>
      <c r="M100" s="117" t="str">
        <f>IF(A100="","",VLOOKUP(A100,'6.A'!$A$11:$C$564,2,FALSE))</f>
        <v/>
      </c>
      <c r="N100" s="57" t="str">
        <f t="shared" si="42"/>
        <v/>
      </c>
      <c r="O100" s="56"/>
      <c r="P100" s="56"/>
      <c r="Q100" s="48"/>
      <c r="R100" s="48"/>
      <c r="S100" s="65"/>
      <c r="T100" s="2"/>
      <c r="U100" s="2"/>
      <c r="V100" s="2"/>
    </row>
    <row r="101" spans="1:22" s="149" customFormat="1" ht="12.75" customHeight="1" x14ac:dyDescent="0.2">
      <c r="A101" s="155"/>
      <c r="B101" s="138" t="str">
        <f>IF(A101="","",VLOOKUP(A101,'6.A'!$A$11:$G$180,2,FALSE))</f>
        <v/>
      </c>
      <c r="C101" s="156"/>
      <c r="D101" s="141" t="str">
        <f>IF(A101="","",VLOOKUP(A101,'6.A'!$A$11:$G$180,4,FALSE))</f>
        <v/>
      </c>
      <c r="E101" s="160" t="str">
        <f>IF(A101="","",VLOOKUP(A101,'6.A'!$A$11:$G$180,5,FALSE))</f>
        <v/>
      </c>
      <c r="F101" s="159" t="str">
        <f t="shared" si="39"/>
        <v>0,00</v>
      </c>
      <c r="G101" s="52"/>
      <c r="H101" s="52" t="str">
        <f>IF(A101="","",VLOOKUP(A101,'6.A'!$A$11:$E$7984,5,FALSE))</f>
        <v/>
      </c>
      <c r="I101" s="52" t="str">
        <f t="shared" si="40"/>
        <v/>
      </c>
      <c r="J101" s="52" t="str">
        <f>IF(H101="","",VLOOKUP(A101,'6.A'!$A$11:$E$564,4,FALSE))</f>
        <v/>
      </c>
      <c r="K101" s="52" t="str">
        <f t="shared" si="41"/>
        <v/>
      </c>
      <c r="L101" s="52" t="str">
        <f>IF(H101="","",IF(C101="","",G64*C101))</f>
        <v/>
      </c>
      <c r="M101" s="117" t="str">
        <f>IF(A101="","",VLOOKUP(A101,'6.A'!$A$11:$C$564,2,FALSE))</f>
        <v/>
      </c>
      <c r="N101" s="57" t="str">
        <f t="shared" si="42"/>
        <v/>
      </c>
      <c r="O101" s="56"/>
      <c r="P101" s="56"/>
      <c r="Q101" s="48"/>
      <c r="R101" s="48"/>
      <c r="S101" s="65"/>
      <c r="T101" s="2"/>
      <c r="U101" s="2"/>
      <c r="V101" s="2"/>
    </row>
    <row r="102" spans="1:22" s="149" customFormat="1" ht="12.75" customHeight="1" x14ac:dyDescent="0.2">
      <c r="A102" s="155"/>
      <c r="B102" s="138" t="str">
        <f>IF(A102="","",VLOOKUP(A102,'6.A'!$A$11:$G$180,2,FALSE))</f>
        <v/>
      </c>
      <c r="C102" s="156"/>
      <c r="D102" s="141" t="str">
        <f>IF(A102="","",VLOOKUP(A102,'6.A'!$A$11:$G$180,4,FALSE))</f>
        <v/>
      </c>
      <c r="E102" s="160" t="str">
        <f>IF(A102="","",VLOOKUP(A102,'6.A'!$A$11:$G$180,5,FALSE))</f>
        <v/>
      </c>
      <c r="F102" s="159" t="str">
        <f t="shared" si="39"/>
        <v>0,00</v>
      </c>
      <c r="G102" s="52"/>
      <c r="H102" s="52" t="str">
        <f>IF(A102="","",VLOOKUP(A102,'6.A'!$A$11:$E$7984,5,FALSE))</f>
        <v/>
      </c>
      <c r="I102" s="52" t="str">
        <f t="shared" si="40"/>
        <v/>
      </c>
      <c r="J102" s="52" t="str">
        <f>IF(H102="","",VLOOKUP(A102,'6.A'!$A$11:$E$564,4,FALSE))</f>
        <v/>
      </c>
      <c r="K102" s="52" t="str">
        <f t="shared" si="41"/>
        <v/>
      </c>
      <c r="L102" s="52" t="str">
        <f>IF(H102="","",IF(C102="","",G64*C102))</f>
        <v/>
      </c>
      <c r="M102" s="117" t="str">
        <f>IF(A102="","",VLOOKUP(A102,'6.A'!$A$11:$C$564,2,FALSE))</f>
        <v/>
      </c>
      <c r="N102" s="57" t="str">
        <f t="shared" si="42"/>
        <v/>
      </c>
      <c r="O102" s="56"/>
      <c r="P102" s="56"/>
      <c r="Q102" s="48"/>
      <c r="R102" s="48"/>
      <c r="S102" s="65"/>
      <c r="T102" s="2"/>
      <c r="U102" s="2"/>
      <c r="V102" s="2"/>
    </row>
    <row r="103" spans="1:22" s="149" customFormat="1" ht="12.75" customHeight="1" x14ac:dyDescent="0.2">
      <c r="A103" s="155"/>
      <c r="B103" s="138" t="str">
        <f>IF(A103="","",VLOOKUP(A103,'6.A'!$A$11:$G$180,2,FALSE))</f>
        <v/>
      </c>
      <c r="C103" s="156"/>
      <c r="D103" s="141" t="str">
        <f>IF(A103="","",VLOOKUP(A103,'6.A'!$A$11:$G$180,4,FALSE))</f>
        <v/>
      </c>
      <c r="E103" s="160" t="str">
        <f>IF(A103="","",VLOOKUP(A103,'6.A'!$A$11:$G$180,5,FALSE))</f>
        <v/>
      </c>
      <c r="F103" s="159" t="str">
        <f t="shared" si="39"/>
        <v>0,00</v>
      </c>
      <c r="G103" s="52"/>
      <c r="H103" s="52" t="str">
        <f>IF(A103="","",VLOOKUP(A103,'6.A'!$A$11:$E$7984,5,FALSE))</f>
        <v/>
      </c>
      <c r="I103" s="52" t="str">
        <f t="shared" si="40"/>
        <v/>
      </c>
      <c r="J103" s="52" t="str">
        <f>IF(H103="","",VLOOKUP(A103,'6.A'!$A$11:$E$564,4,FALSE))</f>
        <v/>
      </c>
      <c r="K103" s="52" t="str">
        <f t="shared" si="41"/>
        <v/>
      </c>
      <c r="L103" s="52" t="str">
        <f>IF(H103="","",IF(C103="","",G64*C103))</f>
        <v/>
      </c>
      <c r="M103" s="117" t="str">
        <f>IF(A103="","",VLOOKUP(A103,'6.A'!$A$11:$C$564,2,FALSE))</f>
        <v/>
      </c>
      <c r="N103" s="57" t="str">
        <f t="shared" si="42"/>
        <v/>
      </c>
      <c r="O103" s="56"/>
      <c r="P103" s="56"/>
      <c r="Q103" s="48"/>
      <c r="R103" s="48"/>
      <c r="S103" s="65"/>
      <c r="T103" s="2"/>
      <c r="U103" s="2"/>
      <c r="V103" s="2"/>
    </row>
    <row r="104" spans="1:22" s="137" customFormat="1" ht="12.75" customHeight="1" x14ac:dyDescent="0.2">
      <c r="A104" s="155"/>
      <c r="B104" s="138" t="str">
        <f>IF(A104="","",VLOOKUP(A104,'6.A'!$A$11:$G$180,2,FALSE))</f>
        <v/>
      </c>
      <c r="C104" s="156"/>
      <c r="D104" s="141" t="str">
        <f>IF(A104="","",VLOOKUP(A104,'6.A'!$A$11:$G$180,4,FALSE))</f>
        <v/>
      </c>
      <c r="E104" s="160" t="str">
        <f>IF(A104="","",VLOOKUP(A104,'6.A'!$A$11:$G$180,5,FALSE))</f>
        <v/>
      </c>
      <c r="F104" s="159" t="str">
        <f t="shared" si="39"/>
        <v>0,00</v>
      </c>
      <c r="G104" s="52"/>
      <c r="H104" s="52" t="str">
        <f>IF(A104="","",VLOOKUP(A104,'6.A'!$A$11:$E$7984,5,FALSE))</f>
        <v/>
      </c>
      <c r="I104" s="52" t="str">
        <f t="shared" si="40"/>
        <v/>
      </c>
      <c r="J104" s="52" t="str">
        <f>IF(H104="","",VLOOKUP(A104,'6.A'!$A$11:$E$564,4,FALSE))</f>
        <v/>
      </c>
      <c r="K104" s="52" t="str">
        <f t="shared" si="41"/>
        <v/>
      </c>
      <c r="L104" s="52" t="str">
        <f>IF(H104="","",IF(C104="","",G64*C104))</f>
        <v/>
      </c>
      <c r="M104" s="117" t="str">
        <f>IF(A104="","",VLOOKUP(A104,'6.A'!$A$11:$C$564,2,FALSE))</f>
        <v/>
      </c>
      <c r="N104" s="57" t="str">
        <f t="shared" si="42"/>
        <v/>
      </c>
      <c r="O104" s="56"/>
      <c r="P104" s="56"/>
      <c r="Q104" s="48"/>
      <c r="R104" s="48"/>
      <c r="S104" s="65"/>
      <c r="T104" s="2"/>
      <c r="U104" s="2"/>
      <c r="V104" s="2"/>
    </row>
    <row r="105" spans="1:22" s="137" customFormat="1" ht="12.75" customHeight="1" x14ac:dyDescent="0.2">
      <c r="A105" s="155"/>
      <c r="B105" s="138" t="str">
        <f>IF(A105="","",VLOOKUP(A105,'6.A'!$A$11:$G$180,2,FALSE))</f>
        <v/>
      </c>
      <c r="C105" s="156"/>
      <c r="D105" s="141" t="str">
        <f>IF(A105="","",VLOOKUP(A105,'6.A'!$A$11:$G$180,4,FALSE))</f>
        <v/>
      </c>
      <c r="E105" s="160" t="str">
        <f>IF(A105="","",VLOOKUP(A105,'6.A'!$A$11:$G$180,5,FALSE))</f>
        <v/>
      </c>
      <c r="F105" s="159" t="str">
        <f t="shared" si="39"/>
        <v>0,00</v>
      </c>
      <c r="G105" s="52"/>
      <c r="H105" s="52" t="str">
        <f>IF(A105="","",VLOOKUP(A105,'6.A'!$A$11:$E$7984,5,FALSE))</f>
        <v/>
      </c>
      <c r="I105" s="52" t="str">
        <f t="shared" si="40"/>
        <v/>
      </c>
      <c r="J105" s="52" t="str">
        <f>IF(H105="","",VLOOKUP(A105,'6.A'!$A$11:$E$564,4,FALSE))</f>
        <v/>
      </c>
      <c r="K105" s="52" t="str">
        <f t="shared" si="41"/>
        <v/>
      </c>
      <c r="L105" s="52" t="str">
        <f>IF(H105="","",IF(C105="","",G64*C105))</f>
        <v/>
      </c>
      <c r="M105" s="117" t="str">
        <f>IF(A105="","",VLOOKUP(A105,'6.A'!$A$11:$C$564,2,FALSE))</f>
        <v/>
      </c>
      <c r="N105" s="57" t="str">
        <f t="shared" si="42"/>
        <v/>
      </c>
      <c r="O105" s="56"/>
      <c r="P105" s="56"/>
      <c r="Q105" s="48"/>
      <c r="R105" s="48"/>
      <c r="S105" s="65"/>
      <c r="T105" s="2"/>
      <c r="U105" s="2"/>
      <c r="V105" s="2"/>
    </row>
    <row r="106" spans="1:22" s="137" customFormat="1" ht="12.75" customHeight="1" x14ac:dyDescent="0.2">
      <c r="A106" s="155"/>
      <c r="B106" s="138" t="str">
        <f>IF(A106="","",VLOOKUP(A106,'6.A'!$A$11:$G$180,2,FALSE))</f>
        <v/>
      </c>
      <c r="C106" s="156"/>
      <c r="D106" s="141" t="str">
        <f>IF(A106="","",VLOOKUP(A106,'6.A'!$A$11:$G$180,4,FALSE))</f>
        <v/>
      </c>
      <c r="E106" s="160" t="str">
        <f>IF(A106="","",VLOOKUP(A106,'6.A'!$A$11:$G$180,5,FALSE))</f>
        <v/>
      </c>
      <c r="F106" s="159" t="str">
        <f t="shared" si="39"/>
        <v>0,00</v>
      </c>
      <c r="G106" s="52"/>
      <c r="H106" s="52" t="str">
        <f>IF(A106="","",VLOOKUP(A106,'6.A'!$A$11:$E$7984,5,FALSE))</f>
        <v/>
      </c>
      <c r="I106" s="52" t="str">
        <f t="shared" si="40"/>
        <v/>
      </c>
      <c r="J106" s="52" t="str">
        <f>IF(H106="","",VLOOKUP(A106,'6.A'!$A$11:$E$564,4,FALSE))</f>
        <v/>
      </c>
      <c r="K106" s="52" t="str">
        <f t="shared" si="41"/>
        <v/>
      </c>
      <c r="L106" s="52" t="str">
        <f>IF(H106="","",IF(C106="","",G64*C106))</f>
        <v/>
      </c>
      <c r="M106" s="117" t="str">
        <f>IF(A106="","",VLOOKUP(A106,'6.A'!$A$11:$C$564,2,FALSE))</f>
        <v/>
      </c>
      <c r="N106" s="57" t="str">
        <f t="shared" si="42"/>
        <v/>
      </c>
      <c r="O106" s="56"/>
      <c r="P106" s="56"/>
      <c r="Q106" s="48"/>
      <c r="R106" s="48"/>
      <c r="S106" s="65"/>
      <c r="T106" s="2"/>
      <c r="U106" s="2"/>
      <c r="V106" s="2"/>
    </row>
    <row r="107" spans="1:22" s="137" customFormat="1" ht="12.75" customHeight="1" x14ac:dyDescent="0.2">
      <c r="A107" s="155"/>
      <c r="B107" s="138" t="str">
        <f>IF(A107="","",VLOOKUP(A107,'6.A'!$A$11:$G$180,2,FALSE))</f>
        <v/>
      </c>
      <c r="C107" s="156"/>
      <c r="D107" s="141" t="str">
        <f>IF(A107="","",VLOOKUP(A107,'6.A'!$A$11:$G$180,4,FALSE))</f>
        <v/>
      </c>
      <c r="E107" s="160" t="str">
        <f>IF(A107="","",VLOOKUP(A107,'6.A'!$A$11:$G$180,5,FALSE))</f>
        <v/>
      </c>
      <c r="F107" s="159" t="str">
        <f t="shared" si="39"/>
        <v>0,00</v>
      </c>
      <c r="G107" s="52"/>
      <c r="H107" s="52" t="str">
        <f>IF(A107="","",VLOOKUP(A107,'6.A'!$A$11:$E$7984,5,FALSE))</f>
        <v/>
      </c>
      <c r="I107" s="52" t="str">
        <f t="shared" si="40"/>
        <v/>
      </c>
      <c r="J107" s="52" t="str">
        <f>IF(H107="","",VLOOKUP(A107,'6.A'!$A$11:$E$564,4,FALSE))</f>
        <v/>
      </c>
      <c r="K107" s="52" t="str">
        <f t="shared" si="41"/>
        <v/>
      </c>
      <c r="L107" s="52" t="str">
        <f>IF(H107="","",IF(C107="","",G64*C107))</f>
        <v/>
      </c>
      <c r="M107" s="117" t="str">
        <f>IF(A107="","",VLOOKUP(A107,'6.A'!$A$11:$C$564,2,FALSE))</f>
        <v/>
      </c>
      <c r="N107" s="57" t="str">
        <f t="shared" si="42"/>
        <v/>
      </c>
      <c r="O107" s="56"/>
      <c r="P107" s="56"/>
      <c r="Q107" s="48"/>
      <c r="R107" s="48"/>
      <c r="S107" s="65"/>
      <c r="T107" s="2"/>
      <c r="U107" s="2"/>
      <c r="V107" s="2"/>
    </row>
    <row r="108" spans="1:22" s="137" customFormat="1" ht="12.75" customHeight="1" x14ac:dyDescent="0.2">
      <c r="A108" s="155"/>
      <c r="B108" s="138" t="str">
        <f>IF(A108="","",VLOOKUP(A108,'6.A'!$A$11:$G$180,2,FALSE))</f>
        <v/>
      </c>
      <c r="C108" s="156"/>
      <c r="D108" s="141" t="str">
        <f>IF(A108="","",VLOOKUP(A108,'6.A'!$A$11:$G$180,4,FALSE))</f>
        <v/>
      </c>
      <c r="E108" s="160" t="str">
        <f>IF(A108="","",VLOOKUP(A108,'6.A'!$A$11:$G$180,5,FALSE))</f>
        <v/>
      </c>
      <c r="F108" s="159" t="str">
        <f t="shared" si="39"/>
        <v>0,00</v>
      </c>
      <c r="G108" s="52"/>
      <c r="H108" s="52" t="str">
        <f>IF(A108="","",VLOOKUP(A108,'6.A'!$A$11:$E$7984,5,FALSE))</f>
        <v/>
      </c>
      <c r="I108" s="52" t="str">
        <f t="shared" si="40"/>
        <v/>
      </c>
      <c r="J108" s="52" t="str">
        <f>IF(H108="","",VLOOKUP(A108,'6.A'!$A$11:$E$564,4,FALSE))</f>
        <v/>
      </c>
      <c r="K108" s="52" t="str">
        <f t="shared" si="41"/>
        <v/>
      </c>
      <c r="L108" s="52" t="str">
        <f>IF(H108="","",IF(C108="","",G64*C108))</f>
        <v/>
      </c>
      <c r="M108" s="117" t="str">
        <f>IF(A108="","",VLOOKUP(A108,'6.A'!$A$11:$C$564,2,FALSE))</f>
        <v/>
      </c>
      <c r="N108" s="57" t="str">
        <f t="shared" si="42"/>
        <v/>
      </c>
      <c r="O108" s="56"/>
      <c r="P108" s="56"/>
      <c r="Q108" s="48"/>
      <c r="R108" s="48"/>
      <c r="S108" s="65"/>
      <c r="T108" s="2"/>
      <c r="U108" s="2"/>
      <c r="V108" s="2"/>
    </row>
    <row r="109" spans="1:22" s="137" customFormat="1" ht="12.75" customHeight="1" x14ac:dyDescent="0.2">
      <c r="A109" s="155"/>
      <c r="B109" s="171" t="str">
        <f>IF(A109="","",VLOOKUP(A109,'6.A'!$A$11:$G$180,2,FALSE))</f>
        <v/>
      </c>
      <c r="C109" s="156"/>
      <c r="D109" s="141" t="str">
        <f>IF(A109="","",VLOOKUP(A109,'6.A'!$A$11:$G$180,4,FALSE))</f>
        <v/>
      </c>
      <c r="E109" s="160" t="str">
        <f>IF(A109="","",VLOOKUP(A109,'6.A'!$A$11:$G$180,5,FALSE))</f>
        <v/>
      </c>
      <c r="F109" s="159" t="str">
        <f t="shared" si="39"/>
        <v>0,00</v>
      </c>
      <c r="G109" s="52"/>
      <c r="H109" s="52" t="str">
        <f>IF(A109="","",VLOOKUP(A109,'6.A'!$A$11:$E$7984,5,FALSE))</f>
        <v/>
      </c>
      <c r="I109" s="52" t="str">
        <f t="shared" si="40"/>
        <v/>
      </c>
      <c r="J109" s="52" t="str">
        <f>IF(H109="","",VLOOKUP(A109,'6.A'!$A$11:$E$564,4,FALSE))</f>
        <v/>
      </c>
      <c r="K109" s="52" t="str">
        <f t="shared" si="41"/>
        <v/>
      </c>
      <c r="L109" s="52" t="str">
        <f>IF(H109="","",IF(C109="","",G64*C109))</f>
        <v/>
      </c>
      <c r="M109" s="117" t="str">
        <f>IF(A109="","",VLOOKUP(A109,'6.A'!$A$11:$C$564,2,FALSE))</f>
        <v/>
      </c>
      <c r="N109" s="57" t="str">
        <f t="shared" si="42"/>
        <v/>
      </c>
      <c r="O109" s="56"/>
      <c r="P109" s="56"/>
      <c r="Q109" s="48"/>
      <c r="R109" s="48"/>
      <c r="S109" s="65"/>
      <c r="T109" s="2"/>
      <c r="U109" s="2"/>
      <c r="V109" s="2"/>
    </row>
    <row r="110" spans="1:22" s="137" customFormat="1" ht="12.75" customHeight="1" x14ac:dyDescent="0.2">
      <c r="A110" s="155"/>
      <c r="B110" s="171" t="str">
        <f>IF(A110="","",VLOOKUP(A110,'6.A'!$A$11:$G$180,2,FALSE))</f>
        <v/>
      </c>
      <c r="C110" s="156"/>
      <c r="D110" s="141" t="str">
        <f>IF(A110="","",VLOOKUP(A110,'6.A'!$A$11:$G$180,4,FALSE))</f>
        <v/>
      </c>
      <c r="E110" s="160" t="str">
        <f>IF(A110="","",VLOOKUP(A110,'6.A'!$A$11:$G$180,5,FALSE))</f>
        <v/>
      </c>
      <c r="F110" s="159" t="str">
        <f t="shared" si="39"/>
        <v>0,00</v>
      </c>
      <c r="G110" s="52"/>
      <c r="H110" s="52" t="str">
        <f>IF(A110="","",VLOOKUP(A110,'6.A'!$A$11:$E$7984,5,FALSE))</f>
        <v/>
      </c>
      <c r="I110" s="52" t="str">
        <f t="shared" si="40"/>
        <v/>
      </c>
      <c r="J110" s="52" t="str">
        <f>IF(H110="","",VLOOKUP(A110,'6.A'!$A$11:$E$564,4,FALSE))</f>
        <v/>
      </c>
      <c r="K110" s="52" t="str">
        <f t="shared" si="41"/>
        <v/>
      </c>
      <c r="L110" s="52" t="str">
        <f>IF(H110="","",IF(C110="","",G64*C110))</f>
        <v/>
      </c>
      <c r="M110" s="117" t="str">
        <f>IF(A110="","",VLOOKUP(A110,'6.A'!$A$11:$C$564,2,FALSE))</f>
        <v/>
      </c>
      <c r="N110" s="57" t="str">
        <f t="shared" si="42"/>
        <v/>
      </c>
      <c r="O110" s="56"/>
      <c r="P110" s="56"/>
      <c r="Q110" s="48"/>
      <c r="R110" s="48"/>
      <c r="S110" s="65"/>
      <c r="T110" s="2"/>
      <c r="U110" s="2"/>
      <c r="V110" s="2"/>
    </row>
    <row r="111" spans="1:22" s="137" customFormat="1" ht="12.75" customHeight="1" x14ac:dyDescent="0.2">
      <c r="A111" s="155"/>
      <c r="B111" s="171" t="str">
        <f>IF(A111="","",VLOOKUP(A111,'6.A'!$A$11:$G$180,2,FALSE))</f>
        <v/>
      </c>
      <c r="C111" s="156"/>
      <c r="D111" s="141" t="str">
        <f>IF(A111="","",VLOOKUP(A111,'6.A'!$A$11:$G$180,4,FALSE))</f>
        <v/>
      </c>
      <c r="E111" s="160" t="str">
        <f>IF(A111="","",VLOOKUP(A111,'6.A'!$A$11:$G$180,5,FALSE))</f>
        <v/>
      </c>
      <c r="F111" s="159" t="str">
        <f t="shared" si="39"/>
        <v>0,00</v>
      </c>
      <c r="G111" s="52"/>
      <c r="H111" s="52" t="str">
        <f>IF(A111="","",VLOOKUP(A111,'6.A'!$A$11:$E$7984,5,FALSE))</f>
        <v/>
      </c>
      <c r="I111" s="52" t="str">
        <f t="shared" si="40"/>
        <v/>
      </c>
      <c r="J111" s="52" t="str">
        <f>IF(H111="","",VLOOKUP(A111,'6.A'!$A$11:$E$564,4,FALSE))</f>
        <v/>
      </c>
      <c r="K111" s="52" t="str">
        <f t="shared" si="41"/>
        <v/>
      </c>
      <c r="L111" s="52" t="str">
        <f>IF(H111="","",IF(C111="","",G64*C111))</f>
        <v/>
      </c>
      <c r="M111" s="117" t="str">
        <f>IF(A111="","",VLOOKUP(A111,'6.A'!$A$11:$C$564,2,FALSE))</f>
        <v/>
      </c>
      <c r="N111" s="57" t="str">
        <f t="shared" si="42"/>
        <v/>
      </c>
      <c r="O111" s="56"/>
      <c r="P111" s="56"/>
      <c r="Q111" s="48"/>
      <c r="R111" s="48"/>
      <c r="S111" s="65"/>
      <c r="T111" s="2"/>
      <c r="U111" s="2"/>
      <c r="V111" s="2"/>
    </row>
    <row r="112" spans="1:22" s="137" customFormat="1" ht="12.75" customHeight="1" x14ac:dyDescent="0.2">
      <c r="A112" s="155"/>
      <c r="B112" s="171" t="str">
        <f>IF(A112="","",VLOOKUP(A112,'6.A'!$A$11:$G$180,2,FALSE))</f>
        <v/>
      </c>
      <c r="C112" s="156"/>
      <c r="D112" s="141" t="str">
        <f>IF(A112="","",VLOOKUP(A112,'6.A'!$A$11:$G$180,4,FALSE))</f>
        <v/>
      </c>
      <c r="E112" s="160" t="str">
        <f>IF(A112="","",VLOOKUP(A112,'6.A'!$A$11:$G$180,5,FALSE))</f>
        <v/>
      </c>
      <c r="F112" s="159" t="str">
        <f t="shared" si="39"/>
        <v>0,00</v>
      </c>
      <c r="G112" s="52"/>
      <c r="H112" s="52" t="str">
        <f>IF(A112="","",VLOOKUP(A112,'6.A'!$A$11:$E$7984,5,FALSE))</f>
        <v/>
      </c>
      <c r="I112" s="52" t="str">
        <f t="shared" si="40"/>
        <v/>
      </c>
      <c r="J112" s="52" t="str">
        <f>IF(H112="","",VLOOKUP(A112,'6.A'!$A$11:$E$564,4,FALSE))</f>
        <v/>
      </c>
      <c r="K112" s="52" t="str">
        <f t="shared" si="41"/>
        <v/>
      </c>
      <c r="L112" s="52" t="str">
        <f>IF(H112="","",IF(C112="","",G64*C112))</f>
        <v/>
      </c>
      <c r="M112" s="117" t="str">
        <f>IF(A112="","",VLOOKUP(A112,'6.A'!$A$11:$C$564,2,FALSE))</f>
        <v/>
      </c>
      <c r="N112" s="57" t="str">
        <f t="shared" si="42"/>
        <v/>
      </c>
      <c r="O112" s="56"/>
      <c r="P112" s="56"/>
      <c r="Q112" s="48"/>
      <c r="R112" s="48"/>
      <c r="S112" s="65"/>
      <c r="T112" s="2"/>
      <c r="U112" s="2"/>
      <c r="V112" s="2"/>
    </row>
    <row r="113" spans="1:22" s="137" customFormat="1" ht="12.75" customHeight="1" x14ac:dyDescent="0.2">
      <c r="A113" s="155"/>
      <c r="B113" s="26" t="str">
        <f>$A$9</f>
        <v>BDI</v>
      </c>
      <c r="C113" s="40">
        <f>$C$9</f>
        <v>0</v>
      </c>
      <c r="D113" s="141"/>
      <c r="E113" s="147"/>
      <c r="F113" s="162">
        <f>ROUND(SUM(F93:F112)*C113,2)</f>
        <v>0</v>
      </c>
      <c r="G113" s="63"/>
      <c r="H113" s="52"/>
      <c r="I113" s="57"/>
      <c r="J113" s="57"/>
      <c r="K113" s="57"/>
      <c r="L113" s="52"/>
      <c r="M113" s="57"/>
      <c r="N113" s="57"/>
      <c r="O113" s="56"/>
      <c r="P113" s="56"/>
      <c r="Q113" s="48"/>
      <c r="R113" s="48"/>
      <c r="S113" s="65"/>
      <c r="T113" s="2"/>
      <c r="U113" s="2"/>
      <c r="V113" s="2"/>
    </row>
    <row r="114" spans="1:22" s="137" customFormat="1" ht="12.75" customHeight="1" thickBot="1" x14ac:dyDescent="0.25">
      <c r="A114" s="172"/>
      <c r="B114" s="42" t="s">
        <v>57</v>
      </c>
      <c r="C114" s="43"/>
      <c r="D114" s="173"/>
      <c r="E114" s="174"/>
      <c r="F114" s="175">
        <f>ROUND(SUM(F93:F113),2)</f>
        <v>0</v>
      </c>
      <c r="G114" s="63"/>
      <c r="H114" s="52"/>
      <c r="I114" s="57"/>
      <c r="J114" s="57"/>
      <c r="K114" s="57"/>
      <c r="L114" s="52"/>
      <c r="M114" s="57"/>
      <c r="N114" s="57"/>
      <c r="O114" s="56"/>
      <c r="P114" s="56"/>
      <c r="Q114" s="48"/>
      <c r="R114" s="48"/>
      <c r="S114" s="65"/>
      <c r="T114" s="2"/>
      <c r="U114" s="2"/>
      <c r="V114" s="2"/>
    </row>
    <row r="115" spans="1:22" s="137" customFormat="1" ht="12" customHeight="1" thickBot="1" x14ac:dyDescent="0.25">
      <c r="A115" s="150"/>
      <c r="B115" s="145"/>
      <c r="C115" s="146"/>
      <c r="D115" s="141"/>
      <c r="E115" s="147"/>
      <c r="F115" s="142"/>
      <c r="G115" s="142"/>
      <c r="H115" s="139"/>
      <c r="I115" s="141"/>
      <c r="J115" s="141"/>
      <c r="K115" s="141"/>
      <c r="L115" s="139"/>
      <c r="M115" s="143"/>
      <c r="N115" s="143"/>
      <c r="O115" s="144"/>
      <c r="P115" s="144"/>
      <c r="Q115" s="135"/>
      <c r="R115" s="135"/>
      <c r="S115" s="149"/>
    </row>
    <row r="116" spans="1:22" s="137" customFormat="1" ht="50.1" customHeight="1" x14ac:dyDescent="0.2">
      <c r="A116" s="151" t="str">
        <f>'3.A'!$A$21</f>
        <v>1.3</v>
      </c>
      <c r="B116" s="14" t="str">
        <f>IF(A116="","",VLOOKUP(A116,'3.A'!$A$17:$M$279,2,FALSE))</f>
        <v>DESMOBILIZAÇÃO DO CANTEIRO DE OBRAS</v>
      </c>
      <c r="C116" s="413" t="s">
        <v>62</v>
      </c>
      <c r="D116" s="413"/>
      <c r="E116" s="15" t="str">
        <f>IF(A116="","",VLOOKUP(A116,'3.A'!$A$17:$M$279,3,FALSE))</f>
        <v>GB</v>
      </c>
      <c r="F116" s="16">
        <f>ROUND(F130+F143+F166,2)</f>
        <v>0</v>
      </c>
      <c r="G116" s="118">
        <f>VLOOKUP(A116,'3.A'!$A$19:$I$279,4,FALSE)</f>
        <v>1</v>
      </c>
      <c r="H116" s="47">
        <f>SUM(F118:F129)</f>
        <v>0</v>
      </c>
      <c r="I116" s="47">
        <f>SUM(F132:F142)</f>
        <v>0</v>
      </c>
      <c r="J116" s="47">
        <f>SUM(F145:F165)</f>
        <v>0</v>
      </c>
      <c r="K116" s="47">
        <f>SUM(H116:J116)</f>
        <v>0</v>
      </c>
      <c r="L116" s="47" t="str">
        <f>IF(K116=F116,"SIM","NÃO")</f>
        <v>SIM</v>
      </c>
      <c r="M116" s="58">
        <f>ROUND(SUM(F118:F127)*C128,2)+ROUND(SUM(F118:F128)*C129,2)+ROUND(SUM(F118:F127),2)+ROUND(SUM(F132:F141)*C142,2)+ROUND(SUM(F132:F141),2)+ROUND(SUM(F145:F164)*C165,2)+ROUND(SUM(F145:F164),2)</f>
        <v>0</v>
      </c>
      <c r="N116" s="50" t="str">
        <f>IF(M116=F116,"SIM","NÃO")</f>
        <v>SIM</v>
      </c>
      <c r="O116" s="51" t="str">
        <f>VLOOKUP(A116,'3.A'!$A$8:$E$279,3,FALSE)</f>
        <v>GB</v>
      </c>
      <c r="P116" s="51" t="str">
        <f>IF(O116=E116,"SIM","NÃO")</f>
        <v>SIM</v>
      </c>
      <c r="Q116" s="53">
        <f>ROUND(G116*F130,2)+ROUND(G116*F143,2)+ROUND(G116*F166,2)</f>
        <v>0</v>
      </c>
      <c r="R116" s="59">
        <f>VLOOKUP(A116,'3.A'!$A$17:$L$279,12,FALSE)</f>
        <v>0</v>
      </c>
      <c r="S116" s="60" t="str">
        <f>IF(Q116=R116,"si","no")</f>
        <v>si</v>
      </c>
      <c r="T116" s="61">
        <f>SUM(L118:L127)+SUM(L132:L141)+SUM(L145:L164)</f>
        <v>15.979999999999999</v>
      </c>
      <c r="U116" s="52">
        <f>G116*C124+G116*C126+G116*C119+G116*C120+G116*C122+G116*C125+G116*C123+G116*C118+G116*C121+G116*C127+G116*C138+G116*C132+G116*C140+G116*C139+G116*C137+G116*C134+G116*C133+G116*C135+G116*C141+G116*C136+G116*C145+G116*C146+G116*C147+G116*C155+G116*C156+G116*C157+G116*C158+G116*C159+G116*C160+G116*C161+G116*C162+G116*C163+G116*C164+G116*C153+G116*C154+G116*C148+G116*C149+G116*C150+G116*C151+G116*C152</f>
        <v>15.979999999999999</v>
      </c>
      <c r="V116" s="54" t="str">
        <f>IF(T116=U116,"si","no")</f>
        <v>si</v>
      </c>
    </row>
    <row r="117" spans="1:22" s="137" customFormat="1" ht="12.75" customHeight="1" x14ac:dyDescent="0.2">
      <c r="A117" s="152" t="s">
        <v>3</v>
      </c>
      <c r="B117" s="153" t="s">
        <v>58</v>
      </c>
      <c r="C117" s="140" t="s">
        <v>59</v>
      </c>
      <c r="D117" s="140" t="s">
        <v>16</v>
      </c>
      <c r="E117" s="154" t="s">
        <v>60</v>
      </c>
      <c r="F117" s="148" t="s">
        <v>61</v>
      </c>
      <c r="G117" s="21"/>
      <c r="H117" s="52"/>
      <c r="I117" s="57"/>
      <c r="J117" s="57"/>
      <c r="K117" s="57"/>
      <c r="L117" s="52"/>
      <c r="M117" s="57"/>
      <c r="N117" s="57"/>
      <c r="O117" s="56"/>
      <c r="P117" s="56"/>
      <c r="Q117" s="48"/>
      <c r="R117" s="48"/>
      <c r="S117" s="65"/>
      <c r="T117" s="2"/>
      <c r="U117" s="2"/>
      <c r="V117" s="2"/>
    </row>
    <row r="118" spans="1:22" s="137" customFormat="1" ht="12.75" customHeight="1" x14ac:dyDescent="0.2">
      <c r="A118" s="155">
        <f>'6.A'!$A$22</f>
        <v>88316</v>
      </c>
      <c r="B118" s="138" t="str">
        <f>IF(A118="","",VLOOKUP(A118,'6.A'!$A$11:$G$180,2,FALSE))</f>
        <v>SERVENTE COM ENCARGOS COMPLEMENTARES</v>
      </c>
      <c r="C118" s="156">
        <v>8</v>
      </c>
      <c r="D118" s="157" t="str">
        <f>IF(A118="","",VLOOKUP(A118,'6.A'!$A$11:$G$180,4,FALSE))</f>
        <v>H</v>
      </c>
      <c r="E118" s="158">
        <f>IF(A118="","",VLOOKUP(A118,'6.A'!$A$11:$G$180,5,FALSE))</f>
        <v>0</v>
      </c>
      <c r="F118" s="159">
        <f t="shared" ref="F118:F127" si="43">IF(A118="","0,00",ROUND(C118*E118,2))</f>
        <v>0</v>
      </c>
      <c r="G118" s="52"/>
      <c r="H118" s="52">
        <f>IF(A118="","",VLOOKUP(A118,'6.A'!$A$11:$E$7984,5,FALSE))</f>
        <v>0</v>
      </c>
      <c r="I118" s="52" t="str">
        <f>IF(H118="","",IF(E118=H118,"SIM","NÃO"))</f>
        <v>SIM</v>
      </c>
      <c r="J118" s="52" t="str">
        <f>IF(H118="","",VLOOKUP(A118,'6.A'!$A$11:$E$564,4,FALSE))</f>
        <v>H</v>
      </c>
      <c r="K118" s="52" t="str">
        <f>IF(H118="","",IF(J118=D118,"SIM","NÃO"))</f>
        <v>SIM</v>
      </c>
      <c r="L118" s="52">
        <f>IF(H118="","",IF(C118="","",G116*C118))</f>
        <v>8</v>
      </c>
      <c r="M118" s="117" t="str">
        <f>IF(A118="","",VLOOKUP(A118,'6.A'!$A$11:$C$564,2,FALSE))</f>
        <v>SERVENTE COM ENCARGOS COMPLEMENTARES</v>
      </c>
      <c r="N118" s="57" t="str">
        <f>IF(A118="","",IF(M118=B118,"si","no"))</f>
        <v>si</v>
      </c>
      <c r="O118" s="56"/>
      <c r="P118" s="56"/>
      <c r="Q118" s="48"/>
      <c r="R118" s="48"/>
      <c r="S118" s="65"/>
      <c r="T118" s="2"/>
      <c r="U118" s="2"/>
      <c r="V118" s="2"/>
    </row>
    <row r="119" spans="1:22" s="137" customFormat="1" ht="12.75" customHeight="1" x14ac:dyDescent="0.2">
      <c r="A119" s="155"/>
      <c r="B119" s="138"/>
      <c r="C119" s="156"/>
      <c r="D119" s="157"/>
      <c r="E119" s="158"/>
      <c r="F119" s="159" t="str">
        <f t="shared" si="43"/>
        <v>0,00</v>
      </c>
      <c r="G119" s="52"/>
      <c r="H119" s="52" t="str">
        <f>IF(A119="","",VLOOKUP(A119,'6.A'!$A$11:$E$7984,5,FALSE))</f>
        <v/>
      </c>
      <c r="I119" s="52" t="str">
        <f>IF(H119="","",IF(E119=H119,"SIM","NÃO"))</f>
        <v/>
      </c>
      <c r="J119" s="52" t="str">
        <f>IF(H119="","",VLOOKUP(A119,'6.A'!$A$11:$E$564,4,FALSE))</f>
        <v/>
      </c>
      <c r="K119" s="52" t="str">
        <f>IF(H119="","",IF(J119=D119,"SIM","NÃO"))</f>
        <v/>
      </c>
      <c r="L119" s="52" t="str">
        <f>IF(H119="","",IF(C119="","",G116*C119))</f>
        <v/>
      </c>
      <c r="M119" s="117" t="str">
        <f>IF(A119="","",VLOOKUP(A119,'6.A'!$A$11:$C$564,2,FALSE))</f>
        <v/>
      </c>
      <c r="N119" s="57" t="str">
        <f>IF(A119="","",IF(M119=B119,"si","no"))</f>
        <v/>
      </c>
      <c r="O119" s="56"/>
      <c r="P119" s="56"/>
      <c r="Q119" s="48"/>
      <c r="R119" s="48"/>
      <c r="S119" s="65"/>
      <c r="T119" s="2"/>
      <c r="U119" s="2"/>
      <c r="V119" s="2"/>
    </row>
    <row r="120" spans="1:22" s="149" customFormat="1" ht="12.75" customHeight="1" x14ac:dyDescent="0.2">
      <c r="A120" s="155"/>
      <c r="B120" s="138"/>
      <c r="C120" s="156"/>
      <c r="D120" s="157"/>
      <c r="E120" s="158"/>
      <c r="F120" s="159" t="str">
        <f t="shared" si="43"/>
        <v>0,00</v>
      </c>
      <c r="G120" s="52"/>
      <c r="H120" s="52" t="str">
        <f>IF(A120="","",VLOOKUP(A120,'6.A'!$A$11:$E$7984,5,FALSE))</f>
        <v/>
      </c>
      <c r="I120" s="52" t="str">
        <f>IF(H120="","",IF(E120=H120,"SIM","NÃO"))</f>
        <v/>
      </c>
      <c r="J120" s="52" t="str">
        <f>IF(H120="","",VLOOKUP(A120,'6.A'!$A$11:$E$564,4,FALSE))</f>
        <v/>
      </c>
      <c r="K120" s="52" t="str">
        <f t="shared" ref="K120" si="44">IF(H120="","",IF(J120=D120,"SIM","NÃO"))</f>
        <v/>
      </c>
      <c r="L120" s="52" t="str">
        <f>IF(H120="","",IF(C120="","",G116*C120))</f>
        <v/>
      </c>
      <c r="M120" s="117" t="str">
        <f>IF(A120="","",VLOOKUP(A120,'6.A'!$A$11:$C$564,2,FALSE))</f>
        <v/>
      </c>
      <c r="N120" s="57" t="str">
        <f t="shared" ref="N120" si="45">IF(A120="","",IF(M120=B120,"si","no"))</f>
        <v/>
      </c>
      <c r="O120" s="56"/>
      <c r="P120" s="56"/>
      <c r="Q120" s="48"/>
      <c r="R120" s="48"/>
      <c r="S120" s="65"/>
      <c r="T120" s="2"/>
      <c r="U120" s="2"/>
      <c r="V120" s="2"/>
    </row>
    <row r="121" spans="1:22" s="149" customFormat="1" ht="12.75" customHeight="1" x14ac:dyDescent="0.2">
      <c r="A121" s="155"/>
      <c r="B121" s="138"/>
      <c r="C121" s="156"/>
      <c r="D121" s="157"/>
      <c r="E121" s="158"/>
      <c r="F121" s="159" t="str">
        <f t="shared" si="43"/>
        <v>0,00</v>
      </c>
      <c r="G121" s="52"/>
      <c r="H121" s="52" t="str">
        <f>IF(A121="","",VLOOKUP(A121,'6.A'!$A$11:$E$7984,5,FALSE))</f>
        <v/>
      </c>
      <c r="I121" s="52" t="str">
        <f>IF(H121="","",IF(E121=H121,"SIM","NÃO"))</f>
        <v/>
      </c>
      <c r="J121" s="52" t="str">
        <f>IF(H121="","",VLOOKUP(A121,'6.A'!$A$11:$E$564,4,FALSE))</f>
        <v/>
      </c>
      <c r="K121" s="52" t="str">
        <f>IF(H121="","",IF(J121=D121,"SIM","NÃO"))</f>
        <v/>
      </c>
      <c r="L121" s="52" t="str">
        <f>IF(H121="","",IF(C121="","",G116*C121))</f>
        <v/>
      </c>
      <c r="M121" s="117" t="str">
        <f>IF(A121="","",VLOOKUP(A121,'6.A'!$A$11:$C$564,2,FALSE))</f>
        <v/>
      </c>
      <c r="N121" s="57" t="str">
        <f>IF(A121="","",IF(M121=B121,"si","no"))</f>
        <v/>
      </c>
      <c r="O121" s="56"/>
      <c r="P121" s="56"/>
      <c r="Q121" s="48"/>
      <c r="R121" s="48"/>
      <c r="S121" s="65"/>
      <c r="T121" s="2"/>
      <c r="U121" s="2"/>
      <c r="V121" s="2"/>
    </row>
    <row r="122" spans="1:22" s="149" customFormat="1" ht="12.75" customHeight="1" x14ac:dyDescent="0.2">
      <c r="A122" s="155"/>
      <c r="B122" s="138"/>
      <c r="C122" s="156"/>
      <c r="D122" s="157"/>
      <c r="E122" s="158"/>
      <c r="F122" s="159" t="str">
        <f t="shared" si="43"/>
        <v>0,00</v>
      </c>
      <c r="G122" s="52"/>
      <c r="H122" s="52" t="str">
        <f>IF(A122="","",VLOOKUP(A122,'6.A'!$A$11:$E$7984,5,FALSE))</f>
        <v/>
      </c>
      <c r="I122" s="52" t="str">
        <f t="shared" ref="I122" si="46">IF(H122="","",IF(E122=H122,"SIM","NÃO"))</f>
        <v/>
      </c>
      <c r="J122" s="52" t="str">
        <f>IF(H122="","",VLOOKUP(A122,'6.A'!$A$11:$E$564,4,FALSE))</f>
        <v/>
      </c>
      <c r="K122" s="52" t="str">
        <f t="shared" ref="K122" si="47">IF(H122="","",IF(J122=D122,"SIM","NÃO"))</f>
        <v/>
      </c>
      <c r="L122" s="52" t="str">
        <f>IF(H122="","",IF(C122="","",G116*C122))</f>
        <v/>
      </c>
      <c r="M122" s="117" t="str">
        <f>IF(A122="","",VLOOKUP(A122,'6.A'!$A$11:$C$564,2,FALSE))</f>
        <v/>
      </c>
      <c r="N122" s="57" t="str">
        <f t="shared" ref="N122" si="48">IF(A122="","",IF(M122=B122,"si","no"))</f>
        <v/>
      </c>
      <c r="O122" s="56"/>
      <c r="P122" s="56"/>
      <c r="Q122" s="48"/>
      <c r="R122" s="48"/>
      <c r="S122" s="65"/>
      <c r="T122" s="2"/>
      <c r="U122" s="2"/>
      <c r="V122" s="2"/>
    </row>
    <row r="123" spans="1:22" s="149" customFormat="1" ht="12.75" customHeight="1" x14ac:dyDescent="0.2">
      <c r="A123" s="155"/>
      <c r="B123" s="138"/>
      <c r="C123" s="156"/>
      <c r="D123" s="157"/>
      <c r="E123" s="158"/>
      <c r="F123" s="159" t="str">
        <f t="shared" si="43"/>
        <v>0,00</v>
      </c>
      <c r="G123" s="52"/>
      <c r="H123" s="52" t="str">
        <f>IF(A123="","",VLOOKUP(A123,'6.A'!$A$11:$E$7984,5,FALSE))</f>
        <v/>
      </c>
      <c r="I123" s="52" t="str">
        <f>IF(H123="","",IF(E123=H123,"SIM","NÃO"))</f>
        <v/>
      </c>
      <c r="J123" s="52" t="str">
        <f>IF(H123="","",VLOOKUP(A123,'6.A'!$A$11:$E$564,4,FALSE))</f>
        <v/>
      </c>
      <c r="K123" s="52" t="str">
        <f>IF(H123="","",IF(J123=D123,"SIM","NÃO"))</f>
        <v/>
      </c>
      <c r="L123" s="52" t="str">
        <f>IF(H123="","",IF(C123="","",G116*C123))</f>
        <v/>
      </c>
      <c r="M123" s="117" t="str">
        <f>IF(A123="","",VLOOKUP(A123,'6.A'!$A$11:$C$564,2,FALSE))</f>
        <v/>
      </c>
      <c r="N123" s="57" t="str">
        <f>IF(A123="","",IF(M123=B123,"si","no"))</f>
        <v/>
      </c>
      <c r="O123" s="56"/>
      <c r="P123" s="56"/>
      <c r="Q123" s="48"/>
      <c r="R123" s="48"/>
      <c r="S123" s="65"/>
      <c r="T123" s="2"/>
      <c r="U123" s="2"/>
      <c r="V123" s="2"/>
    </row>
    <row r="124" spans="1:22" s="149" customFormat="1" ht="12.75" customHeight="1" x14ac:dyDescent="0.2">
      <c r="A124" s="155"/>
      <c r="B124" s="138" t="str">
        <f>IF(A124="","",VLOOKUP(A124,'6.A'!$A$11:$G$180,2,FALSE))</f>
        <v/>
      </c>
      <c r="C124" s="156"/>
      <c r="D124" s="141" t="str">
        <f>IF(A124="","",VLOOKUP(A124,'6.A'!$A$11:$G$180,4,FALSE))</f>
        <v/>
      </c>
      <c r="E124" s="160" t="str">
        <f>IF(A124="","",VLOOKUP(A124,'6.A'!$A$11:$G$180,5,FALSE))</f>
        <v/>
      </c>
      <c r="F124" s="159" t="str">
        <f t="shared" si="43"/>
        <v>0,00</v>
      </c>
      <c r="G124" s="52"/>
      <c r="H124" s="52" t="str">
        <f>IF(A124="","",VLOOKUP(A124,'6.A'!$A$11:$E$7984,5,FALSE))</f>
        <v/>
      </c>
      <c r="I124" s="52" t="str">
        <f>IF(H124="","",IF(E124=H124,"SIM","NÃO"))</f>
        <v/>
      </c>
      <c r="J124" s="52" t="str">
        <f>IF(H124="","",VLOOKUP(A124,'6.A'!$A$11:$E$564,4,FALSE))</f>
        <v/>
      </c>
      <c r="K124" s="52" t="str">
        <f>IF(H124="","",IF(J124=D124,"SIM","NÃO"))</f>
        <v/>
      </c>
      <c r="L124" s="52" t="str">
        <f>IF(H124="","",IF(C124="","",G116*C124))</f>
        <v/>
      </c>
      <c r="M124" s="117" t="str">
        <f>IF(A124="","",VLOOKUP(A124,'6.A'!$A$11:$C$564,2,FALSE))</f>
        <v/>
      </c>
      <c r="N124" s="57" t="str">
        <f>IF(A124="","",IF(M124=B124,"si","no"))</f>
        <v/>
      </c>
      <c r="O124" s="56"/>
      <c r="P124" s="56"/>
      <c r="Q124" s="48"/>
      <c r="R124" s="48"/>
      <c r="S124" s="65"/>
      <c r="T124" s="2"/>
      <c r="U124" s="2"/>
      <c r="V124" s="2"/>
    </row>
    <row r="125" spans="1:22" s="149" customFormat="1" ht="12.75" customHeight="1" x14ac:dyDescent="0.2">
      <c r="A125" s="155"/>
      <c r="B125" s="138" t="str">
        <f>IF(A125="","",VLOOKUP(A125,'6.A'!$A$11:$G$180,2,FALSE))</f>
        <v/>
      </c>
      <c r="C125" s="156"/>
      <c r="D125" s="141" t="str">
        <f>IF(A125="","",VLOOKUP(A125,'6.A'!$A$11:$G$180,4,FALSE))</f>
        <v/>
      </c>
      <c r="E125" s="158" t="str">
        <f>IF(A125="","",VLOOKUP(A125,'6.A'!$A$11:$G$180,5,FALSE))</f>
        <v/>
      </c>
      <c r="F125" s="159" t="str">
        <f t="shared" si="43"/>
        <v>0,00</v>
      </c>
      <c r="G125" s="52"/>
      <c r="H125" s="52" t="str">
        <f>IF(A125="","",VLOOKUP(A125,'6.A'!$A$11:$E$7984,5,FALSE))</f>
        <v/>
      </c>
      <c r="I125" s="52" t="str">
        <f t="shared" ref="I125" si="49">IF(H125="","",IF(E125=H125,"SIM","NÃO"))</f>
        <v/>
      </c>
      <c r="J125" s="52" t="str">
        <f>IF(H125="","",VLOOKUP(A125,'6.A'!$A$11:$E$564,4,FALSE))</f>
        <v/>
      </c>
      <c r="K125" s="52" t="str">
        <f t="shared" ref="K125" si="50">IF(H125="","",IF(J125=D125,"SIM","NÃO"))</f>
        <v/>
      </c>
      <c r="L125" s="52" t="str">
        <f>IF(H125="","",IF(C125="","",G116*C125))</f>
        <v/>
      </c>
      <c r="M125" s="117" t="str">
        <f>IF(A125="","",VLOOKUP(A125,'6.A'!$A$11:$C$564,2,FALSE))</f>
        <v/>
      </c>
      <c r="N125" s="57" t="str">
        <f t="shared" ref="N125" si="51">IF(A125="","",IF(M125=B125,"si","no"))</f>
        <v/>
      </c>
      <c r="O125" s="56"/>
      <c r="P125" s="56"/>
      <c r="Q125" s="48"/>
      <c r="R125" s="48"/>
      <c r="S125" s="65"/>
      <c r="T125" s="2"/>
      <c r="U125" s="2"/>
      <c r="V125" s="2"/>
    </row>
    <row r="126" spans="1:22" s="149" customFormat="1" ht="12.75" customHeight="1" x14ac:dyDescent="0.2">
      <c r="A126" s="155"/>
      <c r="B126" s="138" t="str">
        <f>IF(A126="","",VLOOKUP(A126,'6.A'!$A$11:$G$180,2,FALSE))</f>
        <v/>
      </c>
      <c r="C126" s="156"/>
      <c r="D126" s="141" t="str">
        <f>IF(A126="","",VLOOKUP(A126,'6.A'!$A$11:$G$180,4,FALSE))</f>
        <v/>
      </c>
      <c r="E126" s="158" t="str">
        <f>IF(A126="","",VLOOKUP(A126,'6.A'!$A$11:$G$180,5,FALSE))</f>
        <v/>
      </c>
      <c r="F126" s="159" t="str">
        <f t="shared" si="43"/>
        <v>0,00</v>
      </c>
      <c r="G126" s="52"/>
      <c r="H126" s="52" t="str">
        <f>IF(A126="","",VLOOKUP(A126,'6.A'!$A$11:$E$7984,5,FALSE))</f>
        <v/>
      </c>
      <c r="I126" s="52" t="str">
        <f>IF(H126="","",IF(E126=H126,"SIM","NÃO"))</f>
        <v/>
      </c>
      <c r="J126" s="52" t="str">
        <f>IF(H126="","",VLOOKUP(A126,'6.A'!$A$11:$E$564,4,FALSE))</f>
        <v/>
      </c>
      <c r="K126" s="52" t="str">
        <f>IF(H126="","",IF(J126=D126,"SIM","NÃO"))</f>
        <v/>
      </c>
      <c r="L126" s="52" t="str">
        <f>IF(H126="","",IF(C126="","",G116*C126))</f>
        <v/>
      </c>
      <c r="M126" s="117" t="str">
        <f>IF(A126="","",VLOOKUP(A126,'6.A'!$A$11:$C$564,2,FALSE))</f>
        <v/>
      </c>
      <c r="N126" s="57" t="str">
        <f>IF(A126="","",IF(M126=B126,"si","no"))</f>
        <v/>
      </c>
      <c r="O126" s="56"/>
      <c r="P126" s="56"/>
      <c r="Q126" s="48"/>
      <c r="R126" s="48"/>
      <c r="S126" s="65"/>
      <c r="T126" s="2"/>
      <c r="U126" s="2"/>
      <c r="V126" s="2"/>
    </row>
    <row r="127" spans="1:22" s="149" customFormat="1" ht="12.75" customHeight="1" x14ac:dyDescent="0.2">
      <c r="A127" s="155"/>
      <c r="B127" s="138" t="str">
        <f>IF(A127="","",VLOOKUP(A127,'6.A'!$A$11:$G$180,2,FALSE))</f>
        <v/>
      </c>
      <c r="C127" s="156"/>
      <c r="D127" s="161" t="str">
        <f>IF(A127="","",VLOOKUP(A127,'6.A'!$A$11:$G$180,4,FALSE))</f>
        <v/>
      </c>
      <c r="E127" s="158" t="str">
        <f>IF(A127="","",VLOOKUP(A127,'6.A'!$A$11:$G$180,5,FALSE))</f>
        <v/>
      </c>
      <c r="F127" s="159" t="str">
        <f t="shared" si="43"/>
        <v>0,00</v>
      </c>
      <c r="G127" s="52"/>
      <c r="H127" s="52" t="str">
        <f>IF(A127="","",VLOOKUP(A127,'6.A'!$A$11:$E$7984,5,FALSE))</f>
        <v/>
      </c>
      <c r="I127" s="52" t="str">
        <f t="shared" ref="I127" si="52">IF(H127="","",IF(E127=H127,"SIM","NÃO"))</f>
        <v/>
      </c>
      <c r="J127" s="52" t="str">
        <f>IF(H127="","",VLOOKUP(A127,'6.A'!$A$11:$E$564,4,FALSE))</f>
        <v/>
      </c>
      <c r="K127" s="52" t="str">
        <f t="shared" ref="K127" si="53">IF(H127="","",IF(J127=D127,"SIM","NÃO"))</f>
        <v/>
      </c>
      <c r="L127" s="52" t="str">
        <f>IF(H127="","",IF(C127="","",G116*C127))</f>
        <v/>
      </c>
      <c r="M127" s="117" t="str">
        <f>IF(A127="","",VLOOKUP(A127,'6.A'!$A$11:$C$564,2,FALSE))</f>
        <v/>
      </c>
      <c r="N127" s="57" t="str">
        <f t="shared" ref="N127" si="54">IF(A127="","",IF(M127=B127,"si","no"))</f>
        <v/>
      </c>
      <c r="O127" s="56"/>
      <c r="P127" s="56"/>
      <c r="Q127" s="48"/>
      <c r="R127" s="48"/>
      <c r="S127" s="65"/>
      <c r="T127" s="2"/>
      <c r="U127" s="2"/>
      <c r="V127" s="2"/>
    </row>
    <row r="128" spans="1:22" s="149" customFormat="1" ht="12.75" customHeight="1" x14ac:dyDescent="0.2">
      <c r="A128" s="152"/>
      <c r="B128" s="26" t="str">
        <f>$A$8</f>
        <v>LEIS SOCIAIS HORISTA - JORNADA NORMAL</v>
      </c>
      <c r="C128" s="27">
        <f>$C$8</f>
        <v>0</v>
      </c>
      <c r="D128" s="141"/>
      <c r="E128" s="147"/>
      <c r="F128" s="162">
        <f>ROUND(SUM(F118:F127)*C128,2)</f>
        <v>0</v>
      </c>
      <c r="G128" s="63"/>
      <c r="H128" s="52"/>
      <c r="I128" s="57"/>
      <c r="J128" s="57"/>
      <c r="K128" s="57"/>
      <c r="L128" s="52"/>
      <c r="M128" s="62"/>
      <c r="N128" s="57"/>
      <c r="O128" s="56"/>
      <c r="P128" s="56"/>
      <c r="Q128" s="48"/>
      <c r="R128" s="48"/>
      <c r="S128" s="65"/>
      <c r="T128" s="2"/>
      <c r="U128" s="2"/>
      <c r="V128" s="2"/>
    </row>
    <row r="129" spans="1:22" s="149" customFormat="1" ht="12.75" customHeight="1" x14ac:dyDescent="0.2">
      <c r="A129" s="155"/>
      <c r="B129" s="26" t="str">
        <f>$A$9</f>
        <v>BDI</v>
      </c>
      <c r="C129" s="27">
        <f>$C$9</f>
        <v>0</v>
      </c>
      <c r="D129" s="136"/>
      <c r="E129" s="147"/>
      <c r="F129" s="162">
        <f>ROUND(SUM(F118:F128)*C129,2)</f>
        <v>0</v>
      </c>
      <c r="G129" s="63"/>
      <c r="H129" s="52"/>
      <c r="I129" s="57"/>
      <c r="J129" s="57"/>
      <c r="K129" s="57"/>
      <c r="L129" s="52"/>
      <c r="M129" s="62"/>
      <c r="N129" s="57"/>
      <c r="O129" s="56"/>
      <c r="P129" s="56"/>
      <c r="Q129" s="48"/>
      <c r="R129" s="48"/>
      <c r="S129" s="65"/>
      <c r="T129" s="2"/>
      <c r="U129" s="2"/>
      <c r="V129" s="2"/>
    </row>
    <row r="130" spans="1:22" s="149" customFormat="1" ht="12.75" customHeight="1" x14ac:dyDescent="0.2">
      <c r="A130" s="163"/>
      <c r="B130" s="164" t="s">
        <v>56</v>
      </c>
      <c r="C130" s="165"/>
      <c r="D130" s="166"/>
      <c r="E130" s="167"/>
      <c r="F130" s="168">
        <f>ROUND(SUM(F118:F129),2)</f>
        <v>0</v>
      </c>
      <c r="G130" s="63"/>
      <c r="H130" s="52"/>
      <c r="I130" s="57"/>
      <c r="J130" s="57"/>
      <c r="K130" s="57"/>
      <c r="L130" s="52"/>
      <c r="M130" s="62"/>
      <c r="N130" s="57"/>
      <c r="O130" s="56"/>
      <c r="P130" s="56"/>
      <c r="Q130" s="48"/>
      <c r="R130" s="48"/>
      <c r="S130" s="65"/>
      <c r="T130" s="2"/>
      <c r="U130" s="2"/>
      <c r="V130" s="2"/>
    </row>
    <row r="131" spans="1:22" s="149" customFormat="1" ht="12.75" customHeight="1" x14ac:dyDescent="0.2">
      <c r="A131" s="152" t="s">
        <v>5</v>
      </c>
      <c r="B131" s="153" t="s">
        <v>130</v>
      </c>
      <c r="C131" s="140" t="s">
        <v>59</v>
      </c>
      <c r="D131" s="140" t="s">
        <v>16</v>
      </c>
      <c r="E131" s="154" t="s">
        <v>60</v>
      </c>
      <c r="F131" s="148" t="s">
        <v>61</v>
      </c>
      <c r="G131" s="21"/>
      <c r="H131" s="52"/>
      <c r="I131" s="57"/>
      <c r="J131" s="57"/>
      <c r="K131" s="57"/>
      <c r="L131" s="52"/>
      <c r="M131" s="62"/>
      <c r="N131" s="57"/>
      <c r="O131" s="56"/>
      <c r="P131" s="56"/>
      <c r="Q131" s="48"/>
      <c r="R131" s="48"/>
      <c r="S131" s="65"/>
      <c r="T131" s="2"/>
      <c r="U131" s="2"/>
      <c r="V131" s="2"/>
    </row>
    <row r="132" spans="1:22" s="149" customFormat="1" ht="12.75" customHeight="1" x14ac:dyDescent="0.2">
      <c r="A132" s="22">
        <f>'6.A'!$A$28</f>
        <v>5928</v>
      </c>
      <c r="B132" s="55" t="str">
        <f>IF(A132="","",VLOOKUP(A132,'6.A'!$A$11:$G$180,2,FALSE))</f>
        <v>GUINDAUTO HIDRÁULICO COM CAMINHÃO TOCO 189 CV, CAP. CARGA 6200 KG, ALCANCE 9,70 M - CHP</v>
      </c>
      <c r="C132" s="99">
        <f>600*0.0093</f>
        <v>5.5799999999999992</v>
      </c>
      <c r="D132" s="57" t="str">
        <f>IF(A132="","",VLOOKUP(A132,'6.A'!$A$11:$G$180,4,FALSE))</f>
        <v>CHP</v>
      </c>
      <c r="E132" s="100">
        <f>IF(A132="","",VLOOKUP(A132,'6.A'!$A$11:$G$180,5,FALSE))</f>
        <v>0</v>
      </c>
      <c r="F132" s="159">
        <f t="shared" ref="F132:F141" si="55">IF(A132="","0,00",ROUND(C132*E132,2))</f>
        <v>0</v>
      </c>
      <c r="G132" s="52"/>
      <c r="H132" s="52">
        <f>IF(A132="","",VLOOKUP(A132,'6.A'!$A$11:$E$7984,5,FALSE))</f>
        <v>0</v>
      </c>
      <c r="I132" s="52" t="str">
        <f t="shared" ref="I132:I141" si="56">IF(H132="","",IF(E132=H132,"SIM","NÃO"))</f>
        <v>SIM</v>
      </c>
      <c r="J132" s="52" t="str">
        <f>IF(H132="","",VLOOKUP(A132,'6.A'!$A$11:$E$564,4,FALSE))</f>
        <v>CHP</v>
      </c>
      <c r="K132" s="52" t="str">
        <f t="shared" ref="K132:K141" si="57">IF(H132="","",IF(J132=D132,"SIM","NÃO"))</f>
        <v>SIM</v>
      </c>
      <c r="L132" s="52">
        <f>IF(H132="","",IF(C132="","",G116*C132))</f>
        <v>5.5799999999999992</v>
      </c>
      <c r="M132" s="117" t="str">
        <f>IF(A132="","",VLOOKUP(A132,'6.A'!$A$11:$C$564,2,FALSE))</f>
        <v>GUINDAUTO HIDRÁULICO COM CAMINHÃO TOCO 189 CV, CAP. CARGA 6200 KG, ALCANCE 9,70 M - CHP</v>
      </c>
      <c r="N132" s="57" t="str">
        <f t="shared" ref="N132:N137" si="58">IF(A132="","",IF(M132=B132,"si","no"))</f>
        <v>si</v>
      </c>
      <c r="O132" s="56"/>
      <c r="P132" s="56"/>
      <c r="Q132" s="48"/>
      <c r="R132" s="48"/>
      <c r="S132" s="65"/>
      <c r="T132" s="2"/>
      <c r="U132" s="2"/>
      <c r="V132" s="2"/>
    </row>
    <row r="133" spans="1:22" s="149" customFormat="1" ht="12.75" customHeight="1" x14ac:dyDescent="0.2">
      <c r="A133" s="22">
        <f>'6.A'!$A$29</f>
        <v>5930</v>
      </c>
      <c r="B133" s="23" t="str">
        <f>IF(A133="","",VLOOKUP(A133,'6.A'!$A$11:$G$180,2,FALSE))</f>
        <v>GUINDAUTO HIDRÁULICO COM CAMINHÃO TOCO 189 CV, CAP. CARGA 6200 KG, ALCANCE 9,70 M - CHI</v>
      </c>
      <c r="C133" s="99">
        <f>600*0.004</f>
        <v>2.4</v>
      </c>
      <c r="D133" s="57" t="str">
        <f>IF(A133="","",VLOOKUP(A133,'6.A'!$A$11:$G$180,4,FALSE))</f>
        <v>CHI</v>
      </c>
      <c r="E133" s="100">
        <f>IF(A133="","",VLOOKUP(A133,'6.A'!$A$11:$G$180,5,FALSE))</f>
        <v>0</v>
      </c>
      <c r="F133" s="159">
        <f t="shared" si="55"/>
        <v>0</v>
      </c>
      <c r="G133" s="52"/>
      <c r="H133" s="52">
        <f>IF(A133="","",VLOOKUP(A133,'6.A'!$A$11:$E$7984,5,FALSE))</f>
        <v>0</v>
      </c>
      <c r="I133" s="52" t="str">
        <f t="shared" si="56"/>
        <v>SIM</v>
      </c>
      <c r="J133" s="52" t="str">
        <f>IF(H133="","",VLOOKUP(A133,'6.A'!$A$11:$E$564,4,FALSE))</f>
        <v>CHI</v>
      </c>
      <c r="K133" s="52" t="str">
        <f t="shared" si="57"/>
        <v>SIM</v>
      </c>
      <c r="L133" s="52">
        <f>IF(H133="","",IF(C133="","",G116*C133))</f>
        <v>2.4</v>
      </c>
      <c r="M133" s="117" t="str">
        <f>IF(A133="","",VLOOKUP(A133,'6.A'!$A$11:$C$564,2,FALSE))</f>
        <v>GUINDAUTO HIDRÁULICO COM CAMINHÃO TOCO 189 CV, CAP. CARGA 6200 KG, ALCANCE 9,70 M - CHI</v>
      </c>
      <c r="N133" s="57" t="str">
        <f t="shared" si="58"/>
        <v>si</v>
      </c>
      <c r="O133" s="56"/>
      <c r="P133" s="56"/>
      <c r="Q133" s="48"/>
      <c r="R133" s="48"/>
      <c r="S133" s="65"/>
      <c r="T133" s="2"/>
      <c r="U133" s="2"/>
      <c r="V133" s="2"/>
    </row>
    <row r="134" spans="1:22" s="149" customFormat="1" ht="12.75" customHeight="1" x14ac:dyDescent="0.2">
      <c r="A134" s="155"/>
      <c r="B134" s="138"/>
      <c r="C134" s="156"/>
      <c r="D134" s="141"/>
      <c r="E134" s="160"/>
      <c r="F134" s="159" t="str">
        <f t="shared" si="55"/>
        <v>0,00</v>
      </c>
      <c r="G134" s="52"/>
      <c r="H134" s="52" t="str">
        <f>IF(A134="","",VLOOKUP(A134,'6.A'!$A$11:$E$7984,5,FALSE))</f>
        <v/>
      </c>
      <c r="I134" s="52" t="str">
        <f t="shared" si="56"/>
        <v/>
      </c>
      <c r="J134" s="52" t="str">
        <f>IF(H134="","",VLOOKUP(A134,'6.A'!$A$11:$E$564,4,FALSE))</f>
        <v/>
      </c>
      <c r="K134" s="52" t="str">
        <f t="shared" si="57"/>
        <v/>
      </c>
      <c r="L134" s="52" t="str">
        <f>IF(H134="","",IF(C134="","",G116*C134))</f>
        <v/>
      </c>
      <c r="M134" s="117" t="str">
        <f>IF(A134="","",VLOOKUP(A134,'6.A'!$A$11:$C$564,2,FALSE))</f>
        <v/>
      </c>
      <c r="N134" s="57" t="str">
        <f t="shared" si="58"/>
        <v/>
      </c>
      <c r="O134" s="56"/>
      <c r="P134" s="56"/>
      <c r="Q134" s="48"/>
      <c r="R134" s="48"/>
      <c r="S134" s="65"/>
      <c r="T134" s="2"/>
      <c r="U134" s="2"/>
      <c r="V134" s="2"/>
    </row>
    <row r="135" spans="1:22" s="149" customFormat="1" ht="12.75" customHeight="1" x14ac:dyDescent="0.2">
      <c r="A135" s="155"/>
      <c r="B135" s="138"/>
      <c r="C135" s="156"/>
      <c r="D135" s="141"/>
      <c r="E135" s="160"/>
      <c r="F135" s="159" t="str">
        <f t="shared" si="55"/>
        <v>0,00</v>
      </c>
      <c r="G135" s="52"/>
      <c r="H135" s="52" t="str">
        <f>IF(A135="","",VLOOKUP(A135,'6.A'!$A$11:$E$7984,5,FALSE))</f>
        <v/>
      </c>
      <c r="I135" s="52" t="str">
        <f t="shared" si="56"/>
        <v/>
      </c>
      <c r="J135" s="52" t="str">
        <f>IF(H135="","",VLOOKUP(A135,'6.A'!$A$11:$E$564,4,FALSE))</f>
        <v/>
      </c>
      <c r="K135" s="52" t="str">
        <f t="shared" si="57"/>
        <v/>
      </c>
      <c r="L135" s="52" t="str">
        <f>IF(H135="","",IF(C135="","",G116*C135))</f>
        <v/>
      </c>
      <c r="M135" s="117" t="str">
        <f>IF(A135="","",VLOOKUP(A135,'6.A'!$A$11:$C$564,2,FALSE))</f>
        <v/>
      </c>
      <c r="N135" s="57" t="str">
        <f t="shared" si="58"/>
        <v/>
      </c>
      <c r="O135" s="56"/>
      <c r="P135" s="56"/>
      <c r="Q135" s="48"/>
      <c r="R135" s="48"/>
      <c r="S135" s="65"/>
      <c r="T135" s="2"/>
      <c r="U135" s="2"/>
      <c r="V135" s="2"/>
    </row>
    <row r="136" spans="1:22" s="149" customFormat="1" ht="12.75" customHeight="1" x14ac:dyDescent="0.2">
      <c r="A136" s="155"/>
      <c r="B136" s="138"/>
      <c r="C136" s="156"/>
      <c r="D136" s="141"/>
      <c r="E136" s="160"/>
      <c r="F136" s="159" t="str">
        <f t="shared" si="55"/>
        <v>0,00</v>
      </c>
      <c r="G136" s="52"/>
      <c r="H136" s="52" t="str">
        <f>IF(A136="","",VLOOKUP(A136,'6.A'!$A$11:$E$7984,5,FALSE))</f>
        <v/>
      </c>
      <c r="I136" s="52" t="str">
        <f t="shared" si="56"/>
        <v/>
      </c>
      <c r="J136" s="52" t="str">
        <f>IF(H136="","",VLOOKUP(A136,'6.A'!$A$11:$E$564,4,FALSE))</f>
        <v/>
      </c>
      <c r="K136" s="52" t="str">
        <f t="shared" si="57"/>
        <v/>
      </c>
      <c r="L136" s="52" t="str">
        <f>IF(H136="","",IF(C136="","",G116*C136))</f>
        <v/>
      </c>
      <c r="M136" s="117" t="str">
        <f>IF(A136="","",VLOOKUP(A136,'6.A'!$A$11:$C$564,2,FALSE))</f>
        <v/>
      </c>
      <c r="N136" s="57" t="str">
        <f t="shared" si="58"/>
        <v/>
      </c>
      <c r="O136" s="56"/>
      <c r="P136" s="56"/>
      <c r="Q136" s="48"/>
      <c r="R136" s="48"/>
      <c r="S136" s="65"/>
      <c r="T136" s="2"/>
      <c r="U136" s="2"/>
      <c r="V136" s="2"/>
    </row>
    <row r="137" spans="1:22" s="149" customFormat="1" ht="12.75" customHeight="1" x14ac:dyDescent="0.2">
      <c r="A137" s="155"/>
      <c r="B137" s="138"/>
      <c r="C137" s="156"/>
      <c r="D137" s="141"/>
      <c r="E137" s="160"/>
      <c r="F137" s="159" t="str">
        <f t="shared" si="55"/>
        <v>0,00</v>
      </c>
      <c r="G137" s="52"/>
      <c r="H137" s="52" t="str">
        <f>IF(A137="","",VLOOKUP(A137,'6.A'!$A$11:$E$7984,5,FALSE))</f>
        <v/>
      </c>
      <c r="I137" s="52" t="str">
        <f t="shared" si="56"/>
        <v/>
      </c>
      <c r="J137" s="52" t="str">
        <f>IF(H137="","",VLOOKUP(A137,'6.A'!$A$11:$E$564,4,FALSE))</f>
        <v/>
      </c>
      <c r="K137" s="52" t="str">
        <f t="shared" si="57"/>
        <v/>
      </c>
      <c r="L137" s="52" t="str">
        <f>IF(H137="","",IF(C137="","",G116*C137))</f>
        <v/>
      </c>
      <c r="M137" s="117" t="str">
        <f>IF(A137="","",VLOOKUP(A137,'6.A'!$A$11:$C$564,2,FALSE))</f>
        <v/>
      </c>
      <c r="N137" s="57" t="str">
        <f t="shared" si="58"/>
        <v/>
      </c>
      <c r="O137" s="56"/>
      <c r="P137" s="56"/>
      <c r="Q137" s="48"/>
      <c r="R137" s="48"/>
      <c r="S137" s="65"/>
      <c r="T137" s="2"/>
      <c r="U137" s="2"/>
      <c r="V137" s="2"/>
    </row>
    <row r="138" spans="1:22" s="149" customFormat="1" ht="12.75" customHeight="1" x14ac:dyDescent="0.2">
      <c r="A138" s="155"/>
      <c r="B138" s="138" t="str">
        <f>IF(A138="","",VLOOKUP(A138,'6.A'!$A$11:$G$180,2,FALSE))</f>
        <v/>
      </c>
      <c r="C138" s="156"/>
      <c r="D138" s="141" t="str">
        <f>IF(A138="","",VLOOKUP(A138,'6.A'!$A$11:$G$180,4,FALSE))</f>
        <v/>
      </c>
      <c r="E138" s="160" t="str">
        <f>IF(A138="","",VLOOKUP(A138,'6.A'!$A$11:$G$180,5,FALSE))</f>
        <v/>
      </c>
      <c r="F138" s="159" t="str">
        <f t="shared" si="55"/>
        <v>0,00</v>
      </c>
      <c r="G138" s="52"/>
      <c r="H138" s="52" t="str">
        <f>IF(A138="","",VLOOKUP(A138,'6.A'!$A$11:$E$7984,5,FALSE))</f>
        <v/>
      </c>
      <c r="I138" s="52" t="str">
        <f t="shared" si="56"/>
        <v/>
      </c>
      <c r="J138" s="52" t="str">
        <f>IF(H138="","",VLOOKUP(A138,'6.A'!$A$11:$E$564,4,FALSE))</f>
        <v/>
      </c>
      <c r="K138" s="52" t="str">
        <f t="shared" si="57"/>
        <v/>
      </c>
      <c r="L138" s="52" t="str">
        <f>IF(H138="","",IF(C138="","",G116*C138))</f>
        <v/>
      </c>
      <c r="M138" s="117" t="str">
        <f>IF(A138="","",VLOOKUP(A138,'6.A'!$A$11:$C$564,2,FALSE))</f>
        <v/>
      </c>
      <c r="N138" s="57" t="str">
        <f>IF(A138="","",IF(M138=B138,"si","no"))</f>
        <v/>
      </c>
      <c r="O138" s="56"/>
      <c r="P138" s="56"/>
      <c r="Q138" s="48"/>
      <c r="R138" s="48"/>
      <c r="S138" s="65"/>
      <c r="T138" s="2"/>
      <c r="U138" s="2"/>
      <c r="V138" s="2"/>
    </row>
    <row r="139" spans="1:22" s="149" customFormat="1" ht="12.75" customHeight="1" x14ac:dyDescent="0.2">
      <c r="A139" s="155"/>
      <c r="B139" s="138" t="str">
        <f>IF(A139="","",VLOOKUP(A139,'6.A'!$A$11:$G$180,2,FALSE))</f>
        <v/>
      </c>
      <c r="C139" s="156"/>
      <c r="D139" s="141" t="str">
        <f>IF(A139="","",VLOOKUP(A139,'6.A'!$A$11:$G$180,4,FALSE))</f>
        <v/>
      </c>
      <c r="E139" s="160" t="str">
        <f>IF(A139="","",VLOOKUP(A139,'6.A'!$A$11:$G$180,5,FALSE))</f>
        <v/>
      </c>
      <c r="F139" s="159" t="str">
        <f t="shared" si="55"/>
        <v>0,00</v>
      </c>
      <c r="G139" s="52"/>
      <c r="H139" s="52" t="str">
        <f>IF(A139="","",VLOOKUP(A139,'6.A'!$A$11:$E$7984,5,FALSE))</f>
        <v/>
      </c>
      <c r="I139" s="52" t="str">
        <f t="shared" si="56"/>
        <v/>
      </c>
      <c r="J139" s="52" t="str">
        <f>IF(H139="","",VLOOKUP(A139,'6.A'!$A$11:$E$564,4,FALSE))</f>
        <v/>
      </c>
      <c r="K139" s="52" t="str">
        <f t="shared" si="57"/>
        <v/>
      </c>
      <c r="L139" s="52" t="str">
        <f>IF(H139="","",IF(C139="","",G116*C139))</f>
        <v/>
      </c>
      <c r="M139" s="117" t="str">
        <f>IF(A139="","",VLOOKUP(A139,'6.A'!$A$11:$C$564,2,FALSE))</f>
        <v/>
      </c>
      <c r="N139" s="57" t="str">
        <f>IF(A139="","",IF(M139=B139,"si","no"))</f>
        <v/>
      </c>
      <c r="O139" s="56"/>
      <c r="P139" s="56"/>
      <c r="Q139" s="48"/>
      <c r="R139" s="48"/>
      <c r="S139" s="65"/>
      <c r="T139" s="2"/>
      <c r="U139" s="2"/>
      <c r="V139" s="2"/>
    </row>
    <row r="140" spans="1:22" s="149" customFormat="1" ht="12.75" customHeight="1" x14ac:dyDescent="0.2">
      <c r="A140" s="155"/>
      <c r="B140" s="138" t="str">
        <f>IF(A140="","",VLOOKUP(A140,'6.A'!$A$11:$G$180,2,FALSE))</f>
        <v/>
      </c>
      <c r="C140" s="156"/>
      <c r="D140" s="141" t="str">
        <f>IF(A140="","",VLOOKUP(A140,'6.A'!$A$11:$G$180,4,FALSE))</f>
        <v/>
      </c>
      <c r="E140" s="160" t="str">
        <f>IF(A140="","",VLOOKUP(A140,'6.A'!$A$11:$G$180,5,FALSE))</f>
        <v/>
      </c>
      <c r="F140" s="159" t="str">
        <f t="shared" si="55"/>
        <v>0,00</v>
      </c>
      <c r="G140" s="52"/>
      <c r="H140" s="52" t="str">
        <f>IF(A140="","",VLOOKUP(A140,'6.A'!$A$11:$E$7984,5,FALSE))</f>
        <v/>
      </c>
      <c r="I140" s="52" t="str">
        <f t="shared" si="56"/>
        <v/>
      </c>
      <c r="J140" s="52" t="str">
        <f>IF(H140="","",VLOOKUP(A140,'6.A'!$A$11:$E$564,4,FALSE))</f>
        <v/>
      </c>
      <c r="K140" s="52" t="str">
        <f t="shared" si="57"/>
        <v/>
      </c>
      <c r="L140" s="52" t="str">
        <f>IF(H140="","",IF(C140="","",G116*C140))</f>
        <v/>
      </c>
      <c r="M140" s="117" t="str">
        <f>IF(A140="","",VLOOKUP(A140,'6.A'!$A$11:$C$564,2,FALSE))</f>
        <v/>
      </c>
      <c r="N140" s="57" t="str">
        <f t="shared" ref="N140:N141" si="59">IF(A140="","",IF(M140=B140,"si","no"))</f>
        <v/>
      </c>
      <c r="O140" s="56"/>
      <c r="P140" s="56"/>
      <c r="Q140" s="48"/>
      <c r="R140" s="48"/>
      <c r="S140" s="65"/>
      <c r="T140" s="2"/>
      <c r="U140" s="2"/>
      <c r="V140" s="2"/>
    </row>
    <row r="141" spans="1:22" s="149" customFormat="1" ht="12.75" customHeight="1" x14ac:dyDescent="0.2">
      <c r="A141" s="155"/>
      <c r="B141" s="138" t="str">
        <f>IF(A141="","",VLOOKUP(A141,'6.A'!$A$11:$G$180,2,FALSE))</f>
        <v/>
      </c>
      <c r="C141" s="156"/>
      <c r="D141" s="141" t="str">
        <f>IF(A141="","",VLOOKUP(A141,'6.A'!$A$11:$G$180,4,FALSE))</f>
        <v/>
      </c>
      <c r="E141" s="160" t="str">
        <f>IF(A141="","",VLOOKUP(A141,'6.A'!$A$11:$G$180,5,FALSE))</f>
        <v/>
      </c>
      <c r="F141" s="159" t="str">
        <f t="shared" si="55"/>
        <v>0,00</v>
      </c>
      <c r="G141" s="52"/>
      <c r="H141" s="52" t="str">
        <f>IF(A141="","",VLOOKUP(A141,'6.A'!$A$11:$E$7984,5,FALSE))</f>
        <v/>
      </c>
      <c r="I141" s="52" t="str">
        <f t="shared" si="56"/>
        <v/>
      </c>
      <c r="J141" s="52" t="str">
        <f>IF(H141="","",VLOOKUP(A141,'6.A'!$A$11:$E$564,4,FALSE))</f>
        <v/>
      </c>
      <c r="K141" s="52" t="str">
        <f t="shared" si="57"/>
        <v/>
      </c>
      <c r="L141" s="52" t="str">
        <f>IF(H141="","",IF(C141="","",G116*C141))</f>
        <v/>
      </c>
      <c r="M141" s="117" t="str">
        <f>IF(A141="","",VLOOKUP(A141,'6.A'!$A$11:$C$564,2,FALSE))</f>
        <v/>
      </c>
      <c r="N141" s="57" t="str">
        <f t="shared" si="59"/>
        <v/>
      </c>
      <c r="O141" s="56"/>
      <c r="P141" s="56"/>
      <c r="Q141" s="48"/>
      <c r="R141" s="48"/>
      <c r="S141" s="65"/>
      <c r="T141" s="2"/>
      <c r="U141" s="2"/>
      <c r="V141" s="2"/>
    </row>
    <row r="142" spans="1:22" s="149" customFormat="1" ht="12.75" customHeight="1" x14ac:dyDescent="0.2">
      <c r="A142" s="155"/>
      <c r="B142" s="26" t="str">
        <f>$A$9</f>
        <v>BDI</v>
      </c>
      <c r="C142" s="27">
        <f>$C$9</f>
        <v>0</v>
      </c>
      <c r="D142" s="141"/>
      <c r="E142" s="147"/>
      <c r="F142" s="162">
        <f>ROUND(SUM(F132:F141)*C142,2)</f>
        <v>0</v>
      </c>
      <c r="G142" s="63"/>
      <c r="H142" s="52"/>
      <c r="I142" s="57"/>
      <c r="J142" s="57"/>
      <c r="K142" s="57"/>
      <c r="L142" s="52"/>
      <c r="M142" s="62"/>
      <c r="N142" s="57"/>
      <c r="O142" s="56"/>
      <c r="P142" s="56"/>
      <c r="Q142" s="48"/>
      <c r="R142" s="48"/>
      <c r="S142" s="65"/>
      <c r="T142" s="2"/>
      <c r="U142" s="2"/>
      <c r="V142" s="2"/>
    </row>
    <row r="143" spans="1:22" s="149" customFormat="1" ht="12.75" customHeight="1" x14ac:dyDescent="0.2">
      <c r="A143" s="163"/>
      <c r="B143" s="31" t="s">
        <v>117</v>
      </c>
      <c r="C143" s="36"/>
      <c r="D143" s="169"/>
      <c r="E143" s="170"/>
      <c r="F143" s="168">
        <f>ROUND(SUM(F132:F142),2)</f>
        <v>0</v>
      </c>
      <c r="G143" s="63"/>
      <c r="H143" s="52"/>
      <c r="I143" s="57"/>
      <c r="J143" s="57"/>
      <c r="K143" s="57"/>
      <c r="L143" s="52"/>
      <c r="M143" s="62"/>
      <c r="N143" s="57"/>
      <c r="O143" s="56"/>
      <c r="P143" s="56"/>
      <c r="Q143" s="48"/>
      <c r="R143" s="48"/>
      <c r="S143" s="65"/>
      <c r="T143" s="2"/>
      <c r="U143" s="2"/>
      <c r="V143" s="2"/>
    </row>
    <row r="144" spans="1:22" s="149" customFormat="1" ht="12.75" customHeight="1" x14ac:dyDescent="0.2">
      <c r="A144" s="152" t="s">
        <v>6</v>
      </c>
      <c r="B144" s="153" t="s">
        <v>17</v>
      </c>
      <c r="C144" s="140" t="s">
        <v>59</v>
      </c>
      <c r="D144" s="140" t="s">
        <v>16</v>
      </c>
      <c r="E144" s="154" t="s">
        <v>60</v>
      </c>
      <c r="F144" s="148" t="s">
        <v>61</v>
      </c>
      <c r="G144" s="21"/>
      <c r="H144" s="52"/>
      <c r="I144" s="57"/>
      <c r="J144" s="57"/>
      <c r="K144" s="57"/>
      <c r="L144" s="52"/>
      <c r="M144" s="62"/>
      <c r="N144" s="57"/>
      <c r="O144" s="56"/>
      <c r="P144" s="56"/>
      <c r="Q144" s="48"/>
      <c r="R144" s="48"/>
      <c r="S144" s="65"/>
      <c r="T144" s="2"/>
      <c r="U144" s="2"/>
      <c r="V144" s="2"/>
    </row>
    <row r="145" spans="1:22" s="149" customFormat="1" ht="12.75" customHeight="1" x14ac:dyDescent="0.2">
      <c r="A145" s="155"/>
      <c r="B145" s="138" t="str">
        <f>IF(A145="","",VLOOKUP(A145,'6.A'!$A$11:$G$180,2,FALSE))</f>
        <v/>
      </c>
      <c r="C145" s="156"/>
      <c r="D145" s="141" t="str">
        <f>IF(A145="","",VLOOKUP(A145,'6.A'!$A$11:$G$180,4,FALSE))</f>
        <v/>
      </c>
      <c r="E145" s="160" t="str">
        <f>IF(A145="","",VLOOKUP(A145,'6.A'!$A$11:$G$180,5,FALSE))</f>
        <v/>
      </c>
      <c r="F145" s="159" t="str">
        <f t="shared" ref="F145:F164" si="60">IF(A145="","0,00",ROUND(C145*E145,2))</f>
        <v>0,00</v>
      </c>
      <c r="G145" s="52"/>
      <c r="H145" s="52" t="str">
        <f>IF(A145="","",VLOOKUP(A145,'6.A'!$A$11:$E$7984,5,FALSE))</f>
        <v/>
      </c>
      <c r="I145" s="52" t="str">
        <f t="shared" ref="I145:I164" si="61">IF(H145="","",IF(E145=H145,"SIM","NÃO"))</f>
        <v/>
      </c>
      <c r="J145" s="52" t="str">
        <f>IF(H145="","",VLOOKUP(A145,'6.A'!$A$11:$E$564,4,FALSE))</f>
        <v/>
      </c>
      <c r="K145" s="52" t="str">
        <f t="shared" ref="K145:K164" si="62">IF(H145="","",IF(J145=D145,"SIM","NÃO"))</f>
        <v/>
      </c>
      <c r="L145" s="52" t="str">
        <f>IF(H145="","",IF(C145="","",G116*C145))</f>
        <v/>
      </c>
      <c r="M145" s="117" t="str">
        <f>IF(A145="","",VLOOKUP(A145,'6.A'!$A$11:$C$564,2,FALSE))</f>
        <v/>
      </c>
      <c r="N145" s="57" t="str">
        <f t="shared" ref="N145:N164" si="63">IF(A145="","",IF(M145=B145,"si","no"))</f>
        <v/>
      </c>
      <c r="O145" s="56"/>
      <c r="P145" s="56"/>
      <c r="Q145" s="48"/>
      <c r="R145" s="48"/>
      <c r="S145" s="65"/>
      <c r="T145" s="2"/>
      <c r="U145" s="2"/>
      <c r="V145" s="2"/>
    </row>
    <row r="146" spans="1:22" s="149" customFormat="1" ht="12.75" customHeight="1" x14ac:dyDescent="0.2">
      <c r="A146" s="155"/>
      <c r="B146" s="138" t="str">
        <f>IF(A146="","",VLOOKUP(A146,'6.A'!$A$11:$G$180,2,FALSE))</f>
        <v/>
      </c>
      <c r="C146" s="156"/>
      <c r="D146" s="141" t="str">
        <f>IF(A146="","",VLOOKUP(A146,'6.A'!$A$11:$G$180,4,FALSE))</f>
        <v/>
      </c>
      <c r="E146" s="160" t="str">
        <f>IF(A146="","",VLOOKUP(A146,'6.A'!$A$11:$G$180,5,FALSE))</f>
        <v/>
      </c>
      <c r="F146" s="159" t="str">
        <f t="shared" si="60"/>
        <v>0,00</v>
      </c>
      <c r="G146" s="52"/>
      <c r="H146" s="52" t="str">
        <f>IF(A146="","",VLOOKUP(A146,'6.A'!$A$11:$E$7984,5,FALSE))</f>
        <v/>
      </c>
      <c r="I146" s="52" t="str">
        <f t="shared" si="61"/>
        <v/>
      </c>
      <c r="J146" s="52" t="str">
        <f>IF(H146="","",VLOOKUP(A146,'6.A'!$A$11:$E$564,4,FALSE))</f>
        <v/>
      </c>
      <c r="K146" s="52" t="str">
        <f t="shared" si="62"/>
        <v/>
      </c>
      <c r="L146" s="52" t="str">
        <f>IF(H146="","",IF(C146="","",G116*C146))</f>
        <v/>
      </c>
      <c r="M146" s="117" t="str">
        <f>IF(A146="","",VLOOKUP(A146,'6.A'!$A$11:$C$564,2,FALSE))</f>
        <v/>
      </c>
      <c r="N146" s="57" t="str">
        <f t="shared" si="63"/>
        <v/>
      </c>
      <c r="O146" s="56"/>
      <c r="P146" s="56"/>
      <c r="Q146" s="48"/>
      <c r="R146" s="48"/>
      <c r="S146" s="65"/>
      <c r="T146" s="2"/>
      <c r="U146" s="2"/>
      <c r="V146" s="2"/>
    </row>
    <row r="147" spans="1:22" s="149" customFormat="1" ht="12.75" customHeight="1" x14ac:dyDescent="0.2">
      <c r="A147" s="155"/>
      <c r="B147" s="138" t="str">
        <f>IF(A147="","",VLOOKUP(A147,'6.A'!$A$11:$G$180,2,FALSE))</f>
        <v/>
      </c>
      <c r="C147" s="156"/>
      <c r="D147" s="141" t="str">
        <f>IF(A147="","",VLOOKUP(A147,'6.A'!$A$11:$G$180,4,FALSE))</f>
        <v/>
      </c>
      <c r="E147" s="160" t="str">
        <f>IF(A147="","",VLOOKUP(A147,'6.A'!$A$11:$G$180,5,FALSE))</f>
        <v/>
      </c>
      <c r="F147" s="159" t="str">
        <f t="shared" si="60"/>
        <v>0,00</v>
      </c>
      <c r="G147" s="52"/>
      <c r="H147" s="52" t="str">
        <f>IF(A147="","",VLOOKUP(A147,'6.A'!$A$11:$E$7984,5,FALSE))</f>
        <v/>
      </c>
      <c r="I147" s="52" t="str">
        <f t="shared" si="61"/>
        <v/>
      </c>
      <c r="J147" s="52" t="str">
        <f>IF(H147="","",VLOOKUP(A147,'6.A'!$A$11:$E$564,4,FALSE))</f>
        <v/>
      </c>
      <c r="K147" s="52" t="str">
        <f t="shared" si="62"/>
        <v/>
      </c>
      <c r="L147" s="52" t="str">
        <f>IF(H147="","",IF(C147="","",G116*C147))</f>
        <v/>
      </c>
      <c r="M147" s="117" t="str">
        <f>IF(A147="","",VLOOKUP(A147,'6.A'!$A$11:$C$564,2,FALSE))</f>
        <v/>
      </c>
      <c r="N147" s="57" t="str">
        <f t="shared" si="63"/>
        <v/>
      </c>
      <c r="O147" s="56"/>
      <c r="P147" s="56"/>
      <c r="Q147" s="48"/>
      <c r="R147" s="48"/>
      <c r="S147" s="65"/>
      <c r="T147" s="2"/>
      <c r="U147" s="2"/>
      <c r="V147" s="2"/>
    </row>
    <row r="148" spans="1:22" s="149" customFormat="1" ht="12.75" customHeight="1" x14ac:dyDescent="0.2">
      <c r="A148" s="155"/>
      <c r="B148" s="138" t="str">
        <f>IF(A148="","",VLOOKUP(A148,'6.A'!$A$11:$G$180,2,FALSE))</f>
        <v/>
      </c>
      <c r="C148" s="156"/>
      <c r="D148" s="141" t="str">
        <f>IF(A148="","",VLOOKUP(A148,'6.A'!$A$11:$G$180,4,FALSE))</f>
        <v/>
      </c>
      <c r="E148" s="160" t="str">
        <f>IF(A148="","",VLOOKUP(A148,'6.A'!$A$11:$G$180,5,FALSE))</f>
        <v/>
      </c>
      <c r="F148" s="159" t="str">
        <f t="shared" si="60"/>
        <v>0,00</v>
      </c>
      <c r="G148" s="52"/>
      <c r="H148" s="52" t="str">
        <f>IF(A148="","",VLOOKUP(A148,'6.A'!$A$11:$E$7984,5,FALSE))</f>
        <v/>
      </c>
      <c r="I148" s="52" t="str">
        <f t="shared" si="61"/>
        <v/>
      </c>
      <c r="J148" s="52" t="str">
        <f>IF(H148="","",VLOOKUP(A148,'6.A'!$A$11:$E$564,4,FALSE))</f>
        <v/>
      </c>
      <c r="K148" s="52" t="str">
        <f t="shared" si="62"/>
        <v/>
      </c>
      <c r="L148" s="52" t="str">
        <f>IF(H148="","",IF(C148="","",G116*C148))</f>
        <v/>
      </c>
      <c r="M148" s="117" t="str">
        <f>IF(A148="","",VLOOKUP(A148,'6.A'!$A$11:$C$564,2,FALSE))</f>
        <v/>
      </c>
      <c r="N148" s="57" t="str">
        <f t="shared" si="63"/>
        <v/>
      </c>
      <c r="O148" s="56"/>
      <c r="P148" s="56"/>
      <c r="Q148" s="48"/>
      <c r="R148" s="48"/>
      <c r="S148" s="65"/>
      <c r="T148" s="2"/>
      <c r="U148" s="2"/>
      <c r="V148" s="2"/>
    </row>
    <row r="149" spans="1:22" s="149" customFormat="1" ht="12.75" customHeight="1" x14ac:dyDescent="0.2">
      <c r="A149" s="155"/>
      <c r="B149" s="138" t="str">
        <f>IF(A149="","",VLOOKUP(A149,'6.A'!$A$11:$G$180,2,FALSE))</f>
        <v/>
      </c>
      <c r="C149" s="156"/>
      <c r="D149" s="141" t="str">
        <f>IF(A149="","",VLOOKUP(A149,'6.A'!$A$11:$G$180,4,FALSE))</f>
        <v/>
      </c>
      <c r="E149" s="160" t="str">
        <f>IF(A149="","",VLOOKUP(A149,'6.A'!$A$11:$G$180,5,FALSE))</f>
        <v/>
      </c>
      <c r="F149" s="159" t="str">
        <f t="shared" si="60"/>
        <v>0,00</v>
      </c>
      <c r="G149" s="52"/>
      <c r="H149" s="52" t="str">
        <f>IF(A149="","",VLOOKUP(A149,'6.A'!$A$11:$E$7984,5,FALSE))</f>
        <v/>
      </c>
      <c r="I149" s="52" t="str">
        <f t="shared" si="61"/>
        <v/>
      </c>
      <c r="J149" s="52" t="str">
        <f>IF(H149="","",VLOOKUP(A149,'6.A'!$A$11:$E$564,4,FALSE))</f>
        <v/>
      </c>
      <c r="K149" s="52" t="str">
        <f t="shared" si="62"/>
        <v/>
      </c>
      <c r="L149" s="52" t="str">
        <f>IF(H149="","",IF(C149="","",G116*C149))</f>
        <v/>
      </c>
      <c r="M149" s="117" t="str">
        <f>IF(A149="","",VLOOKUP(A149,'6.A'!$A$11:$C$564,2,FALSE))</f>
        <v/>
      </c>
      <c r="N149" s="57" t="str">
        <f t="shared" si="63"/>
        <v/>
      </c>
      <c r="O149" s="56"/>
      <c r="P149" s="56"/>
      <c r="Q149" s="48"/>
      <c r="R149" s="48"/>
      <c r="S149" s="65"/>
      <c r="T149" s="2"/>
      <c r="U149" s="2"/>
      <c r="V149" s="2"/>
    </row>
    <row r="150" spans="1:22" s="149" customFormat="1" ht="12.75" customHeight="1" x14ac:dyDescent="0.2">
      <c r="A150" s="155"/>
      <c r="B150" s="138" t="str">
        <f>IF(A150="","",VLOOKUP(A150,'6.A'!$A$11:$G$180,2,FALSE))</f>
        <v/>
      </c>
      <c r="C150" s="156"/>
      <c r="D150" s="141" t="str">
        <f>IF(A150="","",VLOOKUP(A150,'6.A'!$A$11:$G$180,4,FALSE))</f>
        <v/>
      </c>
      <c r="E150" s="160" t="str">
        <f>IF(A150="","",VLOOKUP(A150,'6.A'!$A$11:$G$180,5,FALSE))</f>
        <v/>
      </c>
      <c r="F150" s="159" t="str">
        <f t="shared" si="60"/>
        <v>0,00</v>
      </c>
      <c r="G150" s="52"/>
      <c r="H150" s="52" t="str">
        <f>IF(A150="","",VLOOKUP(A150,'6.A'!$A$11:$E$7984,5,FALSE))</f>
        <v/>
      </c>
      <c r="I150" s="52" t="str">
        <f t="shared" si="61"/>
        <v/>
      </c>
      <c r="J150" s="52" t="str">
        <f>IF(H150="","",VLOOKUP(A150,'6.A'!$A$11:$E$564,4,FALSE))</f>
        <v/>
      </c>
      <c r="K150" s="52" t="str">
        <f t="shared" si="62"/>
        <v/>
      </c>
      <c r="L150" s="52" t="str">
        <f>IF(H150="","",IF(C150="","",G116*C150))</f>
        <v/>
      </c>
      <c r="M150" s="117" t="str">
        <f>IF(A150="","",VLOOKUP(A150,'6.A'!$A$11:$C$564,2,FALSE))</f>
        <v/>
      </c>
      <c r="N150" s="57" t="str">
        <f t="shared" si="63"/>
        <v/>
      </c>
      <c r="O150" s="56"/>
      <c r="P150" s="56"/>
      <c r="Q150" s="48"/>
      <c r="R150" s="48"/>
      <c r="S150" s="65"/>
      <c r="T150" s="2"/>
      <c r="U150" s="2"/>
      <c r="V150" s="2"/>
    </row>
    <row r="151" spans="1:22" s="149" customFormat="1" ht="12.75" customHeight="1" x14ac:dyDescent="0.2">
      <c r="A151" s="155"/>
      <c r="B151" s="138" t="str">
        <f>IF(A151="","",VLOOKUP(A151,'6.A'!$A$11:$G$180,2,FALSE))</f>
        <v/>
      </c>
      <c r="C151" s="156"/>
      <c r="D151" s="141" t="str">
        <f>IF(A151="","",VLOOKUP(A151,'6.A'!$A$11:$G$180,4,FALSE))</f>
        <v/>
      </c>
      <c r="E151" s="160" t="str">
        <f>IF(A151="","",VLOOKUP(A151,'6.A'!$A$11:$G$180,5,FALSE))</f>
        <v/>
      </c>
      <c r="F151" s="159" t="str">
        <f t="shared" si="60"/>
        <v>0,00</v>
      </c>
      <c r="G151" s="52"/>
      <c r="H151" s="52" t="str">
        <f>IF(A151="","",VLOOKUP(A151,'6.A'!$A$11:$E$7984,5,FALSE))</f>
        <v/>
      </c>
      <c r="I151" s="52" t="str">
        <f t="shared" si="61"/>
        <v/>
      </c>
      <c r="J151" s="52" t="str">
        <f>IF(H151="","",VLOOKUP(A151,'6.A'!$A$11:$E$564,4,FALSE))</f>
        <v/>
      </c>
      <c r="K151" s="52" t="str">
        <f t="shared" si="62"/>
        <v/>
      </c>
      <c r="L151" s="52" t="str">
        <f>IF(H151="","",IF(C151="","",G116*C151))</f>
        <v/>
      </c>
      <c r="M151" s="117" t="str">
        <f>IF(A151="","",VLOOKUP(A151,'6.A'!$A$11:$C$564,2,FALSE))</f>
        <v/>
      </c>
      <c r="N151" s="57" t="str">
        <f t="shared" si="63"/>
        <v/>
      </c>
      <c r="O151" s="56"/>
      <c r="P151" s="56"/>
      <c r="Q151" s="48"/>
      <c r="R151" s="48"/>
      <c r="S151" s="65"/>
      <c r="T151" s="2"/>
      <c r="U151" s="2"/>
      <c r="V151" s="2"/>
    </row>
    <row r="152" spans="1:22" s="149" customFormat="1" ht="12.75" customHeight="1" x14ac:dyDescent="0.2">
      <c r="A152" s="155"/>
      <c r="B152" s="138" t="str">
        <f>IF(A152="","",VLOOKUP(A152,'6.A'!$A$11:$G$180,2,FALSE))</f>
        <v/>
      </c>
      <c r="C152" s="156"/>
      <c r="D152" s="141" t="str">
        <f>IF(A152="","",VLOOKUP(A152,'6.A'!$A$11:$G$180,4,FALSE))</f>
        <v/>
      </c>
      <c r="E152" s="160" t="str">
        <f>IF(A152="","",VLOOKUP(A152,'6.A'!$A$11:$G$180,5,FALSE))</f>
        <v/>
      </c>
      <c r="F152" s="159" t="str">
        <f t="shared" si="60"/>
        <v>0,00</v>
      </c>
      <c r="G152" s="52"/>
      <c r="H152" s="52" t="str">
        <f>IF(A152="","",VLOOKUP(A152,'6.A'!$A$11:$E$7984,5,FALSE))</f>
        <v/>
      </c>
      <c r="I152" s="52" t="str">
        <f t="shared" si="61"/>
        <v/>
      </c>
      <c r="J152" s="52" t="str">
        <f>IF(H152="","",VLOOKUP(A152,'6.A'!$A$11:$E$564,4,FALSE))</f>
        <v/>
      </c>
      <c r="K152" s="52" t="str">
        <f t="shared" si="62"/>
        <v/>
      </c>
      <c r="L152" s="52" t="str">
        <f>IF(H152="","",IF(C152="","",G116*C152))</f>
        <v/>
      </c>
      <c r="M152" s="117" t="str">
        <f>IF(A152="","",VLOOKUP(A152,'6.A'!$A$11:$C$564,2,FALSE))</f>
        <v/>
      </c>
      <c r="N152" s="57" t="str">
        <f t="shared" si="63"/>
        <v/>
      </c>
      <c r="O152" s="56"/>
      <c r="P152" s="56"/>
      <c r="Q152" s="48"/>
      <c r="R152" s="48"/>
      <c r="S152" s="65"/>
      <c r="T152" s="2"/>
      <c r="U152" s="2"/>
      <c r="V152" s="2"/>
    </row>
    <row r="153" spans="1:22" s="149" customFormat="1" ht="12.75" customHeight="1" x14ac:dyDescent="0.2">
      <c r="A153" s="155"/>
      <c r="B153" s="138" t="str">
        <f>IF(A153="","",VLOOKUP(A153,'6.A'!$A$11:$G$180,2,FALSE))</f>
        <v/>
      </c>
      <c r="C153" s="156"/>
      <c r="D153" s="141" t="str">
        <f>IF(A153="","",VLOOKUP(A153,'6.A'!$A$11:$G$180,4,FALSE))</f>
        <v/>
      </c>
      <c r="E153" s="160" t="str">
        <f>IF(A153="","",VLOOKUP(A153,'6.A'!$A$11:$G$180,5,FALSE))</f>
        <v/>
      </c>
      <c r="F153" s="159" t="str">
        <f t="shared" si="60"/>
        <v>0,00</v>
      </c>
      <c r="G153" s="52"/>
      <c r="H153" s="52" t="str">
        <f>IF(A153="","",VLOOKUP(A153,'6.A'!$A$11:$E$7984,5,FALSE))</f>
        <v/>
      </c>
      <c r="I153" s="52" t="str">
        <f t="shared" si="61"/>
        <v/>
      </c>
      <c r="J153" s="52" t="str">
        <f>IF(H153="","",VLOOKUP(A153,'6.A'!$A$11:$E$564,4,FALSE))</f>
        <v/>
      </c>
      <c r="K153" s="52" t="str">
        <f t="shared" si="62"/>
        <v/>
      </c>
      <c r="L153" s="52" t="str">
        <f>IF(H153="","",IF(C153="","",G116*C153))</f>
        <v/>
      </c>
      <c r="M153" s="117" t="str">
        <f>IF(A153="","",VLOOKUP(A153,'6.A'!$A$11:$C$564,2,FALSE))</f>
        <v/>
      </c>
      <c r="N153" s="57" t="str">
        <f t="shared" si="63"/>
        <v/>
      </c>
      <c r="O153" s="56"/>
      <c r="P153" s="56"/>
      <c r="Q153" s="48"/>
      <c r="R153" s="48"/>
      <c r="S153" s="65"/>
      <c r="T153" s="2"/>
      <c r="U153" s="2"/>
      <c r="V153" s="2"/>
    </row>
    <row r="154" spans="1:22" s="149" customFormat="1" ht="12.75" customHeight="1" x14ac:dyDescent="0.2">
      <c r="A154" s="155"/>
      <c r="B154" s="138" t="str">
        <f>IF(A154="","",VLOOKUP(A154,'6.A'!$A$11:$G$180,2,FALSE))</f>
        <v/>
      </c>
      <c r="C154" s="156"/>
      <c r="D154" s="141" t="str">
        <f>IF(A154="","",VLOOKUP(A154,'6.A'!$A$11:$G$180,4,FALSE))</f>
        <v/>
      </c>
      <c r="E154" s="160" t="str">
        <f>IF(A154="","",VLOOKUP(A154,'6.A'!$A$11:$G$180,5,FALSE))</f>
        <v/>
      </c>
      <c r="F154" s="159" t="str">
        <f t="shared" si="60"/>
        <v>0,00</v>
      </c>
      <c r="G154" s="52"/>
      <c r="H154" s="52" t="str">
        <f>IF(A154="","",VLOOKUP(A154,'6.A'!$A$11:$E$7984,5,FALSE))</f>
        <v/>
      </c>
      <c r="I154" s="52" t="str">
        <f t="shared" si="61"/>
        <v/>
      </c>
      <c r="J154" s="52" t="str">
        <f>IF(H154="","",VLOOKUP(A154,'6.A'!$A$11:$E$564,4,FALSE))</f>
        <v/>
      </c>
      <c r="K154" s="52" t="str">
        <f t="shared" si="62"/>
        <v/>
      </c>
      <c r="L154" s="52" t="str">
        <f>IF(H154="","",IF(C154="","",G116*C154))</f>
        <v/>
      </c>
      <c r="M154" s="117" t="str">
        <f>IF(A154="","",VLOOKUP(A154,'6.A'!$A$11:$C$564,2,FALSE))</f>
        <v/>
      </c>
      <c r="N154" s="57" t="str">
        <f t="shared" si="63"/>
        <v/>
      </c>
      <c r="O154" s="56"/>
      <c r="P154" s="56"/>
      <c r="Q154" s="48"/>
      <c r="R154" s="48"/>
      <c r="S154" s="65"/>
      <c r="T154" s="2"/>
      <c r="U154" s="2"/>
      <c r="V154" s="2"/>
    </row>
    <row r="155" spans="1:22" s="149" customFormat="1" ht="12.75" customHeight="1" x14ac:dyDescent="0.2">
      <c r="A155" s="155"/>
      <c r="B155" s="138" t="str">
        <f>IF(A155="","",VLOOKUP(A155,'6.A'!$A$11:$G$180,2,FALSE))</f>
        <v/>
      </c>
      <c r="C155" s="156"/>
      <c r="D155" s="141" t="str">
        <f>IF(A155="","",VLOOKUP(A155,'6.A'!$A$11:$G$180,4,FALSE))</f>
        <v/>
      </c>
      <c r="E155" s="160" t="str">
        <f>IF(A155="","",VLOOKUP(A155,'6.A'!$A$11:$G$180,5,FALSE))</f>
        <v/>
      </c>
      <c r="F155" s="159" t="str">
        <f t="shared" si="60"/>
        <v>0,00</v>
      </c>
      <c r="G155" s="52"/>
      <c r="H155" s="52" t="str">
        <f>IF(A155="","",VLOOKUP(A155,'6.A'!$A$11:$E$7984,5,FALSE))</f>
        <v/>
      </c>
      <c r="I155" s="52" t="str">
        <f t="shared" si="61"/>
        <v/>
      </c>
      <c r="J155" s="52" t="str">
        <f>IF(H155="","",VLOOKUP(A155,'6.A'!$A$11:$E$564,4,FALSE))</f>
        <v/>
      </c>
      <c r="K155" s="52" t="str">
        <f t="shared" si="62"/>
        <v/>
      </c>
      <c r="L155" s="52" t="str">
        <f>IF(H155="","",IF(C155="","",G116*C155))</f>
        <v/>
      </c>
      <c r="M155" s="117" t="str">
        <f>IF(A155="","",VLOOKUP(A155,'6.A'!$A$11:$C$564,2,FALSE))</f>
        <v/>
      </c>
      <c r="N155" s="57" t="str">
        <f t="shared" si="63"/>
        <v/>
      </c>
      <c r="O155" s="56"/>
      <c r="P155" s="56"/>
      <c r="Q155" s="48"/>
      <c r="R155" s="48"/>
      <c r="S155" s="65"/>
      <c r="T155" s="2"/>
      <c r="U155" s="2"/>
      <c r="V155" s="2"/>
    </row>
    <row r="156" spans="1:22" s="149" customFormat="1" ht="12.75" customHeight="1" x14ac:dyDescent="0.2">
      <c r="A156" s="155"/>
      <c r="B156" s="138" t="str">
        <f>IF(A156="","",VLOOKUP(A156,'6.A'!$A$11:$G$180,2,FALSE))</f>
        <v/>
      </c>
      <c r="C156" s="156"/>
      <c r="D156" s="141" t="str">
        <f>IF(A156="","",VLOOKUP(A156,'6.A'!$A$11:$G$180,4,FALSE))</f>
        <v/>
      </c>
      <c r="E156" s="160" t="str">
        <f>IF(A156="","",VLOOKUP(A156,'6.A'!$A$11:$G$180,5,FALSE))</f>
        <v/>
      </c>
      <c r="F156" s="159" t="str">
        <f t="shared" si="60"/>
        <v>0,00</v>
      </c>
      <c r="G156" s="52"/>
      <c r="H156" s="52" t="str">
        <f>IF(A156="","",VLOOKUP(A156,'6.A'!$A$11:$E$7984,5,FALSE))</f>
        <v/>
      </c>
      <c r="I156" s="52" t="str">
        <f t="shared" si="61"/>
        <v/>
      </c>
      <c r="J156" s="52" t="str">
        <f>IF(H156="","",VLOOKUP(A156,'6.A'!$A$11:$E$564,4,FALSE))</f>
        <v/>
      </c>
      <c r="K156" s="52" t="str">
        <f t="shared" si="62"/>
        <v/>
      </c>
      <c r="L156" s="52" t="str">
        <f>IF(H156="","",IF(C156="","",G116*C156))</f>
        <v/>
      </c>
      <c r="M156" s="117" t="str">
        <f>IF(A156="","",VLOOKUP(A156,'6.A'!$A$11:$C$564,2,FALSE))</f>
        <v/>
      </c>
      <c r="N156" s="57" t="str">
        <f t="shared" si="63"/>
        <v/>
      </c>
      <c r="O156" s="56"/>
      <c r="P156" s="56"/>
      <c r="Q156" s="48"/>
      <c r="R156" s="48"/>
      <c r="S156" s="65"/>
      <c r="T156" s="2"/>
      <c r="U156" s="2"/>
      <c r="V156" s="2"/>
    </row>
    <row r="157" spans="1:22" s="149" customFormat="1" ht="12.75" customHeight="1" x14ac:dyDescent="0.2">
      <c r="A157" s="155"/>
      <c r="B157" s="138" t="str">
        <f>IF(A157="","",VLOOKUP(A157,'6.A'!$A$11:$G$180,2,FALSE))</f>
        <v/>
      </c>
      <c r="C157" s="156"/>
      <c r="D157" s="141" t="str">
        <f>IF(A157="","",VLOOKUP(A157,'6.A'!$A$11:$G$180,4,FALSE))</f>
        <v/>
      </c>
      <c r="E157" s="160" t="str">
        <f>IF(A157="","",VLOOKUP(A157,'6.A'!$A$11:$G$180,5,FALSE))</f>
        <v/>
      </c>
      <c r="F157" s="159" t="str">
        <f t="shared" si="60"/>
        <v>0,00</v>
      </c>
      <c r="G157" s="52"/>
      <c r="H157" s="52" t="str">
        <f>IF(A157="","",VLOOKUP(A157,'6.A'!$A$11:$E$7984,5,FALSE))</f>
        <v/>
      </c>
      <c r="I157" s="52" t="str">
        <f t="shared" si="61"/>
        <v/>
      </c>
      <c r="J157" s="52" t="str">
        <f>IF(H157="","",VLOOKUP(A157,'6.A'!$A$11:$E$564,4,FALSE))</f>
        <v/>
      </c>
      <c r="K157" s="52" t="str">
        <f t="shared" si="62"/>
        <v/>
      </c>
      <c r="L157" s="52" t="str">
        <f>IF(H157="","",IF(C157="","",G116*C157))</f>
        <v/>
      </c>
      <c r="M157" s="117" t="str">
        <f>IF(A157="","",VLOOKUP(A157,'6.A'!$A$11:$C$564,2,FALSE))</f>
        <v/>
      </c>
      <c r="N157" s="57" t="str">
        <f t="shared" si="63"/>
        <v/>
      </c>
      <c r="O157" s="56"/>
      <c r="P157" s="56"/>
      <c r="Q157" s="48"/>
      <c r="R157" s="48"/>
      <c r="S157" s="65"/>
      <c r="T157" s="2"/>
      <c r="U157" s="2"/>
      <c r="V157" s="2"/>
    </row>
    <row r="158" spans="1:22" s="149" customFormat="1" ht="12.75" customHeight="1" x14ac:dyDescent="0.2">
      <c r="A158" s="155"/>
      <c r="B158" s="138" t="str">
        <f>IF(A158="","",VLOOKUP(A158,'6.A'!$A$11:$G$180,2,FALSE))</f>
        <v/>
      </c>
      <c r="C158" s="156"/>
      <c r="D158" s="141" t="str">
        <f>IF(A158="","",VLOOKUP(A158,'6.A'!$A$11:$G$180,4,FALSE))</f>
        <v/>
      </c>
      <c r="E158" s="160" t="str">
        <f>IF(A158="","",VLOOKUP(A158,'6.A'!$A$11:$G$180,5,FALSE))</f>
        <v/>
      </c>
      <c r="F158" s="159" t="str">
        <f t="shared" si="60"/>
        <v>0,00</v>
      </c>
      <c r="G158" s="52"/>
      <c r="H158" s="52" t="str">
        <f>IF(A158="","",VLOOKUP(A158,'6.A'!$A$11:$E$7984,5,FALSE))</f>
        <v/>
      </c>
      <c r="I158" s="52" t="str">
        <f t="shared" si="61"/>
        <v/>
      </c>
      <c r="J158" s="52" t="str">
        <f>IF(H158="","",VLOOKUP(A158,'6.A'!$A$11:$E$564,4,FALSE))</f>
        <v/>
      </c>
      <c r="K158" s="52" t="str">
        <f t="shared" si="62"/>
        <v/>
      </c>
      <c r="L158" s="52" t="str">
        <f>IF(H158="","",IF(C158="","",G116*C158))</f>
        <v/>
      </c>
      <c r="M158" s="117" t="str">
        <f>IF(A158="","",VLOOKUP(A158,'6.A'!$A$11:$C$564,2,FALSE))</f>
        <v/>
      </c>
      <c r="N158" s="57" t="str">
        <f t="shared" si="63"/>
        <v/>
      </c>
      <c r="O158" s="56"/>
      <c r="P158" s="56"/>
      <c r="Q158" s="48"/>
      <c r="R158" s="48"/>
      <c r="S158" s="65"/>
      <c r="T158" s="2"/>
      <c r="U158" s="2"/>
      <c r="V158" s="2"/>
    </row>
    <row r="159" spans="1:22" s="149" customFormat="1" ht="12.75" customHeight="1" x14ac:dyDescent="0.2">
      <c r="A159" s="155"/>
      <c r="B159" s="138" t="str">
        <f>IF(A159="","",VLOOKUP(A159,'6.A'!$A$11:$G$180,2,FALSE))</f>
        <v/>
      </c>
      <c r="C159" s="156"/>
      <c r="D159" s="141" t="str">
        <f>IF(A159="","",VLOOKUP(A159,'6.A'!$A$11:$G$180,4,FALSE))</f>
        <v/>
      </c>
      <c r="E159" s="160" t="str">
        <f>IF(A159="","",VLOOKUP(A159,'6.A'!$A$11:$G$180,5,FALSE))</f>
        <v/>
      </c>
      <c r="F159" s="159" t="str">
        <f t="shared" si="60"/>
        <v>0,00</v>
      </c>
      <c r="G159" s="52"/>
      <c r="H159" s="52" t="str">
        <f>IF(A159="","",VLOOKUP(A159,'6.A'!$A$11:$E$7984,5,FALSE))</f>
        <v/>
      </c>
      <c r="I159" s="52" t="str">
        <f t="shared" si="61"/>
        <v/>
      </c>
      <c r="J159" s="52" t="str">
        <f>IF(H159="","",VLOOKUP(A159,'6.A'!$A$11:$E$564,4,FALSE))</f>
        <v/>
      </c>
      <c r="K159" s="52" t="str">
        <f t="shared" si="62"/>
        <v/>
      </c>
      <c r="L159" s="52" t="str">
        <f>IF(H159="","",IF(C159="","",G116*C159))</f>
        <v/>
      </c>
      <c r="M159" s="117" t="str">
        <f>IF(A159="","",VLOOKUP(A159,'6.A'!$A$11:$C$564,2,FALSE))</f>
        <v/>
      </c>
      <c r="N159" s="57" t="str">
        <f t="shared" si="63"/>
        <v/>
      </c>
      <c r="O159" s="56"/>
      <c r="P159" s="56"/>
      <c r="Q159" s="48"/>
      <c r="R159" s="48"/>
      <c r="S159" s="65"/>
      <c r="T159" s="2"/>
      <c r="U159" s="2"/>
      <c r="V159" s="2"/>
    </row>
    <row r="160" spans="1:22" s="149" customFormat="1" ht="12.75" customHeight="1" x14ac:dyDescent="0.2">
      <c r="A160" s="155"/>
      <c r="B160" s="138" t="str">
        <f>IF(A160="","",VLOOKUP(A160,'6.A'!$A$11:$G$180,2,FALSE))</f>
        <v/>
      </c>
      <c r="C160" s="156"/>
      <c r="D160" s="141" t="str">
        <f>IF(A160="","",VLOOKUP(A160,'6.A'!$A$11:$G$180,4,FALSE))</f>
        <v/>
      </c>
      <c r="E160" s="160" t="str">
        <f>IF(A160="","",VLOOKUP(A160,'6.A'!$A$11:$G$180,5,FALSE))</f>
        <v/>
      </c>
      <c r="F160" s="159" t="str">
        <f t="shared" si="60"/>
        <v>0,00</v>
      </c>
      <c r="G160" s="52"/>
      <c r="H160" s="52" t="str">
        <f>IF(A160="","",VLOOKUP(A160,'6.A'!$A$11:$E$7984,5,FALSE))</f>
        <v/>
      </c>
      <c r="I160" s="52" t="str">
        <f t="shared" si="61"/>
        <v/>
      </c>
      <c r="J160" s="52" t="str">
        <f>IF(H160="","",VLOOKUP(A160,'6.A'!$A$11:$E$564,4,FALSE))</f>
        <v/>
      </c>
      <c r="K160" s="52" t="str">
        <f t="shared" si="62"/>
        <v/>
      </c>
      <c r="L160" s="52" t="str">
        <f>IF(H160="","",IF(C160="","",G116*C160))</f>
        <v/>
      </c>
      <c r="M160" s="117" t="str">
        <f>IF(A160="","",VLOOKUP(A160,'6.A'!$A$11:$C$564,2,FALSE))</f>
        <v/>
      </c>
      <c r="N160" s="57" t="str">
        <f t="shared" si="63"/>
        <v/>
      </c>
      <c r="O160" s="56"/>
      <c r="P160" s="56"/>
      <c r="Q160" s="48"/>
      <c r="R160" s="48"/>
      <c r="S160" s="65"/>
      <c r="T160" s="2"/>
      <c r="U160" s="2"/>
      <c r="V160" s="2"/>
    </row>
    <row r="161" spans="1:23" s="149" customFormat="1" ht="12.75" customHeight="1" x14ac:dyDescent="0.2">
      <c r="A161" s="155"/>
      <c r="B161" s="171" t="str">
        <f>IF(A161="","",VLOOKUP(A161,'6.A'!$A$11:$G$180,2,FALSE))</f>
        <v/>
      </c>
      <c r="C161" s="156"/>
      <c r="D161" s="141" t="str">
        <f>IF(A161="","",VLOOKUP(A161,'6.A'!$A$11:$G$180,4,FALSE))</f>
        <v/>
      </c>
      <c r="E161" s="160" t="str">
        <f>IF(A161="","",VLOOKUP(A161,'6.A'!$A$11:$G$180,5,FALSE))</f>
        <v/>
      </c>
      <c r="F161" s="159" t="str">
        <f t="shared" si="60"/>
        <v>0,00</v>
      </c>
      <c r="G161" s="52"/>
      <c r="H161" s="52" t="str">
        <f>IF(A161="","",VLOOKUP(A161,'6.A'!$A$11:$E$7984,5,FALSE))</f>
        <v/>
      </c>
      <c r="I161" s="52" t="str">
        <f t="shared" si="61"/>
        <v/>
      </c>
      <c r="J161" s="52" t="str">
        <f>IF(H161="","",VLOOKUP(A161,'6.A'!$A$11:$E$564,4,FALSE))</f>
        <v/>
      </c>
      <c r="K161" s="52" t="str">
        <f t="shared" si="62"/>
        <v/>
      </c>
      <c r="L161" s="52" t="str">
        <f>IF(H161="","",IF(C161="","",G116*C161))</f>
        <v/>
      </c>
      <c r="M161" s="117" t="str">
        <f>IF(A161="","",VLOOKUP(A161,'6.A'!$A$11:$C$564,2,FALSE))</f>
        <v/>
      </c>
      <c r="N161" s="57" t="str">
        <f t="shared" si="63"/>
        <v/>
      </c>
      <c r="O161" s="56"/>
      <c r="P161" s="56"/>
      <c r="Q161" s="48"/>
      <c r="R161" s="48"/>
      <c r="S161" s="65"/>
      <c r="T161" s="2"/>
      <c r="U161" s="2"/>
      <c r="V161" s="2"/>
    </row>
    <row r="162" spans="1:23" s="149" customFormat="1" ht="12.75" customHeight="1" x14ac:dyDescent="0.2">
      <c r="A162" s="155"/>
      <c r="B162" s="171" t="str">
        <f>IF(A162="","",VLOOKUP(A162,'6.A'!$A$11:$G$180,2,FALSE))</f>
        <v/>
      </c>
      <c r="C162" s="156"/>
      <c r="D162" s="141" t="str">
        <f>IF(A162="","",VLOOKUP(A162,'6.A'!$A$11:$G$180,4,FALSE))</f>
        <v/>
      </c>
      <c r="E162" s="160" t="str">
        <f>IF(A162="","",VLOOKUP(A162,'6.A'!$A$11:$G$180,5,FALSE))</f>
        <v/>
      </c>
      <c r="F162" s="159" t="str">
        <f t="shared" si="60"/>
        <v>0,00</v>
      </c>
      <c r="G162" s="52"/>
      <c r="H162" s="52" t="str">
        <f>IF(A162="","",VLOOKUP(A162,'6.A'!$A$11:$E$7984,5,FALSE))</f>
        <v/>
      </c>
      <c r="I162" s="52" t="str">
        <f t="shared" si="61"/>
        <v/>
      </c>
      <c r="J162" s="52" t="str">
        <f>IF(H162="","",VLOOKUP(A162,'6.A'!$A$11:$E$564,4,FALSE))</f>
        <v/>
      </c>
      <c r="K162" s="52" t="str">
        <f t="shared" si="62"/>
        <v/>
      </c>
      <c r="L162" s="52" t="str">
        <f>IF(H162="","",IF(C162="","",G116*C162))</f>
        <v/>
      </c>
      <c r="M162" s="117" t="str">
        <f>IF(A162="","",VLOOKUP(A162,'6.A'!$A$11:$C$564,2,FALSE))</f>
        <v/>
      </c>
      <c r="N162" s="57" t="str">
        <f t="shared" si="63"/>
        <v/>
      </c>
      <c r="O162" s="56"/>
      <c r="P162" s="56"/>
      <c r="Q162" s="48"/>
      <c r="R162" s="48"/>
      <c r="S162" s="65"/>
      <c r="T162" s="2"/>
      <c r="U162" s="2"/>
      <c r="V162" s="2"/>
    </row>
    <row r="163" spans="1:23" s="149" customFormat="1" ht="12.75" customHeight="1" x14ac:dyDescent="0.2">
      <c r="A163" s="155"/>
      <c r="B163" s="171" t="str">
        <f>IF(A163="","",VLOOKUP(A163,'6.A'!$A$11:$G$180,2,FALSE))</f>
        <v/>
      </c>
      <c r="C163" s="156"/>
      <c r="D163" s="141" t="str">
        <f>IF(A163="","",VLOOKUP(A163,'6.A'!$A$11:$G$180,4,FALSE))</f>
        <v/>
      </c>
      <c r="E163" s="160" t="str">
        <f>IF(A163="","",VLOOKUP(A163,'6.A'!$A$11:$G$180,5,FALSE))</f>
        <v/>
      </c>
      <c r="F163" s="159" t="str">
        <f t="shared" si="60"/>
        <v>0,00</v>
      </c>
      <c r="G163" s="52"/>
      <c r="H163" s="52" t="str">
        <f>IF(A163="","",VLOOKUP(A163,'6.A'!$A$11:$E$7984,5,FALSE))</f>
        <v/>
      </c>
      <c r="I163" s="52" t="str">
        <f t="shared" si="61"/>
        <v/>
      </c>
      <c r="J163" s="52" t="str">
        <f>IF(H163="","",VLOOKUP(A163,'6.A'!$A$11:$E$564,4,FALSE))</f>
        <v/>
      </c>
      <c r="K163" s="52" t="str">
        <f t="shared" si="62"/>
        <v/>
      </c>
      <c r="L163" s="52" t="str">
        <f>IF(H163="","",IF(C163="","",G116*C163))</f>
        <v/>
      </c>
      <c r="M163" s="117" t="str">
        <f>IF(A163="","",VLOOKUP(A163,'6.A'!$A$11:$C$564,2,FALSE))</f>
        <v/>
      </c>
      <c r="N163" s="57" t="str">
        <f t="shared" si="63"/>
        <v/>
      </c>
      <c r="O163" s="56"/>
      <c r="P163" s="56"/>
      <c r="Q163" s="48"/>
      <c r="R163" s="48"/>
      <c r="S163" s="65"/>
      <c r="T163" s="2"/>
      <c r="U163" s="2"/>
      <c r="V163" s="2"/>
    </row>
    <row r="164" spans="1:23" s="149" customFormat="1" ht="12.75" customHeight="1" x14ac:dyDescent="0.2">
      <c r="A164" s="155"/>
      <c r="B164" s="171" t="str">
        <f>IF(A164="","",VLOOKUP(A164,'6.A'!$A$11:$G$180,2,FALSE))</f>
        <v/>
      </c>
      <c r="C164" s="156"/>
      <c r="D164" s="141" t="str">
        <f>IF(A164="","",VLOOKUP(A164,'6.A'!$A$11:$G$180,4,FALSE))</f>
        <v/>
      </c>
      <c r="E164" s="160" t="str">
        <f>IF(A164="","",VLOOKUP(A164,'6.A'!$A$11:$G$180,5,FALSE))</f>
        <v/>
      </c>
      <c r="F164" s="159" t="str">
        <f t="shared" si="60"/>
        <v>0,00</v>
      </c>
      <c r="G164" s="52"/>
      <c r="H164" s="52" t="str">
        <f>IF(A164="","",VLOOKUP(A164,'6.A'!$A$11:$E$7984,5,FALSE))</f>
        <v/>
      </c>
      <c r="I164" s="52" t="str">
        <f t="shared" si="61"/>
        <v/>
      </c>
      <c r="J164" s="52" t="str">
        <f>IF(H164="","",VLOOKUP(A164,'6.A'!$A$11:$E$564,4,FALSE))</f>
        <v/>
      </c>
      <c r="K164" s="52" t="str">
        <f t="shared" si="62"/>
        <v/>
      </c>
      <c r="L164" s="52" t="str">
        <f>IF(H164="","",IF(C164="","",G116*C164))</f>
        <v/>
      </c>
      <c r="M164" s="117" t="str">
        <f>IF(A164="","",VLOOKUP(A164,'6.A'!$A$11:$C$564,2,FALSE))</f>
        <v/>
      </c>
      <c r="N164" s="57" t="str">
        <f t="shared" si="63"/>
        <v/>
      </c>
      <c r="O164" s="56"/>
      <c r="P164" s="56"/>
      <c r="Q164" s="48"/>
      <c r="R164" s="48"/>
      <c r="S164" s="65"/>
      <c r="T164" s="2"/>
      <c r="U164" s="2"/>
      <c r="V164" s="2"/>
    </row>
    <row r="165" spans="1:23" s="137" customFormat="1" ht="12.75" customHeight="1" x14ac:dyDescent="0.2">
      <c r="A165" s="155"/>
      <c r="B165" s="26" t="str">
        <f>$A$9</f>
        <v>BDI</v>
      </c>
      <c r="C165" s="40">
        <f>$C$9</f>
        <v>0</v>
      </c>
      <c r="D165" s="141"/>
      <c r="E165" s="147"/>
      <c r="F165" s="162">
        <f>ROUND(SUM(F145:F164)*C165,2)</f>
        <v>0</v>
      </c>
      <c r="G165" s="63"/>
      <c r="H165" s="52"/>
      <c r="I165" s="57"/>
      <c r="J165" s="57"/>
      <c r="K165" s="57"/>
      <c r="L165" s="52"/>
      <c r="M165" s="57"/>
      <c r="N165" s="57"/>
      <c r="O165" s="56"/>
      <c r="P165" s="56"/>
      <c r="Q165" s="48"/>
      <c r="R165" s="48"/>
      <c r="S165" s="65"/>
      <c r="T165" s="2"/>
      <c r="U165" s="2"/>
      <c r="V165" s="2"/>
    </row>
    <row r="166" spans="1:23" s="137" customFormat="1" ht="12.75" customHeight="1" thickBot="1" x14ac:dyDescent="0.25">
      <c r="A166" s="172"/>
      <c r="B166" s="42" t="s">
        <v>57</v>
      </c>
      <c r="C166" s="43"/>
      <c r="D166" s="173"/>
      <c r="E166" s="174"/>
      <c r="F166" s="175">
        <f>ROUND(SUM(F145:F165),2)</f>
        <v>0</v>
      </c>
      <c r="G166" s="63"/>
      <c r="H166" s="52"/>
      <c r="I166" s="57"/>
      <c r="J166" s="57"/>
      <c r="K166" s="57"/>
      <c r="L166" s="52"/>
      <c r="M166" s="57"/>
      <c r="N166" s="57"/>
      <c r="O166" s="56"/>
      <c r="P166" s="56"/>
      <c r="Q166" s="48"/>
      <c r="R166" s="48"/>
      <c r="S166" s="65"/>
      <c r="T166" s="2"/>
      <c r="U166" s="2"/>
      <c r="V166" s="2"/>
    </row>
    <row r="167" spans="1:23" ht="12" customHeight="1" thickBot="1" x14ac:dyDescent="0.25">
      <c r="A167" s="8"/>
      <c r="B167" s="9"/>
      <c r="C167" s="10"/>
      <c r="D167" s="57"/>
      <c r="F167" s="12"/>
      <c r="G167" s="12"/>
      <c r="M167" s="57"/>
      <c r="N167" s="57"/>
      <c r="O167" s="56"/>
      <c r="P167" s="56"/>
      <c r="Q167" s="48"/>
      <c r="R167" s="48"/>
    </row>
    <row r="168" spans="1:23" ht="50.1" customHeight="1" x14ac:dyDescent="0.2">
      <c r="A168" s="13" t="str">
        <f>'3.A'!$A$22</f>
        <v>1.4</v>
      </c>
      <c r="B168" s="14" t="str">
        <f>IF(A168="","",VLOOKUP(A168,'3.A'!$A$17:$M$279,2,FALSE))</f>
        <v>PLACA DE OBRA PADRÃO SeMAE</v>
      </c>
      <c r="C168" s="413" t="s">
        <v>62</v>
      </c>
      <c r="D168" s="413"/>
      <c r="E168" s="15" t="str">
        <f>IF(A168="","",VLOOKUP(A168,'3.A'!$A$17:$M$279,3,FALSE))</f>
        <v>M2</v>
      </c>
      <c r="F168" s="16">
        <f>ROUND(F182+F195+F218,2)</f>
        <v>0</v>
      </c>
      <c r="G168" s="118">
        <f>VLOOKUP(A168,'3.A'!$A$19:$I$279,4,FALSE)</f>
        <v>6</v>
      </c>
      <c r="H168" s="47">
        <f>SUM(F170:F181)</f>
        <v>0</v>
      </c>
      <c r="I168" s="47">
        <f>SUM(F184:F194)</f>
        <v>0</v>
      </c>
      <c r="J168" s="47">
        <f>SUM(F197:F217)</f>
        <v>0</v>
      </c>
      <c r="K168" s="47">
        <f>SUM(H168:J168)</f>
        <v>0</v>
      </c>
      <c r="L168" s="47" t="str">
        <f>IF(K168=F168,"SIM","NÃO")</f>
        <v>SIM</v>
      </c>
      <c r="M168" s="58">
        <f>ROUND(SUM(F170:F179)*C180,2)+ROUND(SUM(F170:F180)*C181,2)+ROUND(SUM(F170:F179),2)+ROUND(SUM(F184:F193)*C194,2)+ROUND(SUM(F184:F193),2)+ROUND(SUM(F197:F216)*C217,2)+ROUND(SUM(F197:F216),2)</f>
        <v>0</v>
      </c>
      <c r="N168" s="50" t="str">
        <f>IF(M168=F168,"SIM","NÃO")</f>
        <v>SIM</v>
      </c>
      <c r="O168" s="51" t="str">
        <f>VLOOKUP(A168,'3.A'!$A$8:$E$279,3,FALSE)</f>
        <v>M2</v>
      </c>
      <c r="P168" s="51" t="str">
        <f>IF(O168=E168,"SIM","NÃO")</f>
        <v>SIM</v>
      </c>
      <c r="Q168" s="53">
        <f>ROUND(G168*F182,2)+ROUND(G168*F195,2)+ROUND(G168*F218,2)</f>
        <v>0</v>
      </c>
      <c r="R168" s="59">
        <f>VLOOKUP(A168,'3.A'!$A$17:$L$279,12,FALSE)</f>
        <v>0</v>
      </c>
      <c r="S168" s="60" t="str">
        <f>IF(Q168=R168,"si","no")</f>
        <v>si</v>
      </c>
      <c r="T168" s="61">
        <f>SUM(L170:L179)+SUM(L184:L193)+SUM(L197:L216)</f>
        <v>36.681600000000003</v>
      </c>
      <c r="U168" s="52">
        <f>G168*C176+G168*C178+G168*C171+G168*C172+G168*C174+G168*C177+G168*C175+G168*C170+G168*C173+G168*C179+G168*C190+G168*C184+G168*C192+G168*C191+G168*C189+G168*C186+G168*C185+G168*C187+G168*C193+G168*C188+G168*C197+G168*C198+G168*C199+G168*C207+G168*C208+G168*C209+G168*C210+G168*C211+G168*C212+G168*C213+G168*C214+G168*C215+G168*C216+G168*C205+G168*C206+G168*C200+G168*C201+G168*C202+G168*C203+G168*C204</f>
        <v>36.681600000000003</v>
      </c>
      <c r="V168" s="54" t="str">
        <f>IF(T168=U168,"si","no")</f>
        <v>si</v>
      </c>
      <c r="W168" s="137"/>
    </row>
    <row r="169" spans="1:23" ht="12.75" customHeight="1" x14ac:dyDescent="0.2">
      <c r="A169" s="17" t="s">
        <v>3</v>
      </c>
      <c r="B169" s="18" t="s">
        <v>58</v>
      </c>
      <c r="C169" s="56" t="s">
        <v>59</v>
      </c>
      <c r="D169" s="56" t="s">
        <v>16</v>
      </c>
      <c r="E169" s="19" t="s">
        <v>60</v>
      </c>
      <c r="F169" s="20" t="s">
        <v>61</v>
      </c>
      <c r="G169" s="21"/>
      <c r="M169" s="57"/>
      <c r="N169" s="57"/>
      <c r="O169" s="56"/>
      <c r="P169" s="56"/>
      <c r="Q169" s="48"/>
      <c r="R169" s="48"/>
    </row>
    <row r="170" spans="1:23" ht="12.75" customHeight="1" x14ac:dyDescent="0.2">
      <c r="A170" s="22">
        <f>'6.A'!$A$17</f>
        <v>88262</v>
      </c>
      <c r="B170" s="23" t="str">
        <f>IF(A170="","",VLOOKUP(A170,'6.A'!$A$11:$G$180,2,FALSE))</f>
        <v>CARPINTEIRO DE FORMAS COM ENCARGOS COMPLEMENTARES</v>
      </c>
      <c r="C170" s="99">
        <v>0.37290000000000001</v>
      </c>
      <c r="D170" s="57" t="str">
        <f>IF(A170="","",VLOOKUP(A170,'6.A'!$A$11:$G$180,4,FALSE))</f>
        <v>H</v>
      </c>
      <c r="E170" s="100">
        <f>IF(A170="","",VLOOKUP(A170,'6.A'!$A$11:$G$180,5,FALSE))</f>
        <v>0</v>
      </c>
      <c r="F170" s="24">
        <f t="shared" ref="F170:F179" si="64">IF(A170="","0,00",ROUND(C170*E170,2))</f>
        <v>0</v>
      </c>
      <c r="G170" s="52"/>
      <c r="H170" s="52">
        <f>IF(A170="","",VLOOKUP(A170,'6.A'!$A$11:$E$7984,5,FALSE))</f>
        <v>0</v>
      </c>
      <c r="I170" s="52" t="str">
        <f>IF(H170="","",IF(E170=H170,"SIM","NÃO"))</f>
        <v>SIM</v>
      </c>
      <c r="J170" s="52" t="str">
        <f>IF(H170="","",VLOOKUP(A170,'6.A'!$A$11:$E$564,4,FALSE))</f>
        <v>H</v>
      </c>
      <c r="K170" s="52" t="str">
        <f>IF(H170="","",IF(J170=D170,"SIM","NÃO"))</f>
        <v>SIM</v>
      </c>
      <c r="L170" s="52">
        <f>IF(H170="","",IF(C170="","",G168*C170))</f>
        <v>2.2374000000000001</v>
      </c>
      <c r="M170" s="117" t="str">
        <f>IF(A170="","",VLOOKUP(A170,'6.A'!$A$11:$C$564,2,FALSE))</f>
        <v>CARPINTEIRO DE FORMAS COM ENCARGOS COMPLEMENTARES</v>
      </c>
      <c r="N170" s="57" t="str">
        <f>IF(A170="","",IF(M170=B170,"si","no"))</f>
        <v>si</v>
      </c>
      <c r="O170" s="56"/>
      <c r="P170" s="56"/>
      <c r="Q170" s="48"/>
      <c r="R170" s="48"/>
    </row>
    <row r="171" spans="1:23" ht="12.75" customHeight="1" x14ac:dyDescent="0.2">
      <c r="A171" s="22">
        <f>'6.A'!$A$22</f>
        <v>88316</v>
      </c>
      <c r="B171" s="23" t="str">
        <f>IF(A171="","",VLOOKUP(A171,'6.A'!$A$11:$G$180,2,FALSE))</f>
        <v>SERVENTE COM ENCARGOS COMPLEMENTARES</v>
      </c>
      <c r="C171" s="99">
        <v>1.1186</v>
      </c>
      <c r="D171" s="57" t="str">
        <f>IF(A171="","",VLOOKUP(A171,'6.A'!$A$11:$G$180,4,FALSE))</f>
        <v>H</v>
      </c>
      <c r="E171" s="100">
        <f>IF(A171="","",VLOOKUP(A171,'6.A'!$A$11:$G$180,5,FALSE))</f>
        <v>0</v>
      </c>
      <c r="F171" s="24">
        <f t="shared" si="64"/>
        <v>0</v>
      </c>
      <c r="G171" s="52"/>
      <c r="H171" s="52">
        <f>IF(A171="","",VLOOKUP(A171,'6.A'!$A$11:$E$7984,5,FALSE))</f>
        <v>0</v>
      </c>
      <c r="I171" s="52" t="str">
        <f>IF(H171="","",IF(E171=H171,"SIM","NÃO"))</f>
        <v>SIM</v>
      </c>
      <c r="J171" s="52" t="str">
        <f>IF(H171="","",VLOOKUP(A171,'6.A'!$A$11:$E$564,4,FALSE))</f>
        <v>H</v>
      </c>
      <c r="K171" s="52" t="str">
        <f>IF(H171="","",IF(J171=D171,"SIM","NÃO"))</f>
        <v>SIM</v>
      </c>
      <c r="L171" s="52">
        <f>IF(H171="","",IF(C171="","",G168*C171))</f>
        <v>6.7116000000000007</v>
      </c>
      <c r="M171" s="117" t="str">
        <f>IF(A171="","",VLOOKUP(A171,'6.A'!$A$11:$C$564,2,FALSE))</f>
        <v>SERVENTE COM ENCARGOS COMPLEMENTARES</v>
      </c>
      <c r="N171" s="57" t="str">
        <f>IF(A171="","",IF(M171=B171,"si","no"))</f>
        <v>si</v>
      </c>
      <c r="O171" s="56"/>
      <c r="P171" s="56"/>
      <c r="Q171" s="48"/>
      <c r="R171" s="48"/>
    </row>
    <row r="172" spans="1:23" ht="12.75" customHeight="1" x14ac:dyDescent="0.2">
      <c r="A172" s="22">
        <f>'6.A'!$A$21</f>
        <v>88310</v>
      </c>
      <c r="B172" s="23" t="str">
        <f>IF(A172="","",VLOOKUP(A172,'6.A'!$A$11:$G$180,2,FALSE))</f>
        <v>PINTOR COM ENCARGOS COMPLEMENTARES</v>
      </c>
      <c r="C172" s="99">
        <f>0.5*0.4529</f>
        <v>0.22645000000000001</v>
      </c>
      <c r="D172" s="57" t="str">
        <f>IF(A172="","",VLOOKUP(A172,'6.A'!$A$11:$G$180,4,FALSE))</f>
        <v>H</v>
      </c>
      <c r="E172" s="100">
        <f>IF(A172="","",VLOOKUP(A172,'6.A'!$A$11:$G$180,5,FALSE))</f>
        <v>0</v>
      </c>
      <c r="F172" s="24">
        <f t="shared" si="64"/>
        <v>0</v>
      </c>
      <c r="G172" s="52"/>
      <c r="H172" s="52">
        <f>IF(A172="","",VLOOKUP(A172,'6.A'!$A$11:$E$7984,5,FALSE))</f>
        <v>0</v>
      </c>
      <c r="I172" s="52" t="str">
        <f>IF(H172="","",IF(E172=H172,"SIM","NÃO"))</f>
        <v>SIM</v>
      </c>
      <c r="J172" s="52" t="str">
        <f>IF(H172="","",VLOOKUP(A172,'6.A'!$A$11:$E$564,4,FALSE))</f>
        <v>H</v>
      </c>
      <c r="K172" s="52" t="str">
        <f t="shared" ref="K172" si="65">IF(H172="","",IF(J172=D172,"SIM","NÃO"))</f>
        <v>SIM</v>
      </c>
      <c r="L172" s="52">
        <f>IF(H172="","",IF(C172="","",G168*C172))</f>
        <v>1.3587</v>
      </c>
      <c r="M172" s="117" t="str">
        <f>IF(A172="","",VLOOKUP(A172,'6.A'!$A$11:$C$564,2,FALSE))</f>
        <v>PINTOR COM ENCARGOS COMPLEMENTARES</v>
      </c>
      <c r="N172" s="57" t="str">
        <f t="shared" ref="N172" si="66">IF(A172="","",IF(M172=B172,"si","no"))</f>
        <v>si</v>
      </c>
      <c r="O172" s="56"/>
      <c r="P172" s="56"/>
      <c r="Q172" s="48"/>
      <c r="R172" s="48"/>
    </row>
    <row r="173" spans="1:23" ht="12.75" customHeight="1" x14ac:dyDescent="0.2">
      <c r="A173" s="22"/>
      <c r="B173" s="23" t="str">
        <f>IF(A173="","",VLOOKUP(A173,'6.A'!$A$11:$G$180,2,FALSE))</f>
        <v/>
      </c>
      <c r="C173" s="99"/>
      <c r="D173" s="57" t="str">
        <f>IF(A173="","",VLOOKUP(A173,'6.A'!$A$11:$G$180,4,FALSE))</f>
        <v/>
      </c>
      <c r="E173" s="100" t="str">
        <f>IF(A173="","",VLOOKUP(A173,'6.A'!$A$11:$G$180,5,FALSE))</f>
        <v/>
      </c>
      <c r="F173" s="24" t="str">
        <f t="shared" si="64"/>
        <v>0,00</v>
      </c>
      <c r="G173" s="52"/>
      <c r="H173" s="52" t="str">
        <f>IF(A173="","",VLOOKUP(A173,'6.A'!$A$11:$E$7984,5,FALSE))</f>
        <v/>
      </c>
      <c r="I173" s="52" t="str">
        <f>IF(H173="","",IF(E173=H173,"SIM","NÃO"))</f>
        <v/>
      </c>
      <c r="J173" s="52" t="str">
        <f>IF(H173="","",VLOOKUP(A173,'6.A'!$A$11:$E$564,4,FALSE))</f>
        <v/>
      </c>
      <c r="K173" s="52" t="str">
        <f>IF(H173="","",IF(J173=D173,"SIM","NÃO"))</f>
        <v/>
      </c>
      <c r="L173" s="52" t="str">
        <f>IF(H173="","",IF(C173="","",G168*C173))</f>
        <v/>
      </c>
      <c r="M173" s="117" t="str">
        <f>IF(A173="","",VLOOKUP(A173,'6.A'!$A$11:$C$564,2,FALSE))</f>
        <v/>
      </c>
      <c r="N173" s="57" t="str">
        <f>IF(A173="","",IF(M173=B173,"si","no"))</f>
        <v/>
      </c>
      <c r="O173" s="56"/>
      <c r="P173" s="56"/>
      <c r="Q173" s="48"/>
      <c r="R173" s="48"/>
    </row>
    <row r="174" spans="1:23" ht="12.75" customHeight="1" x14ac:dyDescent="0.2">
      <c r="A174" s="22"/>
      <c r="B174" s="23" t="str">
        <f>IF(A174="","",VLOOKUP(A174,'6.A'!$A$11:$G$180,2,FALSE))</f>
        <v/>
      </c>
      <c r="C174" s="99"/>
      <c r="D174" s="57" t="str">
        <f>IF(A174="","",VLOOKUP(A174,'6.A'!$A$11:$G$180,4,FALSE))</f>
        <v/>
      </c>
      <c r="E174" s="101" t="str">
        <f>IF(A174="","",VLOOKUP(A174,'6.A'!$A$11:$G$180,5,FALSE))</f>
        <v/>
      </c>
      <c r="F174" s="24" t="str">
        <f t="shared" si="64"/>
        <v>0,00</v>
      </c>
      <c r="G174" s="52"/>
      <c r="H174" s="52" t="str">
        <f>IF(A174="","",VLOOKUP(A174,'6.A'!$A$11:$E$7984,5,FALSE))</f>
        <v/>
      </c>
      <c r="I174" s="52" t="str">
        <f t="shared" ref="I174" si="67">IF(H174="","",IF(E174=H174,"SIM","NÃO"))</f>
        <v/>
      </c>
      <c r="J174" s="52" t="str">
        <f>IF(H174="","",VLOOKUP(A174,'6.A'!$A$11:$E$564,4,FALSE))</f>
        <v/>
      </c>
      <c r="K174" s="52" t="str">
        <f t="shared" ref="K174" si="68">IF(H174="","",IF(J174=D174,"SIM","NÃO"))</f>
        <v/>
      </c>
      <c r="L174" s="52" t="str">
        <f>IF(H174="","",IF(C174="","",G168*C174))</f>
        <v/>
      </c>
      <c r="M174" s="117" t="str">
        <f>IF(A174="","",VLOOKUP(A174,'6.A'!$A$11:$C$564,2,FALSE))</f>
        <v/>
      </c>
      <c r="N174" s="57" t="str">
        <f t="shared" ref="N174" si="69">IF(A174="","",IF(M174=B174,"si","no"))</f>
        <v/>
      </c>
      <c r="O174" s="56"/>
      <c r="P174" s="56"/>
      <c r="Q174" s="48"/>
      <c r="R174" s="48"/>
    </row>
    <row r="175" spans="1:23" ht="12.75" customHeight="1" x14ac:dyDescent="0.2">
      <c r="A175" s="22"/>
      <c r="B175" s="23" t="str">
        <f>IF(A175="","",VLOOKUP(A175,'6.A'!$A$11:$G$180,2,FALSE))</f>
        <v/>
      </c>
      <c r="C175" s="99"/>
      <c r="D175" s="57" t="str">
        <f>IF(A175="","",VLOOKUP(A175,'6.A'!$A$11:$G$180,4,FALSE))</f>
        <v/>
      </c>
      <c r="E175" s="101" t="str">
        <f>IF(A175="","",VLOOKUP(A175,'6.A'!$A$11:$G$180,5,FALSE))</f>
        <v/>
      </c>
      <c r="F175" s="24" t="str">
        <f t="shared" si="64"/>
        <v>0,00</v>
      </c>
      <c r="G175" s="52"/>
      <c r="H175" s="52" t="str">
        <f>IF(A175="","",VLOOKUP(A175,'6.A'!$A$11:$E$7984,5,FALSE))</f>
        <v/>
      </c>
      <c r="I175" s="52" t="str">
        <f>IF(H175="","",IF(E175=H175,"SIM","NÃO"))</f>
        <v/>
      </c>
      <c r="J175" s="52" t="str">
        <f>IF(H175="","",VLOOKUP(A175,'6.A'!$A$11:$E$564,4,FALSE))</f>
        <v/>
      </c>
      <c r="K175" s="52" t="str">
        <f>IF(H175="","",IF(J175=D175,"SIM","NÃO"))</f>
        <v/>
      </c>
      <c r="L175" s="52" t="str">
        <f>IF(H175="","",IF(C175="","",G168*C175))</f>
        <v/>
      </c>
      <c r="M175" s="117" t="str">
        <f>IF(A175="","",VLOOKUP(A175,'6.A'!$A$11:$C$564,2,FALSE))</f>
        <v/>
      </c>
      <c r="N175" s="57" t="str">
        <f>IF(A175="","",IF(M175=B175,"si","no"))</f>
        <v/>
      </c>
      <c r="O175" s="56"/>
      <c r="P175" s="56"/>
      <c r="Q175" s="48"/>
      <c r="R175" s="48"/>
    </row>
    <row r="176" spans="1:23" ht="12.75" customHeight="1" x14ac:dyDescent="0.2">
      <c r="A176" s="22"/>
      <c r="B176" s="23" t="str">
        <f>IF(A176="","",VLOOKUP(A176,'6.A'!$A$11:$G$180,2,FALSE))</f>
        <v/>
      </c>
      <c r="C176" s="99"/>
      <c r="D176" s="57" t="str">
        <f>IF(A176="","",VLOOKUP(A176,'6.A'!$A$11:$G$180,4,FALSE))</f>
        <v/>
      </c>
      <c r="E176" s="100" t="str">
        <f>IF(A176="","",VLOOKUP(A176,'6.A'!$A$11:$G$180,5,FALSE))</f>
        <v/>
      </c>
      <c r="F176" s="24" t="str">
        <f t="shared" si="64"/>
        <v>0,00</v>
      </c>
      <c r="G176" s="52"/>
      <c r="H176" s="52" t="str">
        <f>IF(A176="","",VLOOKUP(A176,'6.A'!$A$11:$E$7984,5,FALSE))</f>
        <v/>
      </c>
      <c r="I176" s="52" t="str">
        <f>IF(H176="","",IF(E176=H176,"SIM","NÃO"))</f>
        <v/>
      </c>
      <c r="J176" s="52" t="str">
        <f>IF(H176="","",VLOOKUP(A176,'6.A'!$A$11:$E$564,4,FALSE))</f>
        <v/>
      </c>
      <c r="K176" s="52" t="str">
        <f>IF(H176="","",IF(J176=D176,"SIM","NÃO"))</f>
        <v/>
      </c>
      <c r="L176" s="52" t="str">
        <f>IF(H176="","",IF(C176="","",G168*C176))</f>
        <v/>
      </c>
      <c r="M176" s="117" t="str">
        <f>IF(A176="","",VLOOKUP(A176,'6.A'!$A$11:$C$564,2,FALSE))</f>
        <v/>
      </c>
      <c r="N176" s="57" t="str">
        <f>IF(A176="","",IF(M176=B176,"si","no"))</f>
        <v/>
      </c>
      <c r="O176" s="56"/>
      <c r="P176" s="56"/>
      <c r="Q176" s="48"/>
      <c r="R176" s="48"/>
      <c r="S176" s="2"/>
    </row>
    <row r="177" spans="1:19" ht="12.75" customHeight="1" x14ac:dyDescent="0.2">
      <c r="A177" s="22"/>
      <c r="B177" s="23" t="str">
        <f>IF(A177="","",VLOOKUP(A177,'6.A'!$A$11:$G$180,2,FALSE))</f>
        <v/>
      </c>
      <c r="C177" s="99"/>
      <c r="D177" s="57" t="str">
        <f>IF(A177="","",VLOOKUP(A177,'6.A'!$A$11:$G$180,4,FALSE))</f>
        <v/>
      </c>
      <c r="E177" s="100" t="str">
        <f>IF(A177="","",VLOOKUP(A177,'6.A'!$A$11:$G$180,5,FALSE))</f>
        <v/>
      </c>
      <c r="F177" s="24" t="str">
        <f t="shared" si="64"/>
        <v>0,00</v>
      </c>
      <c r="G177" s="52"/>
      <c r="H177" s="52" t="str">
        <f>IF(A177="","",VLOOKUP(A177,'6.A'!$A$11:$E$7984,5,FALSE))</f>
        <v/>
      </c>
      <c r="I177" s="52" t="str">
        <f t="shared" ref="I177" si="70">IF(H177="","",IF(E177=H177,"SIM","NÃO"))</f>
        <v/>
      </c>
      <c r="J177" s="52" t="str">
        <f>IF(H177="","",VLOOKUP(A177,'6.A'!$A$11:$E$564,4,FALSE))</f>
        <v/>
      </c>
      <c r="K177" s="52" t="str">
        <f t="shared" ref="K177" si="71">IF(H177="","",IF(J177=D177,"SIM","NÃO"))</f>
        <v/>
      </c>
      <c r="L177" s="52" t="str">
        <f>IF(H177="","",IF(C177="","",G168*C177))</f>
        <v/>
      </c>
      <c r="M177" s="117" t="str">
        <f>IF(A177="","",VLOOKUP(A177,'6.A'!$A$11:$C$564,2,FALSE))</f>
        <v/>
      </c>
      <c r="N177" s="57" t="str">
        <f t="shared" ref="N177" si="72">IF(A177="","",IF(M177=B177,"si","no"))</f>
        <v/>
      </c>
      <c r="O177" s="56"/>
      <c r="P177" s="56"/>
      <c r="Q177" s="48"/>
      <c r="R177" s="48"/>
      <c r="S177" s="2"/>
    </row>
    <row r="178" spans="1:19" ht="12.75" customHeight="1" x14ac:dyDescent="0.2">
      <c r="A178" s="22"/>
      <c r="B178" s="23" t="str">
        <f>IF(A178="","",VLOOKUP(A178,'6.A'!$A$11:$G$180,2,FALSE))</f>
        <v/>
      </c>
      <c r="C178" s="99"/>
      <c r="D178" s="73" t="str">
        <f>IF(A178="","",VLOOKUP(A178,'6.A'!$A$11:$G$180,4,FALSE))</f>
        <v/>
      </c>
      <c r="E178" s="101" t="str">
        <f>IF(A178="","",VLOOKUP(A178,'6.A'!$A$11:$G$180,5,FALSE))</f>
        <v/>
      </c>
      <c r="F178" s="24" t="str">
        <f t="shared" si="64"/>
        <v>0,00</v>
      </c>
      <c r="G178" s="52"/>
      <c r="H178" s="52" t="str">
        <f>IF(A178="","",VLOOKUP(A178,'6.A'!$A$11:$E$7984,5,FALSE))</f>
        <v/>
      </c>
      <c r="I178" s="52" t="str">
        <f>IF(H178="","",IF(E178=H178,"SIM","NÃO"))</f>
        <v/>
      </c>
      <c r="J178" s="52" t="str">
        <f>IF(H178="","",VLOOKUP(A178,'6.A'!$A$11:$E$564,4,FALSE))</f>
        <v/>
      </c>
      <c r="K178" s="52" t="str">
        <f>IF(H178="","",IF(J178=D178,"SIM","NÃO"))</f>
        <v/>
      </c>
      <c r="L178" s="52" t="str">
        <f>IF(H178="","",IF(C178="","",G168*C178))</f>
        <v/>
      </c>
      <c r="M178" s="117" t="str">
        <f>IF(A178="","",VLOOKUP(A178,'6.A'!$A$11:$C$564,2,FALSE))</f>
        <v/>
      </c>
      <c r="N178" s="57" t="str">
        <f>IF(A178="","",IF(M178=B178,"si","no"))</f>
        <v/>
      </c>
      <c r="O178" s="56"/>
      <c r="P178" s="56"/>
      <c r="Q178" s="48"/>
      <c r="R178" s="48"/>
      <c r="S178" s="2"/>
    </row>
    <row r="179" spans="1:19" ht="12.75" customHeight="1" x14ac:dyDescent="0.2">
      <c r="A179" s="22"/>
      <c r="B179" s="23" t="str">
        <f>IF(A179="","",VLOOKUP(A179,'6.A'!$A$11:$G$180,2,FALSE))</f>
        <v/>
      </c>
      <c r="C179" s="99"/>
      <c r="D179" s="25" t="str">
        <f>IF(A179="","",VLOOKUP(A179,'6.A'!$A$11:$G$180,4,FALSE))</f>
        <v/>
      </c>
      <c r="E179" s="101" t="str">
        <f>IF(A179="","",VLOOKUP(A179,'6.A'!$A$11:$G$180,5,FALSE))</f>
        <v/>
      </c>
      <c r="F179" s="24" t="str">
        <f t="shared" si="64"/>
        <v>0,00</v>
      </c>
      <c r="G179" s="52"/>
      <c r="H179" s="52" t="str">
        <f>IF(A179="","",VLOOKUP(A179,'6.A'!$A$11:$E$7984,5,FALSE))</f>
        <v/>
      </c>
      <c r="I179" s="52" t="str">
        <f t="shared" ref="I179" si="73">IF(H179="","",IF(E179=H179,"SIM","NÃO"))</f>
        <v/>
      </c>
      <c r="J179" s="52" t="str">
        <f>IF(H179="","",VLOOKUP(A179,'6.A'!$A$11:$E$564,4,FALSE))</f>
        <v/>
      </c>
      <c r="K179" s="52" t="str">
        <f t="shared" ref="K179" si="74">IF(H179="","",IF(J179=D179,"SIM","NÃO"))</f>
        <v/>
      </c>
      <c r="L179" s="52" t="str">
        <f>IF(H179="","",IF(C179="","",G168*C179))</f>
        <v/>
      </c>
      <c r="M179" s="117" t="str">
        <f>IF(A179="","",VLOOKUP(A179,'6.A'!$A$11:$C$564,2,FALSE))</f>
        <v/>
      </c>
      <c r="N179" s="57" t="str">
        <f t="shared" ref="N179" si="75">IF(A179="","",IF(M179=B179,"si","no"))</f>
        <v/>
      </c>
      <c r="O179" s="56"/>
      <c r="P179" s="56"/>
      <c r="Q179" s="48"/>
      <c r="R179" s="48"/>
      <c r="S179" s="2"/>
    </row>
    <row r="180" spans="1:19" ht="12.75" customHeight="1" x14ac:dyDescent="0.2">
      <c r="A180" s="17"/>
      <c r="B180" s="26" t="str">
        <f>$A$8</f>
        <v>LEIS SOCIAIS HORISTA - JORNADA NORMAL</v>
      </c>
      <c r="C180" s="27">
        <f>$C$8</f>
        <v>0</v>
      </c>
      <c r="D180" s="57"/>
      <c r="F180" s="28">
        <f>ROUND(SUM(F170:F179)*C180,2)</f>
        <v>0</v>
      </c>
      <c r="G180" s="63"/>
      <c r="M180" s="62"/>
      <c r="N180" s="57"/>
      <c r="O180" s="56"/>
      <c r="P180" s="56"/>
      <c r="Q180" s="48"/>
      <c r="R180" s="48"/>
      <c r="S180" s="2"/>
    </row>
    <row r="181" spans="1:19" ht="12.75" customHeight="1" x14ac:dyDescent="0.2">
      <c r="A181" s="22"/>
      <c r="B181" s="26" t="str">
        <f>$A$9</f>
        <v>BDI</v>
      </c>
      <c r="C181" s="27">
        <f>$C$9</f>
        <v>0</v>
      </c>
      <c r="D181" s="29"/>
      <c r="F181" s="28">
        <f>ROUND(SUM(F170:F180)*C181,2)</f>
        <v>0</v>
      </c>
      <c r="G181" s="63"/>
      <c r="M181" s="62"/>
      <c r="N181" s="57"/>
      <c r="O181" s="56"/>
      <c r="P181" s="56"/>
      <c r="Q181" s="48"/>
      <c r="R181" s="48"/>
      <c r="S181" s="2"/>
    </row>
    <row r="182" spans="1:19" ht="12.75" customHeight="1" x14ac:dyDescent="0.2">
      <c r="A182" s="30"/>
      <c r="B182" s="31" t="s">
        <v>56</v>
      </c>
      <c r="C182" s="32"/>
      <c r="D182" s="33"/>
      <c r="E182" s="34"/>
      <c r="F182" s="35">
        <f>ROUND(SUM(F170:F181),2)</f>
        <v>0</v>
      </c>
      <c r="G182" s="63"/>
      <c r="M182" s="62"/>
      <c r="N182" s="57"/>
      <c r="O182" s="56"/>
      <c r="P182" s="56"/>
      <c r="Q182" s="48"/>
      <c r="R182" s="48"/>
      <c r="S182" s="2"/>
    </row>
    <row r="183" spans="1:19" ht="12.75" customHeight="1" x14ac:dyDescent="0.2">
      <c r="A183" s="17" t="s">
        <v>5</v>
      </c>
      <c r="B183" s="153" t="s">
        <v>130</v>
      </c>
      <c r="C183" s="56" t="s">
        <v>59</v>
      </c>
      <c r="D183" s="56" t="s">
        <v>16</v>
      </c>
      <c r="E183" s="19" t="s">
        <v>60</v>
      </c>
      <c r="F183" s="20" t="s">
        <v>61</v>
      </c>
      <c r="G183" s="21"/>
      <c r="M183" s="62"/>
      <c r="N183" s="57"/>
      <c r="O183" s="56"/>
      <c r="P183" s="56"/>
      <c r="Q183" s="48"/>
      <c r="R183" s="48"/>
      <c r="S183" s="2"/>
    </row>
    <row r="184" spans="1:19" ht="12.75" customHeight="1" x14ac:dyDescent="0.2">
      <c r="A184" s="155"/>
      <c r="B184" s="138" t="str">
        <f>IF(A184="","",VLOOKUP(A184,'6.A'!$A$11:$G$180,2,FALSE))</f>
        <v/>
      </c>
      <c r="C184" s="156"/>
      <c r="D184" s="157" t="str">
        <f>IF(A184="","",VLOOKUP(A184,'6.A'!$A$11:$G$180,4,FALSE))</f>
        <v/>
      </c>
      <c r="E184" s="158" t="str">
        <f>IF(A184="","",VLOOKUP(A184,'6.A'!$A$11:$G$180,5,FALSE))</f>
        <v/>
      </c>
      <c r="F184" s="24" t="str">
        <f t="shared" ref="F184:F193" si="76">IF(A184="","0,00",ROUND(C184*E184,2))</f>
        <v>0,00</v>
      </c>
      <c r="G184" s="52"/>
      <c r="H184" s="52" t="str">
        <f>IF(A184="","",VLOOKUP(A184,'6.A'!$A$11:$E$7984,5,FALSE))</f>
        <v/>
      </c>
      <c r="I184" s="52" t="str">
        <f t="shared" ref="I184:I193" si="77">IF(H184="","",IF(E184=H184,"SIM","NÃO"))</f>
        <v/>
      </c>
      <c r="J184" s="52" t="str">
        <f>IF(H184="","",VLOOKUP(A184,'6.A'!$A$11:$E$564,4,FALSE))</f>
        <v/>
      </c>
      <c r="K184" s="52" t="str">
        <f t="shared" ref="K184:K193" si="78">IF(H184="","",IF(J184=D184,"SIM","NÃO"))</f>
        <v/>
      </c>
      <c r="L184" s="52" t="str">
        <f>IF(H184="","",IF(C184="","",G168*C184))</f>
        <v/>
      </c>
      <c r="M184" s="117" t="str">
        <f>IF(A184="","",VLOOKUP(A184,'6.A'!$A$11:$C$564,2,FALSE))</f>
        <v/>
      </c>
      <c r="N184" s="57" t="str">
        <f t="shared" ref="N184:N189" si="79">IF(A184="","",IF(M184=B184,"si","no"))</f>
        <v/>
      </c>
      <c r="O184" s="56"/>
      <c r="P184" s="56"/>
      <c r="Q184" s="48"/>
      <c r="R184" s="48"/>
      <c r="S184" s="2"/>
    </row>
    <row r="185" spans="1:19" ht="12.75" customHeight="1" x14ac:dyDescent="0.2">
      <c r="A185" s="155"/>
      <c r="B185" s="138" t="str">
        <f>IF(A185="","",VLOOKUP(A185,'6.A'!$A$11:$G$180,2,FALSE))</f>
        <v/>
      </c>
      <c r="C185" s="156"/>
      <c r="D185" s="157" t="str">
        <f>IF(A185="","",VLOOKUP(A185,'6.A'!$A$11:$G$180,4,FALSE))</f>
        <v/>
      </c>
      <c r="E185" s="158" t="str">
        <f>IF(A185="","",VLOOKUP(A185,'6.A'!$A$11:$G$180,5,FALSE))</f>
        <v/>
      </c>
      <c r="F185" s="24" t="str">
        <f t="shared" si="76"/>
        <v>0,00</v>
      </c>
      <c r="G185" s="52"/>
      <c r="H185" s="52" t="str">
        <f>IF(A185="","",VLOOKUP(A185,'6.A'!$A$11:$E$7984,5,FALSE))</f>
        <v/>
      </c>
      <c r="I185" s="52" t="str">
        <f t="shared" si="77"/>
        <v/>
      </c>
      <c r="J185" s="52" t="str">
        <f>IF(H185="","",VLOOKUP(A185,'6.A'!$A$11:$E$564,4,FALSE))</f>
        <v/>
      </c>
      <c r="K185" s="52" t="str">
        <f t="shared" si="78"/>
        <v/>
      </c>
      <c r="L185" s="52" t="str">
        <f>IF(H185="","",IF(C185="","",G168*C185))</f>
        <v/>
      </c>
      <c r="M185" s="117" t="str">
        <f>IF(A185="","",VLOOKUP(A185,'6.A'!$A$11:$C$564,2,FALSE))</f>
        <v/>
      </c>
      <c r="N185" s="57" t="str">
        <f t="shared" si="79"/>
        <v/>
      </c>
      <c r="O185" s="56"/>
      <c r="P185" s="56"/>
      <c r="Q185" s="48"/>
      <c r="R185" s="48"/>
      <c r="S185" s="2"/>
    </row>
    <row r="186" spans="1:19" ht="12.75" customHeight="1" x14ac:dyDescent="0.2">
      <c r="A186" s="22"/>
      <c r="B186" s="23" t="str">
        <f>IF(A186="","",VLOOKUP(A186,'6.A'!$A$11:$G$180,2,FALSE))</f>
        <v/>
      </c>
      <c r="C186" s="99"/>
      <c r="D186" s="57" t="str">
        <f>IF(A186="","",VLOOKUP(A186,'6.A'!$A$11:$G$180,4,FALSE))</f>
        <v/>
      </c>
      <c r="E186" s="100" t="str">
        <f>IF(A186="","",VLOOKUP(A186,'6.A'!$A$11:$G$180,5,FALSE))</f>
        <v/>
      </c>
      <c r="F186" s="24" t="str">
        <f t="shared" si="76"/>
        <v>0,00</v>
      </c>
      <c r="G186" s="52"/>
      <c r="H186" s="52" t="str">
        <f>IF(A186="","",VLOOKUP(A186,'6.A'!$A$11:$E$7984,5,FALSE))</f>
        <v/>
      </c>
      <c r="I186" s="52" t="str">
        <f t="shared" si="77"/>
        <v/>
      </c>
      <c r="J186" s="52" t="str">
        <f>IF(H186="","",VLOOKUP(A186,'6.A'!$A$11:$E$564,4,FALSE))</f>
        <v/>
      </c>
      <c r="K186" s="52" t="str">
        <f t="shared" si="78"/>
        <v/>
      </c>
      <c r="L186" s="52" t="str">
        <f>IF(H186="","",IF(C186="","",G168*C186))</f>
        <v/>
      </c>
      <c r="M186" s="117" t="str">
        <f>IF(A186="","",VLOOKUP(A186,'6.A'!$A$11:$C$564,2,FALSE))</f>
        <v/>
      </c>
      <c r="N186" s="57" t="str">
        <f t="shared" si="79"/>
        <v/>
      </c>
      <c r="O186" s="56"/>
      <c r="P186" s="56"/>
      <c r="Q186" s="48"/>
      <c r="R186" s="48"/>
      <c r="S186" s="2"/>
    </row>
    <row r="187" spans="1:19" ht="12.75" customHeight="1" x14ac:dyDescent="0.2">
      <c r="A187" s="22"/>
      <c r="B187" s="23" t="str">
        <f>IF(A187="","",VLOOKUP(A187,'6.A'!$A$11:$G$180,2,FALSE))</f>
        <v/>
      </c>
      <c r="C187" s="99"/>
      <c r="D187" s="57" t="str">
        <f>IF(A187="","",VLOOKUP(A187,'6.A'!$A$11:$G$180,4,FALSE))</f>
        <v/>
      </c>
      <c r="E187" s="100" t="str">
        <f>IF(A187="","",VLOOKUP(A187,'6.A'!$A$11:$G$180,5,FALSE))</f>
        <v/>
      </c>
      <c r="F187" s="24" t="str">
        <f t="shared" si="76"/>
        <v>0,00</v>
      </c>
      <c r="G187" s="52"/>
      <c r="H187" s="52" t="str">
        <f>IF(A187="","",VLOOKUP(A187,'6.A'!$A$11:$E$7984,5,FALSE))</f>
        <v/>
      </c>
      <c r="I187" s="52" t="str">
        <f t="shared" si="77"/>
        <v/>
      </c>
      <c r="J187" s="52" t="str">
        <f>IF(H187="","",VLOOKUP(A187,'6.A'!$A$11:$E$564,4,FALSE))</f>
        <v/>
      </c>
      <c r="K187" s="52" t="str">
        <f t="shared" si="78"/>
        <v/>
      </c>
      <c r="L187" s="52" t="str">
        <f>IF(H187="","",IF(C187="","",G168*C187))</f>
        <v/>
      </c>
      <c r="M187" s="117" t="str">
        <f>IF(A187="","",VLOOKUP(A187,'6.A'!$A$11:$C$564,2,FALSE))</f>
        <v/>
      </c>
      <c r="N187" s="57" t="str">
        <f t="shared" si="79"/>
        <v/>
      </c>
      <c r="O187" s="56"/>
      <c r="P187" s="56"/>
      <c r="Q187" s="48"/>
      <c r="R187" s="48"/>
      <c r="S187" s="2"/>
    </row>
    <row r="188" spans="1:19" ht="12.75" customHeight="1" x14ac:dyDescent="0.2">
      <c r="A188" s="22"/>
      <c r="B188" s="23" t="str">
        <f>IF(A188="","",VLOOKUP(A188,'6.A'!$A$11:$G$180,2,FALSE))</f>
        <v/>
      </c>
      <c r="C188" s="99"/>
      <c r="D188" s="57" t="str">
        <f>IF(A188="","",VLOOKUP(A188,'6.A'!$A$11:$G$180,4,FALSE))</f>
        <v/>
      </c>
      <c r="E188" s="100" t="str">
        <f>IF(A188="","",VLOOKUP(A188,'6.A'!$A$11:$G$180,5,FALSE))</f>
        <v/>
      </c>
      <c r="F188" s="24" t="str">
        <f t="shared" si="76"/>
        <v>0,00</v>
      </c>
      <c r="G188" s="52"/>
      <c r="H188" s="52" t="str">
        <f>IF(A188="","",VLOOKUP(A188,'6.A'!$A$11:$E$7984,5,FALSE))</f>
        <v/>
      </c>
      <c r="I188" s="52" t="str">
        <f t="shared" si="77"/>
        <v/>
      </c>
      <c r="J188" s="52" t="str">
        <f>IF(H188="","",VLOOKUP(A188,'6.A'!$A$11:$E$564,4,FALSE))</f>
        <v/>
      </c>
      <c r="K188" s="52" t="str">
        <f t="shared" si="78"/>
        <v/>
      </c>
      <c r="L188" s="52" t="str">
        <f>IF(H188="","",IF(C188="","",G168*C188))</f>
        <v/>
      </c>
      <c r="M188" s="117" t="str">
        <f>IF(A188="","",VLOOKUP(A188,'6.A'!$A$11:$C$564,2,FALSE))</f>
        <v/>
      </c>
      <c r="N188" s="57" t="str">
        <f t="shared" si="79"/>
        <v/>
      </c>
      <c r="O188" s="56"/>
      <c r="P188" s="56"/>
      <c r="Q188" s="48"/>
      <c r="R188" s="48"/>
      <c r="S188" s="2"/>
    </row>
    <row r="189" spans="1:19" ht="12.75" customHeight="1" x14ac:dyDescent="0.2">
      <c r="A189" s="22"/>
      <c r="B189" s="23" t="str">
        <f>IF(A189="","",VLOOKUP(A189,'6.A'!$A$11:$G$180,2,FALSE))</f>
        <v/>
      </c>
      <c r="C189" s="99"/>
      <c r="D189" s="57" t="str">
        <f>IF(A189="","",VLOOKUP(A189,'6.A'!$A$11:$G$180,4,FALSE))</f>
        <v/>
      </c>
      <c r="E189" s="100" t="str">
        <f>IF(A189="","",VLOOKUP(A189,'6.A'!$A$11:$G$180,5,FALSE))</f>
        <v/>
      </c>
      <c r="F189" s="24" t="str">
        <f t="shared" si="76"/>
        <v>0,00</v>
      </c>
      <c r="G189" s="52"/>
      <c r="H189" s="52" t="str">
        <f>IF(A189="","",VLOOKUP(A189,'6.A'!$A$11:$E$7984,5,FALSE))</f>
        <v/>
      </c>
      <c r="I189" s="52" t="str">
        <f t="shared" si="77"/>
        <v/>
      </c>
      <c r="J189" s="52" t="str">
        <f>IF(H189="","",VLOOKUP(A189,'6.A'!$A$11:$E$564,4,FALSE))</f>
        <v/>
      </c>
      <c r="K189" s="52" t="str">
        <f t="shared" si="78"/>
        <v/>
      </c>
      <c r="L189" s="52" t="str">
        <f>IF(H189="","",IF(C189="","",G168*C189))</f>
        <v/>
      </c>
      <c r="M189" s="117" t="str">
        <f>IF(A189="","",VLOOKUP(A189,'6.A'!$A$11:$C$564,2,FALSE))</f>
        <v/>
      </c>
      <c r="N189" s="57" t="str">
        <f t="shared" si="79"/>
        <v/>
      </c>
      <c r="O189" s="56"/>
      <c r="P189" s="56"/>
      <c r="Q189" s="48"/>
      <c r="R189" s="48"/>
      <c r="S189" s="2"/>
    </row>
    <row r="190" spans="1:19" ht="12.75" customHeight="1" x14ac:dyDescent="0.2">
      <c r="A190" s="22"/>
      <c r="B190" s="23" t="str">
        <f>IF(A190="","",VLOOKUP(A190,'6.A'!$A$11:$G$180,2,FALSE))</f>
        <v/>
      </c>
      <c r="C190" s="99"/>
      <c r="D190" s="57" t="str">
        <f>IF(A190="","",VLOOKUP(A190,'6.A'!$A$11:$G$180,4,FALSE))</f>
        <v/>
      </c>
      <c r="E190" s="100" t="str">
        <f>IF(A190="","",VLOOKUP(A190,'6.A'!$A$11:$G$180,5,FALSE))</f>
        <v/>
      </c>
      <c r="F190" s="24" t="str">
        <f t="shared" si="76"/>
        <v>0,00</v>
      </c>
      <c r="G190" s="52"/>
      <c r="H190" s="52" t="str">
        <f>IF(A190="","",VLOOKUP(A190,'6.A'!$A$11:$E$7984,5,FALSE))</f>
        <v/>
      </c>
      <c r="I190" s="52" t="str">
        <f t="shared" si="77"/>
        <v/>
      </c>
      <c r="J190" s="52" t="str">
        <f>IF(H190="","",VLOOKUP(A190,'6.A'!$A$11:$E$564,4,FALSE))</f>
        <v/>
      </c>
      <c r="K190" s="52" t="str">
        <f t="shared" si="78"/>
        <v/>
      </c>
      <c r="L190" s="52" t="str">
        <f>IF(H190="","",IF(C190="","",G168*C190))</f>
        <v/>
      </c>
      <c r="M190" s="117" t="str">
        <f>IF(A190="","",VLOOKUP(A190,'6.A'!$A$11:$C$564,2,FALSE))</f>
        <v/>
      </c>
      <c r="N190" s="57" t="str">
        <f>IF(A190="","",IF(M190=B190,"si","no"))</f>
        <v/>
      </c>
      <c r="O190" s="56"/>
      <c r="P190" s="56"/>
      <c r="Q190" s="48"/>
      <c r="R190" s="48"/>
      <c r="S190" s="2"/>
    </row>
    <row r="191" spans="1:19" ht="12.75" customHeight="1" x14ac:dyDescent="0.2">
      <c r="A191" s="22"/>
      <c r="B191" s="23" t="str">
        <f>IF(A191="","",VLOOKUP(A191,'6.A'!$A$11:$G$180,2,FALSE))</f>
        <v/>
      </c>
      <c r="C191" s="99"/>
      <c r="D191" s="57" t="str">
        <f>IF(A191="","",VLOOKUP(A191,'6.A'!$A$11:$G$180,4,FALSE))</f>
        <v/>
      </c>
      <c r="E191" s="100" t="str">
        <f>IF(A191="","",VLOOKUP(A191,'6.A'!$A$11:$G$180,5,FALSE))</f>
        <v/>
      </c>
      <c r="F191" s="24" t="str">
        <f t="shared" si="76"/>
        <v>0,00</v>
      </c>
      <c r="G191" s="52"/>
      <c r="H191" s="52" t="str">
        <f>IF(A191="","",VLOOKUP(A191,'6.A'!$A$11:$E$7984,5,FALSE))</f>
        <v/>
      </c>
      <c r="I191" s="52" t="str">
        <f t="shared" si="77"/>
        <v/>
      </c>
      <c r="J191" s="52" t="str">
        <f>IF(H191="","",VLOOKUP(A191,'6.A'!$A$11:$E$564,4,FALSE))</f>
        <v/>
      </c>
      <c r="K191" s="52" t="str">
        <f t="shared" si="78"/>
        <v/>
      </c>
      <c r="L191" s="52" t="str">
        <f>IF(H191="","",IF(C191="","",G168*C191))</f>
        <v/>
      </c>
      <c r="M191" s="117" t="str">
        <f>IF(A191="","",VLOOKUP(A191,'6.A'!$A$11:$C$564,2,FALSE))</f>
        <v/>
      </c>
      <c r="N191" s="57" t="str">
        <f>IF(A191="","",IF(M191=B191,"si","no"))</f>
        <v/>
      </c>
      <c r="O191" s="56"/>
      <c r="P191" s="56"/>
      <c r="Q191" s="48"/>
      <c r="R191" s="48"/>
      <c r="S191" s="2"/>
    </row>
    <row r="192" spans="1:19" ht="12.75" customHeight="1" x14ac:dyDescent="0.2">
      <c r="A192" s="22"/>
      <c r="B192" s="23" t="str">
        <f>IF(A192="","",VLOOKUP(A192,'6.A'!$A$11:$G$180,2,FALSE))</f>
        <v/>
      </c>
      <c r="C192" s="99"/>
      <c r="D192" s="57" t="str">
        <f>IF(A192="","",VLOOKUP(A192,'6.A'!$A$11:$G$180,4,FALSE))</f>
        <v/>
      </c>
      <c r="E192" s="100" t="str">
        <f>IF(A192="","",VLOOKUP(A192,'6.A'!$A$11:$G$180,5,FALSE))</f>
        <v/>
      </c>
      <c r="F192" s="24" t="str">
        <f t="shared" si="76"/>
        <v>0,00</v>
      </c>
      <c r="G192" s="52"/>
      <c r="H192" s="52" t="str">
        <f>IF(A192="","",VLOOKUP(A192,'6.A'!$A$11:$E$7984,5,FALSE))</f>
        <v/>
      </c>
      <c r="I192" s="52" t="str">
        <f t="shared" si="77"/>
        <v/>
      </c>
      <c r="J192" s="52" t="str">
        <f>IF(H192="","",VLOOKUP(A192,'6.A'!$A$11:$E$564,4,FALSE))</f>
        <v/>
      </c>
      <c r="K192" s="52" t="str">
        <f t="shared" si="78"/>
        <v/>
      </c>
      <c r="L192" s="52" t="str">
        <f>IF(H192="","",IF(C192="","",G168*C192))</f>
        <v/>
      </c>
      <c r="M192" s="117" t="str">
        <f>IF(A192="","",VLOOKUP(A192,'6.A'!$A$11:$C$564,2,FALSE))</f>
        <v/>
      </c>
      <c r="N192" s="57" t="str">
        <f t="shared" ref="N192:N193" si="80">IF(A192="","",IF(M192=B192,"si","no"))</f>
        <v/>
      </c>
      <c r="O192" s="56"/>
      <c r="P192" s="56"/>
      <c r="Q192" s="48"/>
      <c r="R192" s="48"/>
      <c r="S192" s="2"/>
    </row>
    <row r="193" spans="1:19" ht="12.75" customHeight="1" x14ac:dyDescent="0.2">
      <c r="A193" s="22"/>
      <c r="B193" s="23" t="str">
        <f>IF(A193="","",VLOOKUP(A193,'6.A'!$A$11:$G$180,2,FALSE))</f>
        <v/>
      </c>
      <c r="C193" s="99"/>
      <c r="D193" s="57" t="str">
        <f>IF(A193="","",VLOOKUP(A193,'6.A'!$A$11:$G$180,4,FALSE))</f>
        <v/>
      </c>
      <c r="E193" s="100" t="str">
        <f>IF(A193="","",VLOOKUP(A193,'6.A'!$A$11:$G$180,5,FALSE))</f>
        <v/>
      </c>
      <c r="F193" s="24" t="str">
        <f t="shared" si="76"/>
        <v>0,00</v>
      </c>
      <c r="G193" s="52"/>
      <c r="H193" s="52" t="str">
        <f>IF(A193="","",VLOOKUP(A193,'6.A'!$A$11:$E$7984,5,FALSE))</f>
        <v/>
      </c>
      <c r="I193" s="52" t="str">
        <f t="shared" si="77"/>
        <v/>
      </c>
      <c r="J193" s="52" t="str">
        <f>IF(H193="","",VLOOKUP(A193,'6.A'!$A$11:$E$564,4,FALSE))</f>
        <v/>
      </c>
      <c r="K193" s="52" t="str">
        <f t="shared" si="78"/>
        <v/>
      </c>
      <c r="L193" s="52" t="str">
        <f>IF(H193="","",IF(C193="","",G168*C193))</f>
        <v/>
      </c>
      <c r="M193" s="117" t="str">
        <f>IF(A193="","",VLOOKUP(A193,'6.A'!$A$11:$C$564,2,FALSE))</f>
        <v/>
      </c>
      <c r="N193" s="57" t="str">
        <f t="shared" si="80"/>
        <v/>
      </c>
      <c r="O193" s="56"/>
      <c r="P193" s="56"/>
      <c r="Q193" s="48"/>
      <c r="R193" s="48"/>
      <c r="S193" s="2"/>
    </row>
    <row r="194" spans="1:19" ht="12.75" customHeight="1" x14ac:dyDescent="0.2">
      <c r="A194" s="22"/>
      <c r="B194" s="26" t="str">
        <f>$A$9</f>
        <v>BDI</v>
      </c>
      <c r="C194" s="27">
        <f>$C$9</f>
        <v>0</v>
      </c>
      <c r="D194" s="57"/>
      <c r="F194" s="28">
        <f>ROUND(SUM(F184:F193)*C194,2)</f>
        <v>0</v>
      </c>
      <c r="G194" s="63"/>
      <c r="M194" s="62"/>
      <c r="N194" s="57"/>
      <c r="O194" s="56"/>
      <c r="P194" s="56"/>
      <c r="Q194" s="48"/>
      <c r="R194" s="48"/>
      <c r="S194" s="2"/>
    </row>
    <row r="195" spans="1:19" ht="12.75" customHeight="1" x14ac:dyDescent="0.2">
      <c r="A195" s="30"/>
      <c r="B195" s="31" t="s">
        <v>117</v>
      </c>
      <c r="C195" s="36"/>
      <c r="D195" s="37"/>
      <c r="E195" s="38"/>
      <c r="F195" s="35">
        <f>ROUND(SUM(F184:F194),2)</f>
        <v>0</v>
      </c>
      <c r="G195" s="63"/>
      <c r="M195" s="62"/>
      <c r="N195" s="57"/>
      <c r="O195" s="56"/>
      <c r="P195" s="56"/>
      <c r="Q195" s="48"/>
      <c r="R195" s="48"/>
      <c r="S195" s="2"/>
    </row>
    <row r="196" spans="1:19" ht="12.75" customHeight="1" x14ac:dyDescent="0.2">
      <c r="A196" s="17" t="s">
        <v>6</v>
      </c>
      <c r="B196" s="18" t="s">
        <v>17</v>
      </c>
      <c r="C196" s="56" t="s">
        <v>59</v>
      </c>
      <c r="D196" s="56" t="s">
        <v>16</v>
      </c>
      <c r="E196" s="19" t="s">
        <v>60</v>
      </c>
      <c r="F196" s="20" t="s">
        <v>61</v>
      </c>
      <c r="G196" s="21"/>
      <c r="M196" s="62"/>
      <c r="N196" s="57"/>
      <c r="O196" s="56"/>
      <c r="P196" s="56"/>
      <c r="Q196" s="48"/>
      <c r="R196" s="48"/>
      <c r="S196" s="2"/>
    </row>
    <row r="197" spans="1:19" ht="12.75" customHeight="1" x14ac:dyDescent="0.2">
      <c r="A197" s="22" t="str">
        <f>'6.A'!$A$59</f>
        <v>CV00521</v>
      </c>
      <c r="B197" s="23" t="str">
        <f>IF(A197="","",VLOOKUP(A197,'6.A'!$A$11:$G$180,2,FALSE))</f>
        <v>PREGO COM CABEÇA AÇO GALV (MÉDIA DAS BITOLAS)</v>
      </c>
      <c r="C197" s="99">
        <f>0.0132+0.0113</f>
        <v>2.4500000000000001E-2</v>
      </c>
      <c r="D197" s="57" t="str">
        <f>IF(A197="","",VLOOKUP(A197,'6.A'!$A$11:$G$180,4,FALSE))</f>
        <v>KG</v>
      </c>
      <c r="E197" s="100">
        <f>IF(A197="","",VLOOKUP(A197,'6.A'!$A$11:$G$180,5,FALSE))</f>
        <v>0</v>
      </c>
      <c r="F197" s="24">
        <f t="shared" ref="F197:F216" si="81">IF(A197="","0,00",ROUND(C197*E197,2))</f>
        <v>0</v>
      </c>
      <c r="G197" s="52"/>
      <c r="H197" s="52">
        <f>IF(A197="","",VLOOKUP(A197,'6.A'!$A$11:$E$7984,5,FALSE))</f>
        <v>0</v>
      </c>
      <c r="I197" s="52" t="str">
        <f t="shared" ref="I197:I216" si="82">IF(H197="","",IF(E197=H197,"SIM","NÃO"))</f>
        <v>SIM</v>
      </c>
      <c r="J197" s="52" t="str">
        <f>IF(H197="","",VLOOKUP(A197,'6.A'!$A$11:$E$564,4,FALSE))</f>
        <v>KG</v>
      </c>
      <c r="K197" s="52" t="str">
        <f t="shared" ref="K197:K216" si="83">IF(H197="","",IF(J197=D197,"SIM","NÃO"))</f>
        <v>SIM</v>
      </c>
      <c r="L197" s="52">
        <f>IF(H197="","",IF(C197="","",G168*C197))</f>
        <v>0.14700000000000002</v>
      </c>
      <c r="M197" s="117" t="str">
        <f>IF(A197="","",VLOOKUP(A197,'6.A'!$A$11:$C$564,2,FALSE))</f>
        <v>PREGO COM CABEÇA AÇO GALV (MÉDIA DAS BITOLAS)</v>
      </c>
      <c r="N197" s="57" t="str">
        <f t="shared" ref="N197:N216" si="84">IF(A197="","",IF(M197=B197,"si","no"))</f>
        <v>si</v>
      </c>
      <c r="O197" s="56"/>
      <c r="P197" s="56"/>
      <c r="Q197" s="48"/>
      <c r="R197" s="48"/>
      <c r="S197" s="2"/>
    </row>
    <row r="198" spans="1:19" ht="12.75" customHeight="1" x14ac:dyDescent="0.2">
      <c r="A198" s="22">
        <f>'6.A'!$A$109</f>
        <v>4509</v>
      </c>
      <c r="B198" s="23" t="str">
        <f>IF(A198="","",VLOOKUP(A198,'6.A'!$A$11:$G$180,2,FALSE))</f>
        <v>SARRAFO 2,5 X 10 CM EM PINUS, MISTA OU EQUIVALENTE DA REGIAO - BRUTA</v>
      </c>
      <c r="C198" s="99">
        <v>3.2082999999999999</v>
      </c>
      <c r="D198" s="57" t="str">
        <f>IF(A198="","",VLOOKUP(A198,'6.A'!$A$11:$G$180,4,FALSE))</f>
        <v>M</v>
      </c>
      <c r="E198" s="100">
        <f>IF(A198="","",VLOOKUP(A198,'6.A'!$A$11:$G$180,5,FALSE))</f>
        <v>0</v>
      </c>
      <c r="F198" s="24">
        <f>IF(A198="","0,00",ROUND(C198*E198,2))</f>
        <v>0</v>
      </c>
      <c r="G198" s="52"/>
      <c r="H198" s="52">
        <f>IF(A198="","",VLOOKUP(A198,'6.A'!$A$11:$E$7984,5,FALSE))</f>
        <v>0</v>
      </c>
      <c r="I198" s="52" t="str">
        <f>IF(H198="","",IF(E198=H198,"SIM","NÃO"))</f>
        <v>SIM</v>
      </c>
      <c r="J198" s="52" t="str">
        <f>IF(H198="","",VLOOKUP(A198,'6.A'!$A$11:$E$564,4,FALSE))</f>
        <v>M</v>
      </c>
      <c r="K198" s="52" t="str">
        <f>IF(H198="","",IF(J198=D198,"SIM","NÃO"))</f>
        <v>SIM</v>
      </c>
      <c r="L198" s="52">
        <f>IF(H198="","",IF(C198="","",G168*C198))</f>
        <v>19.2498</v>
      </c>
      <c r="M198" s="117" t="str">
        <f>IF(A198="","",VLOOKUP(A198,'6.A'!$A$11:$C$564,2,FALSE))</f>
        <v>SARRAFO 2,5 X 10 CM EM PINUS, MISTA OU EQUIVALENTE DA REGIAO - BRUTA</v>
      </c>
      <c r="N198" s="57" t="str">
        <f>IF(A198="","",IF(M198=B198,"si","no"))</f>
        <v>si</v>
      </c>
      <c r="O198" s="56"/>
      <c r="P198" s="56"/>
      <c r="Q198" s="48"/>
      <c r="R198" s="48"/>
      <c r="S198" s="2"/>
    </row>
    <row r="199" spans="1:19" ht="12.75" customHeight="1" x14ac:dyDescent="0.2">
      <c r="A199" s="22">
        <f>'6.A'!$A$111</f>
        <v>4813</v>
      </c>
      <c r="B199" s="23" t="str">
        <f>IF(A199="","",VLOOKUP(A199,'6.A'!$A$11:$G$180,2,FALSE))</f>
        <v>PLACA DE OBRA (PARA CONSTRUCAO CIVIL) EM CHAPA GALVANIZADA N. 22, ADESIVADA, DE 2,4 X 1,2 M</v>
      </c>
      <c r="C199" s="99">
        <v>1</v>
      </c>
      <c r="D199" s="57" t="str">
        <f>IF(A199="","",VLOOKUP(A199,'6.A'!$A$11:$G$180,4,FALSE))</f>
        <v>M2</v>
      </c>
      <c r="E199" s="100">
        <f>IF(A199="","",VLOOKUP(A199,'6.A'!$A$11:$G$180,5,FALSE))</f>
        <v>0</v>
      </c>
      <c r="F199" s="24">
        <f>IF(A199="","0,00",ROUND(C199*E199,2))</f>
        <v>0</v>
      </c>
      <c r="G199" s="52"/>
      <c r="H199" s="52">
        <f>IF(A199="","",VLOOKUP(A199,'6.A'!$A$11:$E$7984,5,FALSE))</f>
        <v>0</v>
      </c>
      <c r="I199" s="52" t="str">
        <f>IF(H199="","",IF(E199=H199,"SIM","NÃO"))</f>
        <v>SIM</v>
      </c>
      <c r="J199" s="52" t="str">
        <f>IF(H199="","",VLOOKUP(A199,'6.A'!$A$11:$E$564,4,FALSE))</f>
        <v>M2</v>
      </c>
      <c r="K199" s="52" t="str">
        <f>IF(H199="","",IF(J199=D199,"SIM","NÃO"))</f>
        <v>SIM</v>
      </c>
      <c r="L199" s="52">
        <f>IF(H199="","",IF(C199="","",G168*C199))</f>
        <v>6</v>
      </c>
      <c r="M199" s="117" t="str">
        <f>IF(A199="","",VLOOKUP(A199,'6.A'!$A$11:$C$564,2,FALSE))</f>
        <v>PLACA DE OBRA (PARA CONSTRUCAO CIVIL) EM CHAPA GALVANIZADA N. 22, ADESIVADA, DE 2,4 X 1,2 M</v>
      </c>
      <c r="N199" s="57" t="str">
        <f>IF(A199="","",IF(M199=B199,"si","no"))</f>
        <v>si</v>
      </c>
      <c r="O199" s="56"/>
      <c r="P199" s="56"/>
      <c r="Q199" s="48"/>
      <c r="R199" s="48"/>
      <c r="S199" s="2"/>
    </row>
    <row r="200" spans="1:19" ht="12.75" customHeight="1" x14ac:dyDescent="0.2">
      <c r="A200" s="22">
        <f>'6.A'!$A$115</f>
        <v>7340</v>
      </c>
      <c r="B200" s="23" t="str">
        <f>IF(A200="","",VLOOKUP(A200,'6.A'!$A$11:$G$180,2,FALSE))</f>
        <v>IMUNIZANTE PARA MADEIRA, INCOLOR</v>
      </c>
      <c r="C200" s="99">
        <f>0.5*0.3257</f>
        <v>0.16284999999999999</v>
      </c>
      <c r="D200" s="57" t="str">
        <f>IF(A200="","",VLOOKUP(A200,'6.A'!$A$11:$G$180,4,FALSE))</f>
        <v>L</v>
      </c>
      <c r="E200" s="100">
        <f>IF(A200="","",VLOOKUP(A200,'6.A'!$A$11:$G$180,5,FALSE))</f>
        <v>0</v>
      </c>
      <c r="F200" s="24">
        <f t="shared" si="81"/>
        <v>0</v>
      </c>
      <c r="G200" s="52"/>
      <c r="H200" s="52">
        <f>IF(A200="","",VLOOKUP(A200,'6.A'!$A$11:$E$7984,5,FALSE))</f>
        <v>0</v>
      </c>
      <c r="I200" s="52" t="str">
        <f t="shared" si="82"/>
        <v>SIM</v>
      </c>
      <c r="J200" s="52" t="str">
        <f>IF(H200="","",VLOOKUP(A200,'6.A'!$A$11:$E$564,4,FALSE))</f>
        <v>L</v>
      </c>
      <c r="K200" s="52" t="str">
        <f t="shared" si="83"/>
        <v>SIM</v>
      </c>
      <c r="L200" s="52">
        <f>IF(H200="","",IF(C200="","",G168*C200))</f>
        <v>0.97709999999999997</v>
      </c>
      <c r="M200" s="117" t="str">
        <f>IF(A200="","",VLOOKUP(A200,'6.A'!$A$11:$C$564,2,FALSE))</f>
        <v>IMUNIZANTE PARA MADEIRA, INCOLOR</v>
      </c>
      <c r="N200" s="57" t="str">
        <f t="shared" si="84"/>
        <v>si</v>
      </c>
      <c r="O200" s="56"/>
      <c r="P200" s="56"/>
      <c r="Q200" s="48"/>
      <c r="R200" s="48"/>
      <c r="S200" s="2"/>
    </row>
    <row r="201" spans="1:19" ht="12.75" customHeight="1" x14ac:dyDescent="0.2">
      <c r="A201" s="22"/>
      <c r="B201" s="23"/>
      <c r="C201" s="99"/>
      <c r="D201" s="57"/>
      <c r="E201" s="100"/>
      <c r="F201" s="24" t="str">
        <f>IF(A201="","0,00",ROUND(C201*E201,2))</f>
        <v>0,00</v>
      </c>
      <c r="G201" s="52"/>
      <c r="H201" s="52" t="str">
        <f>IF(A201="","",VLOOKUP(A201,'6.A'!$A$11:$E$7984,5,FALSE))</f>
        <v/>
      </c>
      <c r="I201" s="52" t="str">
        <f>IF(H201="","",IF(E201=H201,"SIM","NÃO"))</f>
        <v/>
      </c>
      <c r="J201" s="52" t="str">
        <f>IF(H201="","",VLOOKUP(A201,'6.A'!$A$11:$E$564,4,FALSE))</f>
        <v/>
      </c>
      <c r="K201" s="52" t="str">
        <f>IF(H201="","",IF(J201=D201,"SIM","NÃO"))</f>
        <v/>
      </c>
      <c r="L201" s="52" t="str">
        <f>IF(H201="","",IF(C201="","",G168*C201))</f>
        <v/>
      </c>
      <c r="M201" s="117" t="str">
        <f>IF(A201="","",VLOOKUP(A201,'6.A'!$A$11:$C$564,2,FALSE))</f>
        <v/>
      </c>
      <c r="N201" s="57" t="str">
        <f>IF(A201="","",IF(M201=B201,"si","no"))</f>
        <v/>
      </c>
      <c r="O201" s="56"/>
      <c r="P201" s="56"/>
      <c r="Q201" s="48"/>
      <c r="R201" s="48"/>
      <c r="S201" s="2"/>
    </row>
    <row r="202" spans="1:19" ht="12.75" customHeight="1" x14ac:dyDescent="0.2">
      <c r="A202" s="22"/>
      <c r="B202" s="23" t="str">
        <f>IF(A202="","",VLOOKUP(A202,'6.A'!$A$11:$G$180,2,FALSE))</f>
        <v/>
      </c>
      <c r="C202" s="99"/>
      <c r="D202" s="57" t="str">
        <f>IF(A202="","",VLOOKUP(A202,'6.A'!$A$11:$G$180,4,FALSE))</f>
        <v/>
      </c>
      <c r="E202" s="100" t="str">
        <f>IF(A202="","",VLOOKUP(A202,'6.A'!$A$11:$G$180,5,FALSE))</f>
        <v/>
      </c>
      <c r="F202" s="24" t="str">
        <f t="shared" si="81"/>
        <v>0,00</v>
      </c>
      <c r="G202" s="52"/>
      <c r="H202" s="52" t="str">
        <f>IF(A202="","",VLOOKUP(A202,'6.A'!$A$11:$E$7984,5,FALSE))</f>
        <v/>
      </c>
      <c r="I202" s="52" t="str">
        <f t="shared" si="82"/>
        <v/>
      </c>
      <c r="J202" s="52" t="str">
        <f>IF(H202="","",VLOOKUP(A202,'6.A'!$A$11:$E$564,4,FALSE))</f>
        <v/>
      </c>
      <c r="K202" s="52" t="str">
        <f t="shared" si="83"/>
        <v/>
      </c>
      <c r="L202" s="52" t="str">
        <f>IF(H202="","",IF(C202="","",G168*C202))</f>
        <v/>
      </c>
      <c r="M202" s="117" t="str">
        <f>IF(A202="","",VLOOKUP(A202,'6.A'!$A$11:$C$564,2,FALSE))</f>
        <v/>
      </c>
      <c r="N202" s="57" t="str">
        <f t="shared" si="84"/>
        <v/>
      </c>
      <c r="O202" s="56"/>
      <c r="P202" s="56"/>
      <c r="Q202" s="48"/>
      <c r="R202" s="48"/>
      <c r="S202" s="2"/>
    </row>
    <row r="203" spans="1:19" ht="12.75" customHeight="1" x14ac:dyDescent="0.2">
      <c r="A203" s="22"/>
      <c r="B203" s="23" t="str">
        <f>IF(A203="","",VLOOKUP(A203,'6.A'!$A$11:$G$180,2,FALSE))</f>
        <v/>
      </c>
      <c r="C203" s="99"/>
      <c r="D203" s="57" t="str">
        <f>IF(A203="","",VLOOKUP(A203,'6.A'!$A$11:$G$180,4,FALSE))</f>
        <v/>
      </c>
      <c r="E203" s="100" t="str">
        <f>IF(A203="","",VLOOKUP(A203,'6.A'!$A$11:$G$180,5,FALSE))</f>
        <v/>
      </c>
      <c r="F203" s="24" t="str">
        <f t="shared" si="81"/>
        <v>0,00</v>
      </c>
      <c r="G203" s="52"/>
      <c r="H203" s="52" t="str">
        <f>IF(A203="","",VLOOKUP(A203,'6.A'!$A$11:$E$7984,5,FALSE))</f>
        <v/>
      </c>
      <c r="I203" s="52" t="str">
        <f t="shared" si="82"/>
        <v/>
      </c>
      <c r="J203" s="52" t="str">
        <f>IF(H203="","",VLOOKUP(A203,'6.A'!$A$11:$E$564,4,FALSE))</f>
        <v/>
      </c>
      <c r="K203" s="52" t="str">
        <f t="shared" si="83"/>
        <v/>
      </c>
      <c r="L203" s="52" t="str">
        <f>IF(H203="","",IF(C203="","",G168*C203))</f>
        <v/>
      </c>
      <c r="M203" s="117" t="str">
        <f>IF(A203="","",VLOOKUP(A203,'6.A'!$A$11:$C$564,2,FALSE))</f>
        <v/>
      </c>
      <c r="N203" s="57" t="str">
        <f t="shared" si="84"/>
        <v/>
      </c>
      <c r="O203" s="56"/>
      <c r="P203" s="56"/>
      <c r="Q203" s="48"/>
      <c r="R203" s="48"/>
      <c r="S203" s="2"/>
    </row>
    <row r="204" spans="1:19" ht="12.75" customHeight="1" x14ac:dyDescent="0.2">
      <c r="A204" s="22"/>
      <c r="B204" s="23" t="str">
        <f>IF(A204="","",VLOOKUP(A204,'6.A'!$A$11:$G$180,2,FALSE))</f>
        <v/>
      </c>
      <c r="C204" s="99"/>
      <c r="D204" s="57" t="str">
        <f>IF(A204="","",VLOOKUP(A204,'6.A'!$A$11:$G$180,4,FALSE))</f>
        <v/>
      </c>
      <c r="E204" s="100" t="str">
        <f>IF(A204="","",VLOOKUP(A204,'6.A'!$A$11:$G$180,5,FALSE))</f>
        <v/>
      </c>
      <c r="F204" s="24" t="str">
        <f t="shared" si="81"/>
        <v>0,00</v>
      </c>
      <c r="G204" s="52"/>
      <c r="H204" s="52" t="str">
        <f>IF(A204="","",VLOOKUP(A204,'6.A'!$A$11:$E$7984,5,FALSE))</f>
        <v/>
      </c>
      <c r="I204" s="52" t="str">
        <f t="shared" si="82"/>
        <v/>
      </c>
      <c r="J204" s="52" t="str">
        <f>IF(H204="","",VLOOKUP(A204,'6.A'!$A$11:$E$564,4,FALSE))</f>
        <v/>
      </c>
      <c r="K204" s="52" t="str">
        <f t="shared" si="83"/>
        <v/>
      </c>
      <c r="L204" s="52" t="str">
        <f>IF(H204="","",IF(C204="","",G168*C204))</f>
        <v/>
      </c>
      <c r="M204" s="117" t="str">
        <f>IF(A204="","",VLOOKUP(A204,'6.A'!$A$11:$C$564,2,FALSE))</f>
        <v/>
      </c>
      <c r="N204" s="57" t="str">
        <f t="shared" si="84"/>
        <v/>
      </c>
      <c r="O204" s="56"/>
      <c r="P204" s="56"/>
      <c r="Q204" s="48"/>
      <c r="R204" s="48"/>
      <c r="S204" s="2"/>
    </row>
    <row r="205" spans="1:19" ht="12.75" customHeight="1" x14ac:dyDescent="0.2">
      <c r="A205" s="22"/>
      <c r="B205" s="23" t="str">
        <f>IF(A205="","",VLOOKUP(A205,'6.A'!$A$11:$G$180,2,FALSE))</f>
        <v/>
      </c>
      <c r="C205" s="99"/>
      <c r="D205" s="57" t="str">
        <f>IF(A205="","",VLOOKUP(A205,'6.A'!$A$11:$G$180,4,FALSE))</f>
        <v/>
      </c>
      <c r="E205" s="100" t="str">
        <f>IF(A205="","",VLOOKUP(A205,'6.A'!$A$11:$G$180,5,FALSE))</f>
        <v/>
      </c>
      <c r="F205" s="24" t="str">
        <f t="shared" si="81"/>
        <v>0,00</v>
      </c>
      <c r="G205" s="52"/>
      <c r="H205" s="52" t="str">
        <f>IF(A205="","",VLOOKUP(A205,'6.A'!$A$11:$E$7984,5,FALSE))</f>
        <v/>
      </c>
      <c r="I205" s="52" t="str">
        <f t="shared" si="82"/>
        <v/>
      </c>
      <c r="J205" s="52" t="str">
        <f>IF(H205="","",VLOOKUP(A205,'6.A'!$A$11:$E$564,4,FALSE))</f>
        <v/>
      </c>
      <c r="K205" s="52" t="str">
        <f t="shared" si="83"/>
        <v/>
      </c>
      <c r="L205" s="52" t="str">
        <f>IF(H205="","",IF(C205="","",G168*C205))</f>
        <v/>
      </c>
      <c r="M205" s="117" t="str">
        <f>IF(A205="","",VLOOKUP(A205,'6.A'!$A$11:$C$564,2,FALSE))</f>
        <v/>
      </c>
      <c r="N205" s="57" t="str">
        <f t="shared" si="84"/>
        <v/>
      </c>
      <c r="O205" s="56"/>
      <c r="P205" s="56"/>
      <c r="Q205" s="48"/>
      <c r="R205" s="48"/>
      <c r="S205" s="2"/>
    </row>
    <row r="206" spans="1:19" ht="12.75" customHeight="1" x14ac:dyDescent="0.2">
      <c r="A206" s="22"/>
      <c r="B206" s="23" t="str">
        <f>IF(A206="","",VLOOKUP(A206,'6.A'!$A$11:$G$180,2,FALSE))</f>
        <v/>
      </c>
      <c r="C206" s="99"/>
      <c r="D206" s="57" t="str">
        <f>IF(A206="","",VLOOKUP(A206,'6.A'!$A$11:$G$180,4,FALSE))</f>
        <v/>
      </c>
      <c r="E206" s="100" t="str">
        <f>IF(A206="","",VLOOKUP(A206,'6.A'!$A$11:$G$180,5,FALSE))</f>
        <v/>
      </c>
      <c r="F206" s="24" t="str">
        <f t="shared" si="81"/>
        <v>0,00</v>
      </c>
      <c r="G206" s="52"/>
      <c r="H206" s="52" t="str">
        <f>IF(A206="","",VLOOKUP(A206,'6.A'!$A$11:$E$7984,5,FALSE))</f>
        <v/>
      </c>
      <c r="I206" s="52" t="str">
        <f t="shared" si="82"/>
        <v/>
      </c>
      <c r="J206" s="52" t="str">
        <f>IF(H206="","",VLOOKUP(A206,'6.A'!$A$11:$E$564,4,FALSE))</f>
        <v/>
      </c>
      <c r="K206" s="52" t="str">
        <f t="shared" si="83"/>
        <v/>
      </c>
      <c r="L206" s="52" t="str">
        <f>IF(H206="","",IF(C206="","",G168*C206))</f>
        <v/>
      </c>
      <c r="M206" s="117" t="str">
        <f>IF(A206="","",VLOOKUP(A206,'6.A'!$A$11:$C$564,2,FALSE))</f>
        <v/>
      </c>
      <c r="N206" s="57" t="str">
        <f t="shared" si="84"/>
        <v/>
      </c>
      <c r="O206" s="56"/>
      <c r="P206" s="56"/>
      <c r="Q206" s="48"/>
      <c r="R206" s="48"/>
      <c r="S206" s="2"/>
    </row>
    <row r="207" spans="1:19" ht="12.75" customHeight="1" x14ac:dyDescent="0.2">
      <c r="A207" s="22"/>
      <c r="B207" s="23" t="str">
        <f>IF(A207="","",VLOOKUP(A207,'6.A'!$A$11:$G$180,2,FALSE))</f>
        <v/>
      </c>
      <c r="C207" s="99"/>
      <c r="D207" s="57" t="str">
        <f>IF(A207="","",VLOOKUP(A207,'6.A'!$A$11:$G$180,4,FALSE))</f>
        <v/>
      </c>
      <c r="E207" s="100" t="str">
        <f>IF(A207="","",VLOOKUP(A207,'6.A'!$A$11:$G$180,5,FALSE))</f>
        <v/>
      </c>
      <c r="F207" s="24" t="str">
        <f t="shared" si="81"/>
        <v>0,00</v>
      </c>
      <c r="G207" s="52"/>
      <c r="H207" s="52" t="str">
        <f>IF(A207="","",VLOOKUP(A207,'6.A'!$A$11:$E$7984,5,FALSE))</f>
        <v/>
      </c>
      <c r="I207" s="52" t="str">
        <f t="shared" si="82"/>
        <v/>
      </c>
      <c r="J207" s="52" t="str">
        <f>IF(H207="","",VLOOKUP(A207,'6.A'!$A$11:$E$564,4,FALSE))</f>
        <v/>
      </c>
      <c r="K207" s="52" t="str">
        <f t="shared" si="83"/>
        <v/>
      </c>
      <c r="L207" s="52" t="str">
        <f>IF(H207="","",IF(C207="","",G168*C207))</f>
        <v/>
      </c>
      <c r="M207" s="117" t="str">
        <f>IF(A207="","",VLOOKUP(A207,'6.A'!$A$11:$C$564,2,FALSE))</f>
        <v/>
      </c>
      <c r="N207" s="57" t="str">
        <f t="shared" si="84"/>
        <v/>
      </c>
      <c r="O207" s="56"/>
      <c r="P207" s="56"/>
      <c r="Q207" s="48"/>
      <c r="R207" s="48"/>
      <c r="S207" s="2"/>
    </row>
    <row r="208" spans="1:19" ht="12.75" customHeight="1" x14ac:dyDescent="0.2">
      <c r="A208" s="22"/>
      <c r="B208" s="23" t="str">
        <f>IF(A208="","",VLOOKUP(A208,'6.A'!$A$11:$G$180,2,FALSE))</f>
        <v/>
      </c>
      <c r="C208" s="99"/>
      <c r="D208" s="57" t="str">
        <f>IF(A208="","",VLOOKUP(A208,'6.A'!$A$11:$G$180,4,FALSE))</f>
        <v/>
      </c>
      <c r="E208" s="100" t="str">
        <f>IF(A208="","",VLOOKUP(A208,'6.A'!$A$11:$G$180,5,FALSE))</f>
        <v/>
      </c>
      <c r="F208" s="24" t="str">
        <f t="shared" si="81"/>
        <v>0,00</v>
      </c>
      <c r="G208" s="52"/>
      <c r="H208" s="52" t="str">
        <f>IF(A208="","",VLOOKUP(A208,'6.A'!$A$11:$E$7984,5,FALSE))</f>
        <v/>
      </c>
      <c r="I208" s="52" t="str">
        <f t="shared" si="82"/>
        <v/>
      </c>
      <c r="J208" s="52" t="str">
        <f>IF(H208="","",VLOOKUP(A208,'6.A'!$A$11:$E$564,4,FALSE))</f>
        <v/>
      </c>
      <c r="K208" s="52" t="str">
        <f t="shared" si="83"/>
        <v/>
      </c>
      <c r="L208" s="52" t="str">
        <f>IF(H208="","",IF(C208="","",G168*C208))</f>
        <v/>
      </c>
      <c r="M208" s="117" t="str">
        <f>IF(A208="","",VLOOKUP(A208,'6.A'!$A$11:$C$564,2,FALSE))</f>
        <v/>
      </c>
      <c r="N208" s="57" t="str">
        <f t="shared" si="84"/>
        <v/>
      </c>
      <c r="O208" s="56"/>
      <c r="P208" s="56"/>
      <c r="Q208" s="48"/>
      <c r="R208" s="48"/>
    </row>
    <row r="209" spans="1:23" ht="12.75" customHeight="1" x14ac:dyDescent="0.2">
      <c r="A209" s="22"/>
      <c r="B209" s="23" t="str">
        <f>IF(A209="","",VLOOKUP(A209,'6.A'!$A$11:$G$180,2,FALSE))</f>
        <v/>
      </c>
      <c r="C209" s="99"/>
      <c r="D209" s="57" t="str">
        <f>IF(A209="","",VLOOKUP(A209,'6.A'!$A$11:$G$180,4,FALSE))</f>
        <v/>
      </c>
      <c r="E209" s="100" t="str">
        <f>IF(A209="","",VLOOKUP(A209,'6.A'!$A$11:$G$180,5,FALSE))</f>
        <v/>
      </c>
      <c r="F209" s="24" t="str">
        <f t="shared" si="81"/>
        <v>0,00</v>
      </c>
      <c r="G209" s="52"/>
      <c r="H209" s="52" t="str">
        <f>IF(A209="","",VLOOKUP(A209,'6.A'!$A$11:$E$7984,5,FALSE))</f>
        <v/>
      </c>
      <c r="I209" s="52" t="str">
        <f t="shared" si="82"/>
        <v/>
      </c>
      <c r="J209" s="52" t="str">
        <f>IF(H209="","",VLOOKUP(A209,'6.A'!$A$11:$E$564,4,FALSE))</f>
        <v/>
      </c>
      <c r="K209" s="52" t="str">
        <f t="shared" si="83"/>
        <v/>
      </c>
      <c r="L209" s="52" t="str">
        <f>IF(H209="","",IF(C209="","",G168*C209))</f>
        <v/>
      </c>
      <c r="M209" s="117" t="str">
        <f>IF(A209="","",VLOOKUP(A209,'6.A'!$A$11:$C$564,2,FALSE))</f>
        <v/>
      </c>
      <c r="N209" s="57" t="str">
        <f t="shared" si="84"/>
        <v/>
      </c>
      <c r="O209" s="56"/>
      <c r="P209" s="56"/>
      <c r="Q209" s="48"/>
      <c r="R209" s="48"/>
    </row>
    <row r="210" spans="1:23" ht="12.75" customHeight="1" x14ac:dyDescent="0.2">
      <c r="A210" s="22"/>
      <c r="B210" s="23" t="str">
        <f>IF(A210="","",VLOOKUP(A210,'6.A'!$A$11:$G$180,2,FALSE))</f>
        <v/>
      </c>
      <c r="C210" s="99"/>
      <c r="D210" s="57" t="str">
        <f>IF(A210="","",VLOOKUP(A210,'6.A'!$A$11:$G$180,4,FALSE))</f>
        <v/>
      </c>
      <c r="E210" s="100" t="str">
        <f>IF(A210="","",VLOOKUP(A210,'6.A'!$A$11:$G$180,5,FALSE))</f>
        <v/>
      </c>
      <c r="F210" s="24" t="str">
        <f t="shared" si="81"/>
        <v>0,00</v>
      </c>
      <c r="G210" s="52"/>
      <c r="H210" s="52" t="str">
        <f>IF(A210="","",VLOOKUP(A210,'6.A'!$A$11:$E$7984,5,FALSE))</f>
        <v/>
      </c>
      <c r="I210" s="52" t="str">
        <f t="shared" si="82"/>
        <v/>
      </c>
      <c r="J210" s="52" t="str">
        <f>IF(H210="","",VLOOKUP(A210,'6.A'!$A$11:$E$564,4,FALSE))</f>
        <v/>
      </c>
      <c r="K210" s="52" t="str">
        <f t="shared" si="83"/>
        <v/>
      </c>
      <c r="L210" s="52" t="str">
        <f>IF(H210="","",IF(C210="","",G168*C210))</f>
        <v/>
      </c>
      <c r="M210" s="117" t="str">
        <f>IF(A210="","",VLOOKUP(A210,'6.A'!$A$11:$C$564,2,FALSE))</f>
        <v/>
      </c>
      <c r="N210" s="57" t="str">
        <f t="shared" si="84"/>
        <v/>
      </c>
      <c r="O210" s="56"/>
      <c r="P210" s="56"/>
      <c r="Q210" s="48"/>
      <c r="R210" s="48"/>
    </row>
    <row r="211" spans="1:23" ht="12.75" customHeight="1" x14ac:dyDescent="0.2">
      <c r="A211" s="22"/>
      <c r="B211" s="39" t="str">
        <f>IF(A211="","",VLOOKUP(A211,'6.A'!$A$11:$G$180,2,FALSE))</f>
        <v/>
      </c>
      <c r="C211" s="99"/>
      <c r="D211" s="57" t="str">
        <f>IF(A211="","",VLOOKUP(A211,'6.A'!$A$11:$G$180,4,FALSE))</f>
        <v/>
      </c>
      <c r="E211" s="100" t="str">
        <f>IF(A211="","",VLOOKUP(A211,'6.A'!$A$11:$G$180,5,FALSE))</f>
        <v/>
      </c>
      <c r="F211" s="24" t="str">
        <f t="shared" si="81"/>
        <v>0,00</v>
      </c>
      <c r="G211" s="52"/>
      <c r="H211" s="52" t="str">
        <f>IF(A211="","",VLOOKUP(A211,'6.A'!$A$11:$E$7984,5,FALSE))</f>
        <v/>
      </c>
      <c r="I211" s="52" t="str">
        <f t="shared" si="82"/>
        <v/>
      </c>
      <c r="J211" s="52" t="str">
        <f>IF(H211="","",VLOOKUP(A211,'6.A'!$A$11:$E$564,4,FALSE))</f>
        <v/>
      </c>
      <c r="K211" s="52" t="str">
        <f t="shared" si="83"/>
        <v/>
      </c>
      <c r="L211" s="52" t="str">
        <f>IF(H211="","",IF(C211="","",G168*C211))</f>
        <v/>
      </c>
      <c r="M211" s="117" t="str">
        <f>IF(A211="","",VLOOKUP(A211,'6.A'!$A$11:$C$564,2,FALSE))</f>
        <v/>
      </c>
      <c r="N211" s="57" t="str">
        <f t="shared" si="84"/>
        <v/>
      </c>
      <c r="O211" s="56"/>
      <c r="P211" s="56"/>
      <c r="Q211" s="48"/>
      <c r="R211" s="48"/>
    </row>
    <row r="212" spans="1:23" ht="12.75" customHeight="1" x14ac:dyDescent="0.2">
      <c r="A212" s="22"/>
      <c r="B212" s="39" t="str">
        <f>IF(A212="","",VLOOKUP(A212,'6.A'!$A$11:$G$180,2,FALSE))</f>
        <v/>
      </c>
      <c r="C212" s="99"/>
      <c r="D212" s="57" t="str">
        <f>IF(A212="","",VLOOKUP(A212,'6.A'!$A$11:$G$180,4,FALSE))</f>
        <v/>
      </c>
      <c r="E212" s="100" t="str">
        <f>IF(A212="","",VLOOKUP(A212,'6.A'!$A$11:$G$180,5,FALSE))</f>
        <v/>
      </c>
      <c r="F212" s="24" t="str">
        <f t="shared" si="81"/>
        <v>0,00</v>
      </c>
      <c r="G212" s="52"/>
      <c r="H212" s="52" t="str">
        <f>IF(A212="","",VLOOKUP(A212,'6.A'!$A$11:$E$7984,5,FALSE))</f>
        <v/>
      </c>
      <c r="I212" s="52" t="str">
        <f t="shared" si="82"/>
        <v/>
      </c>
      <c r="J212" s="52" t="str">
        <f>IF(H212="","",VLOOKUP(A212,'6.A'!$A$11:$E$564,4,FALSE))</f>
        <v/>
      </c>
      <c r="K212" s="52" t="str">
        <f t="shared" si="83"/>
        <v/>
      </c>
      <c r="L212" s="52" t="str">
        <f>IF(H212="","",IF(C212="","",G168*C212))</f>
        <v/>
      </c>
      <c r="M212" s="117" t="str">
        <f>IF(A212="","",VLOOKUP(A212,'6.A'!$A$11:$C$564,2,FALSE))</f>
        <v/>
      </c>
      <c r="N212" s="57" t="str">
        <f t="shared" si="84"/>
        <v/>
      </c>
      <c r="O212" s="56"/>
      <c r="P212" s="56"/>
      <c r="Q212" s="48"/>
      <c r="R212" s="48"/>
    </row>
    <row r="213" spans="1:23" ht="12.75" customHeight="1" x14ac:dyDescent="0.2">
      <c r="A213" s="22"/>
      <c r="B213" s="39" t="str">
        <f>IF(A213="","",VLOOKUP(A213,'6.A'!$A$11:$G$180,2,FALSE))</f>
        <v/>
      </c>
      <c r="C213" s="99"/>
      <c r="D213" s="57" t="str">
        <f>IF(A213="","",VLOOKUP(A213,'6.A'!$A$11:$G$180,4,FALSE))</f>
        <v/>
      </c>
      <c r="E213" s="100" t="str">
        <f>IF(A213="","",VLOOKUP(A213,'6.A'!$A$11:$G$180,5,FALSE))</f>
        <v/>
      </c>
      <c r="F213" s="24" t="str">
        <f t="shared" si="81"/>
        <v>0,00</v>
      </c>
      <c r="G213" s="52"/>
      <c r="H213" s="52" t="str">
        <f>IF(A213="","",VLOOKUP(A213,'6.A'!$A$11:$E$7984,5,FALSE))</f>
        <v/>
      </c>
      <c r="I213" s="52" t="str">
        <f t="shared" si="82"/>
        <v/>
      </c>
      <c r="J213" s="52" t="str">
        <f>IF(H213="","",VLOOKUP(A213,'6.A'!$A$11:$E$564,4,FALSE))</f>
        <v/>
      </c>
      <c r="K213" s="52" t="str">
        <f t="shared" si="83"/>
        <v/>
      </c>
      <c r="L213" s="52" t="str">
        <f>IF(H213="","",IF(C213="","",G168*C213))</f>
        <v/>
      </c>
      <c r="M213" s="117" t="str">
        <f>IF(A213="","",VLOOKUP(A213,'6.A'!$A$11:$C$564,2,FALSE))</f>
        <v/>
      </c>
      <c r="N213" s="57" t="str">
        <f t="shared" si="84"/>
        <v/>
      </c>
      <c r="O213" s="56"/>
      <c r="P213" s="56"/>
      <c r="Q213" s="48"/>
      <c r="R213" s="48"/>
    </row>
    <row r="214" spans="1:23" ht="12.75" customHeight="1" x14ac:dyDescent="0.2">
      <c r="A214" s="22"/>
      <c r="B214" s="39" t="str">
        <f>IF(A214="","",VLOOKUP(A214,'6.A'!$A$11:$G$180,2,FALSE))</f>
        <v/>
      </c>
      <c r="C214" s="99"/>
      <c r="D214" s="57" t="str">
        <f>IF(A214="","",VLOOKUP(A214,'6.A'!$A$11:$G$180,4,FALSE))</f>
        <v/>
      </c>
      <c r="E214" s="100" t="str">
        <f>IF(A214="","",VLOOKUP(A214,'6.A'!$A$11:$G$180,5,FALSE))</f>
        <v/>
      </c>
      <c r="F214" s="24" t="str">
        <f t="shared" si="81"/>
        <v>0,00</v>
      </c>
      <c r="G214" s="52"/>
      <c r="H214" s="52" t="str">
        <f>IF(A214="","",VLOOKUP(A214,'6.A'!$A$11:$E$7984,5,FALSE))</f>
        <v/>
      </c>
      <c r="I214" s="52" t="str">
        <f t="shared" si="82"/>
        <v/>
      </c>
      <c r="J214" s="52" t="str">
        <f>IF(H214="","",VLOOKUP(A214,'6.A'!$A$11:$E$564,4,FALSE))</f>
        <v/>
      </c>
      <c r="K214" s="52" t="str">
        <f t="shared" si="83"/>
        <v/>
      </c>
      <c r="L214" s="52" t="str">
        <f>IF(H214="","",IF(C214="","",G168*C214))</f>
        <v/>
      </c>
      <c r="M214" s="117" t="str">
        <f>IF(A214="","",VLOOKUP(A214,'6.A'!$A$11:$C$564,2,FALSE))</f>
        <v/>
      </c>
      <c r="N214" s="57" t="str">
        <f t="shared" si="84"/>
        <v/>
      </c>
      <c r="O214" s="56"/>
      <c r="P214" s="56"/>
      <c r="Q214" s="48"/>
      <c r="R214" s="48"/>
    </row>
    <row r="215" spans="1:23" ht="12.75" customHeight="1" x14ac:dyDescent="0.2">
      <c r="A215" s="22"/>
      <c r="B215" s="39" t="str">
        <f>IF(A215="","",VLOOKUP(A215,'6.A'!$A$11:$G$180,2,FALSE))</f>
        <v/>
      </c>
      <c r="C215" s="99"/>
      <c r="D215" s="57" t="str">
        <f>IF(A215="","",VLOOKUP(A215,'6.A'!$A$11:$G$180,4,FALSE))</f>
        <v/>
      </c>
      <c r="E215" s="100" t="str">
        <f>IF(A215="","",VLOOKUP(A215,'6.A'!$A$11:$G$180,5,FALSE))</f>
        <v/>
      </c>
      <c r="F215" s="24" t="str">
        <f t="shared" si="81"/>
        <v>0,00</v>
      </c>
      <c r="G215" s="52"/>
      <c r="H215" s="52" t="str">
        <f>IF(A215="","",VLOOKUP(A215,'6.A'!$A$11:$E$7984,5,FALSE))</f>
        <v/>
      </c>
      <c r="I215" s="52" t="str">
        <f t="shared" si="82"/>
        <v/>
      </c>
      <c r="J215" s="52" t="str">
        <f>IF(H215="","",VLOOKUP(A215,'6.A'!$A$11:$E$564,4,FALSE))</f>
        <v/>
      </c>
      <c r="K215" s="52" t="str">
        <f t="shared" si="83"/>
        <v/>
      </c>
      <c r="L215" s="52" t="str">
        <f>IF(H215="","",IF(C215="","",G168*C215))</f>
        <v/>
      </c>
      <c r="M215" s="117" t="str">
        <f>IF(A215="","",VLOOKUP(A215,'6.A'!$A$11:$C$564,2,FALSE))</f>
        <v/>
      </c>
      <c r="N215" s="57" t="str">
        <f t="shared" si="84"/>
        <v/>
      </c>
      <c r="O215" s="56"/>
      <c r="P215" s="56"/>
      <c r="Q215" s="48"/>
      <c r="R215" s="48"/>
    </row>
    <row r="216" spans="1:23" ht="12.75" customHeight="1" x14ac:dyDescent="0.2">
      <c r="A216" s="22"/>
      <c r="B216" s="39" t="str">
        <f>IF(A216="","",VLOOKUP(A216,'6.A'!$A$11:$G$180,2,FALSE))</f>
        <v/>
      </c>
      <c r="C216" s="99"/>
      <c r="D216" s="57" t="str">
        <f>IF(A216="","",VLOOKUP(A216,'6.A'!$A$11:$G$180,4,FALSE))</f>
        <v/>
      </c>
      <c r="E216" s="100" t="str">
        <f>IF(A216="","",VLOOKUP(A216,'6.A'!$A$11:$G$180,5,FALSE))</f>
        <v/>
      </c>
      <c r="F216" s="24" t="str">
        <f t="shared" si="81"/>
        <v>0,00</v>
      </c>
      <c r="G216" s="52"/>
      <c r="H216" s="52" t="str">
        <f>IF(A216="","",VLOOKUP(A216,'6.A'!$A$11:$E$7984,5,FALSE))</f>
        <v/>
      </c>
      <c r="I216" s="52" t="str">
        <f t="shared" si="82"/>
        <v/>
      </c>
      <c r="J216" s="52" t="str">
        <f>IF(H216="","",VLOOKUP(A216,'6.A'!$A$11:$E$564,4,FALSE))</f>
        <v/>
      </c>
      <c r="K216" s="52" t="str">
        <f t="shared" si="83"/>
        <v/>
      </c>
      <c r="L216" s="52" t="str">
        <f>IF(H216="","",IF(C216="","",G168*C216))</f>
        <v/>
      </c>
      <c r="M216" s="117" t="str">
        <f>IF(A216="","",VLOOKUP(A216,'6.A'!$A$11:$C$564,2,FALSE))</f>
        <v/>
      </c>
      <c r="N216" s="57" t="str">
        <f t="shared" si="84"/>
        <v/>
      </c>
      <c r="O216" s="56"/>
      <c r="P216" s="56"/>
      <c r="Q216" s="48"/>
      <c r="R216" s="48"/>
    </row>
    <row r="217" spans="1:23" ht="12.75" customHeight="1" x14ac:dyDescent="0.2">
      <c r="A217" s="22"/>
      <c r="B217" s="26" t="str">
        <f>$A$9</f>
        <v>BDI</v>
      </c>
      <c r="C217" s="40">
        <f>$C$9</f>
        <v>0</v>
      </c>
      <c r="D217" s="57"/>
      <c r="F217" s="28">
        <f>ROUND(SUM(F197:F216)*C217,2)</f>
        <v>0</v>
      </c>
      <c r="G217" s="63"/>
      <c r="M217" s="57"/>
      <c r="N217" s="57"/>
      <c r="O217" s="56"/>
      <c r="P217" s="56"/>
      <c r="Q217" s="48"/>
      <c r="R217" s="48"/>
    </row>
    <row r="218" spans="1:23" ht="12.75" customHeight="1" thickBot="1" x14ac:dyDescent="0.25">
      <c r="A218" s="41"/>
      <c r="B218" s="42" t="s">
        <v>57</v>
      </c>
      <c r="C218" s="43"/>
      <c r="D218" s="44"/>
      <c r="E218" s="45"/>
      <c r="F218" s="46">
        <f>ROUND(SUM(F197:F217),2)</f>
        <v>0</v>
      </c>
      <c r="G218" s="63"/>
      <c r="M218" s="57"/>
      <c r="N218" s="57"/>
      <c r="O218" s="56"/>
      <c r="P218" s="56"/>
      <c r="Q218" s="48"/>
      <c r="R218" s="48"/>
    </row>
    <row r="219" spans="1:23" ht="12" customHeight="1" thickBot="1" x14ac:dyDescent="0.25">
      <c r="A219" s="8"/>
      <c r="B219" s="9"/>
      <c r="C219" s="10"/>
      <c r="D219" s="57"/>
      <c r="F219" s="12"/>
      <c r="M219" s="57"/>
      <c r="N219" s="57"/>
      <c r="O219" s="56"/>
      <c r="P219" s="56"/>
    </row>
    <row r="220" spans="1:23" ht="50.1" customHeight="1" x14ac:dyDescent="0.2">
      <c r="A220" s="243" t="str">
        <f>'3.A'!$A$26</f>
        <v>2.1</v>
      </c>
      <c r="B220" s="14" t="str">
        <f>IF(A220="","",VLOOKUP(A220,'3.A'!$A$17:$M$279,2,FALSE))</f>
        <v>TE-06 ENTRADA PRIMÁRIA SIMPLIF. POSTE UNICO - CPFL - 225 KVA - 15KV- 220/127 V - INFRAESTRUTURA CIVIL</v>
      </c>
      <c r="C220" s="413" t="s">
        <v>62</v>
      </c>
      <c r="D220" s="413"/>
      <c r="E220" s="15" t="str">
        <f>IF(A220="","",VLOOKUP(A220,'3.A'!$A$17:$M$279,3,FALSE))</f>
        <v>UN</v>
      </c>
      <c r="F220" s="16">
        <f>ROUND(F234+F247+F270,2)</f>
        <v>0</v>
      </c>
      <c r="G220" s="118">
        <f>VLOOKUP(A220,'3.A'!$A$19:$I$279,4,FALSE)</f>
        <v>1</v>
      </c>
      <c r="H220" s="47">
        <f>SUM(F222:F233)</f>
        <v>0</v>
      </c>
      <c r="I220" s="47">
        <f>SUM(F236:F246)</f>
        <v>0</v>
      </c>
      <c r="J220" s="47">
        <f>SUM(F249:F269)</f>
        <v>0</v>
      </c>
      <c r="K220" s="47">
        <f>SUM(H220:J220)</f>
        <v>0</v>
      </c>
      <c r="L220" s="47" t="str">
        <f>IF(K220=F220,"SIM","NÃO")</f>
        <v>SIM</v>
      </c>
      <c r="M220" s="58">
        <f>ROUND(SUM(F222:F231)*C232,2)+ROUND(SUM(F222:F232)*C233,2)+ROUND(SUM(F222:F231),2)+ROUND(SUM(F236:F245)*C246,2)+ROUND(SUM(F236:F245),2)+ROUND(SUM(F249:F268)*C269,2)+ROUND(SUM(F249:F268),2)</f>
        <v>0</v>
      </c>
      <c r="N220" s="50" t="str">
        <f>IF(M220=F220,"SIM","NÃO")</f>
        <v>SIM</v>
      </c>
      <c r="O220" s="51" t="str">
        <f>VLOOKUP(A220,'3.A'!$A$8:$E$279,3,FALSE)</f>
        <v>UN</v>
      </c>
      <c r="P220" s="51" t="str">
        <f>IF(O220=E220,"SIM","NÃO")</f>
        <v>SIM</v>
      </c>
      <c r="Q220" s="53">
        <f>ROUND(G220*F234,2)+ROUND(G220*F247,2)+ROUND(G220*F270,2)</f>
        <v>0</v>
      </c>
      <c r="R220" s="59">
        <f>VLOOKUP(A220,'3.A'!$A$17:$L$279,12,FALSE)</f>
        <v>0</v>
      </c>
      <c r="S220" s="60" t="str">
        <f>IF(Q220=R220,"si","no")</f>
        <v>si</v>
      </c>
      <c r="T220" s="61">
        <f>SUM(L222:L231)+SUM(L236:L245)+SUM(L249:L268)</f>
        <v>303.59965800000003</v>
      </c>
      <c r="U220" s="52">
        <f>G220*C228+G220*C230+G220*C223+G220*C224+G220*C226+G220*C229+G220*C227+G220*C222+G220*C225+G220*C231+G220*C242+G220*C236+G220*C244+G220*C243+G220*C241+G220*C238+G220*C237+G220*C239+G220*C245+G220*C240+G220*C249+G220*C250+G220*C251+G220*C259+G220*C260+G220*C261+G220*C262+G220*C263+G220*C264+G220*C265+G220*C266+G220*C267+G220*C268+G220*C257+G220*C258+G220*C252+G220*C253+G220*C254+G220*C255+G220*C256</f>
        <v>303.59965799999998</v>
      </c>
      <c r="V220" s="54" t="str">
        <f>IF(T220=U220,"si","no")</f>
        <v>si</v>
      </c>
      <c r="W220" s="137"/>
    </row>
    <row r="221" spans="1:23" ht="12.75" customHeight="1" x14ac:dyDescent="0.2">
      <c r="A221" s="17" t="s">
        <v>3</v>
      </c>
      <c r="B221" s="18" t="s">
        <v>58</v>
      </c>
      <c r="C221" s="56" t="s">
        <v>59</v>
      </c>
      <c r="D221" s="56" t="s">
        <v>16</v>
      </c>
      <c r="E221" s="19" t="s">
        <v>60</v>
      </c>
      <c r="F221" s="20" t="s">
        <v>61</v>
      </c>
      <c r="G221" s="21"/>
      <c r="M221" s="57"/>
      <c r="N221" s="57"/>
      <c r="O221" s="56"/>
      <c r="P221" s="56"/>
      <c r="Q221" s="48"/>
      <c r="R221" s="48"/>
    </row>
    <row r="222" spans="1:23" ht="12.75" customHeight="1" x14ac:dyDescent="0.2">
      <c r="A222" s="22">
        <f>'6.A'!$A$12</f>
        <v>88238</v>
      </c>
      <c r="B222" s="23" t="str">
        <f>IF(A222="","",VLOOKUP(A222,'6.A'!$A$11:$G$180,2,FALSE))</f>
        <v xml:space="preserve">AJUDANTE DE ARMADOR COM ENCARGOS COMPLEMENTARES </v>
      </c>
      <c r="C222" s="99">
        <v>0.69</v>
      </c>
      <c r="D222" s="57" t="str">
        <f>IF(A222="","",VLOOKUP(A222,'6.A'!$A$11:$G$180,4,FALSE))</f>
        <v>H</v>
      </c>
      <c r="E222" s="100">
        <f>IF(A222="","",VLOOKUP(A222,'6.A'!$A$11:$G$180,5,FALSE))</f>
        <v>0</v>
      </c>
      <c r="F222" s="24">
        <f t="shared" ref="F222:F231" si="85">IF(A222="","0,00",ROUND(C222*E222,2))</f>
        <v>0</v>
      </c>
      <c r="G222" s="52"/>
      <c r="H222" s="52">
        <f>IF(A222="","",VLOOKUP(A222,'6.A'!$A$11:$E$7984,5,FALSE))</f>
        <v>0</v>
      </c>
      <c r="I222" s="52" t="str">
        <f>IF(H222="","",IF(E222=H222,"SIM","NÃO"))</f>
        <v>SIM</v>
      </c>
      <c r="J222" s="52" t="str">
        <f>IF(H222="","",VLOOKUP(A222,'6.A'!$A$11:$E$564,4,FALSE))</f>
        <v>H</v>
      </c>
      <c r="K222" s="52" t="str">
        <f>IF(H222="","",IF(J222=D222,"SIM","NÃO"))</f>
        <v>SIM</v>
      </c>
      <c r="L222" s="52">
        <f>IF(H222="","",IF(C222="","",G220*C222))</f>
        <v>0.69</v>
      </c>
      <c r="M222" s="117" t="str">
        <f>IF(A222="","",VLOOKUP(A222,'6.A'!$A$11:$C$564,2,FALSE))</f>
        <v xml:space="preserve">AJUDANTE DE ARMADOR COM ENCARGOS COMPLEMENTARES </v>
      </c>
      <c r="N222" s="57" t="str">
        <f>IF(A222="","",IF(M222=B222,"si","no"))</f>
        <v>si</v>
      </c>
      <c r="O222" s="56"/>
      <c r="P222" s="56"/>
      <c r="Q222" s="48"/>
      <c r="R222" s="48"/>
      <c r="S222" s="2"/>
    </row>
    <row r="223" spans="1:23" ht="12.75" customHeight="1" x14ac:dyDescent="0.2">
      <c r="A223" s="22">
        <f>'6.A'!$A$13</f>
        <v>88239</v>
      </c>
      <c r="B223" s="23" t="str">
        <f>IF(A223="","",VLOOKUP(A223,'6.A'!$A$11:$G$180,2,FALSE))</f>
        <v>AJUDANTE DE CARPINTEIRO COM ENCARGOS COMPLEMENTARES</v>
      </c>
      <c r="C223" s="99">
        <v>1.4930000000000001</v>
      </c>
      <c r="D223" s="57" t="str">
        <f>IF(A223="","",VLOOKUP(A223,'6.A'!$A$11:$G$180,4,FALSE))</f>
        <v>H</v>
      </c>
      <c r="E223" s="100">
        <f>IF(A223="","",VLOOKUP(A223,'6.A'!$A$11:$G$180,5,FALSE))</f>
        <v>0</v>
      </c>
      <c r="F223" s="24">
        <f>IF(A223="","0,00",ROUND(C223*E223,2))</f>
        <v>0</v>
      </c>
      <c r="G223" s="52"/>
      <c r="H223" s="52">
        <f>IF(A223="","",VLOOKUP(A223,'6.A'!$A$11:$E$7984,5,FALSE))</f>
        <v>0</v>
      </c>
      <c r="I223" s="52" t="str">
        <f>IF(H223="","",IF(E223=H223,"SIM","NÃO"))</f>
        <v>SIM</v>
      </c>
      <c r="J223" s="52" t="str">
        <f>IF(H223="","",VLOOKUP(A223,'6.A'!$A$11:$E$564,4,FALSE))</f>
        <v>H</v>
      </c>
      <c r="K223" s="52" t="str">
        <f>IF(H223="","",IF(J223=D223,"SIM","NÃO"))</f>
        <v>SIM</v>
      </c>
      <c r="L223" s="52">
        <f>IF(H223="","",IF(C223="","",G220*C223))</f>
        <v>1.4930000000000001</v>
      </c>
      <c r="M223" s="117" t="str">
        <f>IF(A223="","",VLOOKUP(A223,'6.A'!$A$11:$C$564,2,FALSE))</f>
        <v>AJUDANTE DE CARPINTEIRO COM ENCARGOS COMPLEMENTARES</v>
      </c>
      <c r="N223" s="57" t="str">
        <f>IF(A223="","",IF(M223=B223,"si","no"))</f>
        <v>si</v>
      </c>
      <c r="O223" s="56"/>
      <c r="P223" s="56"/>
      <c r="Q223" s="48"/>
      <c r="R223" s="48"/>
    </row>
    <row r="224" spans="1:23" ht="12.75" customHeight="1" x14ac:dyDescent="0.2">
      <c r="A224" s="22">
        <f>'6.A'!$A$14</f>
        <v>88245</v>
      </c>
      <c r="B224" s="23" t="str">
        <f>IF(A224="","",VLOOKUP(A224,'6.A'!$A$11:$G$180,2,FALSE))</f>
        <v>ARMADOR COM ENCARGOS COMPLEMENTARES</v>
      </c>
      <c r="C224" s="99">
        <v>0.69</v>
      </c>
      <c r="D224" s="57" t="str">
        <f>IF(A224="","",VLOOKUP(A224,'6.A'!$A$11:$G$180,4,FALSE))</f>
        <v>H</v>
      </c>
      <c r="E224" s="100">
        <f>IF(A224="","",VLOOKUP(A224,'6.A'!$A$11:$G$180,5,FALSE))</f>
        <v>0</v>
      </c>
      <c r="F224" s="24">
        <f>IF(A224="","0,00",ROUND(C224*E224,2))</f>
        <v>0</v>
      </c>
      <c r="G224" s="52"/>
      <c r="H224" s="52">
        <f>IF(A224="","",VLOOKUP(A224,'6.A'!$A$11:$E$7984,5,FALSE))</f>
        <v>0</v>
      </c>
      <c r="I224" s="52" t="str">
        <f>IF(H224="","",IF(E224=H224,"SIM","NÃO"))</f>
        <v>SIM</v>
      </c>
      <c r="J224" s="52" t="str">
        <f>IF(H224="","",VLOOKUP(A224,'6.A'!$A$11:$E$564,4,FALSE))</f>
        <v>H</v>
      </c>
      <c r="K224" s="52" t="str">
        <f t="shared" ref="K224" si="86">IF(H224="","",IF(J224=D224,"SIM","NÃO"))</f>
        <v>SIM</v>
      </c>
      <c r="L224" s="52">
        <f>IF(H224="","",IF(C224="","",G220*C224))</f>
        <v>0.69</v>
      </c>
      <c r="M224" s="117" t="str">
        <f>IF(A224="","",VLOOKUP(A224,'6.A'!$A$11:$C$564,2,FALSE))</f>
        <v>ARMADOR COM ENCARGOS COMPLEMENTARES</v>
      </c>
      <c r="N224" s="57" t="str">
        <f t="shared" ref="N224" si="87">IF(A224="","",IF(M224=B224,"si","no"))</f>
        <v>si</v>
      </c>
      <c r="O224" s="56"/>
      <c r="P224" s="56"/>
      <c r="Q224" s="48"/>
      <c r="R224" s="48"/>
      <c r="S224" s="2"/>
    </row>
    <row r="225" spans="1:19" ht="12.75" customHeight="1" x14ac:dyDescent="0.2">
      <c r="A225" s="22">
        <f>'6.A'!$A$16</f>
        <v>88261</v>
      </c>
      <c r="B225" s="23" t="str">
        <f>IF(A225="","",VLOOKUP(A225,'6.A'!$A$11:$G$180,2,FALSE))</f>
        <v>CARPINTEIRO DE ESQUADRIA COM ENCARGOS COMPLEMENTARES</v>
      </c>
      <c r="C225" s="99">
        <v>1.4930000000000001</v>
      </c>
      <c r="D225" s="57" t="str">
        <f>IF(A225="","",VLOOKUP(A225,'6.A'!$A$11:$G$180,4,FALSE))</f>
        <v>H</v>
      </c>
      <c r="E225" s="100">
        <f>IF(A225="","",VLOOKUP(A225,'6.A'!$A$11:$G$180,5,FALSE))</f>
        <v>0</v>
      </c>
      <c r="F225" s="24">
        <f>IF(A225="","0,00",ROUND(C225*E225,2))</f>
        <v>0</v>
      </c>
      <c r="G225" s="52"/>
      <c r="H225" s="52">
        <f>IF(A225="","",VLOOKUP(A225,'6.A'!$A$11:$E$7984,5,FALSE))</f>
        <v>0</v>
      </c>
      <c r="I225" s="52" t="str">
        <f>IF(H225="","",IF(E225=H225,"SIM","NÃO"))</f>
        <v>SIM</v>
      </c>
      <c r="J225" s="52" t="str">
        <f>IF(H225="","",VLOOKUP(A225,'6.A'!$A$11:$E$564,4,FALSE))</f>
        <v>H</v>
      </c>
      <c r="K225" s="52" t="str">
        <f>IF(H225="","",IF(J225=D225,"SIM","NÃO"))</f>
        <v>SIM</v>
      </c>
      <c r="L225" s="52">
        <f>IF(H225="","",IF(C225="","",G220*C225))</f>
        <v>1.4930000000000001</v>
      </c>
      <c r="M225" s="117" t="str">
        <f>IF(A225="","",VLOOKUP(A225,'6.A'!$A$11:$C$564,2,FALSE))</f>
        <v>CARPINTEIRO DE ESQUADRIA COM ENCARGOS COMPLEMENTARES</v>
      </c>
      <c r="N225" s="57" t="str">
        <f>IF(A225="","",IF(M225=B225,"si","no"))</f>
        <v>si</v>
      </c>
      <c r="O225" s="56"/>
      <c r="P225" s="56"/>
      <c r="Q225" s="48"/>
      <c r="R225" s="48"/>
    </row>
    <row r="226" spans="1:19" ht="12.75" customHeight="1" x14ac:dyDescent="0.2">
      <c r="A226" s="22">
        <f>'6.A'!$A$20</f>
        <v>88309</v>
      </c>
      <c r="B226" s="23" t="str">
        <f>IF(A226="","",VLOOKUP(A226,'6.A'!$A$11:$G$180,2,FALSE))</f>
        <v>PEDREIRO COM ENCARGOS COMPLEMENTARES</v>
      </c>
      <c r="C226" s="99">
        <v>12.797499999999999</v>
      </c>
      <c r="D226" s="57" t="str">
        <f>IF(A226="","",VLOOKUP(A226,'6.A'!$A$11:$G$180,4,FALSE))</f>
        <v>H</v>
      </c>
      <c r="E226" s="101">
        <f>IF(A226="","",VLOOKUP(A226,'6.A'!$A$11:$G$180,5,FALSE))</f>
        <v>0</v>
      </c>
      <c r="F226" s="24">
        <f t="shared" si="85"/>
        <v>0</v>
      </c>
      <c r="G226" s="52"/>
      <c r="H226" s="52">
        <f>IF(A226="","",VLOOKUP(A226,'6.A'!$A$11:$E$7984,5,FALSE))</f>
        <v>0</v>
      </c>
      <c r="I226" s="52" t="str">
        <f t="shared" ref="I226" si="88">IF(H226="","",IF(E226=H226,"SIM","NÃO"))</f>
        <v>SIM</v>
      </c>
      <c r="J226" s="52" t="str">
        <f>IF(H226="","",VLOOKUP(A226,'6.A'!$A$11:$E$564,4,FALSE))</f>
        <v>H</v>
      </c>
      <c r="K226" s="52" t="str">
        <f t="shared" ref="K226" si="89">IF(H226="","",IF(J226=D226,"SIM","NÃO"))</f>
        <v>SIM</v>
      </c>
      <c r="L226" s="52">
        <f>IF(H226="","",IF(C226="","",G220*C226))</f>
        <v>12.797499999999999</v>
      </c>
      <c r="M226" s="117" t="str">
        <f>IF(A226="","",VLOOKUP(A226,'6.A'!$A$11:$C$564,2,FALSE))</f>
        <v>PEDREIRO COM ENCARGOS COMPLEMENTARES</v>
      </c>
      <c r="N226" s="57" t="str">
        <f t="shared" ref="N226" si="90">IF(A226="","",IF(M226=B226,"si","no"))</f>
        <v>si</v>
      </c>
      <c r="O226" s="56"/>
      <c r="P226" s="56"/>
      <c r="Q226" s="48"/>
      <c r="R226" s="48"/>
      <c r="S226" s="2"/>
    </row>
    <row r="227" spans="1:19" ht="12.75" customHeight="1" x14ac:dyDescent="0.2">
      <c r="A227" s="22">
        <f>'6.A'!$A$21</f>
        <v>88310</v>
      </c>
      <c r="B227" s="23" t="str">
        <f>IF(A227="","",VLOOKUP(A227,'6.A'!$A$11:$G$180,2,FALSE))</f>
        <v>PINTOR COM ENCARGOS COMPLEMENTARES</v>
      </c>
      <c r="C227" s="99">
        <v>2.86</v>
      </c>
      <c r="D227" s="57" t="str">
        <f>IF(A227="","",VLOOKUP(A227,'6.A'!$A$11:$G$180,4,FALSE))</f>
        <v>H</v>
      </c>
      <c r="E227" s="101">
        <f>IF(A227="","",VLOOKUP(A227,'6.A'!$A$11:$G$180,5,FALSE))</f>
        <v>0</v>
      </c>
      <c r="F227" s="24">
        <f t="shared" si="85"/>
        <v>0</v>
      </c>
      <c r="G227" s="52"/>
      <c r="H227" s="52">
        <f>IF(A227="","",VLOOKUP(A227,'6.A'!$A$11:$E$7984,5,FALSE))</f>
        <v>0</v>
      </c>
      <c r="I227" s="52" t="str">
        <f>IF(H227="","",IF(E227=H227,"SIM","NÃO"))</f>
        <v>SIM</v>
      </c>
      <c r="J227" s="52" t="str">
        <f>IF(H227="","",VLOOKUP(A227,'6.A'!$A$11:$E$564,4,FALSE))</f>
        <v>H</v>
      </c>
      <c r="K227" s="52" t="str">
        <f>IF(H227="","",IF(J227=D227,"SIM","NÃO"))</f>
        <v>SIM</v>
      </c>
      <c r="L227" s="52">
        <f>IF(H227="","",IF(C227="","",G220*C227))</f>
        <v>2.86</v>
      </c>
      <c r="M227" s="117" t="str">
        <f>IF(A227="","",VLOOKUP(A227,'6.A'!$A$11:$C$564,2,FALSE))</f>
        <v>PINTOR COM ENCARGOS COMPLEMENTARES</v>
      </c>
      <c r="N227" s="57" t="str">
        <f>IF(A227="","",IF(M227=B227,"si","no"))</f>
        <v>si</v>
      </c>
      <c r="O227" s="56"/>
      <c r="P227" s="56"/>
      <c r="Q227" s="48"/>
      <c r="R227" s="48"/>
      <c r="S227" s="2"/>
    </row>
    <row r="228" spans="1:19" ht="12.75" customHeight="1" x14ac:dyDescent="0.2">
      <c r="A228" s="22">
        <f>'6.A'!$A$22</f>
        <v>88316</v>
      </c>
      <c r="B228" s="23" t="str">
        <f>IF(A228="","",VLOOKUP(A228,'6.A'!$A$11:$G$180,2,FALSE))</f>
        <v>SERVENTE COM ENCARGOS COMPLEMENTARES</v>
      </c>
      <c r="C228" s="99">
        <v>22.3675</v>
      </c>
      <c r="D228" s="57" t="str">
        <f>IF(A228="","",VLOOKUP(A228,'6.A'!$A$11:$G$180,4,FALSE))</f>
        <v>H</v>
      </c>
      <c r="E228" s="100">
        <f>IF(A228="","",VLOOKUP(A228,'6.A'!$A$11:$G$180,5,FALSE))</f>
        <v>0</v>
      </c>
      <c r="F228" s="24">
        <f>IF(A228="","0,00",ROUND(C228*E228,2))</f>
        <v>0</v>
      </c>
      <c r="G228" s="52"/>
      <c r="H228" s="52">
        <f>IF(A228="","",VLOOKUP(A228,'6.A'!$A$11:$E$7984,5,FALSE))</f>
        <v>0</v>
      </c>
      <c r="I228" s="52" t="str">
        <f t="shared" ref="I228" si="91">IF(H228="","",IF(E228=H228,"SIM","NÃO"))</f>
        <v>SIM</v>
      </c>
      <c r="J228" s="52" t="str">
        <f>IF(H228="","",VLOOKUP(A228,'6.A'!$A$11:$E$564,4,FALSE))</f>
        <v>H</v>
      </c>
      <c r="K228" s="52" t="str">
        <f t="shared" ref="K228" si="92">IF(H228="","",IF(J228=D228,"SIM","NÃO"))</f>
        <v>SIM</v>
      </c>
      <c r="L228" s="52">
        <f>IF(H228="","",IF(C228="","",G220*C228))</f>
        <v>22.3675</v>
      </c>
      <c r="M228" s="117" t="str">
        <f>IF(A228="","",VLOOKUP(A228,'6.A'!$A$11:$C$564,2,FALSE))</f>
        <v>SERVENTE COM ENCARGOS COMPLEMENTARES</v>
      </c>
      <c r="N228" s="57" t="str">
        <f t="shared" ref="N228" si="93">IF(A228="","",IF(M228=B228,"si","no"))</f>
        <v>si</v>
      </c>
      <c r="O228" s="56"/>
      <c r="P228" s="56"/>
      <c r="Q228" s="48"/>
      <c r="R228" s="48"/>
      <c r="S228" s="2"/>
    </row>
    <row r="229" spans="1:19" ht="12.75" customHeight="1" x14ac:dyDescent="0.2">
      <c r="A229" s="22">
        <f>'6.A'!$A$25</f>
        <v>100301</v>
      </c>
      <c r="B229" s="23" t="str">
        <f>IF(A229="","",VLOOKUP(A229,'6.A'!$A$11:$G$180,2,FALSE))</f>
        <v>AJUDANTE DE PINTOR COM ENCARGOS COMPLEMENTARES</v>
      </c>
      <c r="C229" s="99">
        <v>2.86</v>
      </c>
      <c r="D229" s="57" t="str">
        <f>IF(A229="","",VLOOKUP(A229,'6.A'!$A$11:$G$180,4,FALSE))</f>
        <v>H</v>
      </c>
      <c r="E229" s="100">
        <f>IF(A229="","",VLOOKUP(A229,'6.A'!$A$11:$G$180,5,FALSE))</f>
        <v>0</v>
      </c>
      <c r="F229" s="24">
        <f t="shared" si="85"/>
        <v>0</v>
      </c>
      <c r="G229" s="52"/>
      <c r="H229" s="52">
        <f>IF(A229="","",VLOOKUP(A229,'6.A'!$A$11:$E$7984,5,FALSE))</f>
        <v>0</v>
      </c>
      <c r="I229" s="52" t="str">
        <f>IF(H229="","",IF(E229=H229,"SIM","NÃO"))</f>
        <v>SIM</v>
      </c>
      <c r="J229" s="52" t="str">
        <f>IF(H229="","",VLOOKUP(A229,'6.A'!$A$11:$E$564,4,FALSE))</f>
        <v>H</v>
      </c>
      <c r="K229" s="52" t="str">
        <f>IF(H229="","",IF(J229=D229,"SIM","NÃO"))</f>
        <v>SIM</v>
      </c>
      <c r="L229" s="52">
        <f>IF(H229="","",IF(C229="","",G220*C229))</f>
        <v>2.86</v>
      </c>
      <c r="M229" s="117" t="str">
        <f>IF(A229="","",VLOOKUP(A229,'6.A'!$A$11:$C$564,2,FALSE))</f>
        <v>AJUDANTE DE PINTOR COM ENCARGOS COMPLEMENTARES</v>
      </c>
      <c r="N229" s="57" t="str">
        <f>IF(A229="","",IF(M229=B229,"si","no"))</f>
        <v>si</v>
      </c>
      <c r="O229" s="56"/>
      <c r="P229" s="56"/>
      <c r="Q229" s="48"/>
      <c r="R229" s="48"/>
      <c r="S229" s="2"/>
    </row>
    <row r="230" spans="1:19" ht="12.75" customHeight="1" x14ac:dyDescent="0.2">
      <c r="A230" s="22"/>
      <c r="B230" s="23" t="str">
        <f>IF(A230="","",VLOOKUP(A230,'6.A'!$A$11:$G$180,2,FALSE))</f>
        <v/>
      </c>
      <c r="C230" s="99"/>
      <c r="D230" s="73" t="str">
        <f>IF(A230="","",VLOOKUP(A230,'6.A'!$A$11:$G$180,4,FALSE))</f>
        <v/>
      </c>
      <c r="E230" s="101" t="str">
        <f>IF(A230="","",VLOOKUP(A230,'6.A'!$A$11:$G$180,5,FALSE))</f>
        <v/>
      </c>
      <c r="F230" s="24" t="str">
        <f t="shared" si="85"/>
        <v>0,00</v>
      </c>
      <c r="G230" s="52"/>
      <c r="H230" s="52" t="str">
        <f>IF(A230="","",VLOOKUP(A230,'6.A'!$A$11:$E$7984,5,FALSE))</f>
        <v/>
      </c>
      <c r="I230" s="52" t="str">
        <f>IF(H230="","",IF(E230=H230,"SIM","NÃO"))</f>
        <v/>
      </c>
      <c r="J230" s="52" t="str">
        <f>IF(H230="","",VLOOKUP(A230,'6.A'!$A$11:$E$564,4,FALSE))</f>
        <v/>
      </c>
      <c r="K230" s="52" t="str">
        <f>IF(H230="","",IF(J230=D230,"SIM","NÃO"))</f>
        <v/>
      </c>
      <c r="L230" s="52" t="str">
        <f>IF(H230="","",IF(C230="","",G220*C230))</f>
        <v/>
      </c>
      <c r="M230" s="117" t="str">
        <f>IF(A230="","",VLOOKUP(A230,'6.A'!$A$11:$C$564,2,FALSE))</f>
        <v/>
      </c>
      <c r="N230" s="57" t="str">
        <f>IF(A230="","",IF(M230=B230,"si","no"))</f>
        <v/>
      </c>
      <c r="O230" s="56"/>
      <c r="P230" s="56"/>
      <c r="Q230" s="48"/>
      <c r="R230" s="48"/>
      <c r="S230" s="2"/>
    </row>
    <row r="231" spans="1:19" ht="12.75" customHeight="1" x14ac:dyDescent="0.2">
      <c r="A231" s="22"/>
      <c r="B231" s="23" t="str">
        <f>IF(A231="","",VLOOKUP(A231,'6.A'!$A$11:$G$180,2,FALSE))</f>
        <v/>
      </c>
      <c r="C231" s="99"/>
      <c r="D231" s="25" t="str">
        <f>IF(A231="","",VLOOKUP(A231,'6.A'!$A$11:$G$180,4,FALSE))</f>
        <v/>
      </c>
      <c r="E231" s="101" t="str">
        <f>IF(A231="","",VLOOKUP(A231,'6.A'!$A$11:$G$180,5,FALSE))</f>
        <v/>
      </c>
      <c r="F231" s="24" t="str">
        <f t="shared" si="85"/>
        <v>0,00</v>
      </c>
      <c r="G231" s="52"/>
      <c r="H231" s="52" t="str">
        <f>IF(A231="","",VLOOKUP(A231,'6.A'!$A$11:$E$7984,5,FALSE))</f>
        <v/>
      </c>
      <c r="I231" s="52" t="str">
        <f t="shared" ref="I231" si="94">IF(H231="","",IF(E231=H231,"SIM","NÃO"))</f>
        <v/>
      </c>
      <c r="J231" s="52" t="str">
        <f>IF(H231="","",VLOOKUP(A231,'6.A'!$A$11:$E$564,4,FALSE))</f>
        <v/>
      </c>
      <c r="K231" s="52" t="str">
        <f t="shared" ref="K231" si="95">IF(H231="","",IF(J231=D231,"SIM","NÃO"))</f>
        <v/>
      </c>
      <c r="L231" s="52" t="str">
        <f>IF(H231="","",IF(C231="","",G220*C231))</f>
        <v/>
      </c>
      <c r="M231" s="117" t="str">
        <f>IF(A231="","",VLOOKUP(A231,'6.A'!$A$11:$C$564,2,FALSE))</f>
        <v/>
      </c>
      <c r="N231" s="57" t="str">
        <f t="shared" ref="N231" si="96">IF(A231="","",IF(M231=B231,"si","no"))</f>
        <v/>
      </c>
      <c r="O231" s="56"/>
      <c r="P231" s="56"/>
      <c r="Q231" s="48"/>
      <c r="R231" s="48"/>
      <c r="S231" s="2"/>
    </row>
    <row r="232" spans="1:19" ht="12.75" customHeight="1" x14ac:dyDescent="0.2">
      <c r="A232" s="17"/>
      <c r="B232" s="26" t="str">
        <f>$A$8</f>
        <v>LEIS SOCIAIS HORISTA - JORNADA NORMAL</v>
      </c>
      <c r="C232" s="27">
        <f>$C$8</f>
        <v>0</v>
      </c>
      <c r="D232" s="57"/>
      <c r="F232" s="28">
        <f>ROUND(SUM(F222:F231)*C232,2)</f>
        <v>0</v>
      </c>
      <c r="G232" s="63"/>
      <c r="M232" s="62"/>
      <c r="N232" s="57"/>
      <c r="O232" s="56"/>
      <c r="P232" s="56"/>
      <c r="Q232" s="48"/>
      <c r="R232" s="48"/>
      <c r="S232" s="2"/>
    </row>
    <row r="233" spans="1:19" ht="12.75" customHeight="1" x14ac:dyDescent="0.2">
      <c r="A233" s="22"/>
      <c r="B233" s="26" t="str">
        <f>$A$9</f>
        <v>BDI</v>
      </c>
      <c r="C233" s="27">
        <f>$C$9</f>
        <v>0</v>
      </c>
      <c r="D233" s="29"/>
      <c r="F233" s="28">
        <f>ROUND(SUM(F222:F232)*C233,2)</f>
        <v>0</v>
      </c>
      <c r="G233" s="63"/>
      <c r="M233" s="62"/>
      <c r="N233" s="57"/>
      <c r="O233" s="56"/>
      <c r="P233" s="56"/>
      <c r="Q233" s="48"/>
      <c r="R233" s="48"/>
      <c r="S233" s="2"/>
    </row>
    <row r="234" spans="1:19" ht="12.75" customHeight="1" x14ac:dyDescent="0.2">
      <c r="A234" s="30"/>
      <c r="B234" s="31" t="s">
        <v>56</v>
      </c>
      <c r="C234" s="32"/>
      <c r="D234" s="33"/>
      <c r="E234" s="34"/>
      <c r="F234" s="35">
        <f>ROUND(SUM(F222:F233),2)</f>
        <v>0</v>
      </c>
      <c r="G234" s="63"/>
      <c r="M234" s="62"/>
      <c r="N234" s="57"/>
      <c r="O234" s="56"/>
      <c r="P234" s="56"/>
      <c r="Q234" s="48"/>
      <c r="R234" s="48"/>
      <c r="S234" s="2"/>
    </row>
    <row r="235" spans="1:19" ht="12.75" customHeight="1" x14ac:dyDescent="0.2">
      <c r="A235" s="17" t="s">
        <v>5</v>
      </c>
      <c r="B235" s="153" t="s">
        <v>130</v>
      </c>
      <c r="C235" s="56" t="s">
        <v>59</v>
      </c>
      <c r="D235" s="56" t="s">
        <v>16</v>
      </c>
      <c r="E235" s="19" t="s">
        <v>60</v>
      </c>
      <c r="F235" s="20" t="s">
        <v>61</v>
      </c>
      <c r="G235" s="21"/>
      <c r="M235" s="62"/>
      <c r="N235" s="57"/>
      <c r="O235" s="56"/>
      <c r="P235" s="56"/>
      <c r="Q235" s="48"/>
      <c r="R235" s="48"/>
      <c r="S235" s="2"/>
    </row>
    <row r="236" spans="1:19" ht="12.75" customHeight="1" x14ac:dyDescent="0.2">
      <c r="A236" s="22"/>
      <c r="B236" s="23" t="str">
        <f>IF(A236="","",VLOOKUP(A236,'6.A'!$A$11:$G$180,2,FALSE))</f>
        <v/>
      </c>
      <c r="C236" s="156"/>
      <c r="D236" s="57" t="str">
        <f>IF(A236="","",VLOOKUP(A236,'6.A'!$A$11:$G$180,4,FALSE))</f>
        <v/>
      </c>
      <c r="E236" s="100" t="str">
        <f>IF(A236="","",VLOOKUP(A236,'6.A'!$A$11:$G$180,5,FALSE))</f>
        <v/>
      </c>
      <c r="F236" s="24" t="str">
        <f t="shared" ref="F236:F245" si="97">IF(A236="","0,00",ROUND(C236*E236,2))</f>
        <v>0,00</v>
      </c>
      <c r="G236" s="52"/>
      <c r="H236" s="52" t="str">
        <f>IF(A236="","",VLOOKUP(A236,'6.A'!$A$11:$E$7984,5,FALSE))</f>
        <v/>
      </c>
      <c r="I236" s="52" t="str">
        <f t="shared" ref="I236:I245" si="98">IF(H236="","",IF(E236=H236,"SIM","NÃO"))</f>
        <v/>
      </c>
      <c r="J236" s="52" t="str">
        <f>IF(H236="","",VLOOKUP(A236,'6.A'!$A$11:$E$564,4,FALSE))</f>
        <v/>
      </c>
      <c r="K236" s="52" t="str">
        <f t="shared" ref="K236:K245" si="99">IF(H236="","",IF(J236=D236,"SIM","NÃO"))</f>
        <v/>
      </c>
      <c r="L236" s="52" t="str">
        <f>IF(H236="","",IF(C236="","",G220*C236))</f>
        <v/>
      </c>
      <c r="M236" s="117" t="str">
        <f>IF(A236="","",VLOOKUP(A236,'6.A'!$A$11:$C$564,2,FALSE))</f>
        <v/>
      </c>
      <c r="N236" s="57" t="str">
        <f t="shared" ref="N236:N241" si="100">IF(A236="","",IF(M236=B236,"si","no"))</f>
        <v/>
      </c>
      <c r="O236" s="56"/>
      <c r="P236" s="56"/>
      <c r="Q236" s="48"/>
      <c r="R236" s="48"/>
      <c r="S236" s="2"/>
    </row>
    <row r="237" spans="1:19" ht="12.75" customHeight="1" x14ac:dyDescent="0.2">
      <c r="A237" s="22"/>
      <c r="B237" s="23" t="str">
        <f>IF(A237="","",VLOOKUP(A237,'6.A'!$A$11:$G$180,2,FALSE))</f>
        <v/>
      </c>
      <c r="C237" s="99"/>
      <c r="D237" s="57" t="str">
        <f>IF(A237="","",VLOOKUP(A237,'6.A'!$A$11:$G$180,4,FALSE))</f>
        <v/>
      </c>
      <c r="E237" s="100" t="str">
        <f>IF(A237="","",VLOOKUP(A237,'6.A'!$A$11:$G$180,5,FALSE))</f>
        <v/>
      </c>
      <c r="F237" s="24" t="str">
        <f t="shared" si="97"/>
        <v>0,00</v>
      </c>
      <c r="G237" s="52"/>
      <c r="H237" s="52" t="str">
        <f>IF(A237="","",VLOOKUP(A237,'6.A'!$A$11:$E$7984,5,FALSE))</f>
        <v/>
      </c>
      <c r="I237" s="52" t="str">
        <f t="shared" si="98"/>
        <v/>
      </c>
      <c r="J237" s="52" t="str">
        <f>IF(H237="","",VLOOKUP(A237,'6.A'!$A$11:$E$564,4,FALSE))</f>
        <v/>
      </c>
      <c r="K237" s="52" t="str">
        <f t="shared" si="99"/>
        <v/>
      </c>
      <c r="L237" s="52" t="str">
        <f>IF(H237="","",IF(C237="","",G220*C237))</f>
        <v/>
      </c>
      <c r="M237" s="117" t="str">
        <f>IF(A237="","",VLOOKUP(A237,'6.A'!$A$11:$C$564,2,FALSE))</f>
        <v/>
      </c>
      <c r="N237" s="57" t="str">
        <f t="shared" si="100"/>
        <v/>
      </c>
      <c r="O237" s="56"/>
      <c r="P237" s="56"/>
      <c r="Q237" s="48"/>
      <c r="R237" s="48"/>
      <c r="S237" s="2"/>
    </row>
    <row r="238" spans="1:19" ht="12.75" customHeight="1" x14ac:dyDescent="0.2">
      <c r="A238" s="22"/>
      <c r="B238" s="23" t="str">
        <f>IF(A238="","",VLOOKUP(A238,'6.A'!$A$11:$G$180,2,FALSE))</f>
        <v/>
      </c>
      <c r="C238" s="99"/>
      <c r="D238" s="57" t="str">
        <f>IF(A238="","",VLOOKUP(A238,'6.A'!$A$11:$G$180,4,FALSE))</f>
        <v/>
      </c>
      <c r="E238" s="100" t="str">
        <f>IF(A238="","",VLOOKUP(A238,'6.A'!$A$11:$G$180,5,FALSE))</f>
        <v/>
      </c>
      <c r="F238" s="24" t="str">
        <f t="shared" si="97"/>
        <v>0,00</v>
      </c>
      <c r="G238" s="52"/>
      <c r="H238" s="52" t="str">
        <f>IF(A238="","",VLOOKUP(A238,'6.A'!$A$11:$E$7984,5,FALSE))</f>
        <v/>
      </c>
      <c r="I238" s="52" t="str">
        <f t="shared" si="98"/>
        <v/>
      </c>
      <c r="J238" s="52" t="str">
        <f>IF(H238="","",VLOOKUP(A238,'6.A'!$A$11:$E$564,4,FALSE))</f>
        <v/>
      </c>
      <c r="K238" s="52" t="str">
        <f t="shared" si="99"/>
        <v/>
      </c>
      <c r="L238" s="52" t="str">
        <f>IF(H238="","",IF(C238="","",G220*C238))</f>
        <v/>
      </c>
      <c r="M238" s="117" t="str">
        <f>IF(A238="","",VLOOKUP(A238,'6.A'!$A$11:$C$564,2,FALSE))</f>
        <v/>
      </c>
      <c r="N238" s="57" t="str">
        <f t="shared" si="100"/>
        <v/>
      </c>
      <c r="O238" s="56"/>
      <c r="P238" s="56"/>
      <c r="Q238" s="48"/>
      <c r="R238" s="48"/>
      <c r="S238" s="2"/>
    </row>
    <row r="239" spans="1:19" ht="12.75" customHeight="1" x14ac:dyDescent="0.2">
      <c r="A239" s="22"/>
      <c r="B239" s="55" t="str">
        <f>IF(A239="","",VLOOKUP(A239,'6.A'!$A$11:$G$180,2,FALSE))</f>
        <v/>
      </c>
      <c r="C239" s="134"/>
      <c r="D239" s="57" t="str">
        <f>IF(A239="","",VLOOKUP(A239,'6.A'!$A$11:$G$180,4,FALSE))</f>
        <v/>
      </c>
      <c r="E239" s="100" t="str">
        <f>IF(A239="","",VLOOKUP(A239,'6.A'!$A$11:$G$180,5,FALSE))</f>
        <v/>
      </c>
      <c r="F239" s="24" t="str">
        <f t="shared" si="97"/>
        <v>0,00</v>
      </c>
      <c r="G239" s="52"/>
      <c r="H239" s="52" t="str">
        <f>IF(A239="","",VLOOKUP(A239,'6.A'!$A$11:$E$7984,5,FALSE))</f>
        <v/>
      </c>
      <c r="I239" s="52" t="str">
        <f t="shared" si="98"/>
        <v/>
      </c>
      <c r="J239" s="52" t="str">
        <f>IF(H239="","",VLOOKUP(A239,'6.A'!$A$11:$E$564,4,FALSE))</f>
        <v/>
      </c>
      <c r="K239" s="52" t="str">
        <f t="shared" si="99"/>
        <v/>
      </c>
      <c r="L239" s="52" t="str">
        <f>IF(H239="","",IF(C239="","",G220*C239))</f>
        <v/>
      </c>
      <c r="M239" s="117" t="str">
        <f>IF(A239="","",VLOOKUP(A239,'6.A'!$A$11:$C$564,2,FALSE))</f>
        <v/>
      </c>
      <c r="N239" s="57" t="str">
        <f t="shared" si="100"/>
        <v/>
      </c>
      <c r="O239" s="56"/>
      <c r="P239" s="56"/>
      <c r="Q239" s="48"/>
      <c r="R239" s="48"/>
      <c r="S239" s="2"/>
    </row>
    <row r="240" spans="1:19" ht="12.75" customHeight="1" x14ac:dyDescent="0.2">
      <c r="A240" s="22"/>
      <c r="B240" s="23" t="str">
        <f>IF(A240="","",VLOOKUP(A240,'6.A'!$A$11:$G$180,2,FALSE))</f>
        <v/>
      </c>
      <c r="C240" s="99"/>
      <c r="D240" s="57" t="str">
        <f>IF(A240="","",VLOOKUP(A240,'6.A'!$A$11:$G$180,4,FALSE))</f>
        <v/>
      </c>
      <c r="E240" s="100" t="str">
        <f>IF(A240="","",VLOOKUP(A240,'6.A'!$A$11:$G$180,5,FALSE))</f>
        <v/>
      </c>
      <c r="F240" s="24" t="str">
        <f t="shared" si="97"/>
        <v>0,00</v>
      </c>
      <c r="G240" s="52"/>
      <c r="H240" s="52" t="str">
        <f>IF(A240="","",VLOOKUP(A240,'6.A'!$A$11:$E$7984,5,FALSE))</f>
        <v/>
      </c>
      <c r="I240" s="52" t="str">
        <f t="shared" si="98"/>
        <v/>
      </c>
      <c r="J240" s="52" t="str">
        <f>IF(H240="","",VLOOKUP(A240,'6.A'!$A$11:$E$564,4,FALSE))</f>
        <v/>
      </c>
      <c r="K240" s="52" t="str">
        <f t="shared" si="99"/>
        <v/>
      </c>
      <c r="L240" s="52" t="str">
        <f>IF(H240="","",IF(C240="","",G220*C240))</f>
        <v/>
      </c>
      <c r="M240" s="117" t="str">
        <f>IF(A240="","",VLOOKUP(A240,'6.A'!$A$11:$C$564,2,FALSE))</f>
        <v/>
      </c>
      <c r="N240" s="57" t="str">
        <f t="shared" si="100"/>
        <v/>
      </c>
      <c r="O240" s="56"/>
      <c r="P240" s="56"/>
      <c r="Q240" s="48"/>
      <c r="R240" s="48"/>
      <c r="S240" s="2"/>
    </row>
    <row r="241" spans="1:22" ht="12.75" customHeight="1" x14ac:dyDescent="0.2">
      <c r="A241" s="22"/>
      <c r="B241" s="23" t="str">
        <f>IF(A241="","",VLOOKUP(A241,'6.A'!$A$11:$G$180,2,FALSE))</f>
        <v/>
      </c>
      <c r="C241" s="99"/>
      <c r="D241" s="57" t="str">
        <f>IF(A241="","",VLOOKUP(A241,'6.A'!$A$11:$G$180,4,FALSE))</f>
        <v/>
      </c>
      <c r="E241" s="100" t="str">
        <f>IF(A241="","",VLOOKUP(A241,'6.A'!$A$11:$G$180,5,FALSE))</f>
        <v/>
      </c>
      <c r="F241" s="24" t="str">
        <f t="shared" si="97"/>
        <v>0,00</v>
      </c>
      <c r="G241" s="52"/>
      <c r="H241" s="52" t="str">
        <f>IF(A241="","",VLOOKUP(A241,'6.A'!$A$11:$E$7984,5,FALSE))</f>
        <v/>
      </c>
      <c r="I241" s="52" t="str">
        <f t="shared" si="98"/>
        <v/>
      </c>
      <c r="J241" s="52" t="str">
        <f>IF(H241="","",VLOOKUP(A241,'6.A'!$A$11:$E$564,4,FALSE))</f>
        <v/>
      </c>
      <c r="K241" s="52" t="str">
        <f t="shared" si="99"/>
        <v/>
      </c>
      <c r="L241" s="52" t="str">
        <f>IF(H241="","",IF(C241="","",G220*C241))</f>
        <v/>
      </c>
      <c r="M241" s="117" t="str">
        <f>IF(A241="","",VLOOKUP(A241,'6.A'!$A$11:$C$564,2,FALSE))</f>
        <v/>
      </c>
      <c r="N241" s="57" t="str">
        <f t="shared" si="100"/>
        <v/>
      </c>
      <c r="O241" s="56"/>
      <c r="P241" s="56"/>
      <c r="Q241" s="48"/>
      <c r="R241" s="48"/>
      <c r="S241" s="2"/>
    </row>
    <row r="242" spans="1:22" ht="12.75" customHeight="1" x14ac:dyDescent="0.2">
      <c r="A242" s="22"/>
      <c r="B242" s="23" t="str">
        <f>IF(A242="","",VLOOKUP(A242,'6.A'!$A$11:$G$180,2,FALSE))</f>
        <v/>
      </c>
      <c r="C242" s="99"/>
      <c r="D242" s="57" t="str">
        <f>IF(A242="","",VLOOKUP(A242,'6.A'!$A$11:$G$180,4,FALSE))</f>
        <v/>
      </c>
      <c r="E242" s="100" t="str">
        <f>IF(A242="","",VLOOKUP(A242,'6.A'!$A$11:$G$180,5,FALSE))</f>
        <v/>
      </c>
      <c r="F242" s="24" t="str">
        <f t="shared" si="97"/>
        <v>0,00</v>
      </c>
      <c r="G242" s="52"/>
      <c r="H242" s="52" t="str">
        <f>IF(A242="","",VLOOKUP(A242,'6.A'!$A$11:$E$7984,5,FALSE))</f>
        <v/>
      </c>
      <c r="I242" s="52" t="str">
        <f t="shared" si="98"/>
        <v/>
      </c>
      <c r="J242" s="52" t="str">
        <f>IF(H242="","",VLOOKUP(A242,'6.A'!$A$11:$E$564,4,FALSE))</f>
        <v/>
      </c>
      <c r="K242" s="52" t="str">
        <f t="shared" si="99"/>
        <v/>
      </c>
      <c r="L242" s="52" t="str">
        <f>IF(H242="","",IF(C242="","",G220*C242))</f>
        <v/>
      </c>
      <c r="M242" s="117" t="str">
        <f>IF(A242="","",VLOOKUP(A242,'6.A'!$A$11:$C$564,2,FALSE))</f>
        <v/>
      </c>
      <c r="N242" s="57" t="str">
        <f>IF(A242="","",IF(M242=B242,"si","no"))</f>
        <v/>
      </c>
      <c r="O242" s="56"/>
      <c r="P242" s="56"/>
      <c r="Q242" s="48"/>
      <c r="R242" s="48"/>
      <c r="S242" s="2"/>
    </row>
    <row r="243" spans="1:22" ht="12.75" customHeight="1" x14ac:dyDescent="0.2">
      <c r="A243" s="22"/>
      <c r="B243" s="23" t="str">
        <f>IF(A243="","",VLOOKUP(A243,'6.A'!$A$11:$G$180,2,FALSE))</f>
        <v/>
      </c>
      <c r="C243" s="99"/>
      <c r="D243" s="57" t="str">
        <f>IF(A243="","",VLOOKUP(A243,'6.A'!$A$11:$G$180,4,FALSE))</f>
        <v/>
      </c>
      <c r="E243" s="100" t="str">
        <f>IF(A243="","",VLOOKUP(A243,'6.A'!$A$11:$G$180,5,FALSE))</f>
        <v/>
      </c>
      <c r="F243" s="24" t="str">
        <f t="shared" si="97"/>
        <v>0,00</v>
      </c>
      <c r="G243" s="52"/>
      <c r="H243" s="52" t="str">
        <f>IF(A243="","",VLOOKUP(A243,'6.A'!$A$11:$E$7984,5,FALSE))</f>
        <v/>
      </c>
      <c r="I243" s="52" t="str">
        <f t="shared" si="98"/>
        <v/>
      </c>
      <c r="J243" s="52" t="str">
        <f>IF(H243="","",VLOOKUP(A243,'6.A'!$A$11:$E$564,4,FALSE))</f>
        <v/>
      </c>
      <c r="K243" s="52" t="str">
        <f t="shared" si="99"/>
        <v/>
      </c>
      <c r="L243" s="52" t="str">
        <f>IF(H243="","",IF(C243="","",G220*C243))</f>
        <v/>
      </c>
      <c r="M243" s="117" t="str">
        <f>IF(A243="","",VLOOKUP(A243,'6.A'!$A$11:$C$564,2,FALSE))</f>
        <v/>
      </c>
      <c r="N243" s="57" t="str">
        <f>IF(A243="","",IF(M243=B243,"si","no"))</f>
        <v/>
      </c>
      <c r="O243" s="56"/>
      <c r="P243" s="56"/>
      <c r="Q243" s="48"/>
      <c r="R243" s="48"/>
      <c r="S243" s="2"/>
    </row>
    <row r="244" spans="1:22" ht="12.75" customHeight="1" x14ac:dyDescent="0.2">
      <c r="A244" s="22"/>
      <c r="B244" s="23" t="str">
        <f>IF(A244="","",VLOOKUP(A244,'6.A'!$A$11:$G$180,2,FALSE))</f>
        <v/>
      </c>
      <c r="C244" s="99"/>
      <c r="D244" s="57" t="str">
        <f>IF(A244="","",VLOOKUP(A244,'6.A'!$A$11:$G$180,4,FALSE))</f>
        <v/>
      </c>
      <c r="E244" s="100" t="str">
        <f>IF(A244="","",VLOOKUP(A244,'6.A'!$A$11:$G$180,5,FALSE))</f>
        <v/>
      </c>
      <c r="F244" s="24" t="str">
        <f t="shared" si="97"/>
        <v>0,00</v>
      </c>
      <c r="G244" s="52"/>
      <c r="H244" s="52" t="str">
        <f>IF(A244="","",VLOOKUP(A244,'6.A'!$A$11:$E$7984,5,FALSE))</f>
        <v/>
      </c>
      <c r="I244" s="52" t="str">
        <f t="shared" si="98"/>
        <v/>
      </c>
      <c r="J244" s="52" t="str">
        <f>IF(H244="","",VLOOKUP(A244,'6.A'!$A$11:$E$564,4,FALSE))</f>
        <v/>
      </c>
      <c r="K244" s="52" t="str">
        <f t="shared" si="99"/>
        <v/>
      </c>
      <c r="L244" s="52" t="str">
        <f>IF(H244="","",IF(C244="","",G220*C244))</f>
        <v/>
      </c>
      <c r="M244" s="117" t="str">
        <f>IF(A244="","",VLOOKUP(A244,'6.A'!$A$11:$C$564,2,FALSE))</f>
        <v/>
      </c>
      <c r="N244" s="57" t="str">
        <f t="shared" ref="N244:N245" si="101">IF(A244="","",IF(M244=B244,"si","no"))</f>
        <v/>
      </c>
      <c r="O244" s="56"/>
      <c r="P244" s="56"/>
      <c r="Q244" s="48"/>
      <c r="R244" s="48"/>
      <c r="S244" s="2"/>
    </row>
    <row r="245" spans="1:22" ht="12.75" customHeight="1" x14ac:dyDescent="0.2">
      <c r="A245" s="22"/>
      <c r="B245" s="23" t="str">
        <f>IF(A245="","",VLOOKUP(A245,'6.A'!$A$11:$G$180,2,FALSE))</f>
        <v/>
      </c>
      <c r="C245" s="99"/>
      <c r="D245" s="57" t="str">
        <f>IF(A245="","",VLOOKUP(A245,'6.A'!$A$11:$G$180,4,FALSE))</f>
        <v/>
      </c>
      <c r="E245" s="100" t="str">
        <f>IF(A245="","",VLOOKUP(A245,'6.A'!$A$11:$G$180,5,FALSE))</f>
        <v/>
      </c>
      <c r="F245" s="24" t="str">
        <f t="shared" si="97"/>
        <v>0,00</v>
      </c>
      <c r="G245" s="52"/>
      <c r="H245" s="52" t="str">
        <f>IF(A245="","",VLOOKUP(A245,'6.A'!$A$11:$E$7984,5,FALSE))</f>
        <v/>
      </c>
      <c r="I245" s="52" t="str">
        <f t="shared" si="98"/>
        <v/>
      </c>
      <c r="J245" s="52" t="str">
        <f>IF(H245="","",VLOOKUP(A245,'6.A'!$A$11:$E$564,4,FALSE))</f>
        <v/>
      </c>
      <c r="K245" s="52" t="str">
        <f t="shared" si="99"/>
        <v/>
      </c>
      <c r="L245" s="52" t="str">
        <f>IF(H245="","",IF(C245="","",G220*C245))</f>
        <v/>
      </c>
      <c r="M245" s="117" t="str">
        <f>IF(A245="","",VLOOKUP(A245,'6.A'!$A$11:$C$564,2,FALSE))</f>
        <v/>
      </c>
      <c r="N245" s="57" t="str">
        <f t="shared" si="101"/>
        <v/>
      </c>
      <c r="O245" s="56"/>
      <c r="P245" s="56"/>
      <c r="Q245" s="48"/>
      <c r="R245" s="48"/>
      <c r="S245" s="2"/>
    </row>
    <row r="246" spans="1:22" ht="12.75" customHeight="1" x14ac:dyDescent="0.2">
      <c r="A246" s="22"/>
      <c r="B246" s="26" t="str">
        <f>$A$9</f>
        <v>BDI</v>
      </c>
      <c r="C246" s="27">
        <f>$C$9</f>
        <v>0</v>
      </c>
      <c r="D246" s="57"/>
      <c r="F246" s="28">
        <f>ROUND(SUM(F236:F245)*C246,2)</f>
        <v>0</v>
      </c>
      <c r="G246" s="63"/>
      <c r="M246" s="62"/>
      <c r="N246" s="57"/>
      <c r="O246" s="56"/>
      <c r="P246" s="56"/>
      <c r="Q246" s="48"/>
      <c r="R246" s="48"/>
      <c r="S246" s="2"/>
    </row>
    <row r="247" spans="1:22" ht="12.75" customHeight="1" x14ac:dyDescent="0.2">
      <c r="A247" s="30"/>
      <c r="B247" s="31" t="s">
        <v>117</v>
      </c>
      <c r="C247" s="36"/>
      <c r="D247" s="37"/>
      <c r="E247" s="38"/>
      <c r="F247" s="35">
        <f>ROUND(SUM(F236:F246),2)</f>
        <v>0</v>
      </c>
      <c r="G247" s="63"/>
      <c r="M247" s="62"/>
      <c r="N247" s="57"/>
      <c r="O247" s="56"/>
      <c r="P247" s="56"/>
      <c r="Q247" s="48"/>
      <c r="R247" s="48"/>
      <c r="S247" s="2"/>
    </row>
    <row r="248" spans="1:22" ht="12.75" customHeight="1" x14ac:dyDescent="0.2">
      <c r="A248" s="17" t="s">
        <v>6</v>
      </c>
      <c r="B248" s="18" t="s">
        <v>17</v>
      </c>
      <c r="C248" s="56" t="s">
        <v>59</v>
      </c>
      <c r="D248" s="56" t="s">
        <v>16</v>
      </c>
      <c r="E248" s="19" t="s">
        <v>60</v>
      </c>
      <c r="F248" s="20" t="s">
        <v>61</v>
      </c>
      <c r="G248" s="21"/>
      <c r="M248" s="62"/>
      <c r="N248" s="57"/>
      <c r="O248" s="56"/>
      <c r="P248" s="56"/>
      <c r="Q248" s="48"/>
      <c r="R248" s="48"/>
      <c r="S248" s="2"/>
    </row>
    <row r="249" spans="1:22" ht="12.75" customHeight="1" x14ac:dyDescent="0.2">
      <c r="A249" s="22" t="str">
        <f>'6.A'!$A$52</f>
        <v>CV00182</v>
      </c>
      <c r="B249" s="23" t="str">
        <f>IF(A249="","",VLOOKUP(A249,'6.A'!$A$11:$G$180,2,FALSE))</f>
        <v>AREIA MÉDIA GRANULOMETRIA ENTRE (0,42 E 1,2 MM) LAVADA</v>
      </c>
      <c r="C249" s="99">
        <v>0.27777800000000002</v>
      </c>
      <c r="D249" s="57" t="str">
        <f>IF(A249="","",VLOOKUP(A249,'6.A'!$A$11:$G$180,4,FALSE))</f>
        <v>M3</v>
      </c>
      <c r="E249" s="100">
        <f>IF(A249="","",VLOOKUP(A249,'6.A'!$A$11:$G$180,5,FALSE))</f>
        <v>0</v>
      </c>
      <c r="F249" s="24">
        <f t="shared" ref="F249:F260" si="102">IF(A249="","0,00",ROUND(C249*E249,2))</f>
        <v>0</v>
      </c>
      <c r="G249" s="52"/>
      <c r="H249" s="52">
        <f>IF(A249="","",VLOOKUP(A249,'6.A'!$A$11:$E$7984,5,FALSE))</f>
        <v>0</v>
      </c>
      <c r="I249" s="52" t="str">
        <f t="shared" ref="I249:I260" si="103">IF(H249="","",IF(E249=H249,"SIM","NÃO"))</f>
        <v>SIM</v>
      </c>
      <c r="J249" s="52" t="str">
        <f>IF(H249="","",VLOOKUP(A249,'6.A'!$A$11:$E$564,4,FALSE))</f>
        <v>M3</v>
      </c>
      <c r="K249" s="52" t="str">
        <f t="shared" ref="K249:K260" si="104">IF(H249="","",IF(J249=D249,"SIM","NÃO"))</f>
        <v>SIM</v>
      </c>
      <c r="L249" s="52">
        <f>IF(H249="","",IF(C249="","",G220*C249))</f>
        <v>0.27777800000000002</v>
      </c>
      <c r="M249" s="117" t="str">
        <f>IF(A249="","",VLOOKUP(A249,'6.A'!$A$11:$C$564,2,FALSE))</f>
        <v>AREIA MÉDIA GRANULOMETRIA ENTRE (0,42 E 1,2 MM) LAVADA</v>
      </c>
      <c r="N249" s="57" t="str">
        <f t="shared" ref="N249:N260" si="105">IF(A249="","",IF(M249=B249,"si","no"))</f>
        <v>si</v>
      </c>
      <c r="O249" s="56"/>
      <c r="P249" s="56"/>
      <c r="Q249" s="48"/>
      <c r="R249" s="48"/>
      <c r="S249" s="2"/>
    </row>
    <row r="250" spans="1:22" ht="12.75" customHeight="1" x14ac:dyDescent="0.2">
      <c r="A250" s="22" t="str">
        <f>'6.A'!$A$53</f>
        <v>CV00201</v>
      </c>
      <c r="B250" s="23" t="str">
        <f>IF(A250="","",VLOOKUP(A250,'6.A'!$A$11:$G$180,2,FALSE))</f>
        <v>CONCRETO ESTRUTURAL USINADO FCK 25 MPA</v>
      </c>
      <c r="C250" s="99">
        <v>0.24179999999999999</v>
      </c>
      <c r="D250" s="57" t="str">
        <f>IF(A250="","",VLOOKUP(A250,'6.A'!$A$11:$G$180,4,FALSE))</f>
        <v>M3</v>
      </c>
      <c r="E250" s="100">
        <f>IF(A250="","",VLOOKUP(A250,'6.A'!$A$11:$G$180,5,FALSE))</f>
        <v>0</v>
      </c>
      <c r="F250" s="24">
        <f t="shared" si="102"/>
        <v>0</v>
      </c>
      <c r="G250" s="52"/>
      <c r="H250" s="52">
        <f>IF(A250="","",VLOOKUP(A250,'6.A'!$A$11:$E$7984,5,FALSE))</f>
        <v>0</v>
      </c>
      <c r="I250" s="52" t="str">
        <f t="shared" si="103"/>
        <v>SIM</v>
      </c>
      <c r="J250" s="52" t="str">
        <f>IF(H250="","",VLOOKUP(A250,'6.A'!$A$11:$E$564,4,FALSE))</f>
        <v>M3</v>
      </c>
      <c r="K250" s="52" t="str">
        <f t="shared" si="104"/>
        <v>SIM</v>
      </c>
      <c r="L250" s="52">
        <f>IF(H250="","",IF(C250="","",G220*C250))</f>
        <v>0.24179999999999999</v>
      </c>
      <c r="M250" s="117" t="str">
        <f>IF(A250="","",VLOOKUP(A250,'6.A'!$A$11:$C$564,2,FALSE))</f>
        <v>CONCRETO ESTRUTURAL USINADO FCK 25 MPA</v>
      </c>
      <c r="N250" s="57" t="str">
        <f t="shared" si="105"/>
        <v>si</v>
      </c>
      <c r="O250" s="56"/>
      <c r="P250" s="56"/>
      <c r="Q250" s="48"/>
      <c r="R250" s="48"/>
      <c r="S250" s="2"/>
    </row>
    <row r="251" spans="1:22" ht="12.75" customHeight="1" x14ac:dyDescent="0.2">
      <c r="A251" s="22" t="str">
        <f>'6.A'!$A$55</f>
        <v>CV00210</v>
      </c>
      <c r="B251" s="23" t="str">
        <f>IF(A251="","",VLOOKUP(A251,'6.A'!$A$11:$G$180,2,FALSE))</f>
        <v>PEDRA BRITADA Nº 2 GRANULOMETRIA ENTRE (21,0 E 32,0 MM)</v>
      </c>
      <c r="C251" s="99">
        <v>3.0107499999999998</v>
      </c>
      <c r="D251" s="57" t="str">
        <f>IF(A251="","",VLOOKUP(A251,'6.A'!$A$11:$G$180,4,FALSE))</f>
        <v>M3</v>
      </c>
      <c r="E251" s="100">
        <f>IF(A251="","",VLOOKUP(A251,'6.A'!$A$11:$G$180,5,FALSE))</f>
        <v>0</v>
      </c>
      <c r="F251" s="24">
        <f t="shared" si="102"/>
        <v>0</v>
      </c>
      <c r="G251" s="52"/>
      <c r="H251" s="52">
        <f>IF(A251="","",VLOOKUP(A251,'6.A'!$A$11:$E$7984,5,FALSE))</f>
        <v>0</v>
      </c>
      <c r="I251" s="52" t="str">
        <f t="shared" si="103"/>
        <v>SIM</v>
      </c>
      <c r="J251" s="52" t="str">
        <f>IF(H251="","",VLOOKUP(A251,'6.A'!$A$11:$E$564,4,FALSE))</f>
        <v>M3</v>
      </c>
      <c r="K251" s="52" t="str">
        <f t="shared" si="104"/>
        <v>SIM</v>
      </c>
      <c r="L251" s="52">
        <f>IF(H251="","",IF(C251="","",G220*C251))</f>
        <v>3.0107499999999998</v>
      </c>
      <c r="M251" s="117" t="str">
        <f>IF(A251="","",VLOOKUP(A251,'6.A'!$A$11:$C$564,2,FALSE))</f>
        <v>PEDRA BRITADA Nº 2 GRANULOMETRIA ENTRE (21,0 E 32,0 MM)</v>
      </c>
      <c r="N251" s="57" t="str">
        <f t="shared" si="105"/>
        <v>si</v>
      </c>
      <c r="O251" s="56"/>
      <c r="P251" s="56"/>
      <c r="Q251" s="48"/>
      <c r="R251" s="48"/>
      <c r="S251" s="2"/>
    </row>
    <row r="252" spans="1:22" s="65" customFormat="1" ht="12.75" customHeight="1" x14ac:dyDescent="0.2">
      <c r="A252" s="22" t="str">
        <f>'6.A'!$A$57</f>
        <v>CV00238</v>
      </c>
      <c r="B252" s="23" t="str">
        <f>IF(A252="","",VLOOKUP(A252,'6.A'!$A$11:$G$180,2,FALSE))</f>
        <v>VERGALHÃO (AÇO-CA-50) - (MÉDIA DAS BITOLAS ENTRE 6,3 A 25,0MM)</v>
      </c>
      <c r="C252" s="99">
        <v>6.85</v>
      </c>
      <c r="D252" s="57" t="str">
        <f>IF(A252="","",VLOOKUP(A252,'6.A'!$A$11:$G$180,4,FALSE))</f>
        <v>KG</v>
      </c>
      <c r="E252" s="100">
        <f>IF(A252="","",VLOOKUP(A252,'6.A'!$A$11:$G$180,5,FALSE))</f>
        <v>0</v>
      </c>
      <c r="F252" s="24">
        <f t="shared" si="102"/>
        <v>0</v>
      </c>
      <c r="G252" s="52"/>
      <c r="H252" s="52">
        <f>IF(A252="","",VLOOKUP(A252,'6.A'!$A$11:$E$7984,5,FALSE))</f>
        <v>0</v>
      </c>
      <c r="I252" s="52" t="str">
        <f t="shared" si="103"/>
        <v>SIM</v>
      </c>
      <c r="J252" s="52" t="str">
        <f>IF(H252="","",VLOOKUP(A252,'6.A'!$A$11:$E$564,4,FALSE))</f>
        <v>KG</v>
      </c>
      <c r="K252" s="52" t="str">
        <f t="shared" si="104"/>
        <v>SIM</v>
      </c>
      <c r="L252" s="52">
        <f>IF(H252="","",IF(C252="","",G220*C252))</f>
        <v>6.85</v>
      </c>
      <c r="M252" s="117" t="str">
        <f>IF(A252="","",VLOOKUP(A252,'6.A'!$A$11:$C$564,2,FALSE))</f>
        <v>VERGALHÃO (AÇO-CA-50) - (MÉDIA DAS BITOLAS ENTRE 6,3 A 25,0MM)</v>
      </c>
      <c r="N252" s="57" t="str">
        <f t="shared" si="105"/>
        <v>si</v>
      </c>
      <c r="O252" s="56"/>
      <c r="P252" s="56"/>
      <c r="Q252" s="48"/>
      <c r="R252" s="48"/>
      <c r="T252" s="2"/>
      <c r="U252" s="2"/>
      <c r="V252" s="2"/>
    </row>
    <row r="253" spans="1:22" s="65" customFormat="1" ht="12.75" customHeight="1" x14ac:dyDescent="0.2">
      <c r="A253" s="22" t="str">
        <f>'6.A'!$A$59</f>
        <v>CV00521</v>
      </c>
      <c r="B253" s="23" t="str">
        <f>IF(A253="","",VLOOKUP(A253,'6.A'!$A$11:$G$180,2,FALSE))</f>
        <v>PREGO COM CABEÇA AÇO GALV (MÉDIA DAS BITOLAS)</v>
      </c>
      <c r="C253" s="99">
        <v>0.26600000000000001</v>
      </c>
      <c r="D253" s="57" t="str">
        <f>IF(A253="","",VLOOKUP(A253,'6.A'!$A$11:$G$180,4,FALSE))</f>
        <v>KG</v>
      </c>
      <c r="E253" s="100">
        <f>IF(A253="","",VLOOKUP(A253,'6.A'!$A$11:$G$180,5,FALSE))</f>
        <v>0</v>
      </c>
      <c r="F253" s="24">
        <f t="shared" si="102"/>
        <v>0</v>
      </c>
      <c r="G253" s="52"/>
      <c r="H253" s="52">
        <f>IF(A253="","",VLOOKUP(A253,'6.A'!$A$11:$E$7984,5,FALSE))</f>
        <v>0</v>
      </c>
      <c r="I253" s="52" t="str">
        <f t="shared" si="103"/>
        <v>SIM</v>
      </c>
      <c r="J253" s="52" t="str">
        <f>IF(H253="","",VLOOKUP(A253,'6.A'!$A$11:$E$564,4,FALSE))</f>
        <v>KG</v>
      </c>
      <c r="K253" s="52" t="str">
        <f t="shared" si="104"/>
        <v>SIM</v>
      </c>
      <c r="L253" s="52">
        <f>IF(H253="","",IF(C253="","",G220*C253))</f>
        <v>0.26600000000000001</v>
      </c>
      <c r="M253" s="117" t="str">
        <f>IF(A253="","",VLOOKUP(A253,'6.A'!$A$11:$C$564,2,FALSE))</f>
        <v>PREGO COM CABEÇA AÇO GALV (MÉDIA DAS BITOLAS)</v>
      </c>
      <c r="N253" s="57" t="str">
        <f t="shared" si="105"/>
        <v>si</v>
      </c>
      <c r="O253" s="56"/>
      <c r="P253" s="56"/>
      <c r="Q253" s="48"/>
      <c r="R253" s="48"/>
      <c r="T253" s="2"/>
      <c r="U253" s="2"/>
      <c r="V253" s="2"/>
    </row>
    <row r="254" spans="1:22" s="65" customFormat="1" ht="12.75" customHeight="1" x14ac:dyDescent="0.2">
      <c r="A254" s="22">
        <f>'6.A'!$A$68</f>
        <v>650</v>
      </c>
      <c r="B254" s="23" t="str">
        <f>IF(A254="","",VLOOKUP(A254,'6.A'!$A$11:$G$180,2,FALSE))</f>
        <v>BLOCO DE VEDACAO DE CONCRETO, 9 X 19 X 39 CM (CLASSE C - NBR 6136)</v>
      </c>
      <c r="C254" s="99">
        <v>104</v>
      </c>
      <c r="D254" s="57" t="str">
        <f>IF(A254="","",VLOOKUP(A254,'6.A'!$A$11:$G$180,4,FALSE))</f>
        <v>UN</v>
      </c>
      <c r="E254" s="100">
        <f>IF(A254="","",VLOOKUP(A254,'6.A'!$A$11:$G$180,5,FALSE))</f>
        <v>0</v>
      </c>
      <c r="F254" s="24">
        <f t="shared" si="102"/>
        <v>0</v>
      </c>
      <c r="G254" s="52"/>
      <c r="H254" s="52">
        <f>IF(A254="","",VLOOKUP(A254,'6.A'!$A$11:$E$7984,5,FALSE))</f>
        <v>0</v>
      </c>
      <c r="I254" s="52" t="str">
        <f t="shared" si="103"/>
        <v>SIM</v>
      </c>
      <c r="J254" s="52" t="str">
        <f>IF(H254="","",VLOOKUP(A254,'6.A'!$A$11:$E$564,4,FALSE))</f>
        <v>UN</v>
      </c>
      <c r="K254" s="52" t="str">
        <f t="shared" si="104"/>
        <v>SIM</v>
      </c>
      <c r="L254" s="52">
        <f>IF(H254="","",IF(C254="","",G220*C254))</f>
        <v>104</v>
      </c>
      <c r="M254" s="117" t="str">
        <f>IF(A254="","",VLOOKUP(A254,'6.A'!$A$11:$C$564,2,FALSE))</f>
        <v>BLOCO DE VEDACAO DE CONCRETO, 9 X 19 X 39 CM (CLASSE C - NBR 6136)</v>
      </c>
      <c r="N254" s="57" t="str">
        <f t="shared" si="105"/>
        <v>si</v>
      </c>
      <c r="O254" s="56"/>
      <c r="P254" s="56"/>
      <c r="Q254" s="48"/>
      <c r="R254" s="48"/>
      <c r="T254" s="2"/>
      <c r="U254" s="2"/>
      <c r="V254" s="2"/>
    </row>
    <row r="255" spans="1:22" ht="12.75" customHeight="1" x14ac:dyDescent="0.2">
      <c r="A255" s="22">
        <f>'6.A'!$A$82</f>
        <v>1106</v>
      </c>
      <c r="B255" s="23" t="str">
        <f>IF(A255="","",VLOOKUP(A255,'6.A'!$A$11:$G$180,2,FALSE))</f>
        <v>CAL HIDRATADA CH-I PARA ARGAMASSAS</v>
      </c>
      <c r="C255" s="99">
        <v>46.398800000000001</v>
      </c>
      <c r="D255" s="57" t="str">
        <f>IF(A255="","",VLOOKUP(A255,'6.A'!$A$11:$G$180,4,FALSE))</f>
        <v>KG</v>
      </c>
      <c r="E255" s="100">
        <f>IF(A255="","",VLOOKUP(A255,'6.A'!$A$11:$G$180,5,FALSE))</f>
        <v>0</v>
      </c>
      <c r="F255" s="24">
        <f t="shared" si="102"/>
        <v>0</v>
      </c>
      <c r="G255" s="52"/>
      <c r="H255" s="52">
        <f>IF(A255="","",VLOOKUP(A255,'6.A'!$A$11:$E$7984,5,FALSE))</f>
        <v>0</v>
      </c>
      <c r="I255" s="52" t="str">
        <f t="shared" si="103"/>
        <v>SIM</v>
      </c>
      <c r="J255" s="52" t="str">
        <f>IF(H255="","",VLOOKUP(A255,'6.A'!$A$11:$E$564,4,FALSE))</f>
        <v>KG</v>
      </c>
      <c r="K255" s="52" t="str">
        <f t="shared" si="104"/>
        <v>SIM</v>
      </c>
      <c r="L255" s="52">
        <f>IF(H255="","",IF(C255="","",G220*C255))</f>
        <v>46.398800000000001</v>
      </c>
      <c r="M255" s="117" t="str">
        <f>IF(A255="","",VLOOKUP(A255,'6.A'!$A$11:$C$564,2,FALSE))</f>
        <v>CAL HIDRATADA CH-I PARA ARGAMASSAS</v>
      </c>
      <c r="N255" s="57" t="str">
        <f t="shared" si="105"/>
        <v>si</v>
      </c>
      <c r="O255" s="56"/>
      <c r="P255" s="56"/>
      <c r="Q255" s="48"/>
      <c r="R255" s="48"/>
      <c r="S255" s="2"/>
    </row>
    <row r="256" spans="1:22" s="65" customFormat="1" ht="12.75" customHeight="1" x14ac:dyDescent="0.2">
      <c r="A256" s="22">
        <f>'6.A'!$A$83</f>
        <v>1347</v>
      </c>
      <c r="B256" s="23" t="str">
        <f>IF(A256="","",VLOOKUP(A256,'6.A'!$A$11:$G$180,2,FALSE))</f>
        <v>CHAPA/PAINEL DE MADEIRA COMPENSADA PLASTIFICADA PARA FORMA DE CONCRETO, DE 2200 X 1100 MM, E = 12 MM</v>
      </c>
      <c r="C256" s="99">
        <v>0.56842999999999999</v>
      </c>
      <c r="D256" s="57" t="str">
        <f>IF(A256="","",VLOOKUP(A256,'6.A'!$A$11:$G$180,4,FALSE))</f>
        <v>M2</v>
      </c>
      <c r="E256" s="100">
        <f>IF(A256="","",VLOOKUP(A256,'6.A'!$A$11:$G$180,5,FALSE))</f>
        <v>0</v>
      </c>
      <c r="F256" s="24">
        <f t="shared" si="102"/>
        <v>0</v>
      </c>
      <c r="G256" s="52"/>
      <c r="H256" s="52">
        <f>IF(A256="","",VLOOKUP(A256,'6.A'!$A$11:$E$7984,5,FALSE))</f>
        <v>0</v>
      </c>
      <c r="I256" s="52" t="str">
        <f t="shared" si="103"/>
        <v>SIM</v>
      </c>
      <c r="J256" s="52" t="str">
        <f>IF(H256="","",VLOOKUP(A256,'6.A'!$A$11:$E$564,4,FALSE))</f>
        <v>M2</v>
      </c>
      <c r="K256" s="52" t="str">
        <f t="shared" si="104"/>
        <v>SIM</v>
      </c>
      <c r="L256" s="52">
        <f>IF(H256="","",IF(C256="","",G220*C256))</f>
        <v>0.56842999999999999</v>
      </c>
      <c r="M256" s="117" t="str">
        <f>IF(A256="","",VLOOKUP(A256,'6.A'!$A$11:$C$564,2,FALSE))</f>
        <v>CHAPA/PAINEL DE MADEIRA COMPENSADA PLASTIFICADA PARA FORMA DE CONCRETO, DE 2200 X 1100 MM, E = 12 MM</v>
      </c>
      <c r="N256" s="57" t="str">
        <f t="shared" si="105"/>
        <v>si</v>
      </c>
      <c r="O256" s="56"/>
      <c r="P256" s="56"/>
      <c r="Q256" s="48"/>
      <c r="R256" s="48"/>
      <c r="T256" s="2"/>
      <c r="U256" s="2"/>
      <c r="V256" s="2"/>
    </row>
    <row r="257" spans="1:23" ht="12.75" customHeight="1" x14ac:dyDescent="0.2">
      <c r="A257" s="22">
        <f>'6.A'!$A$85</f>
        <v>1379</v>
      </c>
      <c r="B257" s="23" t="str">
        <f>IF(A257="","",VLOOKUP(A257,'6.A'!$A$11:$G$180,2,FALSE))</f>
        <v>CIMENTO PORTLAND COMPOSTO CP II-32</v>
      </c>
      <c r="C257" s="99">
        <v>79.803899999999999</v>
      </c>
      <c r="D257" s="57" t="str">
        <f>IF(A257="","",VLOOKUP(A257,'6.A'!$A$11:$G$180,4,FALSE))</f>
        <v>KG</v>
      </c>
      <c r="E257" s="100">
        <f>IF(A257="","",VLOOKUP(A257,'6.A'!$A$11:$G$180,5,FALSE))</f>
        <v>0</v>
      </c>
      <c r="F257" s="24">
        <f t="shared" si="102"/>
        <v>0</v>
      </c>
      <c r="G257" s="52"/>
      <c r="H257" s="52">
        <f>IF(A257="","",VLOOKUP(A257,'6.A'!$A$11:$E$7984,5,FALSE))</f>
        <v>0</v>
      </c>
      <c r="I257" s="52" t="str">
        <f t="shared" si="103"/>
        <v>SIM</v>
      </c>
      <c r="J257" s="52" t="str">
        <f>IF(H257="","",VLOOKUP(A257,'6.A'!$A$11:$E$564,4,FALSE))</f>
        <v>KG</v>
      </c>
      <c r="K257" s="52" t="str">
        <f t="shared" si="104"/>
        <v>SIM</v>
      </c>
      <c r="L257" s="52">
        <f>IF(H257="","",IF(C257="","",G220*C257))</f>
        <v>79.803899999999999</v>
      </c>
      <c r="M257" s="117" t="str">
        <f>IF(A257="","",VLOOKUP(A257,'6.A'!$A$11:$C$564,2,FALSE))</f>
        <v>CIMENTO PORTLAND COMPOSTO CP II-32</v>
      </c>
      <c r="N257" s="57" t="str">
        <f t="shared" si="105"/>
        <v>si</v>
      </c>
      <c r="O257" s="56"/>
      <c r="P257" s="56"/>
      <c r="Q257" s="48"/>
      <c r="R257" s="48"/>
      <c r="S257" s="2"/>
    </row>
    <row r="258" spans="1:23" ht="12.75" customHeight="1" x14ac:dyDescent="0.2">
      <c r="A258" s="22">
        <f>'6.A'!$A$109</f>
        <v>4509</v>
      </c>
      <c r="B258" s="23" t="str">
        <f>IF(A258="","",VLOOKUP(A258,'6.A'!$A$11:$G$180,2,FALSE))</f>
        <v>SARRAFO 2,5 X 10 CM EM PINUS, MISTA OU EQUIVALENTE DA REGIAO - BRUTA</v>
      </c>
      <c r="C258" s="99">
        <v>6.4</v>
      </c>
      <c r="D258" s="57" t="str">
        <f>IF(A258="","",VLOOKUP(A258,'6.A'!$A$11:$G$180,4,FALSE))</f>
        <v>M</v>
      </c>
      <c r="E258" s="100">
        <f>IF(A258="","",VLOOKUP(A258,'6.A'!$A$11:$G$180,5,FALSE))</f>
        <v>0</v>
      </c>
      <c r="F258" s="24">
        <f t="shared" si="102"/>
        <v>0</v>
      </c>
      <c r="G258" s="52"/>
      <c r="H258" s="52">
        <f>IF(A258="","",VLOOKUP(A258,'6.A'!$A$11:$E$7984,5,FALSE))</f>
        <v>0</v>
      </c>
      <c r="I258" s="52" t="str">
        <f t="shared" si="103"/>
        <v>SIM</v>
      </c>
      <c r="J258" s="52" t="str">
        <f>IF(H258="","",VLOOKUP(A258,'6.A'!$A$11:$E$564,4,FALSE))</f>
        <v>M</v>
      </c>
      <c r="K258" s="52" t="str">
        <f t="shared" si="104"/>
        <v>SIM</v>
      </c>
      <c r="L258" s="52">
        <f>IF(H258="","",IF(C258="","",G220*C258))</f>
        <v>6.4</v>
      </c>
      <c r="M258" s="117" t="str">
        <f>IF(A258="","",VLOOKUP(A258,'6.A'!$A$11:$C$564,2,FALSE))</f>
        <v>SARRAFO 2,5 X 10 CM EM PINUS, MISTA OU EQUIVALENTE DA REGIAO - BRUTA</v>
      </c>
      <c r="N258" s="57" t="str">
        <f t="shared" si="105"/>
        <v>si</v>
      </c>
      <c r="O258" s="56"/>
      <c r="P258" s="56"/>
      <c r="Q258" s="48"/>
      <c r="R258" s="48"/>
      <c r="S258" s="2"/>
    </row>
    <row r="259" spans="1:23" ht="12.75" customHeight="1" x14ac:dyDescent="0.2">
      <c r="A259" s="22">
        <f>'6.A'!$A$110</f>
        <v>4517</v>
      </c>
      <c r="B259" s="23" t="str">
        <f>IF(A259="","",VLOOKUP(A259,'6.A'!$A$11:$G$180,2,FALSE))</f>
        <v>SARRAFO 2,5 X 7,5 CM EM PINUS, MISTA OU EQUIVALENTE DA REGIAO - BRUTA</v>
      </c>
      <c r="C259" s="99">
        <v>2.1312000000000002</v>
      </c>
      <c r="D259" s="57" t="str">
        <f>IF(A259="","",VLOOKUP(A259,'6.A'!$A$11:$G$180,4,FALSE))</f>
        <v>M</v>
      </c>
      <c r="E259" s="100">
        <f>IF(A259="","",VLOOKUP(A259,'6.A'!$A$11:$G$180,5,FALSE))</f>
        <v>0</v>
      </c>
      <c r="F259" s="24">
        <f t="shared" si="102"/>
        <v>0</v>
      </c>
      <c r="G259" s="52"/>
      <c r="H259" s="52">
        <f>IF(A259="","",VLOOKUP(A259,'6.A'!$A$11:$E$7984,5,FALSE))</f>
        <v>0</v>
      </c>
      <c r="I259" s="52" t="str">
        <f t="shared" si="103"/>
        <v>SIM</v>
      </c>
      <c r="J259" s="52" t="str">
        <f>IF(H259="","",VLOOKUP(A259,'6.A'!$A$11:$E$564,4,FALSE))</f>
        <v>M</v>
      </c>
      <c r="K259" s="52" t="str">
        <f t="shared" si="104"/>
        <v>SIM</v>
      </c>
      <c r="L259" s="52">
        <f>IF(H259="","",IF(C259="","",G220*C259))</f>
        <v>2.1312000000000002</v>
      </c>
      <c r="M259" s="117" t="str">
        <f>IF(A259="","",VLOOKUP(A259,'6.A'!$A$11:$C$564,2,FALSE))</f>
        <v>SARRAFO 2,5 X 7,5 CM EM PINUS, MISTA OU EQUIVALENTE DA REGIAO - BRUTA</v>
      </c>
      <c r="N259" s="57" t="str">
        <f t="shared" si="105"/>
        <v>si</v>
      </c>
      <c r="O259" s="56"/>
      <c r="P259" s="56"/>
      <c r="Q259" s="48"/>
      <c r="R259" s="48"/>
      <c r="S259" s="2"/>
    </row>
    <row r="260" spans="1:23" ht="12.75" customHeight="1" x14ac:dyDescent="0.2">
      <c r="A260" s="22">
        <f>'6.A'!$A$113</f>
        <v>6085</v>
      </c>
      <c r="B260" s="23" t="str">
        <f>IF(A260="","",VLOOKUP(A260,'6.A'!$A$11:$G$180,2,FALSE))</f>
        <v>SELADOR ACRILICO OPACO PREMIUM INTERIOR/EXTERIOR</v>
      </c>
      <c r="C260" s="99">
        <v>2.27</v>
      </c>
      <c r="D260" s="57" t="str">
        <f>IF(A260="","",VLOOKUP(A260,'6.A'!$A$11:$G$180,4,FALSE))</f>
        <v>L</v>
      </c>
      <c r="E260" s="100">
        <f>IF(A260="","",VLOOKUP(A260,'6.A'!$A$11:$G$180,5,FALSE))</f>
        <v>0</v>
      </c>
      <c r="F260" s="24">
        <f t="shared" si="102"/>
        <v>0</v>
      </c>
      <c r="G260" s="52"/>
      <c r="H260" s="52">
        <f>IF(A260="","",VLOOKUP(A260,'6.A'!$A$11:$E$7984,5,FALSE))</f>
        <v>0</v>
      </c>
      <c r="I260" s="52" t="str">
        <f t="shared" si="103"/>
        <v>SIM</v>
      </c>
      <c r="J260" s="52" t="str">
        <f>IF(H260="","",VLOOKUP(A260,'6.A'!$A$11:$E$564,4,FALSE))</f>
        <v>L</v>
      </c>
      <c r="K260" s="52" t="str">
        <f t="shared" si="104"/>
        <v>SIM</v>
      </c>
      <c r="L260" s="52">
        <f>IF(H260="","",IF(C260="","",G220*C260))</f>
        <v>2.27</v>
      </c>
      <c r="M260" s="117" t="str">
        <f>IF(A260="","",VLOOKUP(A260,'6.A'!$A$11:$C$564,2,FALSE))</f>
        <v>SELADOR ACRILICO OPACO PREMIUM INTERIOR/EXTERIOR</v>
      </c>
      <c r="N260" s="57" t="str">
        <f t="shared" si="105"/>
        <v>si</v>
      </c>
      <c r="O260" s="56"/>
      <c r="P260" s="56"/>
      <c r="Q260" s="48"/>
      <c r="R260" s="48"/>
    </row>
    <row r="261" spans="1:23" ht="12.75" customHeight="1" x14ac:dyDescent="0.2">
      <c r="A261" s="22">
        <f>'6.A'!$A$132</f>
        <v>35692</v>
      </c>
      <c r="B261" s="23" t="str">
        <f>IF(A261="","",VLOOKUP(A261,'6.A'!$A$11:$G$180,2,FALSE))</f>
        <v>TINTA LATEX ACRILICA STANDARD, COR BRANCA</v>
      </c>
      <c r="C261" s="99">
        <v>2.27</v>
      </c>
      <c r="D261" s="57" t="str">
        <f>IF(A261="","",VLOOKUP(A261,'6.A'!$A$11:$G$180,4,FALSE))</f>
        <v>L</v>
      </c>
      <c r="E261" s="100">
        <f>IF(A261="","",VLOOKUP(A261,'6.A'!$A$11:$G$180,5,FALSE))</f>
        <v>0</v>
      </c>
      <c r="F261" s="24">
        <f t="shared" ref="F261:F268" si="106">IF(A261="","0,00",ROUND(C261*E261,2))</f>
        <v>0</v>
      </c>
      <c r="G261" s="52"/>
      <c r="H261" s="52">
        <f>IF(A261="","",VLOOKUP(A261,'6.A'!$A$11:$E$7984,5,FALSE))</f>
        <v>0</v>
      </c>
      <c r="I261" s="52" t="str">
        <f t="shared" ref="I261:I268" si="107">IF(H261="","",IF(E261=H261,"SIM","NÃO"))</f>
        <v>SIM</v>
      </c>
      <c r="J261" s="52" t="str">
        <f>IF(H261="","",VLOOKUP(A261,'6.A'!$A$11:$E$564,4,FALSE))</f>
        <v>L</v>
      </c>
      <c r="K261" s="52" t="str">
        <f t="shared" ref="K261:K268" si="108">IF(H261="","",IF(J261=D261,"SIM","NÃO"))</f>
        <v>SIM</v>
      </c>
      <c r="L261" s="52">
        <f>IF(H261="","",IF(C261="","",G220*C261))</f>
        <v>2.27</v>
      </c>
      <c r="M261" s="117" t="str">
        <f>IF(A261="","",VLOOKUP(A261,'6.A'!$A$11:$C$564,2,FALSE))</f>
        <v>TINTA LATEX ACRILICA STANDARD, COR BRANCA</v>
      </c>
      <c r="N261" s="57" t="str">
        <f t="shared" ref="N261:N268" si="109">IF(A261="","",IF(M261=B261,"si","no"))</f>
        <v>si</v>
      </c>
      <c r="O261" s="56"/>
      <c r="P261" s="56"/>
      <c r="Q261" s="48"/>
      <c r="R261" s="48"/>
    </row>
    <row r="262" spans="1:23" ht="12.75" customHeight="1" x14ac:dyDescent="0.2">
      <c r="A262" s="22">
        <f>'6.A'!$A$134</f>
        <v>38383</v>
      </c>
      <c r="B262" s="23" t="str">
        <f>IF(A262="","",VLOOKUP(A262,'6.A'!$A$11:$G$180,2,FALSE))</f>
        <v>LIXA D'AGUA EM FOLHA</v>
      </c>
      <c r="C262" s="99">
        <v>2.72</v>
      </c>
      <c r="D262" s="57" t="str">
        <f>IF(A262="","",VLOOKUP(A262,'6.A'!$A$11:$G$180,4,FALSE))</f>
        <v>UN</v>
      </c>
      <c r="E262" s="100">
        <f>IF(A262="","",VLOOKUP(A262,'6.A'!$A$11:$G$180,5,FALSE))</f>
        <v>0</v>
      </c>
      <c r="F262" s="24">
        <f t="shared" si="106"/>
        <v>0</v>
      </c>
      <c r="G262" s="52"/>
      <c r="H262" s="52">
        <f>IF(A262="","",VLOOKUP(A262,'6.A'!$A$11:$E$7984,5,FALSE))</f>
        <v>0</v>
      </c>
      <c r="I262" s="52" t="str">
        <f t="shared" si="107"/>
        <v>SIM</v>
      </c>
      <c r="J262" s="52" t="str">
        <f>IF(H262="","",VLOOKUP(A262,'6.A'!$A$11:$E$564,4,FALSE))</f>
        <v>UN</v>
      </c>
      <c r="K262" s="52" t="str">
        <f t="shared" si="108"/>
        <v>SIM</v>
      </c>
      <c r="L262" s="52">
        <f>IF(H262="","",IF(C262="","",G220*C262))</f>
        <v>2.72</v>
      </c>
      <c r="M262" s="117" t="str">
        <f>IF(A262="","",VLOOKUP(A262,'6.A'!$A$11:$C$564,2,FALSE))</f>
        <v>LIXA D'AGUA EM FOLHA</v>
      </c>
      <c r="N262" s="57" t="str">
        <f t="shared" si="109"/>
        <v>si</v>
      </c>
      <c r="O262" s="56"/>
      <c r="P262" s="56"/>
      <c r="Q262" s="48"/>
      <c r="R262" s="48"/>
    </row>
    <row r="263" spans="1:23" ht="12.75" customHeight="1" x14ac:dyDescent="0.2">
      <c r="A263" s="22">
        <f>'6.A'!$A$149</f>
        <v>41180</v>
      </c>
      <c r="B263" s="23" t="str">
        <f>IF(A263="","",VLOOKUP(A263,'6.A'!$A$11:$G$180,2,FALSE))</f>
        <v>POSTE DE CONCRETO ARMADO DE SECAO CIRCULAR, EXTENSAO DE 13,00 M, RESISTENCIA DE 1000 DAN, TIPO C-23</v>
      </c>
      <c r="C263" s="99">
        <v>1</v>
      </c>
      <c r="D263" s="57" t="str">
        <f>IF(A263="","",VLOOKUP(A263,'6.A'!$A$11:$G$180,4,FALSE))</f>
        <v>UN</v>
      </c>
      <c r="E263" s="100">
        <f>IF(A263="","",VLOOKUP(A263,'6.A'!$A$11:$G$180,5,FALSE))</f>
        <v>0</v>
      </c>
      <c r="F263" s="24">
        <f t="shared" si="106"/>
        <v>0</v>
      </c>
      <c r="G263" s="52"/>
      <c r="H263" s="52">
        <f>IF(A263="","",VLOOKUP(A263,'6.A'!$A$11:$E$7984,5,FALSE))</f>
        <v>0</v>
      </c>
      <c r="I263" s="52" t="str">
        <f t="shared" si="107"/>
        <v>SIM</v>
      </c>
      <c r="J263" s="52" t="str">
        <f>IF(H263="","",VLOOKUP(A263,'6.A'!$A$11:$E$564,4,FALSE))</f>
        <v>UN</v>
      </c>
      <c r="K263" s="52" t="str">
        <f t="shared" si="108"/>
        <v>SIM</v>
      </c>
      <c r="L263" s="52">
        <f>IF(H263="","",IF(C263="","",G220*C263))</f>
        <v>1</v>
      </c>
      <c r="M263" s="117" t="str">
        <f>IF(A263="","",VLOOKUP(A263,'6.A'!$A$11:$C$564,2,FALSE))</f>
        <v>POSTE DE CONCRETO ARMADO DE SECAO CIRCULAR, EXTENSAO DE 13,00 M, RESISTENCIA DE 1000 DAN, TIPO C-23</v>
      </c>
      <c r="N263" s="57" t="str">
        <f t="shared" si="109"/>
        <v>si</v>
      </c>
      <c r="O263" s="56"/>
      <c r="P263" s="56"/>
      <c r="Q263" s="48"/>
      <c r="R263" s="48"/>
    </row>
    <row r="264" spans="1:23" ht="12.75" customHeight="1" x14ac:dyDescent="0.2">
      <c r="A264" s="22">
        <f>'6.A'!$A$157</f>
        <v>43132</v>
      </c>
      <c r="B264" s="23" t="str">
        <f>IF(A264="","",VLOOKUP(A264,'6.A'!$A$11:$G$180,2,FALSE))</f>
        <v>ARAME RECOZIDO 16 BWG, D = 1,65 MM (0,016 KG/M) OU 18 BWG, D = 1,25 MM (0,01 KG/M)</v>
      </c>
      <c r="C264" s="99">
        <v>0.14000000000000001</v>
      </c>
      <c r="D264" s="57" t="str">
        <f>IF(A264="","",VLOOKUP(A264,'6.A'!$A$11:$G$180,4,FALSE))</f>
        <v>KG</v>
      </c>
      <c r="E264" s="100">
        <f>IF(A264="","",VLOOKUP(A264,'6.A'!$A$11:$G$180,5,FALSE))</f>
        <v>0</v>
      </c>
      <c r="F264" s="24">
        <f>IF(A264="","0,00",ROUND(C264*E264,2))</f>
        <v>0</v>
      </c>
      <c r="G264" s="52"/>
      <c r="H264" s="52">
        <f>IF(A264="","",VLOOKUP(A264,'6.A'!$A$11:$E$7984,5,FALSE))</f>
        <v>0</v>
      </c>
      <c r="I264" s="52" t="str">
        <f>IF(H264="","",IF(E264=H264,"SIM","NÃO"))</f>
        <v>SIM</v>
      </c>
      <c r="J264" s="52" t="str">
        <f>IF(H264="","",VLOOKUP(A264,'6.A'!$A$11:$E$564,4,FALSE))</f>
        <v>KG</v>
      </c>
      <c r="K264" s="52" t="str">
        <f>IF(H264="","",IF(J264=D264,"SIM","NÃO"))</f>
        <v>SIM</v>
      </c>
      <c r="L264" s="52">
        <f>IF(H264="","",IF(C264="","",G220*C264))</f>
        <v>0.14000000000000001</v>
      </c>
      <c r="M264" s="117" t="str">
        <f>IF(A264="","",VLOOKUP(A264,'6.A'!$A$11:$C$564,2,FALSE))</f>
        <v>ARAME RECOZIDO 16 BWG, D = 1,65 MM (0,016 KG/M) OU 18 BWG, D = 1,25 MM (0,01 KG/M)</v>
      </c>
      <c r="N264" s="57" t="str">
        <f>IF(A264="","",IF(M264=B264,"si","no"))</f>
        <v>si</v>
      </c>
      <c r="O264" s="56"/>
      <c r="P264" s="56"/>
      <c r="Q264" s="48"/>
      <c r="R264" s="48"/>
    </row>
    <row r="265" spans="1:23" ht="12.75" customHeight="1" x14ac:dyDescent="0.2">
      <c r="A265" s="22"/>
      <c r="B265" s="23" t="str">
        <f>IF(A265="","",VLOOKUP(A265,'6.A'!$A$11:$G$180,2,FALSE))</f>
        <v/>
      </c>
      <c r="C265" s="99"/>
      <c r="D265" s="57" t="str">
        <f>IF(A265="","",VLOOKUP(A265,'6.A'!$A$11:$G$180,4,FALSE))</f>
        <v/>
      </c>
      <c r="E265" s="100" t="str">
        <f>IF(A265="","",VLOOKUP(A265,'6.A'!$A$11:$G$180,5,FALSE))</f>
        <v/>
      </c>
      <c r="F265" s="24" t="str">
        <f t="shared" si="106"/>
        <v>0,00</v>
      </c>
      <c r="G265" s="52"/>
      <c r="H265" s="52" t="str">
        <f>IF(A265="","",VLOOKUP(A265,'6.A'!$A$11:$E$7984,5,FALSE))</f>
        <v/>
      </c>
      <c r="I265" s="52" t="str">
        <f t="shared" si="107"/>
        <v/>
      </c>
      <c r="J265" s="52" t="str">
        <f>IF(H265="","",VLOOKUP(A265,'6.A'!$A$11:$E$564,4,FALSE))</f>
        <v/>
      </c>
      <c r="K265" s="52" t="str">
        <f t="shared" si="108"/>
        <v/>
      </c>
      <c r="L265" s="52" t="str">
        <f>IF(H265="","",IF(C265="","",G220*C265))</f>
        <v/>
      </c>
      <c r="M265" s="117" t="str">
        <f>IF(A265="","",VLOOKUP(A265,'6.A'!$A$11:$C$564,2,FALSE))</f>
        <v/>
      </c>
      <c r="N265" s="57" t="str">
        <f t="shared" si="109"/>
        <v/>
      </c>
      <c r="O265" s="56"/>
      <c r="P265" s="56"/>
      <c r="Q265" s="48"/>
      <c r="R265" s="48"/>
    </row>
    <row r="266" spans="1:23" ht="12.75" customHeight="1" x14ac:dyDescent="0.2">
      <c r="A266" s="22"/>
      <c r="B266" s="39" t="str">
        <f>IF(A266="","",VLOOKUP(A266,'6.A'!$A$11:$G$180,2,FALSE))</f>
        <v/>
      </c>
      <c r="C266" s="99"/>
      <c r="D266" s="57" t="str">
        <f>IF(A266="","",VLOOKUP(A266,'6.A'!$A$11:$G$180,4,FALSE))</f>
        <v/>
      </c>
      <c r="E266" s="100" t="str">
        <f>IF(A266="","",VLOOKUP(A266,'6.A'!$A$11:$G$180,5,FALSE))</f>
        <v/>
      </c>
      <c r="F266" s="24" t="str">
        <f t="shared" si="106"/>
        <v>0,00</v>
      </c>
      <c r="G266" s="52"/>
      <c r="H266" s="52" t="str">
        <f>IF(A266="","",VLOOKUP(A266,'6.A'!$A$11:$E$7984,5,FALSE))</f>
        <v/>
      </c>
      <c r="I266" s="52" t="str">
        <f t="shared" si="107"/>
        <v/>
      </c>
      <c r="J266" s="52" t="str">
        <f>IF(H266="","",VLOOKUP(A266,'6.A'!$A$11:$E$564,4,FALSE))</f>
        <v/>
      </c>
      <c r="K266" s="52" t="str">
        <f t="shared" si="108"/>
        <v/>
      </c>
      <c r="L266" s="52" t="str">
        <f>IF(H266="","",IF(C266="","",G220*C266))</f>
        <v/>
      </c>
      <c r="M266" s="117" t="str">
        <f>IF(A266="","",VLOOKUP(A266,'6.A'!$A$11:$C$564,2,FALSE))</f>
        <v/>
      </c>
      <c r="N266" s="57" t="str">
        <f t="shared" si="109"/>
        <v/>
      </c>
      <c r="O266" s="56"/>
      <c r="P266" s="56"/>
      <c r="Q266" s="48"/>
      <c r="R266" s="48"/>
    </row>
    <row r="267" spans="1:23" ht="12.75" customHeight="1" x14ac:dyDescent="0.2">
      <c r="A267" s="22"/>
      <c r="B267" s="39" t="str">
        <f>IF(A267="","",VLOOKUP(A267,'6.A'!$A$11:$G$180,2,FALSE))</f>
        <v/>
      </c>
      <c r="C267" s="99"/>
      <c r="D267" s="57" t="str">
        <f>IF(A267="","",VLOOKUP(A267,'6.A'!$A$11:$G$180,4,FALSE))</f>
        <v/>
      </c>
      <c r="E267" s="100" t="str">
        <f>IF(A267="","",VLOOKUP(A267,'6.A'!$A$11:$G$180,5,FALSE))</f>
        <v/>
      </c>
      <c r="F267" s="24" t="str">
        <f t="shared" si="106"/>
        <v>0,00</v>
      </c>
      <c r="G267" s="52"/>
      <c r="H267" s="52" t="str">
        <f>IF(A267="","",VLOOKUP(A267,'6.A'!$A$11:$E$7984,5,FALSE))</f>
        <v/>
      </c>
      <c r="I267" s="52" t="str">
        <f t="shared" si="107"/>
        <v/>
      </c>
      <c r="J267" s="52" t="str">
        <f>IF(H267="","",VLOOKUP(A267,'6.A'!$A$11:$E$564,4,FALSE))</f>
        <v/>
      </c>
      <c r="K267" s="52" t="str">
        <f t="shared" si="108"/>
        <v/>
      </c>
      <c r="L267" s="52" t="str">
        <f>IF(H267="","",IF(C267="","",G220*C267))</f>
        <v/>
      </c>
      <c r="M267" s="117" t="str">
        <f>IF(A267="","",VLOOKUP(A267,'6.A'!$A$11:$C$564,2,FALSE))</f>
        <v/>
      </c>
      <c r="N267" s="57" t="str">
        <f t="shared" si="109"/>
        <v/>
      </c>
      <c r="O267" s="56"/>
      <c r="P267" s="56"/>
      <c r="Q267" s="48"/>
      <c r="R267" s="48"/>
    </row>
    <row r="268" spans="1:23" ht="12.75" customHeight="1" x14ac:dyDescent="0.2">
      <c r="A268" s="22"/>
      <c r="B268" s="39" t="str">
        <f>IF(A268="","",VLOOKUP(A268,'6.A'!$A$11:$G$180,2,FALSE))</f>
        <v/>
      </c>
      <c r="C268" s="99"/>
      <c r="D268" s="57" t="str">
        <f>IF(A268="","",VLOOKUP(A268,'6.A'!$A$11:$G$180,4,FALSE))</f>
        <v/>
      </c>
      <c r="E268" s="100" t="str">
        <f>IF(A268="","",VLOOKUP(A268,'6.A'!$A$11:$G$180,5,FALSE))</f>
        <v/>
      </c>
      <c r="F268" s="24" t="str">
        <f t="shared" si="106"/>
        <v>0,00</v>
      </c>
      <c r="G268" s="52"/>
      <c r="H268" s="52" t="str">
        <f>IF(A268="","",VLOOKUP(A268,'6.A'!$A$11:$E$7984,5,FALSE))</f>
        <v/>
      </c>
      <c r="I268" s="52" t="str">
        <f t="shared" si="107"/>
        <v/>
      </c>
      <c r="J268" s="52" t="str">
        <f>IF(H268="","",VLOOKUP(A268,'6.A'!$A$11:$E$564,4,FALSE))</f>
        <v/>
      </c>
      <c r="K268" s="52" t="str">
        <f t="shared" si="108"/>
        <v/>
      </c>
      <c r="L268" s="52" t="str">
        <f>IF(H268="","",IF(C268="","",G220*C268))</f>
        <v/>
      </c>
      <c r="M268" s="117" t="str">
        <f>IF(A268="","",VLOOKUP(A268,'6.A'!$A$11:$C$564,2,FALSE))</f>
        <v/>
      </c>
      <c r="N268" s="57" t="str">
        <f t="shared" si="109"/>
        <v/>
      </c>
      <c r="O268" s="56"/>
      <c r="P268" s="56"/>
      <c r="Q268" s="48"/>
      <c r="R268" s="48"/>
    </row>
    <row r="269" spans="1:23" ht="12.75" customHeight="1" x14ac:dyDescent="0.2">
      <c r="A269" s="22"/>
      <c r="B269" s="26" t="str">
        <f>$A$9</f>
        <v>BDI</v>
      </c>
      <c r="C269" s="40">
        <f>$C$9</f>
        <v>0</v>
      </c>
      <c r="D269" s="57"/>
      <c r="F269" s="28">
        <f>ROUND(SUM(F249:F268)*C269,2)</f>
        <v>0</v>
      </c>
      <c r="G269" s="63"/>
      <c r="M269" s="57"/>
      <c r="N269" s="57"/>
      <c r="O269" s="56"/>
      <c r="P269" s="56"/>
      <c r="Q269" s="48"/>
      <c r="R269" s="48"/>
    </row>
    <row r="270" spans="1:23" ht="12.75" customHeight="1" thickBot="1" x14ac:dyDescent="0.25">
      <c r="A270" s="41"/>
      <c r="B270" s="42" t="s">
        <v>57</v>
      </c>
      <c r="C270" s="43"/>
      <c r="D270" s="44"/>
      <c r="E270" s="45"/>
      <c r="F270" s="46">
        <f>ROUND(SUM(F249:F269),2)</f>
        <v>0</v>
      </c>
      <c r="G270" s="63"/>
      <c r="M270" s="57"/>
      <c r="N270" s="57"/>
      <c r="O270" s="56"/>
      <c r="P270" s="56"/>
      <c r="Q270" s="48"/>
      <c r="R270" s="48"/>
    </row>
    <row r="271" spans="1:23" ht="12" customHeight="1" thickBot="1" x14ac:dyDescent="0.25">
      <c r="A271" s="8"/>
      <c r="B271" s="9"/>
      <c r="C271" s="10"/>
      <c r="D271" s="57"/>
      <c r="F271" s="12"/>
      <c r="M271" s="57"/>
      <c r="N271" s="57"/>
      <c r="O271" s="56"/>
      <c r="P271" s="56"/>
    </row>
    <row r="272" spans="1:23" ht="50.1" customHeight="1" x14ac:dyDescent="0.2">
      <c r="A272" s="243" t="str">
        <f>'3.A'!$A$27</f>
        <v>2.2</v>
      </c>
      <c r="B272" s="14" t="str">
        <f>IF(A272="","",VLOOKUP(A272,'3.A'!$A$17:$M$279,2,FALSE))</f>
        <v>TE-06 ENTRADA PRIMÁRIA SIMPLIF. POSTE UNICO - CPFL - 225 KVA - 15KV- 220/127 V - INFRAESTRUTURA ELÉTRICA - MÉDIA TENSÃO</v>
      </c>
      <c r="C272" s="413" t="s">
        <v>62</v>
      </c>
      <c r="D272" s="413"/>
      <c r="E272" s="15" t="str">
        <f>IF(A272="","",VLOOKUP(A272,'3.A'!$A$17:$M$279,3,FALSE))</f>
        <v>UN</v>
      </c>
      <c r="F272" s="16">
        <f>ROUND(F286+F299+F322,2)</f>
        <v>0</v>
      </c>
      <c r="G272" s="118">
        <f>VLOOKUP(A272,'3.A'!$A$19:$I$279,4,FALSE)</f>
        <v>1</v>
      </c>
      <c r="H272" s="47">
        <f>SUM(F274:F285)</f>
        <v>0</v>
      </c>
      <c r="I272" s="47">
        <f>SUM(F288:F298)</f>
        <v>0</v>
      </c>
      <c r="J272" s="47">
        <f>SUM(F301:F321)</f>
        <v>0</v>
      </c>
      <c r="K272" s="47">
        <f>SUM(H272:J272)</f>
        <v>0</v>
      </c>
      <c r="L272" s="47" t="str">
        <f>IF(K272=F272,"SIM","NÃO")</f>
        <v>SIM</v>
      </c>
      <c r="M272" s="58">
        <f>ROUND(SUM(F274:F283)*C284,2)+ROUND(SUM(F274:F284)*C285,2)+ROUND(SUM(F274:F283),2)+ROUND(SUM(F288:F297)*C298,2)+ROUND(SUM(F288:F297),2)+ROUND(SUM(F301:F320)*C321,2)+ROUND(SUM(F301:F320),2)</f>
        <v>0</v>
      </c>
      <c r="N272" s="50" t="str">
        <f>IF(M272=F272,"SIM","NÃO")</f>
        <v>SIM</v>
      </c>
      <c r="O272" s="51" t="str">
        <f>VLOOKUP(A272,'3.A'!$A$8:$E$279,3,FALSE)</f>
        <v>UN</v>
      </c>
      <c r="P272" s="51" t="str">
        <f>IF(O272=E272,"SIM","NÃO")</f>
        <v>SIM</v>
      </c>
      <c r="Q272" s="53">
        <f>ROUND(G272*F286,2)+ROUND(G272*F299,2)+ROUND(G272*F322,2)</f>
        <v>0</v>
      </c>
      <c r="R272" s="59">
        <f>VLOOKUP(A272,'3.A'!$A$17:$L$279,12,FALSE)</f>
        <v>0</v>
      </c>
      <c r="S272" s="60" t="str">
        <f>IF(Q272=R272,"si","no")</f>
        <v>si</v>
      </c>
      <c r="T272" s="61">
        <f>SUM(L274:L283)+SUM(L288:L297)+SUM(L301:L320)</f>
        <v>218.5</v>
      </c>
      <c r="U272" s="52">
        <f>G272*C280+G272*C282+G272*C275+G272*C276+G272*C278+G272*C281+G272*C279+G272*C274+G272*C277+G272*C283+G272*C294+G272*C288+G272*C296+G272*C295+G272*C293+G272*C290+G272*C289+G272*C291+G272*C297+G272*C292+G272*C301+G272*C302+G272*C303+G272*C311+G272*C312+G272*C313+G272*C314+G272*C315+G272*C316+G272*C317+G272*C318+G272*C319+G272*C320+G272*C309+G272*C310+G272*C304+G272*C305+G272*C306+G272*C307+G272*C308</f>
        <v>218.5</v>
      </c>
      <c r="V272" s="54" t="str">
        <f>IF(T272=U272,"si","no")</f>
        <v>si</v>
      </c>
      <c r="W272" s="137"/>
    </row>
    <row r="273" spans="1:19" ht="12.75" customHeight="1" x14ac:dyDescent="0.2">
      <c r="A273" s="17" t="s">
        <v>3</v>
      </c>
      <c r="B273" s="18" t="s">
        <v>58</v>
      </c>
      <c r="C273" s="56" t="s">
        <v>59</v>
      </c>
      <c r="D273" s="56" t="s">
        <v>16</v>
      </c>
      <c r="E273" s="19" t="s">
        <v>60</v>
      </c>
      <c r="F273" s="20" t="s">
        <v>61</v>
      </c>
      <c r="G273" s="21"/>
      <c r="M273" s="57"/>
      <c r="N273" s="57"/>
      <c r="O273" s="56"/>
      <c r="P273" s="56"/>
      <c r="Q273" s="48"/>
      <c r="R273" s="48"/>
    </row>
    <row r="274" spans="1:19" ht="12.75" customHeight="1" x14ac:dyDescent="0.2">
      <c r="A274" s="22">
        <f>'6.A'!$A$18</f>
        <v>88264</v>
      </c>
      <c r="B274" s="23" t="str">
        <f>IF(A274="","",VLOOKUP(A274,'6.A'!$A$11:$G$180,2,FALSE))</f>
        <v>ELETRICISTA COM ENCARGOS COMPLEMENTARES</v>
      </c>
      <c r="C274" s="99">
        <v>40</v>
      </c>
      <c r="D274" s="57" t="str">
        <f>IF(A274="","",VLOOKUP(A274,'6.A'!$A$11:$G$180,4,FALSE))</f>
        <v>H</v>
      </c>
      <c r="E274" s="100">
        <f>IF(A274="","",VLOOKUP(A274,'6.A'!$A$11:$G$180,5,FALSE))</f>
        <v>0</v>
      </c>
      <c r="F274" s="24">
        <f t="shared" ref="F274:F283" si="110">IF(A274="","0,00",ROUND(C274*E274,2))</f>
        <v>0</v>
      </c>
      <c r="G274" s="52"/>
      <c r="H274" s="52">
        <f>IF(A274="","",VLOOKUP(A274,'6.A'!$A$11:$E$7984,5,FALSE))</f>
        <v>0</v>
      </c>
      <c r="I274" s="52" t="str">
        <f>IF(H274="","",IF(E274=H274,"SIM","NÃO"))</f>
        <v>SIM</v>
      </c>
      <c r="J274" s="52" t="str">
        <f>IF(H274="","",VLOOKUP(A274,'6.A'!$A$11:$E$564,4,FALSE))</f>
        <v>H</v>
      </c>
      <c r="K274" s="52" t="str">
        <f>IF(H274="","",IF(J274=D274,"SIM","NÃO"))</f>
        <v>SIM</v>
      </c>
      <c r="L274" s="52">
        <f>IF(H274="","",IF(C274="","",G272*C274))</f>
        <v>40</v>
      </c>
      <c r="M274" s="117" t="str">
        <f>IF(A274="","",VLOOKUP(A274,'6.A'!$A$11:$C$564,2,FALSE))</f>
        <v>ELETRICISTA COM ENCARGOS COMPLEMENTARES</v>
      </c>
      <c r="N274" s="57" t="str">
        <f>IF(A274="","",IF(M274=B274,"si","no"))</f>
        <v>si</v>
      </c>
      <c r="O274" s="56"/>
      <c r="P274" s="56"/>
      <c r="Q274" s="48"/>
      <c r="R274" s="48"/>
    </row>
    <row r="275" spans="1:19" ht="12.75" customHeight="1" x14ac:dyDescent="0.2">
      <c r="A275" s="22"/>
      <c r="B275" s="23" t="str">
        <f>IF(A275="","",VLOOKUP(A275,'6.A'!$A$11:$G$180,2,FALSE))</f>
        <v/>
      </c>
      <c r="C275" s="99"/>
      <c r="D275" s="57" t="str">
        <f>IF(A275="","",VLOOKUP(A275,'6.A'!$A$11:$G$180,4,FALSE))</f>
        <v/>
      </c>
      <c r="E275" s="100" t="str">
        <f>IF(A275="","",VLOOKUP(A275,'6.A'!$A$11:$G$180,5,FALSE))</f>
        <v/>
      </c>
      <c r="F275" s="24" t="str">
        <f t="shared" si="110"/>
        <v>0,00</v>
      </c>
      <c r="G275" s="52"/>
      <c r="H275" s="52" t="str">
        <f>IF(A275="","",VLOOKUP(A275,'6.A'!$A$11:$E$7984,5,FALSE))</f>
        <v/>
      </c>
      <c r="I275" s="52" t="str">
        <f>IF(H275="","",IF(E275=H275,"SIM","NÃO"))</f>
        <v/>
      </c>
      <c r="J275" s="52" t="str">
        <f>IF(H275="","",VLOOKUP(A275,'6.A'!$A$11:$E$564,4,FALSE))</f>
        <v/>
      </c>
      <c r="K275" s="52" t="str">
        <f>IF(H275="","",IF(J275=D275,"SIM","NÃO"))</f>
        <v/>
      </c>
      <c r="L275" s="52" t="str">
        <f>IF(H275="","",IF(C275="","",G272*C275))</f>
        <v/>
      </c>
      <c r="M275" s="117" t="str">
        <f>IF(A275="","",VLOOKUP(A275,'6.A'!$A$11:$C$564,2,FALSE))</f>
        <v/>
      </c>
      <c r="N275" s="57" t="str">
        <f>IF(A275="","",IF(M275=B275,"si","no"))</f>
        <v/>
      </c>
      <c r="O275" s="56"/>
      <c r="P275" s="56"/>
      <c r="Q275" s="48"/>
      <c r="R275" s="48"/>
    </row>
    <row r="276" spans="1:19" ht="12.75" customHeight="1" x14ac:dyDescent="0.2">
      <c r="A276" s="22"/>
      <c r="B276" s="23" t="str">
        <f>IF(A276="","",VLOOKUP(A276,'6.A'!$A$11:$G$180,2,FALSE))</f>
        <v/>
      </c>
      <c r="C276" s="99"/>
      <c r="D276" s="57" t="str">
        <f>IF(A276="","",VLOOKUP(A276,'6.A'!$A$11:$G$180,4,FALSE))</f>
        <v/>
      </c>
      <c r="E276" s="100" t="str">
        <f>IF(A276="","",VLOOKUP(A276,'6.A'!$A$11:$G$180,5,FALSE))</f>
        <v/>
      </c>
      <c r="F276" s="24" t="str">
        <f t="shared" si="110"/>
        <v>0,00</v>
      </c>
      <c r="G276" s="52"/>
      <c r="H276" s="52" t="str">
        <f>IF(A276="","",VLOOKUP(A276,'6.A'!$A$11:$E$7984,5,FALSE))</f>
        <v/>
      </c>
      <c r="I276" s="52" t="str">
        <f>IF(H276="","",IF(E276=H276,"SIM","NÃO"))</f>
        <v/>
      </c>
      <c r="J276" s="52" t="str">
        <f>IF(H276="","",VLOOKUP(A276,'6.A'!$A$11:$E$564,4,FALSE))</f>
        <v/>
      </c>
      <c r="K276" s="52" t="str">
        <f t="shared" ref="K276" si="111">IF(H276="","",IF(J276=D276,"SIM","NÃO"))</f>
        <v/>
      </c>
      <c r="L276" s="52" t="str">
        <f>IF(H276="","",IF(C276="","",G272*C276))</f>
        <v/>
      </c>
      <c r="M276" s="117" t="str">
        <f>IF(A276="","",VLOOKUP(A276,'6.A'!$A$11:$C$564,2,FALSE))</f>
        <v/>
      </c>
      <c r="N276" s="57" t="str">
        <f t="shared" ref="N276" si="112">IF(A276="","",IF(M276=B276,"si","no"))</f>
        <v/>
      </c>
      <c r="O276" s="56"/>
      <c r="P276" s="56"/>
      <c r="Q276" s="48"/>
      <c r="R276" s="48"/>
      <c r="S276" s="2"/>
    </row>
    <row r="277" spans="1:19" ht="12.75" customHeight="1" x14ac:dyDescent="0.2">
      <c r="A277" s="22"/>
      <c r="B277" s="23" t="str">
        <f>IF(A277="","",VLOOKUP(A277,'6.A'!$A$11:$G$180,2,FALSE))</f>
        <v/>
      </c>
      <c r="C277" s="99"/>
      <c r="D277" s="57" t="str">
        <f>IF(A277="","",VLOOKUP(A277,'6.A'!$A$11:$G$180,4,FALSE))</f>
        <v/>
      </c>
      <c r="E277" s="100" t="str">
        <f>IF(A277="","",VLOOKUP(A277,'6.A'!$A$11:$G$180,5,FALSE))</f>
        <v/>
      </c>
      <c r="F277" s="24" t="str">
        <f t="shared" si="110"/>
        <v>0,00</v>
      </c>
      <c r="G277" s="52"/>
      <c r="H277" s="52" t="str">
        <f>IF(A277="","",VLOOKUP(A277,'6.A'!$A$11:$E$7984,5,FALSE))</f>
        <v/>
      </c>
      <c r="I277" s="52" t="str">
        <f>IF(H277="","",IF(E277=H277,"SIM","NÃO"))</f>
        <v/>
      </c>
      <c r="J277" s="52" t="str">
        <f>IF(H277="","",VLOOKUP(A277,'6.A'!$A$11:$E$564,4,FALSE))</f>
        <v/>
      </c>
      <c r="K277" s="52" t="str">
        <f>IF(H277="","",IF(J277=D277,"SIM","NÃO"))</f>
        <v/>
      </c>
      <c r="L277" s="52" t="str">
        <f>IF(H277="","",IF(C277="","",G272*C277))</f>
        <v/>
      </c>
      <c r="M277" s="117" t="str">
        <f>IF(A277="","",VLOOKUP(A277,'6.A'!$A$11:$C$564,2,FALSE))</f>
        <v/>
      </c>
      <c r="N277" s="57" t="str">
        <f>IF(A277="","",IF(M277=B277,"si","no"))</f>
        <v/>
      </c>
      <c r="O277" s="56"/>
      <c r="P277" s="56"/>
      <c r="Q277" s="48"/>
      <c r="R277" s="48"/>
      <c r="S277" s="2"/>
    </row>
    <row r="278" spans="1:19" ht="12.75" customHeight="1" x14ac:dyDescent="0.2">
      <c r="A278" s="22"/>
      <c r="B278" s="23" t="str">
        <f>IF(A278="","",VLOOKUP(A278,'6.A'!$A$11:$G$180,2,FALSE))</f>
        <v/>
      </c>
      <c r="C278" s="99"/>
      <c r="D278" s="57" t="str">
        <f>IF(A278="","",VLOOKUP(A278,'6.A'!$A$11:$G$180,4,FALSE))</f>
        <v/>
      </c>
      <c r="E278" s="101" t="str">
        <f>IF(A278="","",VLOOKUP(A278,'6.A'!$A$11:$G$180,5,FALSE))</f>
        <v/>
      </c>
      <c r="F278" s="24" t="str">
        <f t="shared" si="110"/>
        <v>0,00</v>
      </c>
      <c r="G278" s="52"/>
      <c r="H278" s="52" t="str">
        <f>IF(A278="","",VLOOKUP(A278,'6.A'!$A$11:$E$7984,5,FALSE))</f>
        <v/>
      </c>
      <c r="I278" s="52" t="str">
        <f t="shared" ref="I278" si="113">IF(H278="","",IF(E278=H278,"SIM","NÃO"))</f>
        <v/>
      </c>
      <c r="J278" s="52" t="str">
        <f>IF(H278="","",VLOOKUP(A278,'6.A'!$A$11:$E$564,4,FALSE))</f>
        <v/>
      </c>
      <c r="K278" s="52" t="str">
        <f t="shared" ref="K278" si="114">IF(H278="","",IF(J278=D278,"SIM","NÃO"))</f>
        <v/>
      </c>
      <c r="L278" s="52" t="str">
        <f>IF(H278="","",IF(C278="","",G272*C278))</f>
        <v/>
      </c>
      <c r="M278" s="117" t="str">
        <f>IF(A278="","",VLOOKUP(A278,'6.A'!$A$11:$C$564,2,FALSE))</f>
        <v/>
      </c>
      <c r="N278" s="57" t="str">
        <f t="shared" ref="N278" si="115">IF(A278="","",IF(M278=B278,"si","no"))</f>
        <v/>
      </c>
      <c r="O278" s="56"/>
      <c r="P278" s="56"/>
      <c r="Q278" s="48"/>
      <c r="R278" s="48"/>
      <c r="S278" s="2"/>
    </row>
    <row r="279" spans="1:19" ht="12.75" customHeight="1" x14ac:dyDescent="0.2">
      <c r="A279" s="22"/>
      <c r="B279" s="23" t="str">
        <f>IF(A279="","",VLOOKUP(A279,'6.A'!$A$11:$G$180,2,FALSE))</f>
        <v/>
      </c>
      <c r="C279" s="99"/>
      <c r="D279" s="57" t="str">
        <f>IF(A279="","",VLOOKUP(A279,'6.A'!$A$11:$G$180,4,FALSE))</f>
        <v/>
      </c>
      <c r="E279" s="101" t="str">
        <f>IF(A279="","",VLOOKUP(A279,'6.A'!$A$11:$G$180,5,FALSE))</f>
        <v/>
      </c>
      <c r="F279" s="24" t="str">
        <f t="shared" si="110"/>
        <v>0,00</v>
      </c>
      <c r="G279" s="52"/>
      <c r="H279" s="52" t="str">
        <f>IF(A279="","",VLOOKUP(A279,'6.A'!$A$11:$E$7984,5,FALSE))</f>
        <v/>
      </c>
      <c r="I279" s="52" t="str">
        <f>IF(H279="","",IF(E279=H279,"SIM","NÃO"))</f>
        <v/>
      </c>
      <c r="J279" s="52" t="str">
        <f>IF(H279="","",VLOOKUP(A279,'6.A'!$A$11:$E$564,4,FALSE))</f>
        <v/>
      </c>
      <c r="K279" s="52" t="str">
        <f>IF(H279="","",IF(J279=D279,"SIM","NÃO"))</f>
        <v/>
      </c>
      <c r="L279" s="52" t="str">
        <f>IF(H279="","",IF(C279="","",G272*C279))</f>
        <v/>
      </c>
      <c r="M279" s="117" t="str">
        <f>IF(A279="","",VLOOKUP(A279,'6.A'!$A$11:$C$564,2,FALSE))</f>
        <v/>
      </c>
      <c r="N279" s="57" t="str">
        <f>IF(A279="","",IF(M279=B279,"si","no"))</f>
        <v/>
      </c>
      <c r="O279" s="56"/>
      <c r="P279" s="56"/>
      <c r="Q279" s="48"/>
      <c r="R279" s="48"/>
      <c r="S279" s="2"/>
    </row>
    <row r="280" spans="1:19" ht="12.75" customHeight="1" x14ac:dyDescent="0.2">
      <c r="A280" s="22"/>
      <c r="B280" s="23" t="str">
        <f>IF(A280="","",VLOOKUP(A280,'6.A'!$A$11:$G$180,2,FALSE))</f>
        <v/>
      </c>
      <c r="C280" s="99"/>
      <c r="D280" s="57" t="str">
        <f>IF(A280="","",VLOOKUP(A280,'6.A'!$A$11:$G$180,4,FALSE))</f>
        <v/>
      </c>
      <c r="E280" s="100" t="str">
        <f>IF(A280="","",VLOOKUP(A280,'6.A'!$A$11:$G$180,5,FALSE))</f>
        <v/>
      </c>
      <c r="F280" s="24" t="str">
        <f t="shared" si="110"/>
        <v>0,00</v>
      </c>
      <c r="G280" s="52"/>
      <c r="H280" s="52" t="str">
        <f>IF(A280="","",VLOOKUP(A280,'6.A'!$A$11:$E$7984,5,FALSE))</f>
        <v/>
      </c>
      <c r="I280" s="52" t="str">
        <f>IF(H280="","",IF(E280=H280,"SIM","NÃO"))</f>
        <v/>
      </c>
      <c r="J280" s="52" t="str">
        <f>IF(H280="","",VLOOKUP(A280,'6.A'!$A$11:$E$564,4,FALSE))</f>
        <v/>
      </c>
      <c r="K280" s="52" t="str">
        <f>IF(H280="","",IF(J280=D280,"SIM","NÃO"))</f>
        <v/>
      </c>
      <c r="L280" s="52" t="str">
        <f>IF(H280="","",IF(C280="","",G272*C280))</f>
        <v/>
      </c>
      <c r="M280" s="117" t="str">
        <f>IF(A280="","",VLOOKUP(A280,'6.A'!$A$11:$C$564,2,FALSE))</f>
        <v/>
      </c>
      <c r="N280" s="57" t="str">
        <f>IF(A280="","",IF(M280=B280,"si","no"))</f>
        <v/>
      </c>
      <c r="O280" s="56"/>
      <c r="P280" s="56"/>
      <c r="Q280" s="48"/>
      <c r="R280" s="48"/>
      <c r="S280" s="2"/>
    </row>
    <row r="281" spans="1:19" ht="12.75" customHeight="1" x14ac:dyDescent="0.2">
      <c r="A281" s="22"/>
      <c r="B281" s="23" t="str">
        <f>IF(A281="","",VLOOKUP(A281,'6.A'!$A$11:$G$180,2,FALSE))</f>
        <v/>
      </c>
      <c r="C281" s="99"/>
      <c r="D281" s="57" t="str">
        <f>IF(A281="","",VLOOKUP(A281,'6.A'!$A$11:$G$180,4,FALSE))</f>
        <v/>
      </c>
      <c r="E281" s="100" t="str">
        <f>IF(A281="","",VLOOKUP(A281,'6.A'!$A$11:$G$180,5,FALSE))</f>
        <v/>
      </c>
      <c r="F281" s="24" t="str">
        <f t="shared" si="110"/>
        <v>0,00</v>
      </c>
      <c r="G281" s="52"/>
      <c r="H281" s="52" t="str">
        <f>IF(A281="","",VLOOKUP(A281,'6.A'!$A$11:$E$7984,5,FALSE))</f>
        <v/>
      </c>
      <c r="I281" s="52" t="str">
        <f t="shared" ref="I281" si="116">IF(H281="","",IF(E281=H281,"SIM","NÃO"))</f>
        <v/>
      </c>
      <c r="J281" s="52" t="str">
        <f>IF(H281="","",VLOOKUP(A281,'6.A'!$A$11:$E$564,4,FALSE))</f>
        <v/>
      </c>
      <c r="K281" s="52" t="str">
        <f t="shared" ref="K281" si="117">IF(H281="","",IF(J281=D281,"SIM","NÃO"))</f>
        <v/>
      </c>
      <c r="L281" s="52" t="str">
        <f>IF(H281="","",IF(C281="","",G272*C281))</f>
        <v/>
      </c>
      <c r="M281" s="117" t="str">
        <f>IF(A281="","",VLOOKUP(A281,'6.A'!$A$11:$C$564,2,FALSE))</f>
        <v/>
      </c>
      <c r="N281" s="57" t="str">
        <f t="shared" ref="N281" si="118">IF(A281="","",IF(M281=B281,"si","no"))</f>
        <v/>
      </c>
      <c r="O281" s="56"/>
      <c r="P281" s="56"/>
      <c r="Q281" s="48"/>
      <c r="R281" s="48"/>
      <c r="S281" s="2"/>
    </row>
    <row r="282" spans="1:19" ht="12.75" customHeight="1" x14ac:dyDescent="0.2">
      <c r="A282" s="22"/>
      <c r="B282" s="23" t="str">
        <f>IF(A282="","",VLOOKUP(A282,'6.A'!$A$11:$G$180,2,FALSE))</f>
        <v/>
      </c>
      <c r="C282" s="99"/>
      <c r="D282" s="73" t="str">
        <f>IF(A282="","",VLOOKUP(A282,'6.A'!$A$11:$G$180,4,FALSE))</f>
        <v/>
      </c>
      <c r="E282" s="101" t="str">
        <f>IF(A282="","",VLOOKUP(A282,'6.A'!$A$11:$G$180,5,FALSE))</f>
        <v/>
      </c>
      <c r="F282" s="24" t="str">
        <f t="shared" si="110"/>
        <v>0,00</v>
      </c>
      <c r="G282" s="52"/>
      <c r="H282" s="52" t="str">
        <f>IF(A282="","",VLOOKUP(A282,'6.A'!$A$11:$E$7984,5,FALSE))</f>
        <v/>
      </c>
      <c r="I282" s="52" t="str">
        <f>IF(H282="","",IF(E282=H282,"SIM","NÃO"))</f>
        <v/>
      </c>
      <c r="J282" s="52" t="str">
        <f>IF(H282="","",VLOOKUP(A282,'6.A'!$A$11:$E$564,4,FALSE))</f>
        <v/>
      </c>
      <c r="K282" s="52" t="str">
        <f>IF(H282="","",IF(J282=D282,"SIM","NÃO"))</f>
        <v/>
      </c>
      <c r="L282" s="52" t="str">
        <f>IF(H282="","",IF(C282="","",G272*C282))</f>
        <v/>
      </c>
      <c r="M282" s="117" t="str">
        <f>IF(A282="","",VLOOKUP(A282,'6.A'!$A$11:$C$564,2,FALSE))</f>
        <v/>
      </c>
      <c r="N282" s="57" t="str">
        <f>IF(A282="","",IF(M282=B282,"si","no"))</f>
        <v/>
      </c>
      <c r="O282" s="56"/>
      <c r="P282" s="56"/>
      <c r="Q282" s="48"/>
      <c r="R282" s="48"/>
      <c r="S282" s="2"/>
    </row>
    <row r="283" spans="1:19" ht="12.75" customHeight="1" x14ac:dyDescent="0.2">
      <c r="A283" s="22"/>
      <c r="B283" s="23" t="str">
        <f>IF(A283="","",VLOOKUP(A283,'6.A'!$A$11:$G$180,2,FALSE))</f>
        <v/>
      </c>
      <c r="C283" s="99"/>
      <c r="D283" s="25" t="str">
        <f>IF(A283="","",VLOOKUP(A283,'6.A'!$A$11:$G$180,4,FALSE))</f>
        <v/>
      </c>
      <c r="E283" s="101" t="str">
        <f>IF(A283="","",VLOOKUP(A283,'6.A'!$A$11:$G$180,5,FALSE))</f>
        <v/>
      </c>
      <c r="F283" s="24" t="str">
        <f t="shared" si="110"/>
        <v>0,00</v>
      </c>
      <c r="G283" s="52"/>
      <c r="H283" s="52" t="str">
        <f>IF(A283="","",VLOOKUP(A283,'6.A'!$A$11:$E$7984,5,FALSE))</f>
        <v/>
      </c>
      <c r="I283" s="52" t="str">
        <f t="shared" ref="I283" si="119">IF(H283="","",IF(E283=H283,"SIM","NÃO"))</f>
        <v/>
      </c>
      <c r="J283" s="52" t="str">
        <f>IF(H283="","",VLOOKUP(A283,'6.A'!$A$11:$E$564,4,FALSE))</f>
        <v/>
      </c>
      <c r="K283" s="52" t="str">
        <f t="shared" ref="K283" si="120">IF(H283="","",IF(J283=D283,"SIM","NÃO"))</f>
        <v/>
      </c>
      <c r="L283" s="52" t="str">
        <f>IF(H283="","",IF(C283="","",G272*C283))</f>
        <v/>
      </c>
      <c r="M283" s="117" t="str">
        <f>IF(A283="","",VLOOKUP(A283,'6.A'!$A$11:$C$564,2,FALSE))</f>
        <v/>
      </c>
      <c r="N283" s="57" t="str">
        <f t="shared" ref="N283" si="121">IF(A283="","",IF(M283=B283,"si","no"))</f>
        <v/>
      </c>
      <c r="O283" s="56"/>
      <c r="P283" s="56"/>
      <c r="Q283" s="48"/>
      <c r="R283" s="48"/>
      <c r="S283" s="2"/>
    </row>
    <row r="284" spans="1:19" ht="12.75" customHeight="1" x14ac:dyDescent="0.2">
      <c r="A284" s="17"/>
      <c r="B284" s="26" t="str">
        <f>$A$8</f>
        <v>LEIS SOCIAIS HORISTA - JORNADA NORMAL</v>
      </c>
      <c r="C284" s="27">
        <f>$C$8</f>
        <v>0</v>
      </c>
      <c r="D284" s="57"/>
      <c r="F284" s="28">
        <f>ROUND(SUM(F274:F283)*C284,2)</f>
        <v>0</v>
      </c>
      <c r="G284" s="63"/>
      <c r="M284" s="62"/>
      <c r="N284" s="57"/>
      <c r="O284" s="56"/>
      <c r="P284" s="56"/>
      <c r="Q284" s="48"/>
      <c r="R284" s="48"/>
      <c r="S284" s="2"/>
    </row>
    <row r="285" spans="1:19" ht="12.75" customHeight="1" x14ac:dyDescent="0.2">
      <c r="A285" s="22"/>
      <c r="B285" s="26" t="str">
        <f>$A$9</f>
        <v>BDI</v>
      </c>
      <c r="C285" s="27">
        <f>$C$9</f>
        <v>0</v>
      </c>
      <c r="D285" s="29"/>
      <c r="F285" s="28">
        <f>ROUND(SUM(F274:F284)*C285,2)</f>
        <v>0</v>
      </c>
      <c r="G285" s="63"/>
      <c r="M285" s="62"/>
      <c r="N285" s="57"/>
      <c r="O285" s="56"/>
      <c r="P285" s="56"/>
      <c r="Q285" s="48"/>
      <c r="R285" s="48"/>
      <c r="S285" s="2"/>
    </row>
    <row r="286" spans="1:19" ht="12.75" customHeight="1" x14ac:dyDescent="0.2">
      <c r="A286" s="30"/>
      <c r="B286" s="31" t="s">
        <v>56</v>
      </c>
      <c r="C286" s="32"/>
      <c r="D286" s="33"/>
      <c r="E286" s="34"/>
      <c r="F286" s="35">
        <f>ROUND(SUM(F274:F285),2)</f>
        <v>0</v>
      </c>
      <c r="G286" s="63"/>
      <c r="M286" s="62"/>
      <c r="N286" s="57"/>
      <c r="O286" s="56"/>
      <c r="P286" s="56"/>
      <c r="Q286" s="48"/>
      <c r="R286" s="48"/>
      <c r="S286" s="2"/>
    </row>
    <row r="287" spans="1:19" ht="12.75" customHeight="1" x14ac:dyDescent="0.2">
      <c r="A287" s="17" t="s">
        <v>5</v>
      </c>
      <c r="B287" s="153" t="s">
        <v>130</v>
      </c>
      <c r="C287" s="56" t="s">
        <v>59</v>
      </c>
      <c r="D287" s="56" t="s">
        <v>16</v>
      </c>
      <c r="E287" s="19" t="s">
        <v>60</v>
      </c>
      <c r="F287" s="20" t="s">
        <v>61</v>
      </c>
      <c r="G287" s="21"/>
      <c r="M287" s="62"/>
      <c r="N287" s="57"/>
      <c r="O287" s="56"/>
      <c r="P287" s="56"/>
      <c r="Q287" s="48"/>
      <c r="R287" s="48"/>
      <c r="S287" s="2"/>
    </row>
    <row r="288" spans="1:19" ht="12.75" customHeight="1" x14ac:dyDescent="0.2">
      <c r="A288" s="22"/>
      <c r="B288" s="23" t="str">
        <f>IF(A288="","",VLOOKUP(A288,'6.A'!$A$11:$G$180,2,FALSE))</f>
        <v/>
      </c>
      <c r="C288" s="156"/>
      <c r="D288" s="57" t="str">
        <f>IF(A288="","",VLOOKUP(A288,'6.A'!$A$11:$G$180,4,FALSE))</f>
        <v/>
      </c>
      <c r="E288" s="100" t="str">
        <f>IF(A288="","",VLOOKUP(A288,'6.A'!$A$11:$G$180,5,FALSE))</f>
        <v/>
      </c>
      <c r="F288" s="24" t="str">
        <f t="shared" ref="F288:F297" si="122">IF(A288="","0,00",ROUND(C288*E288,2))</f>
        <v>0,00</v>
      </c>
      <c r="G288" s="52"/>
      <c r="H288" s="52" t="str">
        <f>IF(A288="","",VLOOKUP(A288,'6.A'!$A$11:$E$7984,5,FALSE))</f>
        <v/>
      </c>
      <c r="I288" s="52" t="str">
        <f t="shared" ref="I288:I297" si="123">IF(H288="","",IF(E288=H288,"SIM","NÃO"))</f>
        <v/>
      </c>
      <c r="J288" s="52" t="str">
        <f>IF(H288="","",VLOOKUP(A288,'6.A'!$A$11:$E$564,4,FALSE))</f>
        <v/>
      </c>
      <c r="K288" s="52" t="str">
        <f t="shared" ref="K288:K297" si="124">IF(H288="","",IF(J288=D288,"SIM","NÃO"))</f>
        <v/>
      </c>
      <c r="L288" s="52" t="str">
        <f>IF(H288="","",IF(C288="","",G272*C288))</f>
        <v/>
      </c>
      <c r="M288" s="117" t="str">
        <f>IF(A288="","",VLOOKUP(A288,'6.A'!$A$11:$C$564,2,FALSE))</f>
        <v/>
      </c>
      <c r="N288" s="57" t="str">
        <f t="shared" ref="N288:N293" si="125">IF(A288="","",IF(M288=B288,"si","no"))</f>
        <v/>
      </c>
      <c r="O288" s="56"/>
      <c r="P288" s="56"/>
      <c r="Q288" s="48"/>
      <c r="R288" s="48"/>
      <c r="S288" s="2"/>
    </row>
    <row r="289" spans="1:22" ht="12.75" customHeight="1" x14ac:dyDescent="0.2">
      <c r="A289" s="22"/>
      <c r="B289" s="23" t="str">
        <f>IF(A289="","",VLOOKUP(A289,'6.A'!$A$11:$G$180,2,FALSE))</f>
        <v/>
      </c>
      <c r="C289" s="99"/>
      <c r="D289" s="57" t="str">
        <f>IF(A289="","",VLOOKUP(A289,'6.A'!$A$11:$G$180,4,FALSE))</f>
        <v/>
      </c>
      <c r="E289" s="100" t="str">
        <f>IF(A289="","",VLOOKUP(A289,'6.A'!$A$11:$G$180,5,FALSE))</f>
        <v/>
      </c>
      <c r="F289" s="24" t="str">
        <f t="shared" si="122"/>
        <v>0,00</v>
      </c>
      <c r="G289" s="52"/>
      <c r="H289" s="52" t="str">
        <f>IF(A289="","",VLOOKUP(A289,'6.A'!$A$11:$E$7984,5,FALSE))</f>
        <v/>
      </c>
      <c r="I289" s="52" t="str">
        <f t="shared" si="123"/>
        <v/>
      </c>
      <c r="J289" s="52" t="str">
        <f>IF(H289="","",VLOOKUP(A289,'6.A'!$A$11:$E$564,4,FALSE))</f>
        <v/>
      </c>
      <c r="K289" s="52" t="str">
        <f t="shared" si="124"/>
        <v/>
      </c>
      <c r="L289" s="52" t="str">
        <f>IF(H289="","",IF(C289="","",G272*C289))</f>
        <v/>
      </c>
      <c r="M289" s="117" t="str">
        <f>IF(A289="","",VLOOKUP(A289,'6.A'!$A$11:$C$564,2,FALSE))</f>
        <v/>
      </c>
      <c r="N289" s="57" t="str">
        <f t="shared" si="125"/>
        <v/>
      </c>
      <c r="O289" s="56"/>
      <c r="P289" s="56"/>
      <c r="Q289" s="48"/>
      <c r="R289" s="48"/>
      <c r="S289" s="2"/>
    </row>
    <row r="290" spans="1:22" ht="12.75" customHeight="1" x14ac:dyDescent="0.2">
      <c r="A290" s="22"/>
      <c r="B290" s="23" t="str">
        <f>IF(A290="","",VLOOKUP(A290,'6.A'!$A$11:$G$180,2,FALSE))</f>
        <v/>
      </c>
      <c r="C290" s="99"/>
      <c r="D290" s="57" t="str">
        <f>IF(A290="","",VLOOKUP(A290,'6.A'!$A$11:$G$180,4,FALSE))</f>
        <v/>
      </c>
      <c r="E290" s="100" t="str">
        <f>IF(A290="","",VLOOKUP(A290,'6.A'!$A$11:$G$180,5,FALSE))</f>
        <v/>
      </c>
      <c r="F290" s="24" t="str">
        <f t="shared" si="122"/>
        <v>0,00</v>
      </c>
      <c r="G290" s="52"/>
      <c r="H290" s="52" t="str">
        <f>IF(A290="","",VLOOKUP(A290,'6.A'!$A$11:$E$7984,5,FALSE))</f>
        <v/>
      </c>
      <c r="I290" s="52" t="str">
        <f t="shared" si="123"/>
        <v/>
      </c>
      <c r="J290" s="52" t="str">
        <f>IF(H290="","",VLOOKUP(A290,'6.A'!$A$11:$E$564,4,FALSE))</f>
        <v/>
      </c>
      <c r="K290" s="52" t="str">
        <f t="shared" si="124"/>
        <v/>
      </c>
      <c r="L290" s="52" t="str">
        <f>IF(H290="","",IF(C290="","",G272*C290))</f>
        <v/>
      </c>
      <c r="M290" s="117" t="str">
        <f>IF(A290="","",VLOOKUP(A290,'6.A'!$A$11:$C$564,2,FALSE))</f>
        <v/>
      </c>
      <c r="N290" s="57" t="str">
        <f t="shared" si="125"/>
        <v/>
      </c>
      <c r="O290" s="56"/>
      <c r="P290" s="56"/>
      <c r="Q290" s="48"/>
      <c r="R290" s="48"/>
      <c r="S290" s="2"/>
    </row>
    <row r="291" spans="1:22" ht="12.75" customHeight="1" x14ac:dyDescent="0.2">
      <c r="A291" s="22"/>
      <c r="B291" s="55" t="str">
        <f>IF(A291="","",VLOOKUP(A291,'6.A'!$A$11:$G$180,2,FALSE))</f>
        <v/>
      </c>
      <c r="C291" s="134"/>
      <c r="D291" s="57" t="str">
        <f>IF(A291="","",VLOOKUP(A291,'6.A'!$A$11:$G$180,4,FALSE))</f>
        <v/>
      </c>
      <c r="E291" s="100" t="str">
        <f>IF(A291="","",VLOOKUP(A291,'6.A'!$A$11:$G$180,5,FALSE))</f>
        <v/>
      </c>
      <c r="F291" s="24" t="str">
        <f t="shared" si="122"/>
        <v>0,00</v>
      </c>
      <c r="G291" s="52"/>
      <c r="H291" s="52" t="str">
        <f>IF(A291="","",VLOOKUP(A291,'6.A'!$A$11:$E$7984,5,FALSE))</f>
        <v/>
      </c>
      <c r="I291" s="52" t="str">
        <f t="shared" si="123"/>
        <v/>
      </c>
      <c r="J291" s="52" t="str">
        <f>IF(H291="","",VLOOKUP(A291,'6.A'!$A$11:$E$564,4,FALSE))</f>
        <v/>
      </c>
      <c r="K291" s="52" t="str">
        <f t="shared" si="124"/>
        <v/>
      </c>
      <c r="L291" s="52" t="str">
        <f>IF(H291="","",IF(C291="","",G272*C291))</f>
        <v/>
      </c>
      <c r="M291" s="117" t="str">
        <f>IF(A291="","",VLOOKUP(A291,'6.A'!$A$11:$C$564,2,FALSE))</f>
        <v/>
      </c>
      <c r="N291" s="57" t="str">
        <f t="shared" si="125"/>
        <v/>
      </c>
      <c r="O291" s="56"/>
      <c r="P291" s="56"/>
      <c r="Q291" s="48"/>
      <c r="R291" s="48"/>
      <c r="S291" s="2"/>
    </row>
    <row r="292" spans="1:22" ht="12.75" customHeight="1" x14ac:dyDescent="0.2">
      <c r="A292" s="22"/>
      <c r="B292" s="23" t="str">
        <f>IF(A292="","",VLOOKUP(A292,'6.A'!$A$11:$G$180,2,FALSE))</f>
        <v/>
      </c>
      <c r="C292" s="99"/>
      <c r="D292" s="57" t="str">
        <f>IF(A292="","",VLOOKUP(A292,'6.A'!$A$11:$G$180,4,FALSE))</f>
        <v/>
      </c>
      <c r="E292" s="100" t="str">
        <f>IF(A292="","",VLOOKUP(A292,'6.A'!$A$11:$G$180,5,FALSE))</f>
        <v/>
      </c>
      <c r="F292" s="24" t="str">
        <f t="shared" si="122"/>
        <v>0,00</v>
      </c>
      <c r="G292" s="52"/>
      <c r="H292" s="52" t="str">
        <f>IF(A292="","",VLOOKUP(A292,'6.A'!$A$11:$E$7984,5,FALSE))</f>
        <v/>
      </c>
      <c r="I292" s="52" t="str">
        <f t="shared" si="123"/>
        <v/>
      </c>
      <c r="J292" s="52" t="str">
        <f>IF(H292="","",VLOOKUP(A292,'6.A'!$A$11:$E$564,4,FALSE))</f>
        <v/>
      </c>
      <c r="K292" s="52" t="str">
        <f t="shared" si="124"/>
        <v/>
      </c>
      <c r="L292" s="52" t="str">
        <f>IF(H292="","",IF(C292="","",G272*C292))</f>
        <v/>
      </c>
      <c r="M292" s="117" t="str">
        <f>IF(A292="","",VLOOKUP(A292,'6.A'!$A$11:$C$564,2,FALSE))</f>
        <v/>
      </c>
      <c r="N292" s="57" t="str">
        <f t="shared" si="125"/>
        <v/>
      </c>
      <c r="O292" s="56"/>
      <c r="P292" s="56"/>
      <c r="Q292" s="48"/>
      <c r="R292" s="48"/>
      <c r="S292" s="2"/>
    </row>
    <row r="293" spans="1:22" ht="12.75" customHeight="1" x14ac:dyDescent="0.2">
      <c r="A293" s="22"/>
      <c r="B293" s="23" t="str">
        <f>IF(A293="","",VLOOKUP(A293,'6.A'!$A$11:$G$180,2,FALSE))</f>
        <v/>
      </c>
      <c r="C293" s="99"/>
      <c r="D293" s="57" t="str">
        <f>IF(A293="","",VLOOKUP(A293,'6.A'!$A$11:$G$180,4,FALSE))</f>
        <v/>
      </c>
      <c r="E293" s="100" t="str">
        <f>IF(A293="","",VLOOKUP(A293,'6.A'!$A$11:$G$180,5,FALSE))</f>
        <v/>
      </c>
      <c r="F293" s="24" t="str">
        <f t="shared" si="122"/>
        <v>0,00</v>
      </c>
      <c r="G293" s="52"/>
      <c r="H293" s="52" t="str">
        <f>IF(A293="","",VLOOKUP(A293,'6.A'!$A$11:$E$7984,5,FALSE))</f>
        <v/>
      </c>
      <c r="I293" s="52" t="str">
        <f t="shared" si="123"/>
        <v/>
      </c>
      <c r="J293" s="52" t="str">
        <f>IF(H293="","",VLOOKUP(A293,'6.A'!$A$11:$E$564,4,FALSE))</f>
        <v/>
      </c>
      <c r="K293" s="52" t="str">
        <f t="shared" si="124"/>
        <v/>
      </c>
      <c r="L293" s="52" t="str">
        <f>IF(H293="","",IF(C293="","",G272*C293))</f>
        <v/>
      </c>
      <c r="M293" s="117" t="str">
        <f>IF(A293="","",VLOOKUP(A293,'6.A'!$A$11:$C$564,2,FALSE))</f>
        <v/>
      </c>
      <c r="N293" s="57" t="str">
        <f t="shared" si="125"/>
        <v/>
      </c>
      <c r="O293" s="56"/>
      <c r="P293" s="56"/>
      <c r="Q293" s="48"/>
      <c r="R293" s="48"/>
      <c r="S293" s="2"/>
    </row>
    <row r="294" spans="1:22" ht="12.75" customHeight="1" x14ac:dyDescent="0.2">
      <c r="A294" s="22"/>
      <c r="B294" s="23" t="str">
        <f>IF(A294="","",VLOOKUP(A294,'6.A'!$A$11:$G$180,2,FALSE))</f>
        <v/>
      </c>
      <c r="C294" s="99"/>
      <c r="D294" s="57" t="str">
        <f>IF(A294="","",VLOOKUP(A294,'6.A'!$A$11:$G$180,4,FALSE))</f>
        <v/>
      </c>
      <c r="E294" s="100" t="str">
        <f>IF(A294="","",VLOOKUP(A294,'6.A'!$A$11:$G$180,5,FALSE))</f>
        <v/>
      </c>
      <c r="F294" s="24" t="str">
        <f t="shared" si="122"/>
        <v>0,00</v>
      </c>
      <c r="G294" s="52"/>
      <c r="H294" s="52" t="str">
        <f>IF(A294="","",VLOOKUP(A294,'6.A'!$A$11:$E$7984,5,FALSE))</f>
        <v/>
      </c>
      <c r="I294" s="52" t="str">
        <f t="shared" si="123"/>
        <v/>
      </c>
      <c r="J294" s="52" t="str">
        <f>IF(H294="","",VLOOKUP(A294,'6.A'!$A$11:$E$564,4,FALSE))</f>
        <v/>
      </c>
      <c r="K294" s="52" t="str">
        <f t="shared" si="124"/>
        <v/>
      </c>
      <c r="L294" s="52" t="str">
        <f>IF(H294="","",IF(C294="","",G272*C294))</f>
        <v/>
      </c>
      <c r="M294" s="117" t="str">
        <f>IF(A294="","",VLOOKUP(A294,'6.A'!$A$11:$C$564,2,FALSE))</f>
        <v/>
      </c>
      <c r="N294" s="57" t="str">
        <f>IF(A294="","",IF(M294=B294,"si","no"))</f>
        <v/>
      </c>
      <c r="O294" s="56"/>
      <c r="P294" s="56"/>
      <c r="Q294" s="48"/>
      <c r="R294" s="48"/>
      <c r="S294" s="2"/>
    </row>
    <row r="295" spans="1:22" ht="12.75" customHeight="1" x14ac:dyDescent="0.2">
      <c r="A295" s="22"/>
      <c r="B295" s="23" t="str">
        <f>IF(A295="","",VLOOKUP(A295,'6.A'!$A$11:$G$180,2,FALSE))</f>
        <v/>
      </c>
      <c r="C295" s="99"/>
      <c r="D295" s="57" t="str">
        <f>IF(A295="","",VLOOKUP(A295,'6.A'!$A$11:$G$180,4,FALSE))</f>
        <v/>
      </c>
      <c r="E295" s="100" t="str">
        <f>IF(A295="","",VLOOKUP(A295,'6.A'!$A$11:$G$180,5,FALSE))</f>
        <v/>
      </c>
      <c r="F295" s="24" t="str">
        <f t="shared" si="122"/>
        <v>0,00</v>
      </c>
      <c r="G295" s="52"/>
      <c r="H295" s="52" t="str">
        <f>IF(A295="","",VLOOKUP(A295,'6.A'!$A$11:$E$7984,5,FALSE))</f>
        <v/>
      </c>
      <c r="I295" s="52" t="str">
        <f t="shared" si="123"/>
        <v/>
      </c>
      <c r="J295" s="52" t="str">
        <f>IF(H295="","",VLOOKUP(A295,'6.A'!$A$11:$E$564,4,FALSE))</f>
        <v/>
      </c>
      <c r="K295" s="52" t="str">
        <f t="shared" si="124"/>
        <v/>
      </c>
      <c r="L295" s="52" t="str">
        <f>IF(H295="","",IF(C295="","",G272*C295))</f>
        <v/>
      </c>
      <c r="M295" s="117" t="str">
        <f>IF(A295="","",VLOOKUP(A295,'6.A'!$A$11:$C$564,2,FALSE))</f>
        <v/>
      </c>
      <c r="N295" s="57" t="str">
        <f>IF(A295="","",IF(M295=B295,"si","no"))</f>
        <v/>
      </c>
      <c r="O295" s="56"/>
      <c r="P295" s="56"/>
      <c r="Q295" s="48"/>
      <c r="R295" s="48"/>
      <c r="S295" s="2"/>
    </row>
    <row r="296" spans="1:22" ht="12.75" customHeight="1" x14ac:dyDescent="0.2">
      <c r="A296" s="22"/>
      <c r="B296" s="23" t="str">
        <f>IF(A296="","",VLOOKUP(A296,'6.A'!$A$11:$G$180,2,FALSE))</f>
        <v/>
      </c>
      <c r="C296" s="99"/>
      <c r="D296" s="57" t="str">
        <f>IF(A296="","",VLOOKUP(A296,'6.A'!$A$11:$G$180,4,FALSE))</f>
        <v/>
      </c>
      <c r="E296" s="100" t="str">
        <f>IF(A296="","",VLOOKUP(A296,'6.A'!$A$11:$G$180,5,FALSE))</f>
        <v/>
      </c>
      <c r="F296" s="24" t="str">
        <f t="shared" si="122"/>
        <v>0,00</v>
      </c>
      <c r="G296" s="52"/>
      <c r="H296" s="52" t="str">
        <f>IF(A296="","",VLOOKUP(A296,'6.A'!$A$11:$E$7984,5,FALSE))</f>
        <v/>
      </c>
      <c r="I296" s="52" t="str">
        <f t="shared" si="123"/>
        <v/>
      </c>
      <c r="J296" s="52" t="str">
        <f>IF(H296="","",VLOOKUP(A296,'6.A'!$A$11:$E$564,4,FALSE))</f>
        <v/>
      </c>
      <c r="K296" s="52" t="str">
        <f t="shared" si="124"/>
        <v/>
      </c>
      <c r="L296" s="52" t="str">
        <f>IF(H296="","",IF(C296="","",G272*C296))</f>
        <v/>
      </c>
      <c r="M296" s="117" t="str">
        <f>IF(A296="","",VLOOKUP(A296,'6.A'!$A$11:$C$564,2,FALSE))</f>
        <v/>
      </c>
      <c r="N296" s="57" t="str">
        <f t="shared" ref="N296:N297" si="126">IF(A296="","",IF(M296=B296,"si","no"))</f>
        <v/>
      </c>
      <c r="O296" s="56"/>
      <c r="P296" s="56"/>
      <c r="Q296" s="48"/>
      <c r="R296" s="48"/>
      <c r="S296" s="2"/>
    </row>
    <row r="297" spans="1:22" ht="12.75" customHeight="1" x14ac:dyDescent="0.2">
      <c r="A297" s="22"/>
      <c r="B297" s="23" t="str">
        <f>IF(A297="","",VLOOKUP(A297,'6.A'!$A$11:$G$180,2,FALSE))</f>
        <v/>
      </c>
      <c r="C297" s="99"/>
      <c r="D297" s="57" t="str">
        <f>IF(A297="","",VLOOKUP(A297,'6.A'!$A$11:$G$180,4,FALSE))</f>
        <v/>
      </c>
      <c r="E297" s="100" t="str">
        <f>IF(A297="","",VLOOKUP(A297,'6.A'!$A$11:$G$180,5,FALSE))</f>
        <v/>
      </c>
      <c r="F297" s="24" t="str">
        <f t="shared" si="122"/>
        <v>0,00</v>
      </c>
      <c r="G297" s="52"/>
      <c r="H297" s="52" t="str">
        <f>IF(A297="","",VLOOKUP(A297,'6.A'!$A$11:$E$7984,5,FALSE))</f>
        <v/>
      </c>
      <c r="I297" s="52" t="str">
        <f t="shared" si="123"/>
        <v/>
      </c>
      <c r="J297" s="52" t="str">
        <f>IF(H297="","",VLOOKUP(A297,'6.A'!$A$11:$E$564,4,FALSE))</f>
        <v/>
      </c>
      <c r="K297" s="52" t="str">
        <f t="shared" si="124"/>
        <v/>
      </c>
      <c r="L297" s="52" t="str">
        <f>IF(H297="","",IF(C297="","",G272*C297))</f>
        <v/>
      </c>
      <c r="M297" s="117" t="str">
        <f>IF(A297="","",VLOOKUP(A297,'6.A'!$A$11:$C$564,2,FALSE))</f>
        <v/>
      </c>
      <c r="N297" s="57" t="str">
        <f t="shared" si="126"/>
        <v/>
      </c>
      <c r="O297" s="56"/>
      <c r="P297" s="56"/>
      <c r="Q297" s="48"/>
      <c r="R297" s="48"/>
      <c r="S297" s="2"/>
    </row>
    <row r="298" spans="1:22" ht="12.75" customHeight="1" x14ac:dyDescent="0.2">
      <c r="A298" s="22"/>
      <c r="B298" s="26" t="str">
        <f>$A$9</f>
        <v>BDI</v>
      </c>
      <c r="C298" s="27">
        <f>$C$9</f>
        <v>0</v>
      </c>
      <c r="D298" s="57"/>
      <c r="F298" s="28">
        <f>ROUND(SUM(F288:F297)*C298,2)</f>
        <v>0</v>
      </c>
      <c r="G298" s="63"/>
      <c r="M298" s="62"/>
      <c r="N298" s="57"/>
      <c r="O298" s="56"/>
      <c r="P298" s="56"/>
      <c r="Q298" s="48"/>
      <c r="R298" s="48"/>
      <c r="S298" s="2"/>
    </row>
    <row r="299" spans="1:22" ht="12.75" customHeight="1" x14ac:dyDescent="0.2">
      <c r="A299" s="30"/>
      <c r="B299" s="31" t="s">
        <v>117</v>
      </c>
      <c r="C299" s="36"/>
      <c r="D299" s="37"/>
      <c r="E299" s="38"/>
      <c r="F299" s="35">
        <f>ROUND(SUM(F288:F298),2)</f>
        <v>0</v>
      </c>
      <c r="G299" s="63"/>
      <c r="M299" s="62"/>
      <c r="N299" s="57"/>
      <c r="O299" s="56"/>
      <c r="P299" s="56"/>
      <c r="Q299" s="48"/>
      <c r="R299" s="48"/>
      <c r="S299" s="2"/>
    </row>
    <row r="300" spans="1:22" ht="12.75" customHeight="1" x14ac:dyDescent="0.2">
      <c r="A300" s="17" t="s">
        <v>6</v>
      </c>
      <c r="B300" s="18" t="s">
        <v>17</v>
      </c>
      <c r="C300" s="56" t="s">
        <v>59</v>
      </c>
      <c r="D300" s="56" t="s">
        <v>16</v>
      </c>
      <c r="E300" s="19" t="s">
        <v>60</v>
      </c>
      <c r="F300" s="20" t="s">
        <v>61</v>
      </c>
      <c r="G300" s="21"/>
      <c r="M300" s="62"/>
      <c r="N300" s="57"/>
      <c r="O300" s="56"/>
      <c r="P300" s="56"/>
      <c r="Q300" s="48"/>
      <c r="R300" s="48"/>
      <c r="S300" s="2"/>
    </row>
    <row r="301" spans="1:22" ht="12.75" customHeight="1" x14ac:dyDescent="0.2">
      <c r="A301" s="22" t="str">
        <f>'6.A'!$A$50</f>
        <v>M0013</v>
      </c>
      <c r="B301" s="23" t="str">
        <f>IF(A301="","",VLOOKUP(A301,'6.A'!$A$11:$G$180,2,FALSE))</f>
        <v>GRAMPO DE ANCORAGEM EM AÇO CA 50 - D = 12,5 MM</v>
      </c>
      <c r="C301" s="99">
        <v>3</v>
      </c>
      <c r="D301" s="57" t="str">
        <f>IF(A301="","",VLOOKUP(A301,'6.A'!$A$11:$G$180,4,FALSE))</f>
        <v>KG</v>
      </c>
      <c r="E301" s="100">
        <f>IF(A301="","",VLOOKUP(A301,'6.A'!$A$11:$G$180,5,FALSE))</f>
        <v>0</v>
      </c>
      <c r="F301" s="24">
        <f t="shared" ref="F301:F320" si="127">IF(A301="","0,00",ROUND(C301*E301,2))</f>
        <v>0</v>
      </c>
      <c r="G301" s="52"/>
      <c r="H301" s="52">
        <f>IF(A301="","",VLOOKUP(A301,'6.A'!$A$11:$E$7984,5,FALSE))</f>
        <v>0</v>
      </c>
      <c r="I301" s="52" t="str">
        <f t="shared" ref="I301:I320" si="128">IF(H301="","",IF(E301=H301,"SIM","NÃO"))</f>
        <v>SIM</v>
      </c>
      <c r="J301" s="52" t="str">
        <f>IF(H301="","",VLOOKUP(A301,'6.A'!$A$11:$E$564,4,FALSE))</f>
        <v>KG</v>
      </c>
      <c r="K301" s="52" t="str">
        <f t="shared" ref="K301:K320" si="129">IF(H301="","",IF(J301=D301,"SIM","NÃO"))</f>
        <v>SIM</v>
      </c>
      <c r="L301" s="52">
        <f>IF(H301="","",IF(C301="","",G272*C301))</f>
        <v>3</v>
      </c>
      <c r="M301" s="117" t="str">
        <f>IF(A301="","",VLOOKUP(A301,'6.A'!$A$11:$C$564,2,FALSE))</f>
        <v>GRAMPO DE ANCORAGEM EM AÇO CA 50 - D = 12,5 MM</v>
      </c>
      <c r="N301" s="57" t="str">
        <f t="shared" ref="N301:N320" si="130">IF(A301="","",IF(M301=B301,"si","no"))</f>
        <v>si</v>
      </c>
      <c r="O301" s="56"/>
      <c r="P301" s="56"/>
      <c r="Q301" s="48"/>
      <c r="R301" s="48"/>
      <c r="S301" s="2"/>
    </row>
    <row r="302" spans="1:22" ht="12.75" customHeight="1" x14ac:dyDescent="0.2">
      <c r="A302" s="22">
        <f>'6.A'!$A$69</f>
        <v>857</v>
      </c>
      <c r="B302" s="23" t="str">
        <f>IF(A302="","",VLOOKUP(A302,'6.A'!$A$11:$G$180,2,FALSE))</f>
        <v>CABO DE COBRE NU 16 MM2 MEIO-DURO</v>
      </c>
      <c r="C302" s="99">
        <v>5</v>
      </c>
      <c r="D302" s="57" t="str">
        <f>IF(A302="","",VLOOKUP(A302,'6.A'!$A$11:$G$180,4,FALSE))</f>
        <v>M</v>
      </c>
      <c r="E302" s="100">
        <f>IF(A302="","",VLOOKUP(A302,'6.A'!$A$11:$G$180,5,FALSE))</f>
        <v>0</v>
      </c>
      <c r="F302" s="24">
        <f t="shared" ref="F302:F311" si="131">IF(A302="","0,00",ROUND(C302*E302,2))</f>
        <v>0</v>
      </c>
      <c r="G302" s="52"/>
      <c r="H302" s="52">
        <f>IF(A302="","",VLOOKUP(A302,'6.A'!$A$11:$E$7984,5,FALSE))</f>
        <v>0</v>
      </c>
      <c r="I302" s="52" t="str">
        <f t="shared" ref="I302:I311" si="132">IF(H302="","",IF(E302=H302,"SIM","NÃO"))</f>
        <v>SIM</v>
      </c>
      <c r="J302" s="52" t="str">
        <f>IF(H302="","",VLOOKUP(A302,'6.A'!$A$11:$E$564,4,FALSE))</f>
        <v>M</v>
      </c>
      <c r="K302" s="52" t="str">
        <f t="shared" ref="K302:K311" si="133">IF(H302="","",IF(J302=D302,"SIM","NÃO"))</f>
        <v>SIM</v>
      </c>
      <c r="L302" s="52">
        <f>IF(H302="","",IF(C302="","",G272*C302))</f>
        <v>5</v>
      </c>
      <c r="M302" s="117" t="str">
        <f>IF(A302="","",VLOOKUP(A302,'6.A'!$A$11:$C$564,2,FALSE))</f>
        <v>CABO DE COBRE NU 16 MM2 MEIO-DURO</v>
      </c>
      <c r="N302" s="57" t="str">
        <f t="shared" ref="N302:N311" si="134">IF(A302="","",IF(M302=B302,"si","no"))</f>
        <v>si</v>
      </c>
      <c r="O302" s="56"/>
      <c r="P302" s="56"/>
      <c r="Q302" s="48"/>
      <c r="R302" s="48"/>
    </row>
    <row r="303" spans="1:22" ht="12.75" customHeight="1" x14ac:dyDescent="0.2">
      <c r="A303" s="22">
        <f>'6.A'!$A$70</f>
        <v>867</v>
      </c>
      <c r="B303" s="23" t="str">
        <f>IF(A303="","",VLOOKUP(A303,'6.A'!$A$11:$G$180,2,FALSE))</f>
        <v>CABO DE COBRE NU 50 MM2 MEIO-DURO</v>
      </c>
      <c r="C303" s="99">
        <v>18</v>
      </c>
      <c r="D303" s="57" t="str">
        <f>IF(A303="","",VLOOKUP(A303,'6.A'!$A$11:$G$180,4,FALSE))</f>
        <v>M</v>
      </c>
      <c r="E303" s="100">
        <f>IF(A303="","",VLOOKUP(A303,'6.A'!$A$11:$G$180,5,FALSE))</f>
        <v>0</v>
      </c>
      <c r="F303" s="24">
        <f t="shared" si="131"/>
        <v>0</v>
      </c>
      <c r="G303" s="52"/>
      <c r="H303" s="52">
        <f>IF(A303="","",VLOOKUP(A303,'6.A'!$A$11:$E$7984,5,FALSE))</f>
        <v>0</v>
      </c>
      <c r="I303" s="52" t="str">
        <f t="shared" si="132"/>
        <v>SIM</v>
      </c>
      <c r="J303" s="52" t="str">
        <f>IF(H303="","",VLOOKUP(A303,'6.A'!$A$11:$E$564,4,FALSE))</f>
        <v>M</v>
      </c>
      <c r="K303" s="52" t="str">
        <f t="shared" si="133"/>
        <v>SIM</v>
      </c>
      <c r="L303" s="52">
        <f>IF(H303="","",IF(C303="","",G272*C303))</f>
        <v>18</v>
      </c>
      <c r="M303" s="117" t="str">
        <f>IF(A303="","",VLOOKUP(A303,'6.A'!$A$11:$C$564,2,FALSE))</f>
        <v>CABO DE COBRE NU 50 MM2 MEIO-DURO</v>
      </c>
      <c r="N303" s="57" t="str">
        <f t="shared" si="134"/>
        <v>si</v>
      </c>
      <c r="O303" s="56"/>
      <c r="P303" s="56"/>
      <c r="Q303" s="48"/>
      <c r="R303" s="48"/>
    </row>
    <row r="304" spans="1:22" s="65" customFormat="1" ht="12.75" customHeight="1" x14ac:dyDescent="0.2">
      <c r="A304" s="22">
        <f>'6.A'!$A$71</f>
        <v>979</v>
      </c>
      <c r="B304" s="23" t="str">
        <f>IF(A304="","",VLOOKUP(A304,'6.A'!$A$11:$G$180,2,FALSE))</f>
        <v>CABO DE COBRE FLEXIVEL CL 4/5, ISOLACAO PVC/A, ANTICHAMA BWF-B, 1 CONDUTOR, 450/750 V, SECAO NOMINAL 16 MM2</v>
      </c>
      <c r="C304" s="99">
        <v>6</v>
      </c>
      <c r="D304" s="57" t="str">
        <f>IF(A304="","",VLOOKUP(A304,'6.A'!$A$11:$G$180,4,FALSE))</f>
        <v>M</v>
      </c>
      <c r="E304" s="100">
        <f>IF(A304="","",VLOOKUP(A304,'6.A'!$A$11:$G$180,5,FALSE))</f>
        <v>0</v>
      </c>
      <c r="F304" s="24">
        <f t="shared" si="131"/>
        <v>0</v>
      </c>
      <c r="G304" s="52"/>
      <c r="H304" s="52">
        <f>IF(A304="","",VLOOKUP(A304,'6.A'!$A$11:$E$7984,5,FALSE))</f>
        <v>0</v>
      </c>
      <c r="I304" s="52" t="str">
        <f t="shared" si="132"/>
        <v>SIM</v>
      </c>
      <c r="J304" s="52" t="str">
        <f>IF(H304="","",VLOOKUP(A304,'6.A'!$A$11:$E$564,4,FALSE))</f>
        <v>M</v>
      </c>
      <c r="K304" s="52" t="str">
        <f t="shared" si="133"/>
        <v>SIM</v>
      </c>
      <c r="L304" s="52">
        <f>IF(H304="","",IF(C304="","",G272*C304))</f>
        <v>6</v>
      </c>
      <c r="M304" s="117" t="str">
        <f>IF(A304="","",VLOOKUP(A304,'6.A'!$A$11:$C$564,2,FALSE))</f>
        <v>CABO DE COBRE FLEXIVEL CL 4/5, ISOLACAO PVC/A, ANTICHAMA BWF-B, 1 CONDUTOR, 450/750 V, SECAO NOMINAL 16 MM2</v>
      </c>
      <c r="N304" s="57" t="str">
        <f t="shared" si="134"/>
        <v>si</v>
      </c>
      <c r="O304" s="56"/>
      <c r="P304" s="56"/>
      <c r="Q304" s="48"/>
      <c r="R304" s="48"/>
      <c r="T304" s="2"/>
      <c r="U304" s="2"/>
      <c r="V304" s="2"/>
    </row>
    <row r="305" spans="1:22" ht="12.75" customHeight="1" x14ac:dyDescent="0.2">
      <c r="A305" s="22">
        <f>'6.A'!$A$73</f>
        <v>982</v>
      </c>
      <c r="B305" s="23" t="str">
        <f>IF(A305="","",VLOOKUP(A305,'6.A'!$A$11:$G$180,2,FALSE))</f>
        <v>CABO DE COBRE FLEXIVEL CL 4/5, ISOLACAO PVC/A, ANTICHAMA BWF-B, 1 CONDUTOR, 450/750 V, SECAO NOMINAL 6 MM2</v>
      </c>
      <c r="C305" s="99">
        <v>2</v>
      </c>
      <c r="D305" s="57" t="str">
        <f>IF(A305="","",VLOOKUP(A305,'6.A'!$A$11:$G$180,4,FALSE))</f>
        <v>M</v>
      </c>
      <c r="E305" s="100">
        <f>IF(A305="","",VLOOKUP(A305,'6.A'!$A$11:$G$180,5,FALSE))</f>
        <v>0</v>
      </c>
      <c r="F305" s="24">
        <f t="shared" si="131"/>
        <v>0</v>
      </c>
      <c r="G305" s="52"/>
      <c r="H305" s="52">
        <f>IF(A305="","",VLOOKUP(A305,'6.A'!$A$11:$E$7984,5,FALSE))</f>
        <v>0</v>
      </c>
      <c r="I305" s="52" t="str">
        <f t="shared" si="132"/>
        <v>SIM</v>
      </c>
      <c r="J305" s="52" t="str">
        <f>IF(H305="","",VLOOKUP(A305,'6.A'!$A$11:$E$564,4,FALSE))</f>
        <v>M</v>
      </c>
      <c r="K305" s="52" t="str">
        <f t="shared" si="133"/>
        <v>SIM</v>
      </c>
      <c r="L305" s="52">
        <f>IF(H305="","",IF(C305="","",G272*C305))</f>
        <v>2</v>
      </c>
      <c r="M305" s="117" t="str">
        <f>IF(A305="","",VLOOKUP(A305,'6.A'!$A$11:$C$564,2,FALSE))</f>
        <v>CABO DE COBRE FLEXIVEL CL 4/5, ISOLACAO PVC/A, ANTICHAMA BWF-B, 1 CONDUTOR, 450/750 V, SECAO NOMINAL 6 MM2</v>
      </c>
      <c r="N305" s="57" t="str">
        <f t="shared" si="134"/>
        <v>si</v>
      </c>
      <c r="O305" s="56"/>
      <c r="P305" s="56"/>
      <c r="Q305" s="48"/>
      <c r="R305" s="48"/>
    </row>
    <row r="306" spans="1:22" ht="12.75" customHeight="1" x14ac:dyDescent="0.2">
      <c r="A306" s="22">
        <f>'6.A'!$A$80</f>
        <v>1051</v>
      </c>
      <c r="B306" s="23" t="str">
        <f>IF(A306="","",VLOOKUP(A306,'6.A'!$A$11:$G$180,2,FALSE))</f>
        <v>CABECOTE DN 4" PARA ELETRODUTO, EM ALUMINIO COM ACABAMENTO ANTI CORROSIVO</v>
      </c>
      <c r="C306" s="99">
        <v>2</v>
      </c>
      <c r="D306" s="57" t="str">
        <f>IF(A306="","",VLOOKUP(A306,'6.A'!$A$11:$G$180,4,FALSE))</f>
        <v>UN</v>
      </c>
      <c r="E306" s="100">
        <f>IF(A306="","",VLOOKUP(A306,'6.A'!$A$11:$G$180,5,FALSE))</f>
        <v>0</v>
      </c>
      <c r="F306" s="24">
        <f t="shared" si="131"/>
        <v>0</v>
      </c>
      <c r="G306" s="52"/>
      <c r="H306" s="52">
        <f>IF(A306="","",VLOOKUP(A306,'6.A'!$A$11:$E$7984,5,FALSE))</f>
        <v>0</v>
      </c>
      <c r="I306" s="52" t="str">
        <f t="shared" si="132"/>
        <v>SIM</v>
      </c>
      <c r="J306" s="52" t="str">
        <f>IF(H306="","",VLOOKUP(A306,'6.A'!$A$11:$E$564,4,FALSE))</f>
        <v>UN</v>
      </c>
      <c r="K306" s="52" t="str">
        <f t="shared" si="133"/>
        <v>SIM</v>
      </c>
      <c r="L306" s="52">
        <f>IF(H306="","",IF(C306="","",G272*C306))</f>
        <v>2</v>
      </c>
      <c r="M306" s="117" t="str">
        <f>IF(A306="","",VLOOKUP(A306,'6.A'!$A$11:$C$564,2,FALSE))</f>
        <v>CABECOTE DN 4" PARA ELETRODUTO, EM ALUMINIO COM ACABAMENTO ANTI CORROSIVO</v>
      </c>
      <c r="N306" s="57" t="str">
        <f t="shared" si="134"/>
        <v>si</v>
      </c>
      <c r="O306" s="56"/>
      <c r="P306" s="56"/>
      <c r="Q306" s="48"/>
      <c r="R306" s="48"/>
      <c r="S306" s="2"/>
    </row>
    <row r="307" spans="1:22" ht="12.75" customHeight="1" x14ac:dyDescent="0.2">
      <c r="A307" s="22">
        <f>'6.A'!$A$98</f>
        <v>2621</v>
      </c>
      <c r="B307" s="23" t="str">
        <f>IF(A307="","",VLOOKUP(A307,'6.A'!$A$11:$G$180,2,FALSE))</f>
        <v>CURVA 90 GRAUS PARA ELETRODUTO, EM ACO GALVANIZADO ELETROLITICO, COM ROSCA, DIAMETRO DE 100 MM (4")</v>
      </c>
      <c r="C307" s="99">
        <v>2</v>
      </c>
      <c r="D307" s="57" t="str">
        <f>IF(A307="","",VLOOKUP(A307,'6.A'!$A$11:$G$180,4,FALSE))</f>
        <v>UN</v>
      </c>
      <c r="E307" s="100">
        <f>IF(A307="","",VLOOKUP(A307,'6.A'!$A$11:$G$180,5,FALSE))</f>
        <v>0</v>
      </c>
      <c r="F307" s="24">
        <f t="shared" si="131"/>
        <v>0</v>
      </c>
      <c r="G307" s="52"/>
      <c r="H307" s="52">
        <f>IF(A307="","",VLOOKUP(A307,'6.A'!$A$11:$E$7984,5,FALSE))</f>
        <v>0</v>
      </c>
      <c r="I307" s="52" t="str">
        <f t="shared" si="132"/>
        <v>SIM</v>
      </c>
      <c r="J307" s="52" t="str">
        <f>IF(H307="","",VLOOKUP(A307,'6.A'!$A$11:$E$564,4,FALSE))</f>
        <v>UN</v>
      </c>
      <c r="K307" s="52" t="str">
        <f t="shared" si="133"/>
        <v>SIM</v>
      </c>
      <c r="L307" s="52">
        <f>IF(H307="","",IF(C307="","",G272*C307))</f>
        <v>2</v>
      </c>
      <c r="M307" s="117" t="str">
        <f>IF(A307="","",VLOOKUP(A307,'6.A'!$A$11:$C$564,2,FALSE))</f>
        <v>CURVA 90 GRAUS PARA ELETRODUTO, EM ACO GALVANIZADO ELETROLITICO, COM ROSCA, DIAMETRO DE 100 MM (4")</v>
      </c>
      <c r="N307" s="57" t="str">
        <f t="shared" si="134"/>
        <v>si</v>
      </c>
      <c r="O307" s="56"/>
      <c r="P307" s="56"/>
      <c r="Q307" s="48"/>
      <c r="R307" s="48"/>
      <c r="S307" s="2"/>
    </row>
    <row r="308" spans="1:22" s="65" customFormat="1" ht="12.75" customHeight="1" x14ac:dyDescent="0.2">
      <c r="A308" s="22">
        <f>'6.A'!$A$99</f>
        <v>2641</v>
      </c>
      <c r="B308" s="23" t="str">
        <f>IF(A308="","",VLOOKUP(A308,'6.A'!$A$11:$G$180,2,FALSE))</f>
        <v>LUVA PARA ELETRODUTO, EM ACO GALVANIZADO ELETROLITICO, COM ROSCA, DIAMETRO DE 100 MM (4")</v>
      </c>
      <c r="C308" s="99">
        <v>4</v>
      </c>
      <c r="D308" s="57" t="str">
        <f>IF(A308="","",VLOOKUP(A308,'6.A'!$A$11:$G$180,4,FALSE))</f>
        <v>UN</v>
      </c>
      <c r="E308" s="100">
        <f>IF(A308="","",VLOOKUP(A308,'6.A'!$A$11:$G$180,5,FALSE))</f>
        <v>0</v>
      </c>
      <c r="F308" s="24">
        <f t="shared" si="131"/>
        <v>0</v>
      </c>
      <c r="G308" s="52"/>
      <c r="H308" s="52">
        <f>IF(A308="","",VLOOKUP(A308,'6.A'!$A$11:$E$7984,5,FALSE))</f>
        <v>0</v>
      </c>
      <c r="I308" s="52" t="str">
        <f t="shared" si="132"/>
        <v>SIM</v>
      </c>
      <c r="J308" s="52" t="str">
        <f>IF(H308="","",VLOOKUP(A308,'6.A'!$A$11:$E$564,4,FALSE))</f>
        <v>UN</v>
      </c>
      <c r="K308" s="52" t="str">
        <f t="shared" si="133"/>
        <v>SIM</v>
      </c>
      <c r="L308" s="52">
        <f>IF(H308="","",IF(C308="","",G272*C308))</f>
        <v>4</v>
      </c>
      <c r="M308" s="117" t="str">
        <f>IF(A308="","",VLOOKUP(A308,'6.A'!$A$11:$C$564,2,FALSE))</f>
        <v>LUVA PARA ELETRODUTO, EM ACO GALVANIZADO ELETROLITICO, COM ROSCA, DIAMETRO DE 100 MM (4")</v>
      </c>
      <c r="N308" s="57" t="str">
        <f t="shared" si="134"/>
        <v>si</v>
      </c>
      <c r="O308" s="56"/>
      <c r="P308" s="56"/>
      <c r="Q308" s="48"/>
      <c r="R308" s="48"/>
      <c r="T308" s="2"/>
      <c r="U308" s="2"/>
      <c r="V308" s="2"/>
    </row>
    <row r="309" spans="1:22" s="65" customFormat="1" ht="12.75" customHeight="1" x14ac:dyDescent="0.2">
      <c r="A309" s="22">
        <f>'6.A'!$A$102</f>
        <v>2683</v>
      </c>
      <c r="B309" s="23" t="str">
        <f>IF(A309="","",VLOOKUP(A309,'6.A'!$A$11:$G$180,2,FALSE))</f>
        <v>ELETRODUTO DE PVC RIGIDO ROSCAVEL DE 4", SEM LUVA</v>
      </c>
      <c r="C309" s="99">
        <v>4</v>
      </c>
      <c r="D309" s="57" t="str">
        <f>IF(A309="","",VLOOKUP(A309,'6.A'!$A$11:$G$180,4,FALSE))</f>
        <v>M</v>
      </c>
      <c r="E309" s="100">
        <f>IF(A309="","",VLOOKUP(A309,'6.A'!$A$11:$G$180,5,FALSE))</f>
        <v>0</v>
      </c>
      <c r="F309" s="24">
        <f t="shared" si="131"/>
        <v>0</v>
      </c>
      <c r="G309" s="52"/>
      <c r="H309" s="52">
        <f>IF(A309="","",VLOOKUP(A309,'6.A'!$A$11:$E$7984,5,FALSE))</f>
        <v>0</v>
      </c>
      <c r="I309" s="52" t="str">
        <f t="shared" si="132"/>
        <v>SIM</v>
      </c>
      <c r="J309" s="52" t="str">
        <f>IF(H309="","",VLOOKUP(A309,'6.A'!$A$11:$E$564,4,FALSE))</f>
        <v>M</v>
      </c>
      <c r="K309" s="52" t="str">
        <f t="shared" si="133"/>
        <v>SIM</v>
      </c>
      <c r="L309" s="52">
        <f>IF(H309="","",IF(C309="","",G272*C309))</f>
        <v>4</v>
      </c>
      <c r="M309" s="117" t="str">
        <f>IF(A309="","",VLOOKUP(A309,'6.A'!$A$11:$C$564,2,FALSE))</f>
        <v>ELETRODUTO DE PVC RIGIDO ROSCAVEL DE 4", SEM LUVA</v>
      </c>
      <c r="N309" s="57" t="str">
        <f t="shared" si="134"/>
        <v>si</v>
      </c>
      <c r="O309" s="56"/>
      <c r="P309" s="56"/>
      <c r="Q309" s="48"/>
      <c r="R309" s="48"/>
      <c r="T309" s="2"/>
      <c r="U309" s="2"/>
      <c r="V309" s="2"/>
    </row>
    <row r="310" spans="1:22" ht="12.75" customHeight="1" x14ac:dyDescent="0.2">
      <c r="A310" s="22">
        <f>'6.A'!$A$104</f>
        <v>3395</v>
      </c>
      <c r="B310" s="23" t="str">
        <f>IF(A310="","",VLOOKUP(A310,'6.A'!$A$11:$G$180,2,FALSE))</f>
        <v>ISOLADOR DE PORCELANA, TIPO PINO MONOCORPO, PARA TENSAO DE 35 KV</v>
      </c>
      <c r="C310" s="99">
        <v>7</v>
      </c>
      <c r="D310" s="57" t="str">
        <f>IF(A310="","",VLOOKUP(A310,'6.A'!$A$11:$G$180,4,FALSE))</f>
        <v>UN</v>
      </c>
      <c r="E310" s="100">
        <f>IF(A310="","",VLOOKUP(A310,'6.A'!$A$11:$G$180,5,FALSE))</f>
        <v>0</v>
      </c>
      <c r="F310" s="24">
        <f t="shared" si="131"/>
        <v>0</v>
      </c>
      <c r="G310" s="52"/>
      <c r="H310" s="52">
        <f>IF(A310="","",VLOOKUP(A310,'6.A'!$A$11:$E$7984,5,FALSE))</f>
        <v>0</v>
      </c>
      <c r="I310" s="52" t="str">
        <f t="shared" si="132"/>
        <v>SIM</v>
      </c>
      <c r="J310" s="52" t="str">
        <f>IF(H310="","",VLOOKUP(A310,'6.A'!$A$11:$E$564,4,FALSE))</f>
        <v>UN</v>
      </c>
      <c r="K310" s="52" t="str">
        <f t="shared" si="133"/>
        <v>SIM</v>
      </c>
      <c r="L310" s="52">
        <f>IF(H310="","",IF(C310="","",G272*C310))</f>
        <v>7</v>
      </c>
      <c r="M310" s="117" t="str">
        <f>IF(A310="","",VLOOKUP(A310,'6.A'!$A$11:$C$564,2,FALSE))</f>
        <v>ISOLADOR DE PORCELANA, TIPO PINO MONOCORPO, PARA TENSAO DE 35 KV</v>
      </c>
      <c r="N310" s="57" t="str">
        <f t="shared" si="134"/>
        <v>si</v>
      </c>
      <c r="O310" s="56"/>
      <c r="P310" s="56"/>
      <c r="Q310" s="48"/>
      <c r="R310" s="48"/>
      <c r="S310" s="2"/>
    </row>
    <row r="311" spans="1:22" ht="12.75" customHeight="1" x14ac:dyDescent="0.2">
      <c r="A311" s="22">
        <f>'6.A'!$A$105</f>
        <v>3398</v>
      </c>
      <c r="B311" s="23" t="str">
        <f>IF(A311="","",VLOOKUP(A311,'6.A'!$A$11:$G$180,2,FALSE))</f>
        <v>ISOLADOR DE PORCELANA, TIPO ROLDANA, DIMENSOES DE 72 X 72 MM, PARA USO EM BAIXA TENSAO</v>
      </c>
      <c r="C311" s="99">
        <v>1</v>
      </c>
      <c r="D311" s="57" t="str">
        <f>IF(A311="","",VLOOKUP(A311,'6.A'!$A$11:$G$180,4,FALSE))</f>
        <v>UN</v>
      </c>
      <c r="E311" s="100">
        <f>IF(A311="","",VLOOKUP(A311,'6.A'!$A$11:$G$180,5,FALSE))</f>
        <v>0</v>
      </c>
      <c r="F311" s="24">
        <f t="shared" si="131"/>
        <v>0</v>
      </c>
      <c r="G311" s="52"/>
      <c r="H311" s="52">
        <f>IF(A311="","",VLOOKUP(A311,'6.A'!$A$11:$E$7984,5,FALSE))</f>
        <v>0</v>
      </c>
      <c r="I311" s="52" t="str">
        <f t="shared" si="132"/>
        <v>SIM</v>
      </c>
      <c r="J311" s="52" t="str">
        <f>IF(H311="","",VLOOKUP(A311,'6.A'!$A$11:$E$564,4,FALSE))</f>
        <v>UN</v>
      </c>
      <c r="K311" s="52" t="str">
        <f t="shared" si="133"/>
        <v>SIM</v>
      </c>
      <c r="L311" s="52">
        <f>IF(H311="","",IF(C311="","",G272*C311))</f>
        <v>1</v>
      </c>
      <c r="M311" s="117" t="str">
        <f>IF(A311="","",VLOOKUP(A311,'6.A'!$A$11:$C$564,2,FALSE))</f>
        <v>ISOLADOR DE PORCELANA, TIPO ROLDANA, DIMENSOES DE 72 X 72 MM, PARA USO EM BAIXA TENSAO</v>
      </c>
      <c r="N311" s="57" t="str">
        <f t="shared" si="134"/>
        <v>si</v>
      </c>
      <c r="O311" s="56"/>
      <c r="P311" s="56"/>
      <c r="Q311" s="48"/>
      <c r="R311" s="48"/>
      <c r="S311" s="2"/>
    </row>
    <row r="312" spans="1:22" ht="12.75" customHeight="1" x14ac:dyDescent="0.2">
      <c r="A312" s="22">
        <f>'6.A'!$A$139</f>
        <v>39232</v>
      </c>
      <c r="B312" s="23" t="str">
        <f>IF(A312="","",VLOOKUP(A312,'6.A'!$A$11:$G$180,2,FALSE))</f>
        <v>CABO DE COBRE FLEXIVEL CL 4/5, ISOLACAO PVC/A, ANTICHAMA BWF-B, 1 CONDUTOR, 450/750 V, SECAO NOMINAL 25 MM2</v>
      </c>
      <c r="C312" s="99">
        <v>19</v>
      </c>
      <c r="D312" s="57" t="str">
        <f>IF(A312="","",VLOOKUP(A312,'6.A'!$A$11:$G$180,4,FALSE))</f>
        <v>M</v>
      </c>
      <c r="E312" s="100">
        <f>IF(A312="","",VLOOKUP(A312,'6.A'!$A$11:$G$180,5,FALSE))</f>
        <v>0</v>
      </c>
      <c r="F312" s="24">
        <f>IF(A312="","0,00",ROUND(C312*E312,2))</f>
        <v>0</v>
      </c>
      <c r="G312" s="52"/>
      <c r="H312" s="52">
        <f>IF(A312="","",VLOOKUP(A312,'6.A'!$A$11:$E$7984,5,FALSE))</f>
        <v>0</v>
      </c>
      <c r="I312" s="52" t="str">
        <f>IF(H312="","",IF(E312=H312,"SIM","NÃO"))</f>
        <v>SIM</v>
      </c>
      <c r="J312" s="52" t="str">
        <f>IF(H312="","",VLOOKUP(A312,'6.A'!$A$11:$E$564,4,FALSE))</f>
        <v>M</v>
      </c>
      <c r="K312" s="52" t="str">
        <f>IF(H312="","",IF(J312=D312,"SIM","NÃO"))</f>
        <v>SIM</v>
      </c>
      <c r="L312" s="52">
        <f>IF(H312="","",IF(C312="","",G272*C312))</f>
        <v>19</v>
      </c>
      <c r="M312" s="117" t="str">
        <f>IF(A312="","",VLOOKUP(A312,'6.A'!$A$11:$C$564,2,FALSE))</f>
        <v>CABO DE COBRE FLEXIVEL CL 4/5, ISOLACAO PVC/A, ANTICHAMA BWF-B, 1 CONDUTOR, 450/750 V, SECAO NOMINAL 25 MM2</v>
      </c>
      <c r="N312" s="57" t="str">
        <f>IF(A312="","",IF(M312=B312,"si","no"))</f>
        <v>si</v>
      </c>
      <c r="O312" s="56"/>
      <c r="P312" s="56"/>
      <c r="Q312" s="48"/>
      <c r="R312" s="48"/>
    </row>
    <row r="313" spans="1:22" ht="12.75" customHeight="1" x14ac:dyDescent="0.2">
      <c r="A313" s="22">
        <f>'6.A'!$A$76</f>
        <v>1000</v>
      </c>
      <c r="B313" s="23" t="str">
        <f>IF(A313="","",VLOOKUP(A313,'6.A'!$A$11:$G$180,2,FALSE))</f>
        <v>CABO DE COBRE, FLEXIVEL, CLASSE 4 OU 5, ISOLACAO EM PVC/A, ANTICHAMA BWF-B, COBERTURA PVC-ST1, ANTICHAMA BWF-B, 1 CONDUTOR, 0,6/1 KV, SECAO NOMINAL 185 MM2</v>
      </c>
      <c r="C313" s="99">
        <v>77</v>
      </c>
      <c r="D313" s="57" t="str">
        <f>IF(A313="","",VLOOKUP(A313,'6.A'!$A$11:$G$180,4,FALSE))</f>
        <v>M</v>
      </c>
      <c r="E313" s="100">
        <f>IF(A313="","",VLOOKUP(A313,'6.A'!$A$11:$G$180,5,FALSE))</f>
        <v>0</v>
      </c>
      <c r="F313" s="24">
        <f>IF(A313="","0,00",ROUND(C313*E313,2))</f>
        <v>0</v>
      </c>
      <c r="G313" s="52"/>
      <c r="H313" s="52">
        <f>IF(A313="","",VLOOKUP(A313,'6.A'!$A$11:$E$7984,5,FALSE))</f>
        <v>0</v>
      </c>
      <c r="I313" s="52" t="str">
        <f>IF(H313="","",IF(E313=H313,"SIM","NÃO"))</f>
        <v>SIM</v>
      </c>
      <c r="J313" s="52" t="str">
        <f>IF(H313="","",VLOOKUP(A313,'6.A'!$A$11:$E$564,4,FALSE))</f>
        <v>M</v>
      </c>
      <c r="K313" s="52" t="str">
        <f>IF(H313="","",IF(J313=D313,"SIM","NÃO"))</f>
        <v>SIM</v>
      </c>
      <c r="L313" s="52">
        <f>IF(H313="","",IF(C313="","",G272*C313))</f>
        <v>77</v>
      </c>
      <c r="M313" s="117" t="str">
        <f>IF(A313="","",VLOOKUP(A313,'6.A'!$A$11:$C$564,2,FALSE))</f>
        <v>CABO DE COBRE, FLEXIVEL, CLASSE 4 OU 5, ISOLACAO EM PVC/A, ANTICHAMA BWF-B, COBERTURA PVC-ST1, ANTICHAMA BWF-B, 1 CONDUTOR, 0,6/1 KV, SECAO NOMINAL 185 MM2</v>
      </c>
      <c r="N313" s="57" t="str">
        <f>IF(A313="","",IF(M313=B313,"si","no"))</f>
        <v>si</v>
      </c>
      <c r="O313" s="56"/>
      <c r="P313" s="56"/>
      <c r="Q313" s="48"/>
      <c r="R313" s="48"/>
    </row>
    <row r="314" spans="1:22" ht="12.75" customHeight="1" x14ac:dyDescent="0.2">
      <c r="A314" s="22">
        <f>'6.A'!$A$147</f>
        <v>41001</v>
      </c>
      <c r="B314" s="23" t="str">
        <f>IF(A314="","",VLOOKUP(A314,'6.A'!$A$11:$G$180,2,FALSE))</f>
        <v>TRANSFORMADOR DE POTÊNCIA TRIFÁSICO DE 225KVA CLASSE 15KV, A ÓLEO</v>
      </c>
      <c r="C314" s="99">
        <v>1</v>
      </c>
      <c r="D314" s="57" t="str">
        <f>IF(A314="","",VLOOKUP(A314,'6.A'!$A$11:$G$180,4,FALSE))</f>
        <v>UN</v>
      </c>
      <c r="E314" s="100">
        <f>IF(A314="","",VLOOKUP(A314,'6.A'!$A$11:$G$180,5,FALSE))</f>
        <v>0</v>
      </c>
      <c r="F314" s="24">
        <f t="shared" si="127"/>
        <v>0</v>
      </c>
      <c r="G314" s="52"/>
      <c r="H314" s="52">
        <f>IF(A314="","",VLOOKUP(A314,'6.A'!$A$11:$E$7984,5,FALSE))</f>
        <v>0</v>
      </c>
      <c r="I314" s="52" t="str">
        <f t="shared" si="128"/>
        <v>SIM</v>
      </c>
      <c r="J314" s="52" t="str">
        <f>IF(H314="","",VLOOKUP(A314,'6.A'!$A$11:$E$564,4,FALSE))</f>
        <v>UN</v>
      </c>
      <c r="K314" s="52" t="str">
        <f t="shared" si="129"/>
        <v>SIM</v>
      </c>
      <c r="L314" s="52">
        <f>IF(H314="","",IF(C314="","",G272*C314))</f>
        <v>1</v>
      </c>
      <c r="M314" s="117" t="str">
        <f>IF(A314="","",VLOOKUP(A314,'6.A'!$A$11:$C$564,2,FALSE))</f>
        <v>TRANSFORMADOR DE POTÊNCIA TRIFÁSICO DE 225KVA CLASSE 15KV, A ÓLEO</v>
      </c>
      <c r="N314" s="57" t="str">
        <f t="shared" si="130"/>
        <v>si</v>
      </c>
      <c r="O314" s="56"/>
      <c r="P314" s="56"/>
      <c r="Q314" s="48"/>
      <c r="R314" s="48"/>
      <c r="S314" s="2"/>
    </row>
    <row r="315" spans="1:22" s="65" customFormat="1" ht="12.75" customHeight="1" x14ac:dyDescent="0.2">
      <c r="A315" s="22">
        <f>'6.A'!$A$152</f>
        <v>42130</v>
      </c>
      <c r="B315" s="23" t="str">
        <f>IF(A315="","",VLOOKUP(A315,'6.A'!$A$11:$G$180,2,FALSE))</f>
        <v xml:space="preserve">ELETRODUTO GALVANIZADO POR IMERSÃO A QUENTE - DN = 4" - NBR5598 </v>
      </c>
      <c r="C315" s="99">
        <v>13.5</v>
      </c>
      <c r="D315" s="57" t="str">
        <f>IF(A315="","",VLOOKUP(A315,'6.A'!$A$11:$G$180,4,FALSE))</f>
        <v>M</v>
      </c>
      <c r="E315" s="100">
        <f>IF(A315="","",VLOOKUP(A315,'6.A'!$A$11:$G$180,5,FALSE))</f>
        <v>0</v>
      </c>
      <c r="F315" s="24">
        <f>IF(A315="","0,00",ROUND(C315*E315,2))</f>
        <v>0</v>
      </c>
      <c r="G315" s="52"/>
      <c r="H315" s="52">
        <f>IF(A315="","",VLOOKUP(A315,'6.A'!$A$11:$E$7984,5,FALSE))</f>
        <v>0</v>
      </c>
      <c r="I315" s="52" t="str">
        <f>IF(H315="","",IF(E315=H315,"SIM","NÃO"))</f>
        <v>SIM</v>
      </c>
      <c r="J315" s="52" t="str">
        <f>IF(H315="","",VLOOKUP(A315,'6.A'!$A$11:$E$564,4,FALSE))</f>
        <v>M</v>
      </c>
      <c r="K315" s="52" t="str">
        <f>IF(H315="","",IF(J315=D315,"SIM","NÃO"))</f>
        <v>SIM</v>
      </c>
      <c r="L315" s="52">
        <f>IF(H315="","",IF(C315="","",G272*C315))</f>
        <v>13.5</v>
      </c>
      <c r="M315" s="117" t="str">
        <f>IF(A315="","",VLOOKUP(A315,'6.A'!$A$11:$C$564,2,FALSE))</f>
        <v xml:space="preserve">ELETRODUTO GALVANIZADO POR IMERSÃO A QUENTE - DN = 4" - NBR5598 </v>
      </c>
      <c r="N315" s="57" t="str">
        <f>IF(A315="","",IF(M315=B315,"si","no"))</f>
        <v>si</v>
      </c>
      <c r="O315" s="56"/>
      <c r="P315" s="56"/>
      <c r="Q315" s="48"/>
      <c r="R315" s="48"/>
      <c r="T315" s="2"/>
      <c r="U315" s="2"/>
      <c r="V315" s="2"/>
    </row>
    <row r="316" spans="1:22" ht="12.75" customHeight="1" x14ac:dyDescent="0.2">
      <c r="A316" s="22">
        <f>'6.A'!$A$158</f>
        <v>43230</v>
      </c>
      <c r="B316" s="23" t="str">
        <f>IF(A316="","",VLOOKUP(A316,'6.A'!$A$11:$G$180,2,FALSE))</f>
        <v>CABO BLINDADO 4 X 4,0MM2, BLINDAGEM METÁLICA 750 V NBR 7289 COLORIDO - ISOLAÇÃO NÃO HALOGENADA</v>
      </c>
      <c r="C316" s="99">
        <v>5</v>
      </c>
      <c r="D316" s="57" t="str">
        <f>IF(A316="","",VLOOKUP(A316,'6.A'!$A$11:$G$180,4,FALSE))</f>
        <v>M</v>
      </c>
      <c r="E316" s="100">
        <f>IF(A316="","",VLOOKUP(A316,'6.A'!$A$11:$G$180,5,FALSE))</f>
        <v>0</v>
      </c>
      <c r="F316" s="24">
        <f>IF(A316="","0,00",ROUND(C316*E316,2))</f>
        <v>0</v>
      </c>
      <c r="G316" s="52"/>
      <c r="H316" s="52">
        <f>IF(A316="","",VLOOKUP(A316,'6.A'!$A$11:$E$7984,5,FALSE))</f>
        <v>0</v>
      </c>
      <c r="I316" s="52" t="str">
        <f>IF(H316="","",IF(E316=H316,"SIM","NÃO"))</f>
        <v>SIM</v>
      </c>
      <c r="J316" s="52" t="str">
        <f>IF(H316="","",VLOOKUP(A316,'6.A'!$A$11:$E$564,4,FALSE))</f>
        <v>M</v>
      </c>
      <c r="K316" s="52" t="str">
        <f>IF(H316="","",IF(J316=D316,"SIM","NÃO"))</f>
        <v>SIM</v>
      </c>
      <c r="L316" s="52">
        <f>IF(H316="","",IF(C316="","",G272*C316))</f>
        <v>5</v>
      </c>
      <c r="M316" s="117" t="str">
        <f>IF(A316="","",VLOOKUP(A316,'6.A'!$A$11:$C$564,2,FALSE))</f>
        <v>CABO BLINDADO 4 X 4,0MM2, BLINDAGEM METÁLICA 750 V NBR 7289 COLORIDO - ISOLAÇÃO NÃO HALOGENADA</v>
      </c>
      <c r="N316" s="57" t="str">
        <f>IF(A316="","",IF(M316=B316,"si","no"))</f>
        <v>si</v>
      </c>
      <c r="O316" s="56"/>
      <c r="P316" s="56"/>
      <c r="Q316" s="48"/>
      <c r="R316" s="48"/>
    </row>
    <row r="317" spans="1:22" ht="12.75" customHeight="1" x14ac:dyDescent="0.2">
      <c r="A317" s="22">
        <f>'6.A'!$A$166</f>
        <v>49507</v>
      </c>
      <c r="B317" s="23" t="str">
        <f>IF(A317="","",VLOOKUP(A317,'6.A'!$A$11:$G$180,2,FALSE))</f>
        <v>ISOLADOR RÍGIDO DE PINO HI-TOP, PARA 15 KV</v>
      </c>
      <c r="C317" s="99">
        <v>9</v>
      </c>
      <c r="D317" s="57" t="str">
        <f>IF(A317="","",VLOOKUP(A317,'6.A'!$A$11:$G$180,4,FALSE))</f>
        <v>UN</v>
      </c>
      <c r="E317" s="100">
        <f>IF(A317="","",VLOOKUP(A317,'6.A'!$A$11:$G$180,5,FALSE))</f>
        <v>0</v>
      </c>
      <c r="F317" s="24">
        <f>IF(A317="","0,00",ROUND(C317*E317,2))</f>
        <v>0</v>
      </c>
      <c r="G317" s="52"/>
      <c r="H317" s="52">
        <f>IF(A317="","",VLOOKUP(A317,'6.A'!$A$11:$E$7984,5,FALSE))</f>
        <v>0</v>
      </c>
      <c r="I317" s="52" t="str">
        <f>IF(H317="","",IF(E317=H317,"SIM","NÃO"))</f>
        <v>SIM</v>
      </c>
      <c r="J317" s="52" t="str">
        <f>IF(H317="","",VLOOKUP(A317,'6.A'!$A$11:$E$564,4,FALSE))</f>
        <v>UN</v>
      </c>
      <c r="K317" s="52" t="str">
        <f>IF(H317="","",IF(J317=D317,"SIM","NÃO"))</f>
        <v>SIM</v>
      </c>
      <c r="L317" s="52">
        <f>IF(H317="","",IF(C317="","",G272*C317))</f>
        <v>9</v>
      </c>
      <c r="M317" s="117" t="str">
        <f>IF(A317="","",VLOOKUP(A317,'6.A'!$A$11:$C$564,2,FALSE))</f>
        <v>ISOLADOR RÍGIDO DE PINO HI-TOP, PARA 15 KV</v>
      </c>
      <c r="N317" s="57" t="str">
        <f>IF(A317="","",IF(M317=B317,"si","no"))</f>
        <v>si</v>
      </c>
      <c r="O317" s="56"/>
      <c r="P317" s="56"/>
      <c r="Q317" s="48"/>
      <c r="R317" s="48"/>
      <c r="S317" s="2"/>
    </row>
    <row r="318" spans="1:22" ht="12.75" customHeight="1" x14ac:dyDescent="0.2">
      <c r="A318" s="22"/>
      <c r="B318" s="39" t="str">
        <f>IF(A318="","",VLOOKUP(A318,'6.A'!$A$11:$G$180,2,FALSE))</f>
        <v/>
      </c>
      <c r="C318" s="99"/>
      <c r="D318" s="57" t="str">
        <f>IF(A318="","",VLOOKUP(A318,'6.A'!$A$11:$G$180,4,FALSE))</f>
        <v/>
      </c>
      <c r="E318" s="100" t="str">
        <f>IF(A318="","",VLOOKUP(A318,'6.A'!$A$11:$G$180,5,FALSE))</f>
        <v/>
      </c>
      <c r="F318" s="24" t="str">
        <f t="shared" si="127"/>
        <v>0,00</v>
      </c>
      <c r="G318" s="52"/>
      <c r="H318" s="52" t="str">
        <f>IF(A318="","",VLOOKUP(A318,'6.A'!$A$11:$E$7984,5,FALSE))</f>
        <v/>
      </c>
      <c r="I318" s="52" t="str">
        <f t="shared" si="128"/>
        <v/>
      </c>
      <c r="J318" s="52" t="str">
        <f>IF(H318="","",VLOOKUP(A318,'6.A'!$A$11:$E$564,4,FALSE))</f>
        <v/>
      </c>
      <c r="K318" s="52" t="str">
        <f t="shared" si="129"/>
        <v/>
      </c>
      <c r="L318" s="52" t="str">
        <f>IF(H318="","",IF(C318="","",G272*C318))</f>
        <v/>
      </c>
      <c r="M318" s="117" t="str">
        <f>IF(A318="","",VLOOKUP(A318,'6.A'!$A$11:$C$564,2,FALSE))</f>
        <v/>
      </c>
      <c r="N318" s="57" t="str">
        <f t="shared" si="130"/>
        <v/>
      </c>
      <c r="O318" s="56"/>
      <c r="P318" s="56"/>
      <c r="Q318" s="48"/>
      <c r="R318" s="48"/>
    </row>
    <row r="319" spans="1:22" ht="12.75" customHeight="1" x14ac:dyDescent="0.2">
      <c r="A319" s="22"/>
      <c r="B319" s="39" t="str">
        <f>IF(A319="","",VLOOKUP(A319,'6.A'!$A$11:$G$180,2,FALSE))</f>
        <v/>
      </c>
      <c r="C319" s="99"/>
      <c r="D319" s="57" t="str">
        <f>IF(A319="","",VLOOKUP(A319,'6.A'!$A$11:$G$180,4,FALSE))</f>
        <v/>
      </c>
      <c r="E319" s="100" t="str">
        <f>IF(A319="","",VLOOKUP(A319,'6.A'!$A$11:$G$180,5,FALSE))</f>
        <v/>
      </c>
      <c r="F319" s="24" t="str">
        <f t="shared" si="127"/>
        <v>0,00</v>
      </c>
      <c r="G319" s="52"/>
      <c r="H319" s="52" t="str">
        <f>IF(A319="","",VLOOKUP(A319,'6.A'!$A$11:$E$7984,5,FALSE))</f>
        <v/>
      </c>
      <c r="I319" s="52" t="str">
        <f t="shared" si="128"/>
        <v/>
      </c>
      <c r="J319" s="52" t="str">
        <f>IF(H319="","",VLOOKUP(A319,'6.A'!$A$11:$E$564,4,FALSE))</f>
        <v/>
      </c>
      <c r="K319" s="52" t="str">
        <f t="shared" si="129"/>
        <v/>
      </c>
      <c r="L319" s="52" t="str">
        <f>IF(H319="","",IF(C319="","",G272*C319))</f>
        <v/>
      </c>
      <c r="M319" s="117" t="str">
        <f>IF(A319="","",VLOOKUP(A319,'6.A'!$A$11:$C$564,2,FALSE))</f>
        <v/>
      </c>
      <c r="N319" s="57" t="str">
        <f t="shared" si="130"/>
        <v/>
      </c>
      <c r="O319" s="56"/>
      <c r="P319" s="56"/>
      <c r="Q319" s="48"/>
      <c r="R319" s="48"/>
    </row>
    <row r="320" spans="1:22" ht="12.75" customHeight="1" x14ac:dyDescent="0.2">
      <c r="A320" s="22"/>
      <c r="B320" s="39" t="str">
        <f>IF(A320="","",VLOOKUP(A320,'6.A'!$A$11:$G$180,2,FALSE))</f>
        <v/>
      </c>
      <c r="C320" s="99"/>
      <c r="D320" s="57" t="str">
        <f>IF(A320="","",VLOOKUP(A320,'6.A'!$A$11:$G$180,4,FALSE))</f>
        <v/>
      </c>
      <c r="E320" s="100" t="str">
        <f>IF(A320="","",VLOOKUP(A320,'6.A'!$A$11:$G$180,5,FALSE))</f>
        <v/>
      </c>
      <c r="F320" s="24" t="str">
        <f t="shared" si="127"/>
        <v>0,00</v>
      </c>
      <c r="G320" s="52"/>
      <c r="H320" s="52" t="str">
        <f>IF(A320="","",VLOOKUP(A320,'6.A'!$A$11:$E$7984,5,FALSE))</f>
        <v/>
      </c>
      <c r="I320" s="52" t="str">
        <f t="shared" si="128"/>
        <v/>
      </c>
      <c r="J320" s="52" t="str">
        <f>IF(H320="","",VLOOKUP(A320,'6.A'!$A$11:$E$564,4,FALSE))</f>
        <v/>
      </c>
      <c r="K320" s="52" t="str">
        <f t="shared" si="129"/>
        <v/>
      </c>
      <c r="L320" s="52" t="str">
        <f>IF(H320="","",IF(C320="","",G272*C320))</f>
        <v/>
      </c>
      <c r="M320" s="117" t="str">
        <f>IF(A320="","",VLOOKUP(A320,'6.A'!$A$11:$C$564,2,FALSE))</f>
        <v/>
      </c>
      <c r="N320" s="57" t="str">
        <f t="shared" si="130"/>
        <v/>
      </c>
      <c r="O320" s="56"/>
      <c r="P320" s="56"/>
      <c r="Q320" s="48"/>
      <c r="R320" s="48"/>
    </row>
    <row r="321" spans="1:23" ht="12.75" customHeight="1" x14ac:dyDescent="0.2">
      <c r="A321" s="22"/>
      <c r="B321" s="26" t="str">
        <f>$A$9</f>
        <v>BDI</v>
      </c>
      <c r="C321" s="40">
        <f>$C$9</f>
        <v>0</v>
      </c>
      <c r="D321" s="57"/>
      <c r="F321" s="28">
        <f>ROUND(SUM(F301:F320)*C321,2)</f>
        <v>0</v>
      </c>
      <c r="G321" s="63"/>
      <c r="M321" s="57"/>
      <c r="N321" s="57"/>
      <c r="O321" s="56"/>
      <c r="P321" s="56"/>
      <c r="Q321" s="48"/>
      <c r="R321" s="48"/>
    </row>
    <row r="322" spans="1:23" ht="12.75" customHeight="1" thickBot="1" x14ac:dyDescent="0.25">
      <c r="A322" s="41"/>
      <c r="B322" s="42" t="s">
        <v>57</v>
      </c>
      <c r="C322" s="43"/>
      <c r="D322" s="44"/>
      <c r="E322" s="45"/>
      <c r="F322" s="46">
        <f>ROUND(SUM(F301:F321),2)</f>
        <v>0</v>
      </c>
      <c r="G322" s="63"/>
      <c r="M322" s="57"/>
      <c r="N322" s="57"/>
      <c r="O322" s="56"/>
      <c r="P322" s="56"/>
      <c r="Q322" s="48"/>
      <c r="R322" s="48"/>
    </row>
    <row r="323" spans="1:23" ht="12" customHeight="1" thickBot="1" x14ac:dyDescent="0.25">
      <c r="A323" s="8"/>
      <c r="B323" s="9"/>
      <c r="C323" s="10"/>
      <c r="D323" s="57"/>
      <c r="F323" s="12"/>
      <c r="M323" s="57"/>
      <c r="N323" s="57"/>
      <c r="O323" s="56"/>
      <c r="P323" s="56"/>
    </row>
    <row r="324" spans="1:23" ht="50.1" customHeight="1" x14ac:dyDescent="0.2">
      <c r="A324" s="243" t="str">
        <f>'3.A'!$A$28</f>
        <v>2.3</v>
      </c>
      <c r="B324" s="14" t="str">
        <f>IF(A324="","",VLOOKUP(A324,'3.A'!$A$17:$M$279,2,FALSE))</f>
        <v>TE-06 ENTRADA PRIMÁRIA SIMPLIF. POSTE UNICO - CPFL - 225 KVA - 15KV- 220/127 V - INFRAESTRUTURA ELÉTRICA - SPDA/ATERRAMENTO</v>
      </c>
      <c r="C324" s="413" t="s">
        <v>62</v>
      </c>
      <c r="D324" s="413"/>
      <c r="E324" s="15" t="str">
        <f>IF(A324="","",VLOOKUP(A324,'3.A'!$A$17:$M$279,3,FALSE))</f>
        <v>UN</v>
      </c>
      <c r="F324" s="16">
        <f>ROUND(F338+F351+F374,2)</f>
        <v>0</v>
      </c>
      <c r="G324" s="118">
        <f>VLOOKUP(A324,'3.A'!$A$19:$I$279,4,FALSE)</f>
        <v>1</v>
      </c>
      <c r="H324" s="47">
        <f>SUM(F326:F337)</f>
        <v>0</v>
      </c>
      <c r="I324" s="47">
        <f>SUM(F340:F350)</f>
        <v>0</v>
      </c>
      <c r="J324" s="47">
        <f>SUM(F353:F373)</f>
        <v>0</v>
      </c>
      <c r="K324" s="47">
        <f>SUM(H324:J324)</f>
        <v>0</v>
      </c>
      <c r="L324" s="47" t="str">
        <f>IF(K324=F324,"SIM","NÃO")</f>
        <v>SIM</v>
      </c>
      <c r="M324" s="58">
        <f>ROUND(SUM(F326:F335)*C336,2)+ROUND(SUM(F326:F336)*C337,2)+ROUND(SUM(F326:F335),2)+ROUND(SUM(F340:F349)*C350,2)+ROUND(SUM(F340:F349),2)+ROUND(SUM(F353:F372)*C373,2)+ROUND(SUM(F353:F372),2)</f>
        <v>0</v>
      </c>
      <c r="N324" s="50" t="str">
        <f>IF(M324=F324,"SIM","NÃO")</f>
        <v>SIM</v>
      </c>
      <c r="O324" s="51" t="str">
        <f>VLOOKUP(A324,'3.A'!$A$8:$E$279,3,FALSE)</f>
        <v>UN</v>
      </c>
      <c r="P324" s="51" t="str">
        <f>IF(O324=E324,"SIM","NÃO")</f>
        <v>SIM</v>
      </c>
      <c r="Q324" s="53">
        <f>ROUND(G324*F338,2)+ROUND(G324*F351,2)+ROUND(G324*F374,2)</f>
        <v>0</v>
      </c>
      <c r="R324" s="59">
        <f>VLOOKUP(A324,'3.A'!$A$17:$L$279,12,FALSE)</f>
        <v>0</v>
      </c>
      <c r="S324" s="60" t="str">
        <f>IF(Q324=R324,"si","no")</f>
        <v>si</v>
      </c>
      <c r="T324" s="61">
        <f>SUM(L326:L335)+SUM(L340:L349)+SUM(L353:L372)</f>
        <v>108.16266666666667</v>
      </c>
      <c r="U324" s="52">
        <f>G324*C332+G324*C334+G324*C327+G324*C328+G324*C330+G324*C333+G324*C331+G324*C326+G324*C329+G324*C335+G324*C346+G324*C340+G324*C348+G324*C347+G324*C345+G324*C342+G324*C341+G324*C343+G324*C349+G324*C344+G324*C353+G324*C354+G324*C355+G324*C363+G324*C364+G324*C365+G324*C366+G324*C367+G324*C368+G324*C369+G324*C370+G324*C371+G324*C372+G324*C361+G324*C362+G324*C356+G324*C357+G324*C358+G324*C359+G324*C360</f>
        <v>108.16266666666667</v>
      </c>
      <c r="V324" s="54" t="str">
        <f>IF(T324=U324,"si","no")</f>
        <v>si</v>
      </c>
      <c r="W324" s="137"/>
    </row>
    <row r="325" spans="1:23" ht="12.75" customHeight="1" x14ac:dyDescent="0.2">
      <c r="A325" s="17" t="s">
        <v>3</v>
      </c>
      <c r="B325" s="18" t="s">
        <v>58</v>
      </c>
      <c r="C325" s="56" t="s">
        <v>59</v>
      </c>
      <c r="D325" s="56" t="s">
        <v>16</v>
      </c>
      <c r="E325" s="19" t="s">
        <v>60</v>
      </c>
      <c r="F325" s="20" t="s">
        <v>61</v>
      </c>
      <c r="G325" s="21"/>
      <c r="M325" s="57"/>
      <c r="N325" s="57"/>
      <c r="O325" s="56"/>
      <c r="P325" s="56"/>
      <c r="Q325" s="48"/>
      <c r="R325" s="48"/>
    </row>
    <row r="326" spans="1:23" ht="12.75" customHeight="1" x14ac:dyDescent="0.2">
      <c r="A326" s="22">
        <f>'6.A'!$A$15</f>
        <v>88247</v>
      </c>
      <c r="B326" s="23" t="str">
        <f>IF(A326="","",VLOOKUP(A326,'6.A'!$A$11:$G$180,2,FALSE))</f>
        <v>AUXILIAR DE ELETRICISTA COM ENCARGOS COMPLEMENTARES</v>
      </c>
      <c r="C326" s="99">
        <f>65/2</f>
        <v>32.5</v>
      </c>
      <c r="D326" s="57" t="str">
        <f>IF(A326="","",VLOOKUP(A326,'6.A'!$A$11:$G$180,4,FALSE))</f>
        <v>H</v>
      </c>
      <c r="E326" s="100">
        <f>IF(A326="","",VLOOKUP(A326,'6.A'!$A$11:$G$180,5,FALSE))</f>
        <v>0</v>
      </c>
      <c r="F326" s="24">
        <f t="shared" ref="F326:F335" si="135">IF(A326="","0,00",ROUND(C326*E326,2))</f>
        <v>0</v>
      </c>
      <c r="G326" s="52"/>
      <c r="H326" s="52">
        <f>IF(A326="","",VLOOKUP(A326,'6.A'!$A$11:$E$7984,5,FALSE))</f>
        <v>0</v>
      </c>
      <c r="I326" s="52" t="str">
        <f>IF(H326="","",IF(E326=H326,"SIM","NÃO"))</f>
        <v>SIM</v>
      </c>
      <c r="J326" s="52" t="str">
        <f>IF(H326="","",VLOOKUP(A326,'6.A'!$A$11:$E$564,4,FALSE))</f>
        <v>H</v>
      </c>
      <c r="K326" s="52" t="str">
        <f>IF(H326="","",IF(J326=D326,"SIM","NÃO"))</f>
        <v>SIM</v>
      </c>
      <c r="L326" s="52">
        <f>IF(H326="","",IF(C326="","",G324*C326))</f>
        <v>32.5</v>
      </c>
      <c r="M326" s="117" t="str">
        <f>IF(A326="","",VLOOKUP(A326,'6.A'!$A$11:$C$564,2,FALSE))</f>
        <v>AUXILIAR DE ELETRICISTA COM ENCARGOS COMPLEMENTARES</v>
      </c>
      <c r="N326" s="57" t="str">
        <f>IF(A326="","",IF(M326=B326,"si","no"))</f>
        <v>si</v>
      </c>
      <c r="O326" s="56"/>
      <c r="P326" s="56"/>
      <c r="Q326" s="48"/>
      <c r="R326" s="48"/>
    </row>
    <row r="327" spans="1:23" ht="12.75" customHeight="1" x14ac:dyDescent="0.2">
      <c r="A327" s="22">
        <f>'6.A'!$A$18</f>
        <v>88264</v>
      </c>
      <c r="B327" s="23" t="str">
        <f>IF(A327="","",VLOOKUP(A327,'6.A'!$A$11:$G$180,2,FALSE))</f>
        <v>ELETRICISTA COM ENCARGOS COMPLEMENTARES</v>
      </c>
      <c r="C327" s="99">
        <f>65/2</f>
        <v>32.5</v>
      </c>
      <c r="D327" s="57" t="str">
        <f>IF(A327="","",VLOOKUP(A327,'6.A'!$A$11:$G$180,4,FALSE))</f>
        <v>H</v>
      </c>
      <c r="E327" s="100">
        <f>IF(A327="","",VLOOKUP(A327,'6.A'!$A$11:$G$180,5,FALSE))</f>
        <v>0</v>
      </c>
      <c r="F327" s="24">
        <f>IF(A327="","0,00",ROUND(C327*E327,2))</f>
        <v>0</v>
      </c>
      <c r="G327" s="52"/>
      <c r="H327" s="52">
        <f>IF(A327="","",VLOOKUP(A327,'6.A'!$A$11:$E$7984,5,FALSE))</f>
        <v>0</v>
      </c>
      <c r="I327" s="52" t="str">
        <f>IF(H327="","",IF(E327=H327,"SIM","NÃO"))</f>
        <v>SIM</v>
      </c>
      <c r="J327" s="52" t="str">
        <f>IF(H327="","",VLOOKUP(A327,'6.A'!$A$11:$E$564,4,FALSE))</f>
        <v>H</v>
      </c>
      <c r="K327" s="52" t="str">
        <f>IF(H327="","",IF(J327=D327,"SIM","NÃO"))</f>
        <v>SIM</v>
      </c>
      <c r="L327" s="52">
        <f>IF(H327="","",IF(C327="","",G324*C327))</f>
        <v>32.5</v>
      </c>
      <c r="M327" s="117" t="str">
        <f>IF(A327="","",VLOOKUP(A327,'6.A'!$A$11:$C$564,2,FALSE))</f>
        <v>ELETRICISTA COM ENCARGOS COMPLEMENTARES</v>
      </c>
      <c r="N327" s="57" t="str">
        <f>IF(A327="","",IF(M327=B327,"si","no"))</f>
        <v>si</v>
      </c>
      <c r="O327" s="56"/>
      <c r="P327" s="56"/>
      <c r="Q327" s="48"/>
      <c r="R327" s="48"/>
    </row>
    <row r="328" spans="1:23" ht="12.75" customHeight="1" x14ac:dyDescent="0.2">
      <c r="A328" s="22"/>
      <c r="B328" s="23" t="str">
        <f>IF(A328="","",VLOOKUP(A328,'6.A'!$A$11:$G$180,2,FALSE))</f>
        <v/>
      </c>
      <c r="C328" s="99"/>
      <c r="D328" s="57" t="str">
        <f>IF(A328="","",VLOOKUP(A328,'6.A'!$A$11:$G$180,4,FALSE))</f>
        <v/>
      </c>
      <c r="E328" s="100" t="str">
        <f>IF(A328="","",VLOOKUP(A328,'6.A'!$A$11:$G$180,5,FALSE))</f>
        <v/>
      </c>
      <c r="F328" s="24" t="str">
        <f t="shared" si="135"/>
        <v>0,00</v>
      </c>
      <c r="G328" s="52"/>
      <c r="H328" s="52" t="str">
        <f>IF(A328="","",VLOOKUP(A328,'6.A'!$A$11:$E$7984,5,FALSE))</f>
        <v/>
      </c>
      <c r="I328" s="52" t="str">
        <f>IF(H328="","",IF(E328=H328,"SIM","NÃO"))</f>
        <v/>
      </c>
      <c r="J328" s="52" t="str">
        <f>IF(H328="","",VLOOKUP(A328,'6.A'!$A$11:$E$564,4,FALSE))</f>
        <v/>
      </c>
      <c r="K328" s="52" t="str">
        <f t="shared" ref="K328" si="136">IF(H328="","",IF(J328=D328,"SIM","NÃO"))</f>
        <v/>
      </c>
      <c r="L328" s="52" t="str">
        <f>IF(H328="","",IF(C328="","",G324*C328))</f>
        <v/>
      </c>
      <c r="M328" s="117" t="str">
        <f>IF(A328="","",VLOOKUP(A328,'6.A'!$A$11:$C$564,2,FALSE))</f>
        <v/>
      </c>
      <c r="N328" s="57" t="str">
        <f t="shared" ref="N328" si="137">IF(A328="","",IF(M328=B328,"si","no"))</f>
        <v/>
      </c>
      <c r="O328" s="56"/>
      <c r="P328" s="56"/>
      <c r="Q328" s="48"/>
      <c r="R328" s="48"/>
      <c r="S328" s="2"/>
    </row>
    <row r="329" spans="1:23" ht="12.75" customHeight="1" x14ac:dyDescent="0.2">
      <c r="A329" s="22"/>
      <c r="B329" s="23" t="str">
        <f>IF(A329="","",VLOOKUP(A329,'6.A'!$A$11:$G$180,2,FALSE))</f>
        <v/>
      </c>
      <c r="C329" s="99"/>
      <c r="D329" s="57" t="str">
        <f>IF(A329="","",VLOOKUP(A329,'6.A'!$A$11:$G$180,4,FALSE))</f>
        <v/>
      </c>
      <c r="E329" s="100" t="str">
        <f>IF(A329="","",VLOOKUP(A329,'6.A'!$A$11:$G$180,5,FALSE))</f>
        <v/>
      </c>
      <c r="F329" s="24" t="str">
        <f t="shared" si="135"/>
        <v>0,00</v>
      </c>
      <c r="G329" s="52"/>
      <c r="H329" s="52" t="str">
        <f>IF(A329="","",VLOOKUP(A329,'6.A'!$A$11:$E$7984,5,FALSE))</f>
        <v/>
      </c>
      <c r="I329" s="52" t="str">
        <f>IF(H329="","",IF(E329=H329,"SIM","NÃO"))</f>
        <v/>
      </c>
      <c r="J329" s="52" t="str">
        <f>IF(H329="","",VLOOKUP(A329,'6.A'!$A$11:$E$564,4,FALSE))</f>
        <v/>
      </c>
      <c r="K329" s="52" t="str">
        <f>IF(H329="","",IF(J329=D329,"SIM","NÃO"))</f>
        <v/>
      </c>
      <c r="L329" s="52" t="str">
        <f>IF(H329="","",IF(C329="","",G324*C329))</f>
        <v/>
      </c>
      <c r="M329" s="117" t="str">
        <f>IF(A329="","",VLOOKUP(A329,'6.A'!$A$11:$C$564,2,FALSE))</f>
        <v/>
      </c>
      <c r="N329" s="57" t="str">
        <f>IF(A329="","",IF(M329=B329,"si","no"))</f>
        <v/>
      </c>
      <c r="O329" s="56"/>
      <c r="P329" s="56"/>
      <c r="Q329" s="48"/>
      <c r="R329" s="48"/>
      <c r="S329" s="2"/>
    </row>
    <row r="330" spans="1:23" ht="12.75" customHeight="1" x14ac:dyDescent="0.2">
      <c r="A330" s="22"/>
      <c r="B330" s="23" t="str">
        <f>IF(A330="","",VLOOKUP(A330,'6.A'!$A$11:$G$180,2,FALSE))</f>
        <v/>
      </c>
      <c r="C330" s="99"/>
      <c r="D330" s="57" t="str">
        <f>IF(A330="","",VLOOKUP(A330,'6.A'!$A$11:$G$180,4,FALSE))</f>
        <v/>
      </c>
      <c r="E330" s="101" t="str">
        <f>IF(A330="","",VLOOKUP(A330,'6.A'!$A$11:$G$180,5,FALSE))</f>
        <v/>
      </c>
      <c r="F330" s="24" t="str">
        <f t="shared" si="135"/>
        <v>0,00</v>
      </c>
      <c r="G330" s="52"/>
      <c r="H330" s="52" t="str">
        <f>IF(A330="","",VLOOKUP(A330,'6.A'!$A$11:$E$7984,5,FALSE))</f>
        <v/>
      </c>
      <c r="I330" s="52" t="str">
        <f t="shared" ref="I330" si="138">IF(H330="","",IF(E330=H330,"SIM","NÃO"))</f>
        <v/>
      </c>
      <c r="J330" s="52" t="str">
        <f>IF(H330="","",VLOOKUP(A330,'6.A'!$A$11:$E$564,4,FALSE))</f>
        <v/>
      </c>
      <c r="K330" s="52" t="str">
        <f t="shared" ref="K330" si="139">IF(H330="","",IF(J330=D330,"SIM","NÃO"))</f>
        <v/>
      </c>
      <c r="L330" s="52" t="str">
        <f>IF(H330="","",IF(C330="","",G324*C330))</f>
        <v/>
      </c>
      <c r="M330" s="117" t="str">
        <f>IF(A330="","",VLOOKUP(A330,'6.A'!$A$11:$C$564,2,FALSE))</f>
        <v/>
      </c>
      <c r="N330" s="57" t="str">
        <f t="shared" ref="N330" si="140">IF(A330="","",IF(M330=B330,"si","no"))</f>
        <v/>
      </c>
      <c r="O330" s="56"/>
      <c r="P330" s="56"/>
      <c r="Q330" s="48"/>
      <c r="R330" s="48"/>
      <c r="S330" s="2"/>
    </row>
    <row r="331" spans="1:23" ht="12.75" customHeight="1" x14ac:dyDescent="0.2">
      <c r="A331" s="22"/>
      <c r="B331" s="23" t="str">
        <f>IF(A331="","",VLOOKUP(A331,'6.A'!$A$11:$G$180,2,FALSE))</f>
        <v/>
      </c>
      <c r="C331" s="99"/>
      <c r="D331" s="57" t="str">
        <f>IF(A331="","",VLOOKUP(A331,'6.A'!$A$11:$G$180,4,FALSE))</f>
        <v/>
      </c>
      <c r="E331" s="101" t="str">
        <f>IF(A331="","",VLOOKUP(A331,'6.A'!$A$11:$G$180,5,FALSE))</f>
        <v/>
      </c>
      <c r="F331" s="24" t="str">
        <f t="shared" si="135"/>
        <v>0,00</v>
      </c>
      <c r="G331" s="52"/>
      <c r="H331" s="52" t="str">
        <f>IF(A331="","",VLOOKUP(A331,'6.A'!$A$11:$E$7984,5,FALSE))</f>
        <v/>
      </c>
      <c r="I331" s="52" t="str">
        <f>IF(H331="","",IF(E331=H331,"SIM","NÃO"))</f>
        <v/>
      </c>
      <c r="J331" s="52" t="str">
        <f>IF(H331="","",VLOOKUP(A331,'6.A'!$A$11:$E$564,4,FALSE))</f>
        <v/>
      </c>
      <c r="K331" s="52" t="str">
        <f>IF(H331="","",IF(J331=D331,"SIM","NÃO"))</f>
        <v/>
      </c>
      <c r="L331" s="52" t="str">
        <f>IF(H331="","",IF(C331="","",G324*C331))</f>
        <v/>
      </c>
      <c r="M331" s="117" t="str">
        <f>IF(A331="","",VLOOKUP(A331,'6.A'!$A$11:$C$564,2,FALSE))</f>
        <v/>
      </c>
      <c r="N331" s="57" t="str">
        <f>IF(A331="","",IF(M331=B331,"si","no"))</f>
        <v/>
      </c>
      <c r="O331" s="56"/>
      <c r="P331" s="56"/>
      <c r="Q331" s="48"/>
      <c r="R331" s="48"/>
      <c r="S331" s="2"/>
    </row>
    <row r="332" spans="1:23" ht="12.75" customHeight="1" x14ac:dyDescent="0.2">
      <c r="A332" s="22"/>
      <c r="B332" s="23" t="str">
        <f>IF(A332="","",VLOOKUP(A332,'6.A'!$A$11:$G$180,2,FALSE))</f>
        <v/>
      </c>
      <c r="C332" s="99"/>
      <c r="D332" s="57" t="str">
        <f>IF(A332="","",VLOOKUP(A332,'6.A'!$A$11:$G$180,4,FALSE))</f>
        <v/>
      </c>
      <c r="E332" s="100" t="str">
        <f>IF(A332="","",VLOOKUP(A332,'6.A'!$A$11:$G$180,5,FALSE))</f>
        <v/>
      </c>
      <c r="F332" s="24" t="str">
        <f t="shared" si="135"/>
        <v>0,00</v>
      </c>
      <c r="G332" s="52"/>
      <c r="H332" s="52" t="str">
        <f>IF(A332="","",VLOOKUP(A332,'6.A'!$A$11:$E$7984,5,FALSE))</f>
        <v/>
      </c>
      <c r="I332" s="52" t="str">
        <f>IF(H332="","",IF(E332=H332,"SIM","NÃO"))</f>
        <v/>
      </c>
      <c r="J332" s="52" t="str">
        <f>IF(H332="","",VLOOKUP(A332,'6.A'!$A$11:$E$564,4,FALSE))</f>
        <v/>
      </c>
      <c r="K332" s="52" t="str">
        <f>IF(H332="","",IF(J332=D332,"SIM","NÃO"))</f>
        <v/>
      </c>
      <c r="L332" s="52" t="str">
        <f>IF(H332="","",IF(C332="","",G324*C332))</f>
        <v/>
      </c>
      <c r="M332" s="117" t="str">
        <f>IF(A332="","",VLOOKUP(A332,'6.A'!$A$11:$C$564,2,FALSE))</f>
        <v/>
      </c>
      <c r="N332" s="57" t="str">
        <f>IF(A332="","",IF(M332=B332,"si","no"))</f>
        <v/>
      </c>
      <c r="O332" s="56"/>
      <c r="P332" s="56"/>
      <c r="Q332" s="48"/>
      <c r="R332" s="48"/>
      <c r="S332" s="2"/>
    </row>
    <row r="333" spans="1:23" ht="12.75" customHeight="1" x14ac:dyDescent="0.2">
      <c r="A333" s="22"/>
      <c r="B333" s="23" t="str">
        <f>IF(A333="","",VLOOKUP(A333,'6.A'!$A$11:$G$180,2,FALSE))</f>
        <v/>
      </c>
      <c r="C333" s="99"/>
      <c r="D333" s="57" t="str">
        <f>IF(A333="","",VLOOKUP(A333,'6.A'!$A$11:$G$180,4,FALSE))</f>
        <v/>
      </c>
      <c r="E333" s="100" t="str">
        <f>IF(A333="","",VLOOKUP(A333,'6.A'!$A$11:$G$180,5,FALSE))</f>
        <v/>
      </c>
      <c r="F333" s="24" t="str">
        <f t="shared" si="135"/>
        <v>0,00</v>
      </c>
      <c r="G333" s="52"/>
      <c r="H333" s="52" t="str">
        <f>IF(A333="","",VLOOKUP(A333,'6.A'!$A$11:$E$7984,5,FALSE))</f>
        <v/>
      </c>
      <c r="I333" s="52" t="str">
        <f t="shared" ref="I333" si="141">IF(H333="","",IF(E333=H333,"SIM","NÃO"))</f>
        <v/>
      </c>
      <c r="J333" s="52" t="str">
        <f>IF(H333="","",VLOOKUP(A333,'6.A'!$A$11:$E$564,4,FALSE))</f>
        <v/>
      </c>
      <c r="K333" s="52" t="str">
        <f t="shared" ref="K333" si="142">IF(H333="","",IF(J333=D333,"SIM","NÃO"))</f>
        <v/>
      </c>
      <c r="L333" s="52" t="str">
        <f>IF(H333="","",IF(C333="","",G324*C333))</f>
        <v/>
      </c>
      <c r="M333" s="117" t="str">
        <f>IF(A333="","",VLOOKUP(A333,'6.A'!$A$11:$C$564,2,FALSE))</f>
        <v/>
      </c>
      <c r="N333" s="57" t="str">
        <f t="shared" ref="N333" si="143">IF(A333="","",IF(M333=B333,"si","no"))</f>
        <v/>
      </c>
      <c r="O333" s="56"/>
      <c r="P333" s="56"/>
      <c r="Q333" s="48"/>
      <c r="R333" s="48"/>
      <c r="S333" s="2"/>
    </row>
    <row r="334" spans="1:23" ht="12.75" customHeight="1" x14ac:dyDescent="0.2">
      <c r="A334" s="22"/>
      <c r="B334" s="23" t="str">
        <f>IF(A334="","",VLOOKUP(A334,'6.A'!$A$11:$G$180,2,FALSE))</f>
        <v/>
      </c>
      <c r="C334" s="99"/>
      <c r="D334" s="73" t="str">
        <f>IF(A334="","",VLOOKUP(A334,'6.A'!$A$11:$G$180,4,FALSE))</f>
        <v/>
      </c>
      <c r="E334" s="101" t="str">
        <f>IF(A334="","",VLOOKUP(A334,'6.A'!$A$11:$G$180,5,FALSE))</f>
        <v/>
      </c>
      <c r="F334" s="24" t="str">
        <f t="shared" si="135"/>
        <v>0,00</v>
      </c>
      <c r="G334" s="52"/>
      <c r="H334" s="52" t="str">
        <f>IF(A334="","",VLOOKUP(A334,'6.A'!$A$11:$E$7984,5,FALSE))</f>
        <v/>
      </c>
      <c r="I334" s="52" t="str">
        <f>IF(H334="","",IF(E334=H334,"SIM","NÃO"))</f>
        <v/>
      </c>
      <c r="J334" s="52" t="str">
        <f>IF(H334="","",VLOOKUP(A334,'6.A'!$A$11:$E$564,4,FALSE))</f>
        <v/>
      </c>
      <c r="K334" s="52" t="str">
        <f>IF(H334="","",IF(J334=D334,"SIM","NÃO"))</f>
        <v/>
      </c>
      <c r="L334" s="52" t="str">
        <f>IF(H334="","",IF(C334="","",G324*C334))</f>
        <v/>
      </c>
      <c r="M334" s="117" t="str">
        <f>IF(A334="","",VLOOKUP(A334,'6.A'!$A$11:$C$564,2,FALSE))</f>
        <v/>
      </c>
      <c r="N334" s="57" t="str">
        <f>IF(A334="","",IF(M334=B334,"si","no"))</f>
        <v/>
      </c>
      <c r="O334" s="56"/>
      <c r="P334" s="56"/>
      <c r="Q334" s="48"/>
      <c r="R334" s="48"/>
      <c r="S334" s="2"/>
    </row>
    <row r="335" spans="1:23" ht="12.75" customHeight="1" x14ac:dyDescent="0.2">
      <c r="A335" s="22"/>
      <c r="B335" s="23" t="str">
        <f>IF(A335="","",VLOOKUP(A335,'6.A'!$A$11:$G$180,2,FALSE))</f>
        <v/>
      </c>
      <c r="C335" s="99"/>
      <c r="D335" s="25" t="str">
        <f>IF(A335="","",VLOOKUP(A335,'6.A'!$A$11:$G$180,4,FALSE))</f>
        <v/>
      </c>
      <c r="E335" s="101" t="str">
        <f>IF(A335="","",VLOOKUP(A335,'6.A'!$A$11:$G$180,5,FALSE))</f>
        <v/>
      </c>
      <c r="F335" s="24" t="str">
        <f t="shared" si="135"/>
        <v>0,00</v>
      </c>
      <c r="G335" s="52"/>
      <c r="H335" s="52" t="str">
        <f>IF(A335="","",VLOOKUP(A335,'6.A'!$A$11:$E$7984,5,FALSE))</f>
        <v/>
      </c>
      <c r="I335" s="52" t="str">
        <f t="shared" ref="I335" si="144">IF(H335="","",IF(E335=H335,"SIM","NÃO"))</f>
        <v/>
      </c>
      <c r="J335" s="52" t="str">
        <f>IF(H335="","",VLOOKUP(A335,'6.A'!$A$11:$E$564,4,FALSE))</f>
        <v/>
      </c>
      <c r="K335" s="52" t="str">
        <f t="shared" ref="K335" si="145">IF(H335="","",IF(J335=D335,"SIM","NÃO"))</f>
        <v/>
      </c>
      <c r="L335" s="52" t="str">
        <f>IF(H335="","",IF(C335="","",G324*C335))</f>
        <v/>
      </c>
      <c r="M335" s="117" t="str">
        <f>IF(A335="","",VLOOKUP(A335,'6.A'!$A$11:$C$564,2,FALSE))</f>
        <v/>
      </c>
      <c r="N335" s="57" t="str">
        <f t="shared" ref="N335" si="146">IF(A335="","",IF(M335=B335,"si","no"))</f>
        <v/>
      </c>
      <c r="O335" s="56"/>
      <c r="P335" s="56"/>
      <c r="Q335" s="48"/>
      <c r="R335" s="48"/>
      <c r="S335" s="2"/>
    </row>
    <row r="336" spans="1:23" ht="12.75" customHeight="1" x14ac:dyDescent="0.2">
      <c r="A336" s="17"/>
      <c r="B336" s="26" t="str">
        <f>$A$8</f>
        <v>LEIS SOCIAIS HORISTA - JORNADA NORMAL</v>
      </c>
      <c r="C336" s="27">
        <f>$C$8</f>
        <v>0</v>
      </c>
      <c r="D336" s="57"/>
      <c r="F336" s="28">
        <f>ROUND(SUM(F326:F335)*C336,2)</f>
        <v>0</v>
      </c>
      <c r="G336" s="63"/>
      <c r="M336" s="62"/>
      <c r="N336" s="57"/>
      <c r="O336" s="56"/>
      <c r="P336" s="56"/>
      <c r="Q336" s="48"/>
      <c r="R336" s="48"/>
      <c r="S336" s="2"/>
    </row>
    <row r="337" spans="1:19" ht="12.75" customHeight="1" x14ac:dyDescent="0.2">
      <c r="A337" s="22"/>
      <c r="B337" s="26" t="str">
        <f>$A$9</f>
        <v>BDI</v>
      </c>
      <c r="C337" s="27">
        <f>$C$9</f>
        <v>0</v>
      </c>
      <c r="D337" s="29"/>
      <c r="F337" s="28">
        <f>ROUND(SUM(F326:F336)*C337,2)</f>
        <v>0</v>
      </c>
      <c r="G337" s="63"/>
      <c r="M337" s="62"/>
      <c r="N337" s="57"/>
      <c r="O337" s="56"/>
      <c r="P337" s="56"/>
      <c r="Q337" s="48"/>
      <c r="R337" s="48"/>
      <c r="S337" s="2"/>
    </row>
    <row r="338" spans="1:19" ht="12.75" customHeight="1" x14ac:dyDescent="0.2">
      <c r="A338" s="30"/>
      <c r="B338" s="31" t="s">
        <v>56</v>
      </c>
      <c r="C338" s="32"/>
      <c r="D338" s="33"/>
      <c r="E338" s="34"/>
      <c r="F338" s="35">
        <f>ROUND(SUM(F326:F337),2)</f>
        <v>0</v>
      </c>
      <c r="G338" s="63"/>
      <c r="M338" s="62"/>
      <c r="N338" s="57"/>
      <c r="O338" s="56"/>
      <c r="P338" s="56"/>
      <c r="Q338" s="48"/>
      <c r="R338" s="48"/>
      <c r="S338" s="2"/>
    </row>
    <row r="339" spans="1:19" ht="12.75" customHeight="1" x14ac:dyDescent="0.2">
      <c r="A339" s="17" t="s">
        <v>5</v>
      </c>
      <c r="B339" s="153" t="s">
        <v>130</v>
      </c>
      <c r="C339" s="56" t="s">
        <v>59</v>
      </c>
      <c r="D339" s="56" t="s">
        <v>16</v>
      </c>
      <c r="E339" s="19" t="s">
        <v>60</v>
      </c>
      <c r="F339" s="20" t="s">
        <v>61</v>
      </c>
      <c r="G339" s="21"/>
      <c r="M339" s="62"/>
      <c r="N339" s="57"/>
      <c r="O339" s="56"/>
      <c r="P339" s="56"/>
      <c r="Q339" s="48"/>
      <c r="R339" s="48"/>
      <c r="S339" s="2"/>
    </row>
    <row r="340" spans="1:19" ht="12.75" customHeight="1" x14ac:dyDescent="0.2">
      <c r="A340" s="22"/>
      <c r="B340" s="23" t="str">
        <f>IF(A340="","",VLOOKUP(A340,'6.A'!$A$11:$G$180,2,FALSE))</f>
        <v/>
      </c>
      <c r="C340" s="156"/>
      <c r="D340" s="57" t="str">
        <f>IF(A340="","",VLOOKUP(A340,'6.A'!$A$11:$G$180,4,FALSE))</f>
        <v/>
      </c>
      <c r="E340" s="100" t="str">
        <f>IF(A340="","",VLOOKUP(A340,'6.A'!$A$11:$G$180,5,FALSE))</f>
        <v/>
      </c>
      <c r="F340" s="24" t="str">
        <f t="shared" ref="F340:F349" si="147">IF(A340="","0,00",ROUND(C340*E340,2))</f>
        <v>0,00</v>
      </c>
      <c r="G340" s="52"/>
      <c r="H340" s="52" t="str">
        <f>IF(A340="","",VLOOKUP(A340,'6.A'!$A$11:$E$7984,5,FALSE))</f>
        <v/>
      </c>
      <c r="I340" s="52" t="str">
        <f t="shared" ref="I340:I349" si="148">IF(H340="","",IF(E340=H340,"SIM","NÃO"))</f>
        <v/>
      </c>
      <c r="J340" s="52" t="str">
        <f>IF(H340="","",VLOOKUP(A340,'6.A'!$A$11:$E$564,4,FALSE))</f>
        <v/>
      </c>
      <c r="K340" s="52" t="str">
        <f t="shared" ref="K340:K349" si="149">IF(H340="","",IF(J340=D340,"SIM","NÃO"))</f>
        <v/>
      </c>
      <c r="L340" s="52" t="str">
        <f>IF(H340="","",IF(C340="","",G324*C340))</f>
        <v/>
      </c>
      <c r="M340" s="117" t="str">
        <f>IF(A340="","",VLOOKUP(A340,'6.A'!$A$11:$C$564,2,FALSE))</f>
        <v/>
      </c>
      <c r="N340" s="57" t="str">
        <f t="shared" ref="N340:N345" si="150">IF(A340="","",IF(M340=B340,"si","no"))</f>
        <v/>
      </c>
      <c r="O340" s="56"/>
      <c r="P340" s="56"/>
      <c r="Q340" s="48"/>
      <c r="R340" s="48"/>
      <c r="S340" s="2"/>
    </row>
    <row r="341" spans="1:19" ht="12.75" customHeight="1" x14ac:dyDescent="0.2">
      <c r="A341" s="22"/>
      <c r="B341" s="23" t="str">
        <f>IF(A341="","",VLOOKUP(A341,'6.A'!$A$11:$G$180,2,FALSE))</f>
        <v/>
      </c>
      <c r="C341" s="99"/>
      <c r="D341" s="57" t="str">
        <f>IF(A341="","",VLOOKUP(A341,'6.A'!$A$11:$G$180,4,FALSE))</f>
        <v/>
      </c>
      <c r="E341" s="100" t="str">
        <f>IF(A341="","",VLOOKUP(A341,'6.A'!$A$11:$G$180,5,FALSE))</f>
        <v/>
      </c>
      <c r="F341" s="24" t="str">
        <f t="shared" si="147"/>
        <v>0,00</v>
      </c>
      <c r="G341" s="52"/>
      <c r="H341" s="52" t="str">
        <f>IF(A341="","",VLOOKUP(A341,'6.A'!$A$11:$E$7984,5,FALSE))</f>
        <v/>
      </c>
      <c r="I341" s="52" t="str">
        <f t="shared" si="148"/>
        <v/>
      </c>
      <c r="J341" s="52" t="str">
        <f>IF(H341="","",VLOOKUP(A341,'6.A'!$A$11:$E$564,4,FALSE))</f>
        <v/>
      </c>
      <c r="K341" s="52" t="str">
        <f t="shared" si="149"/>
        <v/>
      </c>
      <c r="L341" s="52" t="str">
        <f>IF(H341="","",IF(C341="","",G324*C341))</f>
        <v/>
      </c>
      <c r="M341" s="117" t="str">
        <f>IF(A341="","",VLOOKUP(A341,'6.A'!$A$11:$C$564,2,FALSE))</f>
        <v/>
      </c>
      <c r="N341" s="57" t="str">
        <f t="shared" si="150"/>
        <v/>
      </c>
      <c r="O341" s="56"/>
      <c r="P341" s="56"/>
      <c r="Q341" s="48"/>
      <c r="R341" s="48"/>
      <c r="S341" s="2"/>
    </row>
    <row r="342" spans="1:19" ht="12.75" customHeight="1" x14ac:dyDescent="0.2">
      <c r="A342" s="22"/>
      <c r="B342" s="23" t="str">
        <f>IF(A342="","",VLOOKUP(A342,'6.A'!$A$11:$G$180,2,FALSE))</f>
        <v/>
      </c>
      <c r="C342" s="99"/>
      <c r="D342" s="57" t="str">
        <f>IF(A342="","",VLOOKUP(A342,'6.A'!$A$11:$G$180,4,FALSE))</f>
        <v/>
      </c>
      <c r="E342" s="100" t="str">
        <f>IF(A342="","",VLOOKUP(A342,'6.A'!$A$11:$G$180,5,FALSE))</f>
        <v/>
      </c>
      <c r="F342" s="24" t="str">
        <f t="shared" si="147"/>
        <v>0,00</v>
      </c>
      <c r="G342" s="52"/>
      <c r="H342" s="52" t="str">
        <f>IF(A342="","",VLOOKUP(A342,'6.A'!$A$11:$E$7984,5,FALSE))</f>
        <v/>
      </c>
      <c r="I342" s="52" t="str">
        <f t="shared" si="148"/>
        <v/>
      </c>
      <c r="J342" s="52" t="str">
        <f>IF(H342="","",VLOOKUP(A342,'6.A'!$A$11:$E$564,4,FALSE))</f>
        <v/>
      </c>
      <c r="K342" s="52" t="str">
        <f t="shared" si="149"/>
        <v/>
      </c>
      <c r="L342" s="52" t="str">
        <f>IF(H342="","",IF(C342="","",G324*C342))</f>
        <v/>
      </c>
      <c r="M342" s="117" t="str">
        <f>IF(A342="","",VLOOKUP(A342,'6.A'!$A$11:$C$564,2,FALSE))</f>
        <v/>
      </c>
      <c r="N342" s="57" t="str">
        <f t="shared" si="150"/>
        <v/>
      </c>
      <c r="O342" s="56"/>
      <c r="P342" s="56"/>
      <c r="Q342" s="48"/>
      <c r="R342" s="48"/>
      <c r="S342" s="2"/>
    </row>
    <row r="343" spans="1:19" ht="12.75" customHeight="1" x14ac:dyDescent="0.2">
      <c r="A343" s="22"/>
      <c r="B343" s="55" t="str">
        <f>IF(A343="","",VLOOKUP(A343,'6.A'!$A$11:$G$180,2,FALSE))</f>
        <v/>
      </c>
      <c r="C343" s="134"/>
      <c r="D343" s="57" t="str">
        <f>IF(A343="","",VLOOKUP(A343,'6.A'!$A$11:$G$180,4,FALSE))</f>
        <v/>
      </c>
      <c r="E343" s="100" t="str">
        <f>IF(A343="","",VLOOKUP(A343,'6.A'!$A$11:$G$180,5,FALSE))</f>
        <v/>
      </c>
      <c r="F343" s="24" t="str">
        <f t="shared" si="147"/>
        <v>0,00</v>
      </c>
      <c r="G343" s="52"/>
      <c r="H343" s="52" t="str">
        <f>IF(A343="","",VLOOKUP(A343,'6.A'!$A$11:$E$7984,5,FALSE))</f>
        <v/>
      </c>
      <c r="I343" s="52" t="str">
        <f t="shared" si="148"/>
        <v/>
      </c>
      <c r="J343" s="52" t="str">
        <f>IF(H343="","",VLOOKUP(A343,'6.A'!$A$11:$E$564,4,FALSE))</f>
        <v/>
      </c>
      <c r="K343" s="52" t="str">
        <f t="shared" si="149"/>
        <v/>
      </c>
      <c r="L343" s="52" t="str">
        <f>IF(H343="","",IF(C343="","",G324*C343))</f>
        <v/>
      </c>
      <c r="M343" s="117" t="str">
        <f>IF(A343="","",VLOOKUP(A343,'6.A'!$A$11:$C$564,2,FALSE))</f>
        <v/>
      </c>
      <c r="N343" s="57" t="str">
        <f t="shared" si="150"/>
        <v/>
      </c>
      <c r="O343" s="56"/>
      <c r="P343" s="56"/>
      <c r="Q343" s="48"/>
      <c r="R343" s="48"/>
      <c r="S343" s="2"/>
    </row>
    <row r="344" spans="1:19" ht="12.75" customHeight="1" x14ac:dyDescent="0.2">
      <c r="A344" s="22"/>
      <c r="B344" s="23" t="str">
        <f>IF(A344="","",VLOOKUP(A344,'6.A'!$A$11:$G$180,2,FALSE))</f>
        <v/>
      </c>
      <c r="C344" s="99"/>
      <c r="D344" s="57" t="str">
        <f>IF(A344="","",VLOOKUP(A344,'6.A'!$A$11:$G$180,4,FALSE))</f>
        <v/>
      </c>
      <c r="E344" s="100" t="str">
        <f>IF(A344="","",VLOOKUP(A344,'6.A'!$A$11:$G$180,5,FALSE))</f>
        <v/>
      </c>
      <c r="F344" s="24" t="str">
        <f t="shared" si="147"/>
        <v>0,00</v>
      </c>
      <c r="G344" s="52"/>
      <c r="H344" s="52" t="str">
        <f>IF(A344="","",VLOOKUP(A344,'6.A'!$A$11:$E$7984,5,FALSE))</f>
        <v/>
      </c>
      <c r="I344" s="52" t="str">
        <f t="shared" si="148"/>
        <v/>
      </c>
      <c r="J344" s="52" t="str">
        <f>IF(H344="","",VLOOKUP(A344,'6.A'!$A$11:$E$564,4,FALSE))</f>
        <v/>
      </c>
      <c r="K344" s="52" t="str">
        <f t="shared" si="149"/>
        <v/>
      </c>
      <c r="L344" s="52" t="str">
        <f>IF(H344="","",IF(C344="","",G324*C344))</f>
        <v/>
      </c>
      <c r="M344" s="117" t="str">
        <f>IF(A344="","",VLOOKUP(A344,'6.A'!$A$11:$C$564,2,FALSE))</f>
        <v/>
      </c>
      <c r="N344" s="57" t="str">
        <f t="shared" si="150"/>
        <v/>
      </c>
      <c r="O344" s="56"/>
      <c r="P344" s="56"/>
      <c r="Q344" s="48"/>
      <c r="R344" s="48"/>
      <c r="S344" s="2"/>
    </row>
    <row r="345" spans="1:19" ht="12.75" customHeight="1" x14ac:dyDescent="0.2">
      <c r="A345" s="22"/>
      <c r="B345" s="23" t="str">
        <f>IF(A345="","",VLOOKUP(A345,'6.A'!$A$11:$G$180,2,FALSE))</f>
        <v/>
      </c>
      <c r="C345" s="99"/>
      <c r="D345" s="57" t="str">
        <f>IF(A345="","",VLOOKUP(A345,'6.A'!$A$11:$G$180,4,FALSE))</f>
        <v/>
      </c>
      <c r="E345" s="100" t="str">
        <f>IF(A345="","",VLOOKUP(A345,'6.A'!$A$11:$G$180,5,FALSE))</f>
        <v/>
      </c>
      <c r="F345" s="24" t="str">
        <f t="shared" si="147"/>
        <v>0,00</v>
      </c>
      <c r="G345" s="52"/>
      <c r="H345" s="52" t="str">
        <f>IF(A345="","",VLOOKUP(A345,'6.A'!$A$11:$E$7984,5,FALSE))</f>
        <v/>
      </c>
      <c r="I345" s="52" t="str">
        <f t="shared" si="148"/>
        <v/>
      </c>
      <c r="J345" s="52" t="str">
        <f>IF(H345="","",VLOOKUP(A345,'6.A'!$A$11:$E$564,4,FALSE))</f>
        <v/>
      </c>
      <c r="K345" s="52" t="str">
        <f t="shared" si="149"/>
        <v/>
      </c>
      <c r="L345" s="52" t="str">
        <f>IF(H345="","",IF(C345="","",G324*C345))</f>
        <v/>
      </c>
      <c r="M345" s="117" t="str">
        <f>IF(A345="","",VLOOKUP(A345,'6.A'!$A$11:$C$564,2,FALSE))</f>
        <v/>
      </c>
      <c r="N345" s="57" t="str">
        <f t="shared" si="150"/>
        <v/>
      </c>
      <c r="O345" s="56"/>
      <c r="P345" s="56"/>
      <c r="Q345" s="48"/>
      <c r="R345" s="48"/>
      <c r="S345" s="2"/>
    </row>
    <row r="346" spans="1:19" ht="12.75" customHeight="1" x14ac:dyDescent="0.2">
      <c r="A346" s="22"/>
      <c r="B346" s="23" t="str">
        <f>IF(A346="","",VLOOKUP(A346,'6.A'!$A$11:$G$180,2,FALSE))</f>
        <v/>
      </c>
      <c r="C346" s="99"/>
      <c r="D346" s="57" t="str">
        <f>IF(A346="","",VLOOKUP(A346,'6.A'!$A$11:$G$180,4,FALSE))</f>
        <v/>
      </c>
      <c r="E346" s="100" t="str">
        <f>IF(A346="","",VLOOKUP(A346,'6.A'!$A$11:$G$180,5,FALSE))</f>
        <v/>
      </c>
      <c r="F346" s="24" t="str">
        <f t="shared" si="147"/>
        <v>0,00</v>
      </c>
      <c r="G346" s="52"/>
      <c r="H346" s="52" t="str">
        <f>IF(A346="","",VLOOKUP(A346,'6.A'!$A$11:$E$7984,5,FALSE))</f>
        <v/>
      </c>
      <c r="I346" s="52" t="str">
        <f t="shared" si="148"/>
        <v/>
      </c>
      <c r="J346" s="52" t="str">
        <f>IF(H346="","",VLOOKUP(A346,'6.A'!$A$11:$E$564,4,FALSE))</f>
        <v/>
      </c>
      <c r="K346" s="52" t="str">
        <f t="shared" si="149"/>
        <v/>
      </c>
      <c r="L346" s="52" t="str">
        <f>IF(H346="","",IF(C346="","",G324*C346))</f>
        <v/>
      </c>
      <c r="M346" s="117" t="str">
        <f>IF(A346="","",VLOOKUP(A346,'6.A'!$A$11:$C$564,2,FALSE))</f>
        <v/>
      </c>
      <c r="N346" s="57" t="str">
        <f>IF(A346="","",IF(M346=B346,"si","no"))</f>
        <v/>
      </c>
      <c r="O346" s="56"/>
      <c r="P346" s="56"/>
      <c r="Q346" s="48"/>
      <c r="R346" s="48"/>
      <c r="S346" s="2"/>
    </row>
    <row r="347" spans="1:19" ht="12.75" customHeight="1" x14ac:dyDescent="0.2">
      <c r="A347" s="22"/>
      <c r="B347" s="23" t="str">
        <f>IF(A347="","",VLOOKUP(A347,'6.A'!$A$11:$G$180,2,FALSE))</f>
        <v/>
      </c>
      <c r="C347" s="99"/>
      <c r="D347" s="57" t="str">
        <f>IF(A347="","",VLOOKUP(A347,'6.A'!$A$11:$G$180,4,FALSE))</f>
        <v/>
      </c>
      <c r="E347" s="100" t="str">
        <f>IF(A347="","",VLOOKUP(A347,'6.A'!$A$11:$G$180,5,FALSE))</f>
        <v/>
      </c>
      <c r="F347" s="24" t="str">
        <f t="shared" si="147"/>
        <v>0,00</v>
      </c>
      <c r="G347" s="52"/>
      <c r="H347" s="52" t="str">
        <f>IF(A347="","",VLOOKUP(A347,'6.A'!$A$11:$E$7984,5,FALSE))</f>
        <v/>
      </c>
      <c r="I347" s="52" t="str">
        <f t="shared" si="148"/>
        <v/>
      </c>
      <c r="J347" s="52" t="str">
        <f>IF(H347="","",VLOOKUP(A347,'6.A'!$A$11:$E$564,4,FALSE))</f>
        <v/>
      </c>
      <c r="K347" s="52" t="str">
        <f t="shared" si="149"/>
        <v/>
      </c>
      <c r="L347" s="52" t="str">
        <f>IF(H347="","",IF(C347="","",G324*C347))</f>
        <v/>
      </c>
      <c r="M347" s="117" t="str">
        <f>IF(A347="","",VLOOKUP(A347,'6.A'!$A$11:$C$564,2,FALSE))</f>
        <v/>
      </c>
      <c r="N347" s="57" t="str">
        <f>IF(A347="","",IF(M347=B347,"si","no"))</f>
        <v/>
      </c>
      <c r="O347" s="56"/>
      <c r="P347" s="56"/>
      <c r="Q347" s="48"/>
      <c r="R347" s="48"/>
      <c r="S347" s="2"/>
    </row>
    <row r="348" spans="1:19" ht="12.75" customHeight="1" x14ac:dyDescent="0.2">
      <c r="A348" s="22"/>
      <c r="B348" s="23" t="str">
        <f>IF(A348="","",VLOOKUP(A348,'6.A'!$A$11:$G$180,2,FALSE))</f>
        <v/>
      </c>
      <c r="C348" s="99"/>
      <c r="D348" s="57" t="str">
        <f>IF(A348="","",VLOOKUP(A348,'6.A'!$A$11:$G$180,4,FALSE))</f>
        <v/>
      </c>
      <c r="E348" s="100" t="str">
        <f>IF(A348="","",VLOOKUP(A348,'6.A'!$A$11:$G$180,5,FALSE))</f>
        <v/>
      </c>
      <c r="F348" s="24" t="str">
        <f t="shared" si="147"/>
        <v>0,00</v>
      </c>
      <c r="G348" s="52"/>
      <c r="H348" s="52" t="str">
        <f>IF(A348="","",VLOOKUP(A348,'6.A'!$A$11:$E$7984,5,FALSE))</f>
        <v/>
      </c>
      <c r="I348" s="52" t="str">
        <f t="shared" si="148"/>
        <v/>
      </c>
      <c r="J348" s="52" t="str">
        <f>IF(H348="","",VLOOKUP(A348,'6.A'!$A$11:$E$564,4,FALSE))</f>
        <v/>
      </c>
      <c r="K348" s="52" t="str">
        <f t="shared" si="149"/>
        <v/>
      </c>
      <c r="L348" s="52" t="str">
        <f>IF(H348="","",IF(C348="","",G324*C348))</f>
        <v/>
      </c>
      <c r="M348" s="117" t="str">
        <f>IF(A348="","",VLOOKUP(A348,'6.A'!$A$11:$C$564,2,FALSE))</f>
        <v/>
      </c>
      <c r="N348" s="57" t="str">
        <f t="shared" ref="N348:N349" si="151">IF(A348="","",IF(M348=B348,"si","no"))</f>
        <v/>
      </c>
      <c r="O348" s="56"/>
      <c r="P348" s="56"/>
      <c r="Q348" s="48"/>
      <c r="R348" s="48"/>
      <c r="S348" s="2"/>
    </row>
    <row r="349" spans="1:19" ht="12.75" customHeight="1" x14ac:dyDescent="0.2">
      <c r="A349" s="22"/>
      <c r="B349" s="23" t="str">
        <f>IF(A349="","",VLOOKUP(A349,'6.A'!$A$11:$G$180,2,FALSE))</f>
        <v/>
      </c>
      <c r="C349" s="99"/>
      <c r="D349" s="57" t="str">
        <f>IF(A349="","",VLOOKUP(A349,'6.A'!$A$11:$G$180,4,FALSE))</f>
        <v/>
      </c>
      <c r="E349" s="100" t="str">
        <f>IF(A349="","",VLOOKUP(A349,'6.A'!$A$11:$G$180,5,FALSE))</f>
        <v/>
      </c>
      <c r="F349" s="24" t="str">
        <f t="shared" si="147"/>
        <v>0,00</v>
      </c>
      <c r="G349" s="52"/>
      <c r="H349" s="52" t="str">
        <f>IF(A349="","",VLOOKUP(A349,'6.A'!$A$11:$E$7984,5,FALSE))</f>
        <v/>
      </c>
      <c r="I349" s="52" t="str">
        <f t="shared" si="148"/>
        <v/>
      </c>
      <c r="J349" s="52" t="str">
        <f>IF(H349="","",VLOOKUP(A349,'6.A'!$A$11:$E$564,4,FALSE))</f>
        <v/>
      </c>
      <c r="K349" s="52" t="str">
        <f t="shared" si="149"/>
        <v/>
      </c>
      <c r="L349" s="52" t="str">
        <f>IF(H349="","",IF(C349="","",G324*C349))</f>
        <v/>
      </c>
      <c r="M349" s="117" t="str">
        <f>IF(A349="","",VLOOKUP(A349,'6.A'!$A$11:$C$564,2,FALSE))</f>
        <v/>
      </c>
      <c r="N349" s="57" t="str">
        <f t="shared" si="151"/>
        <v/>
      </c>
      <c r="O349" s="56"/>
      <c r="P349" s="56"/>
      <c r="Q349" s="48"/>
      <c r="R349" s="48"/>
      <c r="S349" s="2"/>
    </row>
    <row r="350" spans="1:19" ht="12.75" customHeight="1" x14ac:dyDescent="0.2">
      <c r="A350" s="22"/>
      <c r="B350" s="26" t="str">
        <f>$A$9</f>
        <v>BDI</v>
      </c>
      <c r="C350" s="27">
        <f>$C$9</f>
        <v>0</v>
      </c>
      <c r="D350" s="57"/>
      <c r="F350" s="28">
        <f>ROUND(SUM(F340:F349)*C350,2)</f>
        <v>0</v>
      </c>
      <c r="G350" s="63"/>
      <c r="M350" s="62"/>
      <c r="N350" s="57"/>
      <c r="O350" s="56"/>
      <c r="P350" s="56"/>
      <c r="Q350" s="48"/>
      <c r="R350" s="48"/>
      <c r="S350" s="2"/>
    </row>
    <row r="351" spans="1:19" ht="12.75" customHeight="1" x14ac:dyDescent="0.2">
      <c r="A351" s="30"/>
      <c r="B351" s="31" t="s">
        <v>117</v>
      </c>
      <c r="C351" s="36"/>
      <c r="D351" s="37"/>
      <c r="E351" s="38"/>
      <c r="F351" s="35">
        <f>ROUND(SUM(F340:F350),2)</f>
        <v>0</v>
      </c>
      <c r="G351" s="63"/>
      <c r="M351" s="62"/>
      <c r="N351" s="57"/>
      <c r="O351" s="56"/>
      <c r="P351" s="56"/>
      <c r="Q351" s="48"/>
      <c r="R351" s="48"/>
      <c r="S351" s="2"/>
    </row>
    <row r="352" spans="1:19" ht="12.75" customHeight="1" x14ac:dyDescent="0.2">
      <c r="A352" s="17" t="s">
        <v>6</v>
      </c>
      <c r="B352" s="18" t="s">
        <v>17</v>
      </c>
      <c r="C352" s="56" t="s">
        <v>59</v>
      </c>
      <c r="D352" s="56" t="s">
        <v>16</v>
      </c>
      <c r="E352" s="19" t="s">
        <v>60</v>
      </c>
      <c r="F352" s="20" t="s">
        <v>61</v>
      </c>
      <c r="G352" s="21"/>
      <c r="M352" s="62"/>
      <c r="N352" s="57"/>
      <c r="O352" s="56"/>
      <c r="P352" s="56"/>
      <c r="Q352" s="48"/>
      <c r="R352" s="48"/>
      <c r="S352" s="2"/>
    </row>
    <row r="353" spans="1:22" ht="12.75" customHeight="1" x14ac:dyDescent="0.2">
      <c r="A353" s="22" t="str">
        <f>'6.A'!$A$60</f>
        <v>EL02359</v>
      </c>
      <c r="B353" s="39" t="str">
        <f>IF(A353="","",VLOOKUP(A353,'6.A'!$A$11:$G$180,2,FALSE))</f>
        <v>ABRAÇADEIRA TIPO D EM AÇO GALV A FOGO D=2" COM CUNHA PARA ELETRODUTO</v>
      </c>
      <c r="C353" s="99">
        <v>2</v>
      </c>
      <c r="D353" s="57" t="str">
        <f>IF(A353="","",VLOOKUP(A353,'6.A'!$A$11:$G$180,4,FALSE))</f>
        <v>UN</v>
      </c>
      <c r="E353" s="100">
        <f>IF(A353="","",VLOOKUP(A353,'6.A'!$A$11:$G$180,5,FALSE))</f>
        <v>0</v>
      </c>
      <c r="F353" s="24">
        <f t="shared" ref="F353:F369" si="152">IF(A353="","0,00",ROUND(C353*E353,2))</f>
        <v>0</v>
      </c>
      <c r="G353" s="52"/>
      <c r="H353" s="52">
        <f>IF(A353="","",VLOOKUP(A353,'6.A'!$A$11:$E$7984,5,FALSE))</f>
        <v>0</v>
      </c>
      <c r="I353" s="52" t="str">
        <f t="shared" ref="I353:I369" si="153">IF(H353="","",IF(E353=H353,"SIM","NÃO"))</f>
        <v>SIM</v>
      </c>
      <c r="J353" s="52" t="str">
        <f>IF(H353="","",VLOOKUP(A353,'6.A'!$A$11:$E$564,4,FALSE))</f>
        <v>UN</v>
      </c>
      <c r="K353" s="52" t="str">
        <f t="shared" ref="K353:K369" si="154">IF(H353="","",IF(J353=D353,"SIM","NÃO"))</f>
        <v>SIM</v>
      </c>
      <c r="L353" s="52">
        <f>IF(H353="","",IF(C353="","",G324*C353))</f>
        <v>2</v>
      </c>
      <c r="M353" s="117" t="str">
        <f>IF(A353="","",VLOOKUP(A353,'6.A'!$A$11:$C$564,2,FALSE))</f>
        <v>ABRAÇADEIRA TIPO D EM AÇO GALV A FOGO D=2" COM CUNHA PARA ELETRODUTO</v>
      </c>
      <c r="N353" s="57" t="str">
        <f t="shared" ref="N353:N369" si="155">IF(A353="","",IF(M353=B353,"si","no"))</f>
        <v>si</v>
      </c>
      <c r="O353" s="56"/>
      <c r="P353" s="56"/>
      <c r="Q353" s="48"/>
      <c r="R353" s="48"/>
    </row>
    <row r="354" spans="1:22" ht="12.75" customHeight="1" x14ac:dyDescent="0.2">
      <c r="A354" s="22" t="str">
        <f>'6.A'!$A$62</f>
        <v>EL07726</v>
      </c>
      <c r="B354" s="23" t="str">
        <f>IF(A354="","",VLOOKUP(A354,'6.A'!$A$11:$G$180,2,FALSE))</f>
        <v>DISJUNTOR TERMOMAGNÉTICO EM CAIXA MOLDADA TRIPOLAR 600A, ICC - 50KA</v>
      </c>
      <c r="C354" s="99">
        <v>1</v>
      </c>
      <c r="D354" s="57" t="str">
        <f>IF(A354="","",VLOOKUP(A354,'6.A'!$A$11:$G$180,4,FALSE))</f>
        <v>UN</v>
      </c>
      <c r="E354" s="100">
        <f>IF(A354="","",VLOOKUP(A354,'6.A'!$A$11:$G$180,5,FALSE))</f>
        <v>0</v>
      </c>
      <c r="F354" s="24">
        <f>IF(A354="","0,00",ROUND(C354*E354,2))</f>
        <v>0</v>
      </c>
      <c r="G354" s="52"/>
      <c r="H354" s="52">
        <f>IF(A354="","",VLOOKUP(A354,'6.A'!$A$11:$E$7984,5,FALSE))</f>
        <v>0</v>
      </c>
      <c r="I354" s="52" t="str">
        <f>IF(H354="","",IF(E354=H354,"SIM","NÃO"))</f>
        <v>SIM</v>
      </c>
      <c r="J354" s="52" t="str">
        <f>IF(H354="","",VLOOKUP(A354,'6.A'!$A$11:$E$564,4,FALSE))</f>
        <v>UN</v>
      </c>
      <c r="K354" s="52" t="str">
        <f>IF(H354="","",IF(J354=D354,"SIM","NÃO"))</f>
        <v>SIM</v>
      </c>
      <c r="L354" s="52">
        <f>IF(H354="","",IF(C354="","",G324*C354))</f>
        <v>1</v>
      </c>
      <c r="M354" s="117" t="str">
        <f>IF(A354="","",VLOOKUP(A354,'6.A'!$A$11:$C$564,2,FALSE))</f>
        <v>DISJUNTOR TERMOMAGNÉTICO EM CAIXA MOLDADA TRIPOLAR 600A, ICC - 50KA</v>
      </c>
      <c r="N354" s="57" t="str">
        <f>IF(A354="","",IF(M354=B354,"si","no"))</f>
        <v>si</v>
      </c>
      <c r="O354" s="56"/>
      <c r="P354" s="56"/>
      <c r="Q354" s="48"/>
      <c r="R354" s="48"/>
      <c r="S354" s="2"/>
    </row>
    <row r="355" spans="1:22" ht="12.75" customHeight="1" x14ac:dyDescent="0.2">
      <c r="A355" s="22">
        <f>'6.A'!$A$66</f>
        <v>406</v>
      </c>
      <c r="B355" s="39" t="str">
        <f>IF(A355="","",VLOOKUP(A355,'6.A'!$A$11:$G$180,2,FALSE))</f>
        <v xml:space="preserve">FITA ACO INOX PARA CINTAR POSTE, L = 19 MM, E = 0,5 MM (ROLO DE 30M) </v>
      </c>
      <c r="C355" s="99">
        <f>4.1/30</f>
        <v>0.13666666666666666</v>
      </c>
      <c r="D355" s="57" t="str">
        <f>IF(A355="","",VLOOKUP(A355,'6.A'!$A$11:$G$180,4,FALSE))</f>
        <v>UN</v>
      </c>
      <c r="E355" s="100">
        <f>IF(A355="","",VLOOKUP(A355,'6.A'!$A$11:$G$180,5,FALSE))</f>
        <v>0</v>
      </c>
      <c r="F355" s="24">
        <f t="shared" si="152"/>
        <v>0</v>
      </c>
      <c r="G355" s="52"/>
      <c r="H355" s="52">
        <f>IF(A355="","",VLOOKUP(A355,'6.A'!$A$11:$E$7984,5,FALSE))</f>
        <v>0</v>
      </c>
      <c r="I355" s="52" t="str">
        <f t="shared" si="153"/>
        <v>SIM</v>
      </c>
      <c r="J355" s="52" t="str">
        <f>IF(H355="","",VLOOKUP(A355,'6.A'!$A$11:$E$564,4,FALSE))</f>
        <v>UN</v>
      </c>
      <c r="K355" s="52" t="str">
        <f t="shared" si="154"/>
        <v>SIM</v>
      </c>
      <c r="L355" s="52">
        <f>IF(H355="","",IF(C355="","",G324*C355))</f>
        <v>0.13666666666666666</v>
      </c>
      <c r="M355" s="117" t="str">
        <f>IF(A355="","",VLOOKUP(A355,'6.A'!$A$11:$C$564,2,FALSE))</f>
        <v xml:space="preserve">FITA ACO INOX PARA CINTAR POSTE, L = 19 MM, E = 0,5 MM (ROLO DE 30M) </v>
      </c>
      <c r="N355" s="57" t="str">
        <f t="shared" si="155"/>
        <v>si</v>
      </c>
      <c r="O355" s="56"/>
      <c r="P355" s="56"/>
      <c r="Q355" s="48"/>
      <c r="R355" s="48"/>
    </row>
    <row r="356" spans="1:22" ht="12.75" customHeight="1" x14ac:dyDescent="0.2">
      <c r="A356" s="22">
        <f>'6.A'!$A$81</f>
        <v>1062</v>
      </c>
      <c r="B356" s="23" t="str">
        <f>IF(A356="","",VLOOKUP(A356,'6.A'!$A$11:$G$180,2,FALSE))</f>
        <v>CAIXA DE MEDICAO PARA 1 MEDIDOR TRIFASICO, COM VISOR, EM CHAPA DE ACO 18 USG (PADRAO CONCESSIONARIA)</v>
      </c>
      <c r="C356" s="99">
        <v>1</v>
      </c>
      <c r="D356" s="57" t="str">
        <f>IF(A356="","",VLOOKUP(A356,'6.A'!$A$11:$G$180,4,FALSE))</f>
        <v>UN</v>
      </c>
      <c r="E356" s="100">
        <f>IF(A356="","",VLOOKUP(A356,'6.A'!$A$11:$G$180,5,FALSE))</f>
        <v>0</v>
      </c>
      <c r="F356" s="24">
        <f t="shared" si="152"/>
        <v>0</v>
      </c>
      <c r="G356" s="52"/>
      <c r="H356" s="52">
        <f>IF(A356="","",VLOOKUP(A356,'6.A'!$A$11:$E$7984,5,FALSE))</f>
        <v>0</v>
      </c>
      <c r="I356" s="52" t="str">
        <f t="shared" si="153"/>
        <v>SIM</v>
      </c>
      <c r="J356" s="52" t="str">
        <f>IF(H356="","",VLOOKUP(A356,'6.A'!$A$11:$E$564,4,FALSE))</f>
        <v>UN</v>
      </c>
      <c r="K356" s="52" t="str">
        <f t="shared" si="154"/>
        <v>SIM</v>
      </c>
      <c r="L356" s="52">
        <f>IF(H356="","",IF(C356="","",G324*C356))</f>
        <v>1</v>
      </c>
      <c r="M356" s="117" t="str">
        <f>IF(A356="","",VLOOKUP(A356,'6.A'!$A$11:$C$564,2,FALSE))</f>
        <v>CAIXA DE MEDICAO PARA 1 MEDIDOR TRIFASICO, COM VISOR, EM CHAPA DE ACO 18 USG (PADRAO CONCESSIONARIA)</v>
      </c>
      <c r="N356" s="57" t="str">
        <f t="shared" si="155"/>
        <v>si</v>
      </c>
      <c r="O356" s="56"/>
      <c r="P356" s="56"/>
      <c r="Q356" s="48"/>
      <c r="R356" s="48"/>
      <c r="S356" s="2"/>
    </row>
    <row r="357" spans="1:22" ht="12.75" customHeight="1" x14ac:dyDescent="0.2">
      <c r="A357" s="22">
        <f>'6.A'!$A$112</f>
        <v>4917</v>
      </c>
      <c r="B357" s="23" t="str">
        <f>IF(A357="","",VLOOKUP(A357,'6.A'!$A$11:$G$180,2,FALSE))</f>
        <v>PORTA DE ABRIR EM ALUMINIO ANODIZADO NATURAL TIPO VENEZIANA, SEM GUARNICAO/ALIZAR/VISTA</v>
      </c>
      <c r="C357" s="99">
        <f>1.85*1.6</f>
        <v>2.9600000000000004</v>
      </c>
      <c r="D357" s="57" t="str">
        <f>IF(A357="","",VLOOKUP(A357,'6.A'!$A$11:$G$180,4,FALSE))</f>
        <v>M2</v>
      </c>
      <c r="E357" s="100">
        <f>IF(A357="","",VLOOKUP(A357,'6.A'!$A$11:$G$180,5,FALSE))</f>
        <v>0</v>
      </c>
      <c r="F357" s="24">
        <f t="shared" si="152"/>
        <v>0</v>
      </c>
      <c r="G357" s="52"/>
      <c r="H357" s="52">
        <f>IF(A357="","",VLOOKUP(A357,'6.A'!$A$11:$E$7984,5,FALSE))</f>
        <v>0</v>
      </c>
      <c r="I357" s="52" t="str">
        <f t="shared" si="153"/>
        <v>SIM</v>
      </c>
      <c r="J357" s="52" t="str">
        <f>IF(H357="","",VLOOKUP(A357,'6.A'!$A$11:$E$564,4,FALSE))</f>
        <v>M2</v>
      </c>
      <c r="K357" s="52" t="str">
        <f t="shared" si="154"/>
        <v>SIM</v>
      </c>
      <c r="L357" s="52">
        <f>IF(H357="","",IF(C357="","",G324*C357))</f>
        <v>2.9600000000000004</v>
      </c>
      <c r="M357" s="117" t="str">
        <f>IF(A357="","",VLOOKUP(A357,'6.A'!$A$11:$C$564,2,FALSE))</f>
        <v>PORTA DE ABRIR EM ALUMINIO ANODIZADO NATURAL TIPO VENEZIANA, SEM GUARNICAO/ALIZAR/VISTA</v>
      </c>
      <c r="N357" s="57" t="str">
        <f t="shared" si="155"/>
        <v>si</v>
      </c>
      <c r="O357" s="56"/>
      <c r="P357" s="56"/>
      <c r="Q357" s="48"/>
      <c r="R357" s="48"/>
      <c r="S357" s="2"/>
    </row>
    <row r="358" spans="1:22" ht="12.75" customHeight="1" x14ac:dyDescent="0.2">
      <c r="A358" s="22">
        <f>'6.A'!$A$116</f>
        <v>7528</v>
      </c>
      <c r="B358" s="23" t="str">
        <f>IF(A358="","",VLOOKUP(A358,'6.A'!$A$11:$G$180,2,FALSE))</f>
        <v>TOMADA 2P+T 10A, 250V, CONJUNTO MONTADO PARA EMBUTIR 4" X 2" (PLACA + SUPORTE + MODULO)</v>
      </c>
      <c r="C358" s="99">
        <v>2</v>
      </c>
      <c r="D358" s="57" t="str">
        <f>IF(A358="","",VLOOKUP(A358,'6.A'!$A$11:$G$180,4,FALSE))</f>
        <v>UN</v>
      </c>
      <c r="E358" s="100">
        <f>IF(A358="","",VLOOKUP(A358,'6.A'!$A$11:$G$180,5,FALSE))</f>
        <v>0</v>
      </c>
      <c r="F358" s="24">
        <f t="shared" si="152"/>
        <v>0</v>
      </c>
      <c r="G358" s="52"/>
      <c r="H358" s="52">
        <f>IF(A358="","",VLOOKUP(A358,'6.A'!$A$11:$E$7984,5,FALSE))</f>
        <v>0</v>
      </c>
      <c r="I358" s="52" t="str">
        <f t="shared" si="153"/>
        <v>SIM</v>
      </c>
      <c r="J358" s="52" t="str">
        <f>IF(H358="","",VLOOKUP(A358,'6.A'!$A$11:$E$564,4,FALSE))</f>
        <v>UN</v>
      </c>
      <c r="K358" s="52" t="str">
        <f t="shared" si="154"/>
        <v>SIM</v>
      </c>
      <c r="L358" s="52">
        <f>IF(H358="","",IF(C358="","",G324*C358))</f>
        <v>2</v>
      </c>
      <c r="M358" s="117" t="str">
        <f>IF(A358="","",VLOOKUP(A358,'6.A'!$A$11:$C$564,2,FALSE))</f>
        <v>TOMADA 2P+T 10A, 250V, CONJUNTO MONTADO PARA EMBUTIR 4" X 2" (PLACA + SUPORTE + MODULO)</v>
      </c>
      <c r="N358" s="57" t="str">
        <f t="shared" si="155"/>
        <v>si</v>
      </c>
      <c r="O358" s="56"/>
      <c r="P358" s="56"/>
      <c r="Q358" s="48"/>
      <c r="R358" s="48"/>
      <c r="S358" s="2"/>
    </row>
    <row r="359" spans="1:22" ht="12.75" customHeight="1" x14ac:dyDescent="0.2">
      <c r="A359" s="22">
        <f>'6.A'!$A$119</f>
        <v>7576</v>
      </c>
      <c r="B359" s="23" t="str">
        <f>IF(A359="","",VLOOKUP(A359,'6.A'!$A$11:$G$180,2,FALSE))</f>
        <v>SUPORTE EM ACO GALVANIZADO PARA TRANSFORMADOR PARA POSTE DUPLO T 185 X 95 MM, CHAPA DE 5/16"</v>
      </c>
      <c r="C359" s="99">
        <v>2</v>
      </c>
      <c r="D359" s="57" t="str">
        <f>IF(A359="","",VLOOKUP(A359,'6.A'!$A$11:$G$180,4,FALSE))</f>
        <v>UN</v>
      </c>
      <c r="E359" s="100">
        <f>IF(A359="","",VLOOKUP(A359,'6.A'!$A$11:$G$180,5,FALSE))</f>
        <v>0</v>
      </c>
      <c r="F359" s="24">
        <f t="shared" si="152"/>
        <v>0</v>
      </c>
      <c r="G359" s="52"/>
      <c r="H359" s="52">
        <f>IF(A359="","",VLOOKUP(A359,'6.A'!$A$11:$E$7984,5,FALSE))</f>
        <v>0</v>
      </c>
      <c r="I359" s="52" t="str">
        <f t="shared" si="153"/>
        <v>SIM</v>
      </c>
      <c r="J359" s="52" t="str">
        <f>IF(H359="","",VLOOKUP(A359,'6.A'!$A$11:$E$564,4,FALSE))</f>
        <v>UN</v>
      </c>
      <c r="K359" s="52" t="str">
        <f t="shared" si="154"/>
        <v>SIM</v>
      </c>
      <c r="L359" s="52">
        <f>IF(H359="","",IF(C359="","",G324*C359))</f>
        <v>2</v>
      </c>
      <c r="M359" s="117" t="str">
        <f>IF(A359="","",VLOOKUP(A359,'6.A'!$A$11:$C$564,2,FALSE))</f>
        <v>SUPORTE EM ACO GALVANIZADO PARA TRANSFORMADOR PARA POSTE DUPLO T 185 X 95 MM, CHAPA DE 5/16"</v>
      </c>
      <c r="N359" s="57" t="str">
        <f t="shared" si="155"/>
        <v>si</v>
      </c>
      <c r="O359" s="56"/>
      <c r="P359" s="56"/>
      <c r="Q359" s="48"/>
      <c r="R359" s="48"/>
    </row>
    <row r="360" spans="1:22" ht="12.75" customHeight="1" x14ac:dyDescent="0.2">
      <c r="A360" s="22">
        <f>'6.A'!$A$122</f>
        <v>12327</v>
      </c>
      <c r="B360" s="23" t="str">
        <f>IF(A360="","",VLOOKUP(A360,'6.A'!$A$11:$G$180,2,FALSE))</f>
        <v>CINTA CIRCULAR EM ACO GALVANIZADO DIÂMETRO 210 MM PARA INSTALACAO DE TRANSFORMADOR EM POSTE</v>
      </c>
      <c r="C360" s="99">
        <v>3</v>
      </c>
      <c r="D360" s="57" t="str">
        <f>IF(A360="","",VLOOKUP(A360,'6.A'!$A$11:$G$180,4,FALSE))</f>
        <v>UN</v>
      </c>
      <c r="E360" s="100">
        <f>IF(A360="","",VLOOKUP(A360,'6.A'!$A$11:$G$180,5,FALSE))</f>
        <v>0</v>
      </c>
      <c r="F360" s="24">
        <f t="shared" si="152"/>
        <v>0</v>
      </c>
      <c r="G360" s="52"/>
      <c r="H360" s="52">
        <f>IF(A360="","",VLOOKUP(A360,'6.A'!$A$11:$E$7984,5,FALSE))</f>
        <v>0</v>
      </c>
      <c r="I360" s="52" t="str">
        <f t="shared" si="153"/>
        <v>SIM</v>
      </c>
      <c r="J360" s="52" t="str">
        <f>IF(H360="","",VLOOKUP(A360,'6.A'!$A$11:$E$564,4,FALSE))</f>
        <v>UN</v>
      </c>
      <c r="K360" s="52" t="str">
        <f t="shared" si="154"/>
        <v>SIM</v>
      </c>
      <c r="L360" s="52">
        <f>IF(H360="","",IF(C360="","",G324*C360))</f>
        <v>3</v>
      </c>
      <c r="M360" s="117" t="str">
        <f>IF(A360="","",VLOOKUP(A360,'6.A'!$A$11:$C$564,2,FALSE))</f>
        <v>CINTA CIRCULAR EM ACO GALVANIZADO DIÂMETRO 210 MM PARA INSTALACAO DE TRANSFORMADOR EM POSTE</v>
      </c>
      <c r="N360" s="57" t="str">
        <f t="shared" si="155"/>
        <v>si</v>
      </c>
      <c r="O360" s="56"/>
      <c r="P360" s="56"/>
      <c r="Q360" s="48"/>
      <c r="R360" s="48"/>
    </row>
    <row r="361" spans="1:22" ht="12.75" customHeight="1" x14ac:dyDescent="0.2">
      <c r="A361" s="22">
        <f>'6.A'!$A$127</f>
        <v>34623</v>
      </c>
      <c r="B361" s="23" t="str">
        <f>IF(A361="","",VLOOKUP(A361,'6.A'!$A$11:$G$180,2,FALSE))</f>
        <v>DISJUNTOR TERMOMAGNETICO PARA TRILHO DIN (IEC), BIPOLAR, 40 - 50 A</v>
      </c>
      <c r="C361" s="99">
        <v>1</v>
      </c>
      <c r="D361" s="57" t="str">
        <f>IF(A361="","",VLOOKUP(A361,'6.A'!$A$11:$G$180,4,FALSE))</f>
        <v>UN</v>
      </c>
      <c r="E361" s="100">
        <f>IF(A361="","",VLOOKUP(A361,'6.A'!$A$11:$G$180,5,FALSE))</f>
        <v>0</v>
      </c>
      <c r="F361" s="24">
        <f t="shared" si="152"/>
        <v>0</v>
      </c>
      <c r="G361" s="52"/>
      <c r="H361" s="52">
        <f>IF(A361="","",VLOOKUP(A361,'6.A'!$A$11:$E$7984,5,FALSE))</f>
        <v>0</v>
      </c>
      <c r="I361" s="52" t="str">
        <f t="shared" si="153"/>
        <v>SIM</v>
      </c>
      <c r="J361" s="52" t="str">
        <f>IF(H361="","",VLOOKUP(A361,'6.A'!$A$11:$E$564,4,FALSE))</f>
        <v>UN</v>
      </c>
      <c r="K361" s="52" t="str">
        <f t="shared" si="154"/>
        <v>SIM</v>
      </c>
      <c r="L361" s="52">
        <f>IF(H361="","",IF(C361="","",G324*C361))</f>
        <v>1</v>
      </c>
      <c r="M361" s="117" t="str">
        <f>IF(A361="","",VLOOKUP(A361,'6.A'!$A$11:$C$564,2,FALSE))</f>
        <v>DISJUNTOR TERMOMAGNETICO PARA TRILHO DIN (IEC), BIPOLAR, 40 - 50 A</v>
      </c>
      <c r="N361" s="57" t="str">
        <f t="shared" si="155"/>
        <v>si</v>
      </c>
      <c r="O361" s="56"/>
      <c r="P361" s="56"/>
      <c r="Q361" s="48"/>
      <c r="R361" s="48"/>
      <c r="S361" s="2"/>
    </row>
    <row r="362" spans="1:22" ht="12.75" customHeight="1" x14ac:dyDescent="0.2">
      <c r="A362" s="22">
        <f>'6.A'!$A$137</f>
        <v>39182</v>
      </c>
      <c r="B362" s="23" t="str">
        <f>IF(A362="","",VLOOKUP(A362,'6.A'!$A$11:$G$180,2,FALSE))</f>
        <v>BUCHA EM ALUMINIO, COM ROSCA, DE 4", PARA ELETRODUTO</v>
      </c>
      <c r="C362" s="99">
        <v>2</v>
      </c>
      <c r="D362" s="57" t="str">
        <f>IF(A362="","",VLOOKUP(A362,'6.A'!$A$11:$G$180,4,FALSE))</f>
        <v>UN</v>
      </c>
      <c r="E362" s="100">
        <f>IF(A362="","",VLOOKUP(A362,'6.A'!$A$11:$G$180,5,FALSE))</f>
        <v>0</v>
      </c>
      <c r="F362" s="24">
        <f t="shared" si="152"/>
        <v>0</v>
      </c>
      <c r="G362" s="52"/>
      <c r="H362" s="52">
        <f>IF(A362="","",VLOOKUP(A362,'6.A'!$A$11:$E$7984,5,FALSE))</f>
        <v>0</v>
      </c>
      <c r="I362" s="52" t="str">
        <f t="shared" si="153"/>
        <v>SIM</v>
      </c>
      <c r="J362" s="52" t="str">
        <f>IF(H362="","",VLOOKUP(A362,'6.A'!$A$11:$E$564,4,FALSE))</f>
        <v>UN</v>
      </c>
      <c r="K362" s="52" t="str">
        <f t="shared" si="154"/>
        <v>SIM</v>
      </c>
      <c r="L362" s="52">
        <f>IF(H362="","",IF(C362="","",G324*C362))</f>
        <v>2</v>
      </c>
      <c r="M362" s="117" t="str">
        <f>IF(A362="","",VLOOKUP(A362,'6.A'!$A$11:$C$564,2,FALSE))</f>
        <v>BUCHA EM ALUMINIO, COM ROSCA, DE 4", PARA ELETRODUTO</v>
      </c>
      <c r="N362" s="57" t="str">
        <f t="shared" si="155"/>
        <v>si</v>
      </c>
      <c r="O362" s="56"/>
      <c r="P362" s="56"/>
      <c r="Q362" s="48"/>
      <c r="R362" s="48"/>
    </row>
    <row r="363" spans="1:22" ht="12.75" customHeight="1" x14ac:dyDescent="0.2">
      <c r="A363" s="22">
        <f>'6.A'!$A$138</f>
        <v>39216</v>
      </c>
      <c r="B363" s="39" t="str">
        <f>IF(A363="","",VLOOKUP(A363,'6.A'!$A$11:$G$180,2,FALSE))</f>
        <v>ARRUELA EM ALUMINIO, COM ROSCA, DE 4", PARA ELETRODUTO</v>
      </c>
      <c r="C363" s="99">
        <v>2</v>
      </c>
      <c r="D363" s="57" t="str">
        <f>IF(A363="","",VLOOKUP(A363,'6.A'!$A$11:$G$180,4,FALSE))</f>
        <v>UN</v>
      </c>
      <c r="E363" s="100">
        <f>IF(A363="","",VLOOKUP(A363,'6.A'!$A$11:$G$180,5,FALSE))</f>
        <v>0</v>
      </c>
      <c r="F363" s="24">
        <f t="shared" si="152"/>
        <v>0</v>
      </c>
      <c r="G363" s="52"/>
      <c r="H363" s="52">
        <f>IF(A363="","",VLOOKUP(A363,'6.A'!$A$11:$E$7984,5,FALSE))</f>
        <v>0</v>
      </c>
      <c r="I363" s="52" t="str">
        <f t="shared" si="153"/>
        <v>SIM</v>
      </c>
      <c r="J363" s="52" t="str">
        <f>IF(H363="","",VLOOKUP(A363,'6.A'!$A$11:$E$564,4,FALSE))</f>
        <v>UN</v>
      </c>
      <c r="K363" s="52" t="str">
        <f t="shared" si="154"/>
        <v>SIM</v>
      </c>
      <c r="L363" s="52">
        <f>IF(H363="","",IF(C363="","",G324*C363))</f>
        <v>2</v>
      </c>
      <c r="M363" s="117" t="str">
        <f>IF(A363="","",VLOOKUP(A363,'6.A'!$A$11:$C$564,2,FALSE))</f>
        <v>ARRUELA EM ALUMINIO, COM ROSCA, DE 4", PARA ELETRODUTO</v>
      </c>
      <c r="N363" s="57" t="str">
        <f t="shared" si="155"/>
        <v>si</v>
      </c>
      <c r="O363" s="56"/>
      <c r="P363" s="56"/>
      <c r="Q363" s="48"/>
      <c r="R363" s="48"/>
    </row>
    <row r="364" spans="1:22" ht="12.75" customHeight="1" x14ac:dyDescent="0.2">
      <c r="A364" s="22">
        <f>'6.A'!$A$143</f>
        <v>39467</v>
      </c>
      <c r="B364" s="23" t="str">
        <f>IF(A364="","",VLOOKUP(A364,'6.A'!$A$11:$G$180,2,FALSE))</f>
        <v>DISPOSITIVO DPS CLASSE II, 1 POLO, TENSAO MAXIMA DE 175 V, CORRENTE MAXIMA DE *45* KA (TIPO AC)</v>
      </c>
      <c r="C364" s="99">
        <v>4</v>
      </c>
      <c r="D364" s="57" t="str">
        <f>IF(A364="","",VLOOKUP(A364,'6.A'!$A$11:$G$180,4,FALSE))</f>
        <v>UN</v>
      </c>
      <c r="E364" s="100">
        <f>IF(A364="","",VLOOKUP(A364,'6.A'!$A$11:$G$180,5,FALSE))</f>
        <v>0</v>
      </c>
      <c r="F364" s="24">
        <f t="shared" si="152"/>
        <v>0</v>
      </c>
      <c r="G364" s="52"/>
      <c r="H364" s="52">
        <f>IF(A364="","",VLOOKUP(A364,'6.A'!$A$11:$E$7984,5,FALSE))</f>
        <v>0</v>
      </c>
      <c r="I364" s="52" t="str">
        <f t="shared" si="153"/>
        <v>SIM</v>
      </c>
      <c r="J364" s="52" t="str">
        <f>IF(H364="","",VLOOKUP(A364,'6.A'!$A$11:$E$564,4,FALSE))</f>
        <v>UN</v>
      </c>
      <c r="K364" s="52" t="str">
        <f t="shared" si="154"/>
        <v>SIM</v>
      </c>
      <c r="L364" s="52">
        <f>IF(H364="","",IF(C364="","",G324*C364))</f>
        <v>4</v>
      </c>
      <c r="M364" s="117" t="str">
        <f>IF(A364="","",VLOOKUP(A364,'6.A'!$A$11:$C$564,2,FALSE))</f>
        <v>DISPOSITIVO DPS CLASSE II, 1 POLO, TENSAO MAXIMA DE 175 V, CORRENTE MAXIMA DE *45* KA (TIPO AC)</v>
      </c>
      <c r="N364" s="57" t="str">
        <f t="shared" si="155"/>
        <v>si</v>
      </c>
      <c r="O364" s="56"/>
      <c r="P364" s="56"/>
      <c r="Q364" s="48"/>
      <c r="R364" s="48"/>
      <c r="S364" s="2"/>
    </row>
    <row r="365" spans="1:22" s="65" customFormat="1" ht="12.75" customHeight="1" x14ac:dyDescent="0.2">
      <c r="A365" s="22">
        <f>'6.A'!$A$153</f>
        <v>42252</v>
      </c>
      <c r="B365" s="23" t="str">
        <f>IF(A365="","",VLOOKUP(A365,'6.A'!$A$11:$G$180,2,FALSE))</f>
        <v>HASTE DE ATERRAMENTO DE 5/8" X 2,4 M, EM AÇO SAE1010/1020, TREFILADO E REVESTIDO DE COBRE ELETROLÍTICO</v>
      </c>
      <c r="C365" s="99">
        <v>4</v>
      </c>
      <c r="D365" s="57" t="str">
        <f>IF(A365="","",VLOOKUP(A365,'6.A'!$A$11:$G$180,4,FALSE))</f>
        <v>UN</v>
      </c>
      <c r="E365" s="100">
        <f>IF(A365="","",VLOOKUP(A365,'6.A'!$A$11:$G$180,5,FALSE))</f>
        <v>0</v>
      </c>
      <c r="F365" s="24">
        <f t="shared" si="152"/>
        <v>0</v>
      </c>
      <c r="G365" s="52"/>
      <c r="H365" s="52">
        <f>IF(A365="","",VLOOKUP(A365,'6.A'!$A$11:$E$7984,5,FALSE))</f>
        <v>0</v>
      </c>
      <c r="I365" s="52" t="str">
        <f t="shared" si="153"/>
        <v>SIM</v>
      </c>
      <c r="J365" s="52" t="str">
        <f>IF(H365="","",VLOOKUP(A365,'6.A'!$A$11:$E$564,4,FALSE))</f>
        <v>UN</v>
      </c>
      <c r="K365" s="52" t="str">
        <f t="shared" si="154"/>
        <v>SIM</v>
      </c>
      <c r="L365" s="52">
        <f>IF(H365="","",IF(C365="","",G324*C365))</f>
        <v>4</v>
      </c>
      <c r="M365" s="117" t="str">
        <f>IF(A365="","",VLOOKUP(A365,'6.A'!$A$11:$C$564,2,FALSE))</f>
        <v>HASTE DE ATERRAMENTO DE 5/8" X 2,4 M, EM AÇO SAE1010/1020, TREFILADO E REVESTIDO DE COBRE ELETROLÍTICO</v>
      </c>
      <c r="N365" s="57" t="str">
        <f t="shared" si="155"/>
        <v>si</v>
      </c>
      <c r="O365" s="56"/>
      <c r="P365" s="56"/>
      <c r="Q365" s="48"/>
      <c r="R365" s="48"/>
      <c r="T365" s="2"/>
      <c r="U365" s="2"/>
      <c r="V365" s="2"/>
    </row>
    <row r="366" spans="1:22" ht="12.75" customHeight="1" x14ac:dyDescent="0.2">
      <c r="A366" s="22">
        <f>'6.A'!$A$156</f>
        <v>42476</v>
      </c>
      <c r="B366" s="23" t="str">
        <f>IF(A366="","",VLOOKUP(A366,'6.A'!$A$11:$G$180,2,FALSE))</f>
        <v>CAIXA DE INSPEÇÃO DO TERRA CILÍNDRICA EM PVC RÍGIDO, DIÂMETRO DE 300 MM, H= 400 MM</v>
      </c>
      <c r="C366" s="99">
        <v>4</v>
      </c>
      <c r="D366" s="57" t="str">
        <f>IF(A366="","",VLOOKUP(A366,'6.A'!$A$11:$G$180,4,FALSE))</f>
        <v>UN</v>
      </c>
      <c r="E366" s="100">
        <f>IF(A366="","",VLOOKUP(A366,'6.A'!$A$11:$G$180,5,FALSE))</f>
        <v>0</v>
      </c>
      <c r="F366" s="24">
        <f t="shared" si="152"/>
        <v>0</v>
      </c>
      <c r="G366" s="52"/>
      <c r="H366" s="52">
        <f>IF(A366="","",VLOOKUP(A366,'6.A'!$A$11:$E$7984,5,FALSE))</f>
        <v>0</v>
      </c>
      <c r="I366" s="52" t="str">
        <f t="shared" si="153"/>
        <v>SIM</v>
      </c>
      <c r="J366" s="52" t="str">
        <f>IF(H366="","",VLOOKUP(A366,'6.A'!$A$11:$E$564,4,FALSE))</f>
        <v>UN</v>
      </c>
      <c r="K366" s="52" t="str">
        <f t="shared" si="154"/>
        <v>SIM</v>
      </c>
      <c r="L366" s="52">
        <f>IF(H366="","",IF(C366="","",G324*C366))</f>
        <v>4</v>
      </c>
      <c r="M366" s="117" t="str">
        <f>IF(A366="","",VLOOKUP(A366,'6.A'!$A$11:$C$564,2,FALSE))</f>
        <v>CAIXA DE INSPEÇÃO DO TERRA CILÍNDRICA EM PVC RÍGIDO, DIÂMETRO DE 300 MM, H= 400 MM</v>
      </c>
      <c r="N366" s="57" t="str">
        <f t="shared" si="155"/>
        <v>si</v>
      </c>
      <c r="O366" s="56"/>
      <c r="P366" s="56"/>
      <c r="Q366" s="48"/>
      <c r="R366" s="48"/>
    </row>
    <row r="367" spans="1:22" ht="12.75" customHeight="1" x14ac:dyDescent="0.2">
      <c r="A367" s="22">
        <f>'6.A'!$A$161</f>
        <v>43657</v>
      </c>
      <c r="B367" s="23" t="str">
        <f>IF(A367="","",VLOOKUP(A367,'6.A'!$A$11:$G$180,2,FALSE))</f>
        <v>CHAVE FUSÍVEL BASE C PARA 15KV/200A, CAPACIDADE DE RUPTURA ATÉ 10KA, COM FUSÍVEL E FERRAGEM DE FIXAÇÃO</v>
      </c>
      <c r="C367" s="99">
        <v>3</v>
      </c>
      <c r="D367" s="57" t="str">
        <f>IF(A367="","",VLOOKUP(A367,'6.A'!$A$11:$G$180,4,FALSE))</f>
        <v>UN</v>
      </c>
      <c r="E367" s="100">
        <f>IF(A367="","",VLOOKUP(A367,'6.A'!$A$11:$G$180,5,FALSE))</f>
        <v>0</v>
      </c>
      <c r="F367" s="24">
        <f t="shared" si="152"/>
        <v>0</v>
      </c>
      <c r="G367" s="52"/>
      <c r="H367" s="52">
        <f>IF(A367="","",VLOOKUP(A367,'6.A'!$A$11:$E$7984,5,FALSE))</f>
        <v>0</v>
      </c>
      <c r="I367" s="52" t="str">
        <f t="shared" si="153"/>
        <v>SIM</v>
      </c>
      <c r="J367" s="52" t="str">
        <f>IF(H367="","",VLOOKUP(A367,'6.A'!$A$11:$E$564,4,FALSE))</f>
        <v>UN</v>
      </c>
      <c r="K367" s="52" t="str">
        <f t="shared" si="154"/>
        <v>SIM</v>
      </c>
      <c r="L367" s="52">
        <f>IF(H367="","",IF(C367="","",G324*C367))</f>
        <v>3</v>
      </c>
      <c r="M367" s="117" t="str">
        <f>IF(A367="","",VLOOKUP(A367,'6.A'!$A$11:$C$564,2,FALSE))</f>
        <v>CHAVE FUSÍVEL BASE C PARA 15KV/200A, CAPACIDADE DE RUPTURA ATÉ 10KA, COM FUSÍVEL E FERRAGEM DE FIXAÇÃO</v>
      </c>
      <c r="N367" s="57" t="str">
        <f t="shared" si="155"/>
        <v>si</v>
      </c>
      <c r="O367" s="56"/>
      <c r="P367" s="56"/>
      <c r="Q367" s="48"/>
      <c r="R367" s="48"/>
      <c r="S367" s="2"/>
    </row>
    <row r="368" spans="1:22" s="65" customFormat="1" ht="12.75" customHeight="1" x14ac:dyDescent="0.2">
      <c r="A368" s="22">
        <f>'6.A'!$A$162</f>
        <v>48072</v>
      </c>
      <c r="B368" s="23" t="str">
        <f>IF(A368="","",VLOOKUP(A368,'6.A'!$A$11:$G$180,2,FALSE))</f>
        <v>KIT SOLDA COM CARTUCHO PARA SOLDA EXOTÉRMICA Nº 65 A 115</v>
      </c>
      <c r="C368" s="99">
        <v>4</v>
      </c>
      <c r="D368" s="57" t="str">
        <f>IF(A368="","",VLOOKUP(A368,'6.A'!$A$11:$G$180,4,FALSE))</f>
        <v>UN</v>
      </c>
      <c r="E368" s="100">
        <f>IF(A368="","",VLOOKUP(A368,'6.A'!$A$11:$G$180,5,FALSE))</f>
        <v>0</v>
      </c>
      <c r="F368" s="24">
        <f t="shared" si="152"/>
        <v>0</v>
      </c>
      <c r="G368" s="52"/>
      <c r="H368" s="52">
        <f>IF(A368="","",VLOOKUP(A368,'6.A'!$A$11:$E$7984,5,FALSE))</f>
        <v>0</v>
      </c>
      <c r="I368" s="52" t="str">
        <f t="shared" si="153"/>
        <v>SIM</v>
      </c>
      <c r="J368" s="52" t="str">
        <f>IF(H368="","",VLOOKUP(A368,'6.A'!$A$11:$E$564,4,FALSE))</f>
        <v>UN</v>
      </c>
      <c r="K368" s="52" t="str">
        <f t="shared" si="154"/>
        <v>SIM</v>
      </c>
      <c r="L368" s="52">
        <f>IF(H368="","",IF(C368="","",G324*C368))</f>
        <v>4</v>
      </c>
      <c r="M368" s="117" t="str">
        <f>IF(A368="","",VLOOKUP(A368,'6.A'!$A$11:$C$564,2,FALSE))</f>
        <v>KIT SOLDA COM CARTUCHO PARA SOLDA EXOTÉRMICA Nº 65 A 115</v>
      </c>
      <c r="N368" s="57" t="str">
        <f t="shared" si="155"/>
        <v>si</v>
      </c>
      <c r="O368" s="56"/>
      <c r="P368" s="56"/>
      <c r="Q368" s="48"/>
      <c r="R368" s="48"/>
      <c r="T368" s="2"/>
      <c r="U368" s="2"/>
      <c r="V368" s="2"/>
    </row>
    <row r="369" spans="1:23" s="65" customFormat="1" ht="12.75" customHeight="1" x14ac:dyDescent="0.2">
      <c r="A369" s="22">
        <f>'6.A'!$A$163</f>
        <v>48074</v>
      </c>
      <c r="B369" s="23" t="str">
        <f>IF(A369="","",VLOOKUP(A369,'6.A'!$A$11:$G$180,2,FALSE))</f>
        <v>ALICATE PARA SOLDA EXOTÉRMICA; REFERÊNCIA U-L160 DA UNISOLDA OU EQUIVALENTE</v>
      </c>
      <c r="C369" s="99">
        <v>6.0000000000000001E-3</v>
      </c>
      <c r="D369" s="57" t="str">
        <f>IF(A369="","",VLOOKUP(A369,'6.A'!$A$11:$G$180,4,FALSE))</f>
        <v>UN</v>
      </c>
      <c r="E369" s="100">
        <f>IF(A369="","",VLOOKUP(A369,'6.A'!$A$11:$G$180,5,FALSE))</f>
        <v>0</v>
      </c>
      <c r="F369" s="24">
        <f t="shared" si="152"/>
        <v>0</v>
      </c>
      <c r="G369" s="52"/>
      <c r="H369" s="52">
        <f>IF(A369="","",VLOOKUP(A369,'6.A'!$A$11:$E$7984,5,FALSE))</f>
        <v>0</v>
      </c>
      <c r="I369" s="52" t="str">
        <f t="shared" si="153"/>
        <v>SIM</v>
      </c>
      <c r="J369" s="52" t="str">
        <f>IF(H369="","",VLOOKUP(A369,'6.A'!$A$11:$E$564,4,FALSE))</f>
        <v>UN</v>
      </c>
      <c r="K369" s="52" t="str">
        <f t="shared" si="154"/>
        <v>SIM</v>
      </c>
      <c r="L369" s="52">
        <f>IF(H369="","",IF(C369="","",G324*C369))</f>
        <v>6.0000000000000001E-3</v>
      </c>
      <c r="M369" s="117" t="str">
        <f>IF(A369="","",VLOOKUP(A369,'6.A'!$A$11:$C$564,2,FALSE))</f>
        <v>ALICATE PARA SOLDA EXOTÉRMICA; REFERÊNCIA U-L160 DA UNISOLDA OU EQUIVALENTE</v>
      </c>
      <c r="N369" s="57" t="str">
        <f t="shared" si="155"/>
        <v>si</v>
      </c>
      <c r="O369" s="56"/>
      <c r="P369" s="56"/>
      <c r="Q369" s="48"/>
      <c r="R369" s="48"/>
      <c r="T369" s="2"/>
      <c r="U369" s="2"/>
      <c r="V369" s="2"/>
    </row>
    <row r="370" spans="1:23" s="65" customFormat="1" ht="12.75" customHeight="1" x14ac:dyDescent="0.2">
      <c r="A370" s="22">
        <f>'6.A'!$A$164</f>
        <v>48081</v>
      </c>
      <c r="B370" s="23" t="str">
        <f>IF(A370="","",VLOOKUP(A370,'6.A'!$A$11:$G$180,2,FALSE))</f>
        <v>MOLDE PARA SOLDA EXOTÉRMICA CONEXÃO CABO-CABO HORIZONTAL EM X, CABO DE 50-25MM² A 95-50MM²</v>
      </c>
      <c r="C370" s="99">
        <v>0.06</v>
      </c>
      <c r="D370" s="57" t="str">
        <f>IF(A370="","",VLOOKUP(A370,'6.A'!$A$11:$G$180,4,FALSE))</f>
        <v>UN</v>
      </c>
      <c r="E370" s="100">
        <f>IF(A370="","",VLOOKUP(A370,'6.A'!$A$11:$G$180,5,FALSE))</f>
        <v>0</v>
      </c>
      <c r="F370" s="24">
        <f t="shared" ref="F370:F372" si="156">IF(A370="","0,00",ROUND(C370*E370,2))</f>
        <v>0</v>
      </c>
      <c r="G370" s="52"/>
      <c r="H370" s="52">
        <f>IF(A370="","",VLOOKUP(A370,'6.A'!$A$11:$E$7984,5,FALSE))</f>
        <v>0</v>
      </c>
      <c r="I370" s="52" t="str">
        <f t="shared" ref="I370:I372" si="157">IF(H370="","",IF(E370=H370,"SIM","NÃO"))</f>
        <v>SIM</v>
      </c>
      <c r="J370" s="52" t="str">
        <f>IF(H370="","",VLOOKUP(A370,'6.A'!$A$11:$E$564,4,FALSE))</f>
        <v>UN</v>
      </c>
      <c r="K370" s="52" t="str">
        <f t="shared" ref="K370:K372" si="158">IF(H370="","",IF(J370=D370,"SIM","NÃO"))</f>
        <v>SIM</v>
      </c>
      <c r="L370" s="52">
        <f>IF(H370="","",IF(C370="","",G324*C370))</f>
        <v>0.06</v>
      </c>
      <c r="M370" s="117" t="str">
        <f>IF(A370="","",VLOOKUP(A370,'6.A'!$A$11:$C$564,2,FALSE))</f>
        <v>MOLDE PARA SOLDA EXOTÉRMICA CONEXÃO CABO-CABO HORIZONTAL EM X, CABO DE 50-25MM² A 95-50MM²</v>
      </c>
      <c r="N370" s="57" t="str">
        <f t="shared" ref="N370:N372" si="159">IF(A370="","",IF(M370=B370,"si","no"))</f>
        <v>si</v>
      </c>
      <c r="O370" s="56"/>
      <c r="P370" s="56"/>
      <c r="Q370" s="48"/>
      <c r="R370" s="48"/>
      <c r="T370" s="2"/>
      <c r="U370" s="2"/>
      <c r="V370" s="2"/>
    </row>
    <row r="371" spans="1:23" ht="12.75" customHeight="1" x14ac:dyDescent="0.2">
      <c r="A371" s="22">
        <f>'6.A'!$A$169</f>
        <v>49531</v>
      </c>
      <c r="B371" s="23" t="str">
        <f>IF(A371="","",VLOOKUP(A371,'6.A'!$A$11:$G$180,2,FALSE))</f>
        <v>CONECTOR COM RABICHO, PORCA 3/8", ROSCA, EM LATÃO NATURAL, PARA CABO 16 ATÉ 35MM²</v>
      </c>
      <c r="C371" s="99">
        <v>2</v>
      </c>
      <c r="D371" s="57" t="str">
        <f>IF(A371="","",VLOOKUP(A371,'6.A'!$A$11:$G$180,4,FALSE))</f>
        <v>UN</v>
      </c>
      <c r="E371" s="100">
        <f>IF(A371="","",VLOOKUP(A371,'6.A'!$A$11:$G$180,5,FALSE))</f>
        <v>0</v>
      </c>
      <c r="F371" s="24">
        <f t="shared" si="156"/>
        <v>0</v>
      </c>
      <c r="G371" s="52"/>
      <c r="H371" s="52">
        <f>IF(A371="","",VLOOKUP(A371,'6.A'!$A$11:$E$7984,5,FALSE))</f>
        <v>0</v>
      </c>
      <c r="I371" s="52" t="str">
        <f t="shared" si="157"/>
        <v>SIM</v>
      </c>
      <c r="J371" s="52" t="str">
        <f>IF(H371="","",VLOOKUP(A371,'6.A'!$A$11:$E$564,4,FALSE))</f>
        <v>UN</v>
      </c>
      <c r="K371" s="52" t="str">
        <f t="shared" si="158"/>
        <v>SIM</v>
      </c>
      <c r="L371" s="52">
        <f>IF(H371="","",IF(C371="","",G324*C371))</f>
        <v>2</v>
      </c>
      <c r="M371" s="117" t="str">
        <f>IF(A371="","",VLOOKUP(A371,'6.A'!$A$11:$C$564,2,FALSE))</f>
        <v>CONECTOR COM RABICHO, PORCA 3/8", ROSCA, EM LATÃO NATURAL, PARA CABO 16 ATÉ 35MM²</v>
      </c>
      <c r="N371" s="57" t="str">
        <f t="shared" si="159"/>
        <v>si</v>
      </c>
      <c r="O371" s="56"/>
      <c r="P371" s="56"/>
      <c r="Q371" s="48"/>
      <c r="R371" s="48"/>
    </row>
    <row r="372" spans="1:23" ht="12.75" customHeight="1" x14ac:dyDescent="0.2">
      <c r="A372" s="22">
        <f>'6.A'!$A$180</f>
        <v>92152</v>
      </c>
      <c r="B372" s="23" t="str">
        <f>IF(A372="","",VLOOKUP(A372,'6.A'!$A$11:$G$180,2,FALSE))</f>
        <v>PARA-RAIOS DE DISTRIBUIÇÃO, CLASSE 12 KV / 10 KA, ENCAPSULADO COM POLÍMERO</v>
      </c>
      <c r="C372" s="99">
        <v>3</v>
      </c>
      <c r="D372" s="57" t="str">
        <f>IF(A372="","",VLOOKUP(A372,'6.A'!$A$11:$G$180,4,FALSE))</f>
        <v>UN</v>
      </c>
      <c r="E372" s="100">
        <f>IF(A372="","",VLOOKUP(A372,'6.A'!$A$11:$G$180,5,FALSE))</f>
        <v>0</v>
      </c>
      <c r="F372" s="24">
        <f t="shared" si="156"/>
        <v>0</v>
      </c>
      <c r="G372" s="52"/>
      <c r="H372" s="52">
        <f>IF(A372="","",VLOOKUP(A372,'6.A'!$A$11:$E$7984,5,FALSE))</f>
        <v>0</v>
      </c>
      <c r="I372" s="52" t="str">
        <f t="shared" si="157"/>
        <v>SIM</v>
      </c>
      <c r="J372" s="52" t="str">
        <f>IF(H372="","",VLOOKUP(A372,'6.A'!$A$11:$E$564,4,FALSE))</f>
        <v>UN</v>
      </c>
      <c r="K372" s="52" t="str">
        <f t="shared" si="158"/>
        <v>SIM</v>
      </c>
      <c r="L372" s="52">
        <f>IF(H372="","",IF(C372="","",G324*C372))</f>
        <v>3</v>
      </c>
      <c r="M372" s="117" t="str">
        <f>IF(A372="","",VLOOKUP(A372,'6.A'!$A$11:$C$564,2,FALSE))</f>
        <v>PARA-RAIOS DE DISTRIBUIÇÃO, CLASSE 12 KV / 10 KA, ENCAPSULADO COM POLÍMERO</v>
      </c>
      <c r="N372" s="57" t="str">
        <f t="shared" si="159"/>
        <v>si</v>
      </c>
      <c r="O372" s="56"/>
      <c r="P372" s="56"/>
      <c r="Q372" s="48"/>
      <c r="R372" s="48"/>
    </row>
    <row r="373" spans="1:23" ht="12.75" customHeight="1" x14ac:dyDescent="0.2">
      <c r="A373" s="22"/>
      <c r="B373" s="26" t="str">
        <f>$A$9</f>
        <v>BDI</v>
      </c>
      <c r="C373" s="40">
        <f>$C$9</f>
        <v>0</v>
      </c>
      <c r="D373" s="57"/>
      <c r="F373" s="28">
        <f>ROUND(SUM(F353:F372)*C373,2)</f>
        <v>0</v>
      </c>
      <c r="G373" s="63"/>
      <c r="M373" s="57"/>
      <c r="N373" s="57"/>
      <c r="O373" s="56"/>
      <c r="P373" s="56"/>
      <c r="Q373" s="48"/>
      <c r="R373" s="48"/>
    </row>
    <row r="374" spans="1:23" ht="12.75" customHeight="1" thickBot="1" x14ac:dyDescent="0.25">
      <c r="A374" s="41"/>
      <c r="B374" s="42" t="s">
        <v>57</v>
      </c>
      <c r="C374" s="43"/>
      <c r="D374" s="44"/>
      <c r="E374" s="45"/>
      <c r="F374" s="46">
        <f>ROUND(SUM(F353:F373),2)</f>
        <v>0</v>
      </c>
      <c r="G374" s="63"/>
      <c r="M374" s="57"/>
      <c r="N374" s="57"/>
      <c r="O374" s="56"/>
      <c r="P374" s="56"/>
      <c r="Q374" s="48"/>
      <c r="R374" s="48"/>
    </row>
    <row r="375" spans="1:23" ht="12" customHeight="1" thickBot="1" x14ac:dyDescent="0.25">
      <c r="A375" s="8"/>
      <c r="B375" s="9"/>
      <c r="C375" s="10"/>
      <c r="D375" s="57"/>
      <c r="F375" s="12"/>
      <c r="M375" s="57"/>
      <c r="N375" s="57"/>
      <c r="O375" s="56"/>
      <c r="P375" s="56"/>
    </row>
    <row r="376" spans="1:23" ht="50.1" customHeight="1" x14ac:dyDescent="0.2">
      <c r="A376" s="243" t="str">
        <f>'3.A'!$A$29</f>
        <v>2.4</v>
      </c>
      <c r="B376" s="14" t="str">
        <f>IF(A376="","",VLOOKUP(A376,'3.A'!$A$17:$M$279,2,FALSE))</f>
        <v>TE-06 ENTRADA PRIMÁRIA SIMPLIF. POSTE UNICO - CPFL - 225 KVA - 15KV- 220/127 V - INFRAESTRUTURA ELÉTRICA - BAIXA TENSÃO</v>
      </c>
      <c r="C376" s="413" t="s">
        <v>62</v>
      </c>
      <c r="D376" s="413"/>
      <c r="E376" s="15" t="str">
        <f>IF(A376="","",VLOOKUP(A376,'3.A'!$A$17:$M$279,3,FALSE))</f>
        <v>UN</v>
      </c>
      <c r="F376" s="16">
        <f>ROUND(F390+F403+F426,2)</f>
        <v>0</v>
      </c>
      <c r="G376" s="118">
        <f>VLOOKUP(A376,'3.A'!$A$19:$I$279,4,FALSE)</f>
        <v>1</v>
      </c>
      <c r="H376" s="47">
        <f>SUM(F378:F389)</f>
        <v>0</v>
      </c>
      <c r="I376" s="47">
        <f>SUM(F392:F402)</f>
        <v>0</v>
      </c>
      <c r="J376" s="47">
        <f>SUM(F405:F425)</f>
        <v>0</v>
      </c>
      <c r="K376" s="47">
        <f>SUM(H376:J376)</f>
        <v>0</v>
      </c>
      <c r="L376" s="47" t="str">
        <f>IF(K376=F376,"SIM","NÃO")</f>
        <v>SIM</v>
      </c>
      <c r="M376" s="58">
        <f>ROUND(SUM(F378:F387)*C388,2)+ROUND(SUM(F378:F388)*C389,2)+ROUND(SUM(F378:F387),2)+ROUND(SUM(F392:F401)*C402,2)+ROUND(SUM(F392:F401),2)+ROUND(SUM(F405:F424)*C425,2)+ROUND(SUM(F405:F424),2)</f>
        <v>0</v>
      </c>
      <c r="N376" s="50" t="str">
        <f>IF(M376=F376,"SIM","NÃO")</f>
        <v>SIM</v>
      </c>
      <c r="O376" s="51" t="str">
        <f>VLOOKUP(A376,'3.A'!$A$8:$E$279,3,FALSE)</f>
        <v>UN</v>
      </c>
      <c r="P376" s="51" t="str">
        <f>IF(O376=E376,"SIM","NÃO")</f>
        <v>SIM</v>
      </c>
      <c r="Q376" s="53">
        <f>ROUND(G376*F390,2)+ROUND(G376*F403,2)+ROUND(G376*F426,2)</f>
        <v>0</v>
      </c>
      <c r="R376" s="59">
        <f>VLOOKUP(A376,'3.A'!$A$17:$L$279,12,FALSE)</f>
        <v>0</v>
      </c>
      <c r="S376" s="60" t="str">
        <f>IF(Q376=R376,"si","no")</f>
        <v>si</v>
      </c>
      <c r="T376" s="61">
        <f>SUM(L378:L387)+SUM(L392:L401)+SUM(L405:L424)</f>
        <v>146.08623</v>
      </c>
      <c r="U376" s="52">
        <f>G376*C384+G376*C386+G376*C379+G376*C380+G376*C382+G376*C385+G376*C383+G376*C378+G376*C381+G376*C387+G376*C398+G376*C392+G376*C400+G376*C399+G376*C397+G376*C394+G376*C393+G376*C395+G376*C401+G376*C396+G376*C405+G376*C406+G376*C407+G376*C415+G376*C416+G376*C417+G376*C418+G376*C419+G376*C420+G376*C421+G376*C422+G376*C423+G376*C424+G376*C413+G376*C414+G376*C408+G376*C409+G376*C410+G376*C411+G376*C412</f>
        <v>146.08623</v>
      </c>
      <c r="V376" s="54" t="str">
        <f>IF(T376=U376,"si","no")</f>
        <v>si</v>
      </c>
      <c r="W376" s="137"/>
    </row>
    <row r="377" spans="1:23" ht="12.75" customHeight="1" x14ac:dyDescent="0.2">
      <c r="A377" s="17" t="s">
        <v>3</v>
      </c>
      <c r="B377" s="18" t="s">
        <v>58</v>
      </c>
      <c r="C377" s="56" t="s">
        <v>59</v>
      </c>
      <c r="D377" s="56" t="s">
        <v>16</v>
      </c>
      <c r="E377" s="19" t="s">
        <v>60</v>
      </c>
      <c r="F377" s="20" t="s">
        <v>61</v>
      </c>
      <c r="G377" s="21"/>
      <c r="M377" s="57"/>
      <c r="N377" s="57"/>
      <c r="O377" s="56"/>
      <c r="P377" s="56"/>
      <c r="Q377" s="48"/>
      <c r="R377" s="48"/>
    </row>
    <row r="378" spans="1:23" ht="12.75" customHeight="1" x14ac:dyDescent="0.2">
      <c r="A378" s="22">
        <f>'6.A'!$A$15</f>
        <v>88247</v>
      </c>
      <c r="B378" s="23" t="str">
        <f>IF(A378="","",VLOOKUP(A378,'6.A'!$A$11:$G$180,2,FALSE))</f>
        <v>AUXILIAR DE ELETRICISTA COM ENCARGOS COMPLEMENTARES</v>
      </c>
      <c r="C378" s="99">
        <f>65/2</f>
        <v>32.5</v>
      </c>
      <c r="D378" s="57" t="str">
        <f>IF(A378="","",VLOOKUP(A378,'6.A'!$A$11:$G$180,4,FALSE))</f>
        <v>H</v>
      </c>
      <c r="E378" s="100">
        <f>IF(A378="","",VLOOKUP(A378,'6.A'!$A$11:$G$180,5,FALSE))</f>
        <v>0</v>
      </c>
      <c r="F378" s="24">
        <f t="shared" ref="F378:F387" si="160">IF(A378="","0,00",ROUND(C378*E378,2))</f>
        <v>0</v>
      </c>
      <c r="G378" s="52"/>
      <c r="H378" s="52">
        <f>IF(A378="","",VLOOKUP(A378,'6.A'!$A$11:$E$7984,5,FALSE))</f>
        <v>0</v>
      </c>
      <c r="I378" s="52" t="str">
        <f>IF(H378="","",IF(E378=H378,"SIM","NÃO"))</f>
        <v>SIM</v>
      </c>
      <c r="J378" s="52" t="str">
        <f>IF(H378="","",VLOOKUP(A378,'6.A'!$A$11:$E$564,4,FALSE))</f>
        <v>H</v>
      </c>
      <c r="K378" s="52" t="str">
        <f>IF(H378="","",IF(J378=D378,"SIM","NÃO"))</f>
        <v>SIM</v>
      </c>
      <c r="L378" s="52">
        <f>IF(H378="","",IF(C378="","",G376*C378))</f>
        <v>32.5</v>
      </c>
      <c r="M378" s="117" t="str">
        <f>IF(A378="","",VLOOKUP(A378,'6.A'!$A$11:$C$564,2,FALSE))</f>
        <v>AUXILIAR DE ELETRICISTA COM ENCARGOS COMPLEMENTARES</v>
      </c>
      <c r="N378" s="57" t="str">
        <f>IF(A378="","",IF(M378=B378,"si","no"))</f>
        <v>si</v>
      </c>
      <c r="O378" s="56"/>
      <c r="P378" s="56"/>
      <c r="Q378" s="48"/>
      <c r="R378" s="48"/>
    </row>
    <row r="379" spans="1:23" ht="12.75" customHeight="1" x14ac:dyDescent="0.2">
      <c r="A379" s="22">
        <f>'6.A'!$A$18</f>
        <v>88264</v>
      </c>
      <c r="B379" s="23" t="str">
        <f>IF(A379="","",VLOOKUP(A379,'6.A'!$A$11:$G$180,2,FALSE))</f>
        <v>ELETRICISTA COM ENCARGOS COMPLEMENTARES</v>
      </c>
      <c r="C379" s="99">
        <f>65/2</f>
        <v>32.5</v>
      </c>
      <c r="D379" s="57" t="str">
        <f>IF(A379="","",VLOOKUP(A379,'6.A'!$A$11:$G$180,4,FALSE))</f>
        <v>H</v>
      </c>
      <c r="E379" s="100">
        <f>IF(A379="","",VLOOKUP(A379,'6.A'!$A$11:$G$180,5,FALSE))</f>
        <v>0</v>
      </c>
      <c r="F379" s="24">
        <f>IF(A379="","0,00",ROUND(C379*E379,2))</f>
        <v>0</v>
      </c>
      <c r="G379" s="52"/>
      <c r="H379" s="52">
        <f>IF(A379="","",VLOOKUP(A379,'6.A'!$A$11:$E$7984,5,FALSE))</f>
        <v>0</v>
      </c>
      <c r="I379" s="52" t="str">
        <f>IF(H379="","",IF(E379=H379,"SIM","NÃO"))</f>
        <v>SIM</v>
      </c>
      <c r="J379" s="52" t="str">
        <f>IF(H379="","",VLOOKUP(A379,'6.A'!$A$11:$E$564,4,FALSE))</f>
        <v>H</v>
      </c>
      <c r="K379" s="52" t="str">
        <f>IF(H379="","",IF(J379=D379,"SIM","NÃO"))</f>
        <v>SIM</v>
      </c>
      <c r="L379" s="52">
        <f>IF(H379="","",IF(C379="","",G376*C379))</f>
        <v>32.5</v>
      </c>
      <c r="M379" s="117" t="str">
        <f>IF(A379="","",VLOOKUP(A379,'6.A'!$A$11:$C$564,2,FALSE))</f>
        <v>ELETRICISTA COM ENCARGOS COMPLEMENTARES</v>
      </c>
      <c r="N379" s="57" t="str">
        <f>IF(A379="","",IF(M379=B379,"si","no"))</f>
        <v>si</v>
      </c>
      <c r="O379" s="56"/>
      <c r="P379" s="56"/>
      <c r="Q379" s="48"/>
      <c r="R379" s="48"/>
    </row>
    <row r="380" spans="1:23" ht="12.75" customHeight="1" x14ac:dyDescent="0.2">
      <c r="A380" s="22"/>
      <c r="B380" s="23" t="str">
        <f>IF(A380="","",VLOOKUP(A380,'6.A'!$A$11:$G$180,2,FALSE))</f>
        <v/>
      </c>
      <c r="C380" s="99"/>
      <c r="D380" s="57" t="str">
        <f>IF(A380="","",VLOOKUP(A380,'6.A'!$A$11:$G$180,4,FALSE))</f>
        <v/>
      </c>
      <c r="E380" s="100" t="str">
        <f>IF(A380="","",VLOOKUP(A380,'6.A'!$A$11:$G$180,5,FALSE))</f>
        <v/>
      </c>
      <c r="F380" s="24" t="str">
        <f t="shared" si="160"/>
        <v>0,00</v>
      </c>
      <c r="G380" s="52"/>
      <c r="H380" s="52" t="str">
        <f>IF(A380="","",VLOOKUP(A380,'6.A'!$A$11:$E$7984,5,FALSE))</f>
        <v/>
      </c>
      <c r="I380" s="52" t="str">
        <f>IF(H380="","",IF(E380=H380,"SIM","NÃO"))</f>
        <v/>
      </c>
      <c r="J380" s="52" t="str">
        <f>IF(H380="","",VLOOKUP(A380,'6.A'!$A$11:$E$564,4,FALSE))</f>
        <v/>
      </c>
      <c r="K380" s="52" t="str">
        <f t="shared" ref="K380" si="161">IF(H380="","",IF(J380=D380,"SIM","NÃO"))</f>
        <v/>
      </c>
      <c r="L380" s="52" t="str">
        <f>IF(H380="","",IF(C380="","",G376*C380))</f>
        <v/>
      </c>
      <c r="M380" s="117" t="str">
        <f>IF(A380="","",VLOOKUP(A380,'6.A'!$A$11:$C$564,2,FALSE))</f>
        <v/>
      </c>
      <c r="N380" s="57" t="str">
        <f t="shared" ref="N380" si="162">IF(A380="","",IF(M380=B380,"si","no"))</f>
        <v/>
      </c>
      <c r="O380" s="56"/>
      <c r="P380" s="56"/>
      <c r="Q380" s="48"/>
      <c r="R380" s="48"/>
      <c r="S380" s="2"/>
    </row>
    <row r="381" spans="1:23" ht="12.75" customHeight="1" x14ac:dyDescent="0.2">
      <c r="A381" s="22"/>
      <c r="B381" s="23" t="str">
        <f>IF(A381="","",VLOOKUP(A381,'6.A'!$A$11:$G$180,2,FALSE))</f>
        <v/>
      </c>
      <c r="C381" s="99"/>
      <c r="D381" s="57" t="str">
        <f>IF(A381="","",VLOOKUP(A381,'6.A'!$A$11:$G$180,4,FALSE))</f>
        <v/>
      </c>
      <c r="E381" s="100" t="str">
        <f>IF(A381="","",VLOOKUP(A381,'6.A'!$A$11:$G$180,5,FALSE))</f>
        <v/>
      </c>
      <c r="F381" s="24" t="str">
        <f t="shared" si="160"/>
        <v>0,00</v>
      </c>
      <c r="G381" s="52"/>
      <c r="H381" s="52" t="str">
        <f>IF(A381="","",VLOOKUP(A381,'6.A'!$A$11:$E$7984,5,FALSE))</f>
        <v/>
      </c>
      <c r="I381" s="52" t="str">
        <f>IF(H381="","",IF(E381=H381,"SIM","NÃO"))</f>
        <v/>
      </c>
      <c r="J381" s="52" t="str">
        <f>IF(H381="","",VLOOKUP(A381,'6.A'!$A$11:$E$564,4,FALSE))</f>
        <v/>
      </c>
      <c r="K381" s="52" t="str">
        <f>IF(H381="","",IF(J381=D381,"SIM","NÃO"))</f>
        <v/>
      </c>
      <c r="L381" s="52" t="str">
        <f>IF(H381="","",IF(C381="","",G376*C381))</f>
        <v/>
      </c>
      <c r="M381" s="117" t="str">
        <f>IF(A381="","",VLOOKUP(A381,'6.A'!$A$11:$C$564,2,FALSE))</f>
        <v/>
      </c>
      <c r="N381" s="57" t="str">
        <f>IF(A381="","",IF(M381=B381,"si","no"))</f>
        <v/>
      </c>
      <c r="O381" s="56"/>
      <c r="P381" s="56"/>
      <c r="Q381" s="48"/>
      <c r="R381" s="48"/>
      <c r="S381" s="2"/>
    </row>
    <row r="382" spans="1:23" ht="12.75" customHeight="1" x14ac:dyDescent="0.2">
      <c r="A382" s="22"/>
      <c r="B382" s="23" t="str">
        <f>IF(A382="","",VLOOKUP(A382,'6.A'!$A$11:$G$180,2,FALSE))</f>
        <v/>
      </c>
      <c r="C382" s="99"/>
      <c r="D382" s="57" t="str">
        <f>IF(A382="","",VLOOKUP(A382,'6.A'!$A$11:$G$180,4,FALSE))</f>
        <v/>
      </c>
      <c r="E382" s="101" t="str">
        <f>IF(A382="","",VLOOKUP(A382,'6.A'!$A$11:$G$180,5,FALSE))</f>
        <v/>
      </c>
      <c r="F382" s="24" t="str">
        <f t="shared" si="160"/>
        <v>0,00</v>
      </c>
      <c r="G382" s="52"/>
      <c r="H382" s="52" t="str">
        <f>IF(A382="","",VLOOKUP(A382,'6.A'!$A$11:$E$7984,5,FALSE))</f>
        <v/>
      </c>
      <c r="I382" s="52" t="str">
        <f t="shared" ref="I382" si="163">IF(H382="","",IF(E382=H382,"SIM","NÃO"))</f>
        <v/>
      </c>
      <c r="J382" s="52" t="str">
        <f>IF(H382="","",VLOOKUP(A382,'6.A'!$A$11:$E$564,4,FALSE))</f>
        <v/>
      </c>
      <c r="K382" s="52" t="str">
        <f t="shared" ref="K382" si="164">IF(H382="","",IF(J382=D382,"SIM","NÃO"))</f>
        <v/>
      </c>
      <c r="L382" s="52" t="str">
        <f>IF(H382="","",IF(C382="","",G376*C382))</f>
        <v/>
      </c>
      <c r="M382" s="117" t="str">
        <f>IF(A382="","",VLOOKUP(A382,'6.A'!$A$11:$C$564,2,FALSE))</f>
        <v/>
      </c>
      <c r="N382" s="57" t="str">
        <f t="shared" ref="N382" si="165">IF(A382="","",IF(M382=B382,"si","no"))</f>
        <v/>
      </c>
      <c r="O382" s="56"/>
      <c r="P382" s="56"/>
      <c r="Q382" s="48"/>
      <c r="R382" s="48"/>
      <c r="S382" s="2"/>
    </row>
    <row r="383" spans="1:23" ht="12.75" customHeight="1" x14ac:dyDescent="0.2">
      <c r="A383" s="22"/>
      <c r="B383" s="23" t="str">
        <f>IF(A383="","",VLOOKUP(A383,'6.A'!$A$11:$G$180,2,FALSE))</f>
        <v/>
      </c>
      <c r="C383" s="99"/>
      <c r="D383" s="57" t="str">
        <f>IF(A383="","",VLOOKUP(A383,'6.A'!$A$11:$G$180,4,FALSE))</f>
        <v/>
      </c>
      <c r="E383" s="101" t="str">
        <f>IF(A383="","",VLOOKUP(A383,'6.A'!$A$11:$G$180,5,FALSE))</f>
        <v/>
      </c>
      <c r="F383" s="24" t="str">
        <f t="shared" si="160"/>
        <v>0,00</v>
      </c>
      <c r="G383" s="52"/>
      <c r="H383" s="52" t="str">
        <f>IF(A383="","",VLOOKUP(A383,'6.A'!$A$11:$E$7984,5,FALSE))</f>
        <v/>
      </c>
      <c r="I383" s="52" t="str">
        <f>IF(H383="","",IF(E383=H383,"SIM","NÃO"))</f>
        <v/>
      </c>
      <c r="J383" s="52" t="str">
        <f>IF(H383="","",VLOOKUP(A383,'6.A'!$A$11:$E$564,4,FALSE))</f>
        <v/>
      </c>
      <c r="K383" s="52" t="str">
        <f>IF(H383="","",IF(J383=D383,"SIM","NÃO"))</f>
        <v/>
      </c>
      <c r="L383" s="52" t="str">
        <f>IF(H383="","",IF(C383="","",G376*C383))</f>
        <v/>
      </c>
      <c r="M383" s="117" t="str">
        <f>IF(A383="","",VLOOKUP(A383,'6.A'!$A$11:$C$564,2,FALSE))</f>
        <v/>
      </c>
      <c r="N383" s="57" t="str">
        <f>IF(A383="","",IF(M383=B383,"si","no"))</f>
        <v/>
      </c>
      <c r="O383" s="56"/>
      <c r="P383" s="56"/>
      <c r="Q383" s="48"/>
      <c r="R383" s="48"/>
      <c r="S383" s="2"/>
    </row>
    <row r="384" spans="1:23" ht="12.75" customHeight="1" x14ac:dyDescent="0.2">
      <c r="A384" s="22"/>
      <c r="B384" s="23" t="str">
        <f>IF(A384="","",VLOOKUP(A384,'6.A'!$A$11:$G$180,2,FALSE))</f>
        <v/>
      </c>
      <c r="C384" s="99"/>
      <c r="D384" s="57" t="str">
        <f>IF(A384="","",VLOOKUP(A384,'6.A'!$A$11:$G$180,4,FALSE))</f>
        <v/>
      </c>
      <c r="E384" s="100" t="str">
        <f>IF(A384="","",VLOOKUP(A384,'6.A'!$A$11:$G$180,5,FALSE))</f>
        <v/>
      </c>
      <c r="F384" s="24" t="str">
        <f t="shared" si="160"/>
        <v>0,00</v>
      </c>
      <c r="G384" s="52"/>
      <c r="H384" s="52" t="str">
        <f>IF(A384="","",VLOOKUP(A384,'6.A'!$A$11:$E$7984,5,FALSE))</f>
        <v/>
      </c>
      <c r="I384" s="52" t="str">
        <f>IF(H384="","",IF(E384=H384,"SIM","NÃO"))</f>
        <v/>
      </c>
      <c r="J384" s="52" t="str">
        <f>IF(H384="","",VLOOKUP(A384,'6.A'!$A$11:$E$564,4,FALSE))</f>
        <v/>
      </c>
      <c r="K384" s="52" t="str">
        <f>IF(H384="","",IF(J384=D384,"SIM","NÃO"))</f>
        <v/>
      </c>
      <c r="L384" s="52" t="str">
        <f>IF(H384="","",IF(C384="","",G376*C384))</f>
        <v/>
      </c>
      <c r="M384" s="117" t="str">
        <f>IF(A384="","",VLOOKUP(A384,'6.A'!$A$11:$C$564,2,FALSE))</f>
        <v/>
      </c>
      <c r="N384" s="57" t="str">
        <f>IF(A384="","",IF(M384=B384,"si","no"))</f>
        <v/>
      </c>
      <c r="O384" s="56"/>
      <c r="P384" s="56"/>
      <c r="Q384" s="48"/>
      <c r="R384" s="48"/>
      <c r="S384" s="2"/>
    </row>
    <row r="385" spans="1:19" ht="12.75" customHeight="1" x14ac:dyDescent="0.2">
      <c r="A385" s="22"/>
      <c r="B385" s="23" t="str">
        <f>IF(A385="","",VLOOKUP(A385,'6.A'!$A$11:$G$180,2,FALSE))</f>
        <v/>
      </c>
      <c r="C385" s="99"/>
      <c r="D385" s="57" t="str">
        <f>IF(A385="","",VLOOKUP(A385,'6.A'!$A$11:$G$180,4,FALSE))</f>
        <v/>
      </c>
      <c r="E385" s="100" t="str">
        <f>IF(A385="","",VLOOKUP(A385,'6.A'!$A$11:$G$180,5,FALSE))</f>
        <v/>
      </c>
      <c r="F385" s="24" t="str">
        <f t="shared" si="160"/>
        <v>0,00</v>
      </c>
      <c r="G385" s="52"/>
      <c r="H385" s="52" t="str">
        <f>IF(A385="","",VLOOKUP(A385,'6.A'!$A$11:$E$7984,5,FALSE))</f>
        <v/>
      </c>
      <c r="I385" s="52" t="str">
        <f t="shared" ref="I385" si="166">IF(H385="","",IF(E385=H385,"SIM","NÃO"))</f>
        <v/>
      </c>
      <c r="J385" s="52" t="str">
        <f>IF(H385="","",VLOOKUP(A385,'6.A'!$A$11:$E$564,4,FALSE))</f>
        <v/>
      </c>
      <c r="K385" s="52" t="str">
        <f t="shared" ref="K385" si="167">IF(H385="","",IF(J385=D385,"SIM","NÃO"))</f>
        <v/>
      </c>
      <c r="L385" s="52" t="str">
        <f>IF(H385="","",IF(C385="","",G376*C385))</f>
        <v/>
      </c>
      <c r="M385" s="117" t="str">
        <f>IF(A385="","",VLOOKUP(A385,'6.A'!$A$11:$C$564,2,FALSE))</f>
        <v/>
      </c>
      <c r="N385" s="57" t="str">
        <f t="shared" ref="N385" si="168">IF(A385="","",IF(M385=B385,"si","no"))</f>
        <v/>
      </c>
      <c r="O385" s="56"/>
      <c r="P385" s="56"/>
      <c r="Q385" s="48"/>
      <c r="R385" s="48"/>
      <c r="S385" s="2"/>
    </row>
    <row r="386" spans="1:19" ht="12.75" customHeight="1" x14ac:dyDescent="0.2">
      <c r="A386" s="22"/>
      <c r="B386" s="23" t="str">
        <f>IF(A386="","",VLOOKUP(A386,'6.A'!$A$11:$G$180,2,FALSE))</f>
        <v/>
      </c>
      <c r="C386" s="99"/>
      <c r="D386" s="73" t="str">
        <f>IF(A386="","",VLOOKUP(A386,'6.A'!$A$11:$G$180,4,FALSE))</f>
        <v/>
      </c>
      <c r="E386" s="101" t="str">
        <f>IF(A386="","",VLOOKUP(A386,'6.A'!$A$11:$G$180,5,FALSE))</f>
        <v/>
      </c>
      <c r="F386" s="24" t="str">
        <f t="shared" si="160"/>
        <v>0,00</v>
      </c>
      <c r="G386" s="52"/>
      <c r="H386" s="52" t="str">
        <f>IF(A386="","",VLOOKUP(A386,'6.A'!$A$11:$E$7984,5,FALSE))</f>
        <v/>
      </c>
      <c r="I386" s="52" t="str">
        <f>IF(H386="","",IF(E386=H386,"SIM","NÃO"))</f>
        <v/>
      </c>
      <c r="J386" s="52" t="str">
        <f>IF(H386="","",VLOOKUP(A386,'6.A'!$A$11:$E$564,4,FALSE))</f>
        <v/>
      </c>
      <c r="K386" s="52" t="str">
        <f>IF(H386="","",IF(J386=D386,"SIM","NÃO"))</f>
        <v/>
      </c>
      <c r="L386" s="52" t="str">
        <f>IF(H386="","",IF(C386="","",G376*C386))</f>
        <v/>
      </c>
      <c r="M386" s="117" t="str">
        <f>IF(A386="","",VLOOKUP(A386,'6.A'!$A$11:$C$564,2,FALSE))</f>
        <v/>
      </c>
      <c r="N386" s="57" t="str">
        <f>IF(A386="","",IF(M386=B386,"si","no"))</f>
        <v/>
      </c>
      <c r="O386" s="56"/>
      <c r="P386" s="56"/>
      <c r="Q386" s="48"/>
      <c r="R386" s="48"/>
      <c r="S386" s="2"/>
    </row>
    <row r="387" spans="1:19" ht="12.75" customHeight="1" x14ac:dyDescent="0.2">
      <c r="A387" s="22"/>
      <c r="B387" s="23" t="str">
        <f>IF(A387="","",VLOOKUP(A387,'6.A'!$A$11:$G$180,2,FALSE))</f>
        <v/>
      </c>
      <c r="C387" s="99"/>
      <c r="D387" s="25" t="str">
        <f>IF(A387="","",VLOOKUP(A387,'6.A'!$A$11:$G$180,4,FALSE))</f>
        <v/>
      </c>
      <c r="E387" s="101" t="str">
        <f>IF(A387="","",VLOOKUP(A387,'6.A'!$A$11:$G$180,5,FALSE))</f>
        <v/>
      </c>
      <c r="F387" s="24" t="str">
        <f t="shared" si="160"/>
        <v>0,00</v>
      </c>
      <c r="G387" s="52"/>
      <c r="H387" s="52" t="str">
        <f>IF(A387="","",VLOOKUP(A387,'6.A'!$A$11:$E$7984,5,FALSE))</f>
        <v/>
      </c>
      <c r="I387" s="52" t="str">
        <f t="shared" ref="I387" si="169">IF(H387="","",IF(E387=H387,"SIM","NÃO"))</f>
        <v/>
      </c>
      <c r="J387" s="52" t="str">
        <f>IF(H387="","",VLOOKUP(A387,'6.A'!$A$11:$E$564,4,FALSE))</f>
        <v/>
      </c>
      <c r="K387" s="52" t="str">
        <f t="shared" ref="K387" si="170">IF(H387="","",IF(J387=D387,"SIM","NÃO"))</f>
        <v/>
      </c>
      <c r="L387" s="52" t="str">
        <f>IF(H387="","",IF(C387="","",G376*C387))</f>
        <v/>
      </c>
      <c r="M387" s="117" t="str">
        <f>IF(A387="","",VLOOKUP(A387,'6.A'!$A$11:$C$564,2,FALSE))</f>
        <v/>
      </c>
      <c r="N387" s="57" t="str">
        <f t="shared" ref="N387" si="171">IF(A387="","",IF(M387=B387,"si","no"))</f>
        <v/>
      </c>
      <c r="O387" s="56"/>
      <c r="P387" s="56"/>
      <c r="Q387" s="48"/>
      <c r="R387" s="48"/>
      <c r="S387" s="2"/>
    </row>
    <row r="388" spans="1:19" ht="12.75" customHeight="1" x14ac:dyDescent="0.2">
      <c r="A388" s="17"/>
      <c r="B388" s="26" t="str">
        <f>$A$8</f>
        <v>LEIS SOCIAIS HORISTA - JORNADA NORMAL</v>
      </c>
      <c r="C388" s="27">
        <f>$C$8</f>
        <v>0</v>
      </c>
      <c r="D388" s="57"/>
      <c r="F388" s="28">
        <f>ROUND(SUM(F378:F387)*C388,2)</f>
        <v>0</v>
      </c>
      <c r="G388" s="63"/>
      <c r="M388" s="62"/>
      <c r="N388" s="57"/>
      <c r="O388" s="56"/>
      <c r="P388" s="56"/>
      <c r="Q388" s="48"/>
      <c r="R388" s="48"/>
      <c r="S388" s="2"/>
    </row>
    <row r="389" spans="1:19" ht="12.75" customHeight="1" x14ac:dyDescent="0.2">
      <c r="A389" s="22"/>
      <c r="B389" s="26" t="str">
        <f>$A$9</f>
        <v>BDI</v>
      </c>
      <c r="C389" s="27">
        <f>$C$9</f>
        <v>0</v>
      </c>
      <c r="D389" s="29"/>
      <c r="F389" s="28">
        <f>ROUND(SUM(F378:F388)*C389,2)</f>
        <v>0</v>
      </c>
      <c r="G389" s="63"/>
      <c r="M389" s="62"/>
      <c r="N389" s="57"/>
      <c r="O389" s="56"/>
      <c r="P389" s="56"/>
      <c r="Q389" s="48"/>
      <c r="R389" s="48"/>
      <c r="S389" s="2"/>
    </row>
    <row r="390" spans="1:19" ht="12.75" customHeight="1" x14ac:dyDescent="0.2">
      <c r="A390" s="30"/>
      <c r="B390" s="31" t="s">
        <v>56</v>
      </c>
      <c r="C390" s="32"/>
      <c r="D390" s="33"/>
      <c r="E390" s="34"/>
      <c r="F390" s="35">
        <f>ROUND(SUM(F378:F389),2)</f>
        <v>0</v>
      </c>
      <c r="G390" s="63"/>
      <c r="M390" s="62"/>
      <c r="N390" s="57"/>
      <c r="O390" s="56"/>
      <c r="P390" s="56"/>
      <c r="Q390" s="48"/>
      <c r="R390" s="48"/>
      <c r="S390" s="2"/>
    </row>
    <row r="391" spans="1:19" ht="12.75" customHeight="1" x14ac:dyDescent="0.2">
      <c r="A391" s="17" t="s">
        <v>5</v>
      </c>
      <c r="B391" s="153" t="s">
        <v>130</v>
      </c>
      <c r="C391" s="56" t="s">
        <v>59</v>
      </c>
      <c r="D391" s="56" t="s">
        <v>16</v>
      </c>
      <c r="E391" s="19" t="s">
        <v>60</v>
      </c>
      <c r="F391" s="20" t="s">
        <v>61</v>
      </c>
      <c r="G391" s="21"/>
      <c r="M391" s="62"/>
      <c r="N391" s="57"/>
      <c r="O391" s="56"/>
      <c r="P391" s="56"/>
      <c r="Q391" s="48"/>
      <c r="R391" s="48"/>
      <c r="S391" s="2"/>
    </row>
    <row r="392" spans="1:19" ht="12.75" customHeight="1" x14ac:dyDescent="0.2">
      <c r="A392" s="22"/>
      <c r="B392" s="23" t="str">
        <f>IF(A392="","",VLOOKUP(A392,'6.A'!$A$11:$G$180,2,FALSE))</f>
        <v/>
      </c>
      <c r="C392" s="156"/>
      <c r="D392" s="57" t="str">
        <f>IF(A392="","",VLOOKUP(A392,'6.A'!$A$11:$G$180,4,FALSE))</f>
        <v/>
      </c>
      <c r="E392" s="100" t="str">
        <f>IF(A392="","",VLOOKUP(A392,'6.A'!$A$11:$G$180,5,FALSE))</f>
        <v/>
      </c>
      <c r="F392" s="24" t="str">
        <f t="shared" ref="F392:F401" si="172">IF(A392="","0,00",ROUND(C392*E392,2))</f>
        <v>0,00</v>
      </c>
      <c r="G392" s="52"/>
      <c r="H392" s="52" t="str">
        <f>IF(A392="","",VLOOKUP(A392,'6.A'!$A$11:$E$7984,5,FALSE))</f>
        <v/>
      </c>
      <c r="I392" s="52" t="str">
        <f t="shared" ref="I392:I401" si="173">IF(H392="","",IF(E392=H392,"SIM","NÃO"))</f>
        <v/>
      </c>
      <c r="J392" s="52" t="str">
        <f>IF(H392="","",VLOOKUP(A392,'6.A'!$A$11:$E$564,4,FALSE))</f>
        <v/>
      </c>
      <c r="K392" s="52" t="str">
        <f t="shared" ref="K392:K401" si="174">IF(H392="","",IF(J392=D392,"SIM","NÃO"))</f>
        <v/>
      </c>
      <c r="L392" s="52" t="str">
        <f>IF(H392="","",IF(C392="","",G376*C392))</f>
        <v/>
      </c>
      <c r="M392" s="117" t="str">
        <f>IF(A392="","",VLOOKUP(A392,'6.A'!$A$11:$C$564,2,FALSE))</f>
        <v/>
      </c>
      <c r="N392" s="57" t="str">
        <f t="shared" ref="N392:N397" si="175">IF(A392="","",IF(M392=B392,"si","no"))</f>
        <v/>
      </c>
      <c r="O392" s="56"/>
      <c r="P392" s="56"/>
      <c r="Q392" s="48"/>
      <c r="R392" s="48"/>
      <c r="S392" s="2"/>
    </row>
    <row r="393" spans="1:19" ht="12.75" customHeight="1" x14ac:dyDescent="0.2">
      <c r="A393" s="22"/>
      <c r="B393" s="23" t="str">
        <f>IF(A393="","",VLOOKUP(A393,'6.A'!$A$11:$G$180,2,FALSE))</f>
        <v/>
      </c>
      <c r="C393" s="99"/>
      <c r="D393" s="57" t="str">
        <f>IF(A393="","",VLOOKUP(A393,'6.A'!$A$11:$G$180,4,FALSE))</f>
        <v/>
      </c>
      <c r="E393" s="100" t="str">
        <f>IF(A393="","",VLOOKUP(A393,'6.A'!$A$11:$G$180,5,FALSE))</f>
        <v/>
      </c>
      <c r="F393" s="24" t="str">
        <f t="shared" si="172"/>
        <v>0,00</v>
      </c>
      <c r="G393" s="52"/>
      <c r="H393" s="52" t="str">
        <f>IF(A393="","",VLOOKUP(A393,'6.A'!$A$11:$E$7984,5,FALSE))</f>
        <v/>
      </c>
      <c r="I393" s="52" t="str">
        <f t="shared" si="173"/>
        <v/>
      </c>
      <c r="J393" s="52" t="str">
        <f>IF(H393="","",VLOOKUP(A393,'6.A'!$A$11:$E$564,4,FALSE))</f>
        <v/>
      </c>
      <c r="K393" s="52" t="str">
        <f t="shared" si="174"/>
        <v/>
      </c>
      <c r="L393" s="52" t="str">
        <f>IF(H393="","",IF(C393="","",G376*C393))</f>
        <v/>
      </c>
      <c r="M393" s="117" t="str">
        <f>IF(A393="","",VLOOKUP(A393,'6.A'!$A$11:$C$564,2,FALSE))</f>
        <v/>
      </c>
      <c r="N393" s="57" t="str">
        <f t="shared" si="175"/>
        <v/>
      </c>
      <c r="O393" s="56"/>
      <c r="P393" s="56"/>
      <c r="Q393" s="48"/>
      <c r="R393" s="48"/>
      <c r="S393" s="2"/>
    </row>
    <row r="394" spans="1:19" ht="12.75" customHeight="1" x14ac:dyDescent="0.2">
      <c r="A394" s="22"/>
      <c r="B394" s="23" t="str">
        <f>IF(A394="","",VLOOKUP(A394,'6.A'!$A$11:$G$180,2,FALSE))</f>
        <v/>
      </c>
      <c r="C394" s="99"/>
      <c r="D394" s="57" t="str">
        <f>IF(A394="","",VLOOKUP(A394,'6.A'!$A$11:$G$180,4,FALSE))</f>
        <v/>
      </c>
      <c r="E394" s="100" t="str">
        <f>IF(A394="","",VLOOKUP(A394,'6.A'!$A$11:$G$180,5,FALSE))</f>
        <v/>
      </c>
      <c r="F394" s="24" t="str">
        <f t="shared" si="172"/>
        <v>0,00</v>
      </c>
      <c r="G394" s="52"/>
      <c r="H394" s="52" t="str">
        <f>IF(A394="","",VLOOKUP(A394,'6.A'!$A$11:$E$7984,5,FALSE))</f>
        <v/>
      </c>
      <c r="I394" s="52" t="str">
        <f t="shared" si="173"/>
        <v/>
      </c>
      <c r="J394" s="52" t="str">
        <f>IF(H394="","",VLOOKUP(A394,'6.A'!$A$11:$E$564,4,FALSE))</f>
        <v/>
      </c>
      <c r="K394" s="52" t="str">
        <f t="shared" si="174"/>
        <v/>
      </c>
      <c r="L394" s="52" t="str">
        <f>IF(H394="","",IF(C394="","",G376*C394))</f>
        <v/>
      </c>
      <c r="M394" s="117" t="str">
        <f>IF(A394="","",VLOOKUP(A394,'6.A'!$A$11:$C$564,2,FALSE))</f>
        <v/>
      </c>
      <c r="N394" s="57" t="str">
        <f t="shared" si="175"/>
        <v/>
      </c>
      <c r="O394" s="56"/>
      <c r="P394" s="56"/>
      <c r="Q394" s="48"/>
      <c r="R394" s="48"/>
      <c r="S394" s="2"/>
    </row>
    <row r="395" spans="1:19" ht="12.75" customHeight="1" x14ac:dyDescent="0.2">
      <c r="A395" s="22"/>
      <c r="B395" s="55" t="str">
        <f>IF(A395="","",VLOOKUP(A395,'6.A'!$A$11:$G$180,2,FALSE))</f>
        <v/>
      </c>
      <c r="C395" s="134"/>
      <c r="D395" s="57" t="str">
        <f>IF(A395="","",VLOOKUP(A395,'6.A'!$A$11:$G$180,4,FALSE))</f>
        <v/>
      </c>
      <c r="E395" s="100" t="str">
        <f>IF(A395="","",VLOOKUP(A395,'6.A'!$A$11:$G$180,5,FALSE))</f>
        <v/>
      </c>
      <c r="F395" s="24" t="str">
        <f t="shared" si="172"/>
        <v>0,00</v>
      </c>
      <c r="G395" s="52"/>
      <c r="H395" s="52" t="str">
        <f>IF(A395="","",VLOOKUP(A395,'6.A'!$A$11:$E$7984,5,FALSE))</f>
        <v/>
      </c>
      <c r="I395" s="52" t="str">
        <f t="shared" si="173"/>
        <v/>
      </c>
      <c r="J395" s="52" t="str">
        <f>IF(H395="","",VLOOKUP(A395,'6.A'!$A$11:$E$564,4,FALSE))</f>
        <v/>
      </c>
      <c r="K395" s="52" t="str">
        <f t="shared" si="174"/>
        <v/>
      </c>
      <c r="L395" s="52" t="str">
        <f>IF(H395="","",IF(C395="","",G376*C395))</f>
        <v/>
      </c>
      <c r="M395" s="117" t="str">
        <f>IF(A395="","",VLOOKUP(A395,'6.A'!$A$11:$C$564,2,FALSE))</f>
        <v/>
      </c>
      <c r="N395" s="57" t="str">
        <f t="shared" si="175"/>
        <v/>
      </c>
      <c r="O395" s="56"/>
      <c r="P395" s="56"/>
      <c r="Q395" s="48"/>
      <c r="R395" s="48"/>
      <c r="S395" s="2"/>
    </row>
    <row r="396" spans="1:19" ht="12.75" customHeight="1" x14ac:dyDescent="0.2">
      <c r="A396" s="22"/>
      <c r="B396" s="23" t="str">
        <f>IF(A396="","",VLOOKUP(A396,'6.A'!$A$11:$G$180,2,FALSE))</f>
        <v/>
      </c>
      <c r="C396" s="99"/>
      <c r="D396" s="57" t="str">
        <f>IF(A396="","",VLOOKUP(A396,'6.A'!$A$11:$G$180,4,FALSE))</f>
        <v/>
      </c>
      <c r="E396" s="100" t="str">
        <f>IF(A396="","",VLOOKUP(A396,'6.A'!$A$11:$G$180,5,FALSE))</f>
        <v/>
      </c>
      <c r="F396" s="24" t="str">
        <f t="shared" si="172"/>
        <v>0,00</v>
      </c>
      <c r="G396" s="52"/>
      <c r="H396" s="52" t="str">
        <f>IF(A396="","",VLOOKUP(A396,'6.A'!$A$11:$E$7984,5,FALSE))</f>
        <v/>
      </c>
      <c r="I396" s="52" t="str">
        <f t="shared" si="173"/>
        <v/>
      </c>
      <c r="J396" s="52" t="str">
        <f>IF(H396="","",VLOOKUP(A396,'6.A'!$A$11:$E$564,4,FALSE))</f>
        <v/>
      </c>
      <c r="K396" s="52" t="str">
        <f t="shared" si="174"/>
        <v/>
      </c>
      <c r="L396" s="52" t="str">
        <f>IF(H396="","",IF(C396="","",G376*C396))</f>
        <v/>
      </c>
      <c r="M396" s="117" t="str">
        <f>IF(A396="","",VLOOKUP(A396,'6.A'!$A$11:$C$564,2,FALSE))</f>
        <v/>
      </c>
      <c r="N396" s="57" t="str">
        <f t="shared" si="175"/>
        <v/>
      </c>
      <c r="O396" s="56"/>
      <c r="P396" s="56"/>
      <c r="Q396" s="48"/>
      <c r="R396" s="48"/>
      <c r="S396" s="2"/>
    </row>
    <row r="397" spans="1:19" ht="12.75" customHeight="1" x14ac:dyDescent="0.2">
      <c r="A397" s="22"/>
      <c r="B397" s="23" t="str">
        <f>IF(A397="","",VLOOKUP(A397,'6.A'!$A$11:$G$180,2,FALSE))</f>
        <v/>
      </c>
      <c r="C397" s="99"/>
      <c r="D397" s="57" t="str">
        <f>IF(A397="","",VLOOKUP(A397,'6.A'!$A$11:$G$180,4,FALSE))</f>
        <v/>
      </c>
      <c r="E397" s="100" t="str">
        <f>IF(A397="","",VLOOKUP(A397,'6.A'!$A$11:$G$180,5,FALSE))</f>
        <v/>
      </c>
      <c r="F397" s="24" t="str">
        <f t="shared" si="172"/>
        <v>0,00</v>
      </c>
      <c r="G397" s="52"/>
      <c r="H397" s="52" t="str">
        <f>IF(A397="","",VLOOKUP(A397,'6.A'!$A$11:$E$7984,5,FALSE))</f>
        <v/>
      </c>
      <c r="I397" s="52" t="str">
        <f t="shared" si="173"/>
        <v/>
      </c>
      <c r="J397" s="52" t="str">
        <f>IF(H397="","",VLOOKUP(A397,'6.A'!$A$11:$E$564,4,FALSE))</f>
        <v/>
      </c>
      <c r="K397" s="52" t="str">
        <f t="shared" si="174"/>
        <v/>
      </c>
      <c r="L397" s="52" t="str">
        <f>IF(H397="","",IF(C397="","",G376*C397))</f>
        <v/>
      </c>
      <c r="M397" s="117" t="str">
        <f>IF(A397="","",VLOOKUP(A397,'6.A'!$A$11:$C$564,2,FALSE))</f>
        <v/>
      </c>
      <c r="N397" s="57" t="str">
        <f t="shared" si="175"/>
        <v/>
      </c>
      <c r="O397" s="56"/>
      <c r="P397" s="56"/>
      <c r="Q397" s="48"/>
      <c r="R397" s="48"/>
      <c r="S397" s="2"/>
    </row>
    <row r="398" spans="1:19" ht="12.75" customHeight="1" x14ac:dyDescent="0.2">
      <c r="A398" s="22"/>
      <c r="B398" s="23" t="str">
        <f>IF(A398="","",VLOOKUP(A398,'6.A'!$A$11:$G$180,2,FALSE))</f>
        <v/>
      </c>
      <c r="C398" s="99"/>
      <c r="D398" s="57" t="str">
        <f>IF(A398="","",VLOOKUP(A398,'6.A'!$A$11:$G$180,4,FALSE))</f>
        <v/>
      </c>
      <c r="E398" s="100" t="str">
        <f>IF(A398="","",VLOOKUP(A398,'6.A'!$A$11:$G$180,5,FALSE))</f>
        <v/>
      </c>
      <c r="F398" s="24" t="str">
        <f t="shared" si="172"/>
        <v>0,00</v>
      </c>
      <c r="G398" s="52"/>
      <c r="H398" s="52" t="str">
        <f>IF(A398="","",VLOOKUP(A398,'6.A'!$A$11:$E$7984,5,FALSE))</f>
        <v/>
      </c>
      <c r="I398" s="52" t="str">
        <f t="shared" si="173"/>
        <v/>
      </c>
      <c r="J398" s="52" t="str">
        <f>IF(H398="","",VLOOKUP(A398,'6.A'!$A$11:$E$564,4,FALSE))</f>
        <v/>
      </c>
      <c r="K398" s="52" t="str">
        <f t="shared" si="174"/>
        <v/>
      </c>
      <c r="L398" s="52" t="str">
        <f>IF(H398="","",IF(C398="","",G376*C398))</f>
        <v/>
      </c>
      <c r="M398" s="117" t="str">
        <f>IF(A398="","",VLOOKUP(A398,'6.A'!$A$11:$C$564,2,FALSE))</f>
        <v/>
      </c>
      <c r="N398" s="57" t="str">
        <f>IF(A398="","",IF(M398=B398,"si","no"))</f>
        <v/>
      </c>
      <c r="O398" s="56"/>
      <c r="P398" s="56"/>
      <c r="Q398" s="48"/>
      <c r="R398" s="48"/>
      <c r="S398" s="2"/>
    </row>
    <row r="399" spans="1:19" ht="12.75" customHeight="1" x14ac:dyDescent="0.2">
      <c r="A399" s="22"/>
      <c r="B399" s="23" t="str">
        <f>IF(A399="","",VLOOKUP(A399,'6.A'!$A$11:$G$180,2,FALSE))</f>
        <v/>
      </c>
      <c r="C399" s="99"/>
      <c r="D399" s="57" t="str">
        <f>IF(A399="","",VLOOKUP(A399,'6.A'!$A$11:$G$180,4,FALSE))</f>
        <v/>
      </c>
      <c r="E399" s="100" t="str">
        <f>IF(A399="","",VLOOKUP(A399,'6.A'!$A$11:$G$180,5,FALSE))</f>
        <v/>
      </c>
      <c r="F399" s="24" t="str">
        <f t="shared" si="172"/>
        <v>0,00</v>
      </c>
      <c r="G399" s="52"/>
      <c r="H399" s="52" t="str">
        <f>IF(A399="","",VLOOKUP(A399,'6.A'!$A$11:$E$7984,5,FALSE))</f>
        <v/>
      </c>
      <c r="I399" s="52" t="str">
        <f t="shared" si="173"/>
        <v/>
      </c>
      <c r="J399" s="52" t="str">
        <f>IF(H399="","",VLOOKUP(A399,'6.A'!$A$11:$E$564,4,FALSE))</f>
        <v/>
      </c>
      <c r="K399" s="52" t="str">
        <f t="shared" si="174"/>
        <v/>
      </c>
      <c r="L399" s="52" t="str">
        <f>IF(H399="","",IF(C399="","",G376*C399))</f>
        <v/>
      </c>
      <c r="M399" s="117" t="str">
        <f>IF(A399="","",VLOOKUP(A399,'6.A'!$A$11:$C$564,2,FALSE))</f>
        <v/>
      </c>
      <c r="N399" s="57" t="str">
        <f>IF(A399="","",IF(M399=B399,"si","no"))</f>
        <v/>
      </c>
      <c r="O399" s="56"/>
      <c r="P399" s="56"/>
      <c r="Q399" s="48"/>
      <c r="R399" s="48"/>
      <c r="S399" s="2"/>
    </row>
    <row r="400" spans="1:19" ht="12.75" customHeight="1" x14ac:dyDescent="0.2">
      <c r="A400" s="22"/>
      <c r="B400" s="23" t="str">
        <f>IF(A400="","",VLOOKUP(A400,'6.A'!$A$11:$G$180,2,FALSE))</f>
        <v/>
      </c>
      <c r="C400" s="99"/>
      <c r="D400" s="57" t="str">
        <f>IF(A400="","",VLOOKUP(A400,'6.A'!$A$11:$G$180,4,FALSE))</f>
        <v/>
      </c>
      <c r="E400" s="100" t="str">
        <f>IF(A400="","",VLOOKUP(A400,'6.A'!$A$11:$G$180,5,FALSE))</f>
        <v/>
      </c>
      <c r="F400" s="24" t="str">
        <f t="shared" si="172"/>
        <v>0,00</v>
      </c>
      <c r="G400" s="52"/>
      <c r="H400" s="52" t="str">
        <f>IF(A400="","",VLOOKUP(A400,'6.A'!$A$11:$E$7984,5,FALSE))</f>
        <v/>
      </c>
      <c r="I400" s="52" t="str">
        <f t="shared" si="173"/>
        <v/>
      </c>
      <c r="J400" s="52" t="str">
        <f>IF(H400="","",VLOOKUP(A400,'6.A'!$A$11:$E$564,4,FALSE))</f>
        <v/>
      </c>
      <c r="K400" s="52" t="str">
        <f t="shared" si="174"/>
        <v/>
      </c>
      <c r="L400" s="52" t="str">
        <f>IF(H400="","",IF(C400="","",G376*C400))</f>
        <v/>
      </c>
      <c r="M400" s="117" t="str">
        <f>IF(A400="","",VLOOKUP(A400,'6.A'!$A$11:$C$564,2,FALSE))</f>
        <v/>
      </c>
      <c r="N400" s="57" t="str">
        <f t="shared" ref="N400:N401" si="176">IF(A400="","",IF(M400=B400,"si","no"))</f>
        <v/>
      </c>
      <c r="O400" s="56"/>
      <c r="P400" s="56"/>
      <c r="Q400" s="48"/>
      <c r="R400" s="48"/>
      <c r="S400" s="2"/>
    </row>
    <row r="401" spans="1:22" ht="12.75" customHeight="1" x14ac:dyDescent="0.2">
      <c r="A401" s="22"/>
      <c r="B401" s="23" t="str">
        <f>IF(A401="","",VLOOKUP(A401,'6.A'!$A$11:$G$180,2,FALSE))</f>
        <v/>
      </c>
      <c r="C401" s="99"/>
      <c r="D401" s="57" t="str">
        <f>IF(A401="","",VLOOKUP(A401,'6.A'!$A$11:$G$180,4,FALSE))</f>
        <v/>
      </c>
      <c r="E401" s="100" t="str">
        <f>IF(A401="","",VLOOKUP(A401,'6.A'!$A$11:$G$180,5,FALSE))</f>
        <v/>
      </c>
      <c r="F401" s="24" t="str">
        <f t="shared" si="172"/>
        <v>0,00</v>
      </c>
      <c r="G401" s="52"/>
      <c r="H401" s="52" t="str">
        <f>IF(A401="","",VLOOKUP(A401,'6.A'!$A$11:$E$7984,5,FALSE))</f>
        <v/>
      </c>
      <c r="I401" s="52" t="str">
        <f t="shared" si="173"/>
        <v/>
      </c>
      <c r="J401" s="52" t="str">
        <f>IF(H401="","",VLOOKUP(A401,'6.A'!$A$11:$E$564,4,FALSE))</f>
        <v/>
      </c>
      <c r="K401" s="52" t="str">
        <f t="shared" si="174"/>
        <v/>
      </c>
      <c r="L401" s="52" t="str">
        <f>IF(H401="","",IF(C401="","",G376*C401))</f>
        <v/>
      </c>
      <c r="M401" s="117" t="str">
        <f>IF(A401="","",VLOOKUP(A401,'6.A'!$A$11:$C$564,2,FALSE))</f>
        <v/>
      </c>
      <c r="N401" s="57" t="str">
        <f t="shared" si="176"/>
        <v/>
      </c>
      <c r="O401" s="56"/>
      <c r="P401" s="56"/>
      <c r="Q401" s="48"/>
      <c r="R401" s="48"/>
      <c r="S401" s="2"/>
    </row>
    <row r="402" spans="1:22" ht="12.75" customHeight="1" x14ac:dyDescent="0.2">
      <c r="A402" s="22"/>
      <c r="B402" s="26" t="str">
        <f>$A$9</f>
        <v>BDI</v>
      </c>
      <c r="C402" s="27">
        <f>$C$9</f>
        <v>0</v>
      </c>
      <c r="D402" s="57"/>
      <c r="F402" s="28">
        <f>ROUND(SUM(F392:F401)*C402,2)</f>
        <v>0</v>
      </c>
      <c r="G402" s="63"/>
      <c r="M402" s="62"/>
      <c r="N402" s="57"/>
      <c r="O402" s="56"/>
      <c r="P402" s="56"/>
      <c r="Q402" s="48"/>
      <c r="R402" s="48"/>
      <c r="S402" s="2"/>
    </row>
    <row r="403" spans="1:22" ht="12.75" customHeight="1" x14ac:dyDescent="0.2">
      <c r="A403" s="30"/>
      <c r="B403" s="31" t="s">
        <v>117</v>
      </c>
      <c r="C403" s="36"/>
      <c r="D403" s="37"/>
      <c r="E403" s="38"/>
      <c r="F403" s="35">
        <f>ROUND(SUM(F392:F402),2)</f>
        <v>0</v>
      </c>
      <c r="G403" s="63"/>
      <c r="M403" s="62"/>
      <c r="N403" s="57"/>
      <c r="O403" s="56"/>
      <c r="P403" s="56"/>
      <c r="Q403" s="48"/>
      <c r="R403" s="48"/>
      <c r="S403" s="2"/>
    </row>
    <row r="404" spans="1:22" ht="12.75" customHeight="1" x14ac:dyDescent="0.2">
      <c r="A404" s="17" t="s">
        <v>6</v>
      </c>
      <c r="B404" s="18" t="s">
        <v>17</v>
      </c>
      <c r="C404" s="56" t="s">
        <v>59</v>
      </c>
      <c r="D404" s="56" t="s">
        <v>16</v>
      </c>
      <c r="E404" s="19" t="s">
        <v>60</v>
      </c>
      <c r="F404" s="20" t="s">
        <v>61</v>
      </c>
      <c r="G404" s="21"/>
      <c r="M404" s="62"/>
      <c r="N404" s="57"/>
      <c r="O404" s="56"/>
      <c r="P404" s="56"/>
      <c r="Q404" s="48"/>
      <c r="R404" s="48"/>
      <c r="S404" s="2"/>
    </row>
    <row r="405" spans="1:22" ht="12.75" customHeight="1" x14ac:dyDescent="0.2">
      <c r="A405" s="22">
        <f>'6.A'!$A$65</f>
        <v>402</v>
      </c>
      <c r="B405" s="23" t="str">
        <f>IF(A405="","",VLOOKUP(A405,'6.A'!$A$11:$G$180,2,FALSE))</f>
        <v xml:space="preserve">GANCHO OLHAL EM ACO GALVANIZADO, ESPESSURA 16MM, ABERTURA 21MM </v>
      </c>
      <c r="C405" s="99">
        <v>3</v>
      </c>
      <c r="D405" s="57" t="str">
        <f>IF(A405="","",VLOOKUP(A405,'6.A'!$A$11:$G$180,4,FALSE))</f>
        <v>UN</v>
      </c>
      <c r="E405" s="100">
        <f>IF(A405="","",VLOOKUP(A405,'6.A'!$A$11:$G$180,5,FALSE))</f>
        <v>0</v>
      </c>
      <c r="F405" s="24">
        <f>IF(A405="","0,00",ROUND(C405*E405,2))</f>
        <v>0</v>
      </c>
      <c r="G405" s="52"/>
      <c r="H405" s="52">
        <f>IF(A405="","",VLOOKUP(A405,'6.A'!$A$11:$E$7984,5,FALSE))</f>
        <v>0</v>
      </c>
      <c r="I405" s="52" t="str">
        <f>IF(H405="","",IF(E405=H405,"SIM","NÃO"))</f>
        <v>SIM</v>
      </c>
      <c r="J405" s="52" t="str">
        <f>IF(H405="","",VLOOKUP(A405,'6.A'!$A$11:$E$564,4,FALSE))</f>
        <v>UN</v>
      </c>
      <c r="K405" s="52" t="str">
        <f>IF(H405="","",IF(J405=D405,"SIM","NÃO"))</f>
        <v>SIM</v>
      </c>
      <c r="L405" s="52">
        <f>IF(H405="","",IF(C405="","",G376*C405))</f>
        <v>3</v>
      </c>
      <c r="M405" s="117" t="str">
        <f>IF(A405="","",VLOOKUP(A405,'6.A'!$A$11:$C$564,2,FALSE))</f>
        <v xml:space="preserve">GANCHO OLHAL EM ACO GALVANIZADO, ESPESSURA 16MM, ABERTURA 21MM </v>
      </c>
      <c r="N405" s="57" t="str">
        <f>IF(A405="","",IF(M405=B405,"si","no"))</f>
        <v>si</v>
      </c>
      <c r="O405" s="56"/>
      <c r="P405" s="56"/>
      <c r="Q405" s="48"/>
      <c r="R405" s="48"/>
    </row>
    <row r="406" spans="1:22" s="65" customFormat="1" ht="12.75" customHeight="1" x14ac:dyDescent="0.2">
      <c r="A406" s="22">
        <f>'6.A'!$A$67</f>
        <v>421</v>
      </c>
      <c r="B406" s="23" t="str">
        <f>IF(A406="","",VLOOKUP(A406,'6.A'!$A$11:$G$180,2,FALSE))</f>
        <v>PORCA OLHAL M 16, EM ACO GALVANIZADO, DIAMETRO = 16 MM</v>
      </c>
      <c r="C406" s="99">
        <v>1</v>
      </c>
      <c r="D406" s="57" t="str">
        <f>IF(A406="","",VLOOKUP(A406,'6.A'!$A$11:$G$180,4,FALSE))</f>
        <v>UN</v>
      </c>
      <c r="E406" s="100">
        <f>IF(A406="","",VLOOKUP(A406,'6.A'!$A$11:$G$180,5,FALSE))</f>
        <v>0</v>
      </c>
      <c r="F406" s="24">
        <f t="shared" ref="F406:F422" si="177">IF(A406="","0,00",ROUND(C406*E406,2))</f>
        <v>0</v>
      </c>
      <c r="G406" s="52"/>
      <c r="H406" s="52">
        <f>IF(A406="","",VLOOKUP(A406,'6.A'!$A$11:$E$7984,5,FALSE))</f>
        <v>0</v>
      </c>
      <c r="I406" s="52" t="str">
        <f t="shared" ref="I406:I422" si="178">IF(H406="","",IF(E406=H406,"SIM","NÃO"))</f>
        <v>SIM</v>
      </c>
      <c r="J406" s="52" t="str">
        <f>IF(H406="","",VLOOKUP(A406,'6.A'!$A$11:$E$564,4,FALSE))</f>
        <v>UN</v>
      </c>
      <c r="K406" s="52" t="str">
        <f t="shared" ref="K406:K422" si="179">IF(H406="","",IF(J406=D406,"SIM","NÃO"))</f>
        <v>SIM</v>
      </c>
      <c r="L406" s="52">
        <f>IF(H406="","",IF(C406="","",G376*C406))</f>
        <v>1</v>
      </c>
      <c r="M406" s="117" t="str">
        <f>IF(A406="","",VLOOKUP(A406,'6.A'!$A$11:$C$564,2,FALSE))</f>
        <v>PORCA OLHAL M 16, EM ACO GALVANIZADO, DIAMETRO = 16 MM</v>
      </c>
      <c r="N406" s="57" t="str">
        <f t="shared" ref="N406:N422" si="180">IF(A406="","",IF(M406=B406,"si","no"))</f>
        <v>si</v>
      </c>
      <c r="O406" s="56"/>
      <c r="P406" s="56"/>
      <c r="Q406" s="48"/>
      <c r="R406" s="48"/>
      <c r="T406" s="2"/>
      <c r="U406" s="2"/>
      <c r="V406" s="2"/>
    </row>
    <row r="407" spans="1:22" ht="12.75" customHeight="1" x14ac:dyDescent="0.2">
      <c r="A407" s="22">
        <f>'6.A'!$A$86</f>
        <v>1539</v>
      </c>
      <c r="B407" s="23" t="str">
        <f>IF(A407="","",VLOOKUP(A407,'6.A'!$A$11:$G$180,2,FALSE))</f>
        <v>CONECTOR METALICO TIPO PARAFUSO FENDIDO (SPLIT BOLT), PARA CABOS ATE 16MM2</v>
      </c>
      <c r="C407" s="99">
        <v>12</v>
      </c>
      <c r="D407" s="57" t="str">
        <f>IF(A407="","",VLOOKUP(A407,'6.A'!$A$11:$G$180,4,FALSE))</f>
        <v>UN</v>
      </c>
      <c r="E407" s="100">
        <f>IF(A407="","",VLOOKUP(A407,'6.A'!$A$11:$G$180,5,FALSE))</f>
        <v>0</v>
      </c>
      <c r="F407" s="24">
        <f t="shared" ref="F407:F419" si="181">IF(A407="","0,00",ROUND(C407*E407,2))</f>
        <v>0</v>
      </c>
      <c r="G407" s="52"/>
      <c r="H407" s="52">
        <f>IF(A407="","",VLOOKUP(A407,'6.A'!$A$11:$E$7984,5,FALSE))</f>
        <v>0</v>
      </c>
      <c r="I407" s="52" t="str">
        <f t="shared" ref="I407:I419" si="182">IF(H407="","",IF(E407=H407,"SIM","NÃO"))</f>
        <v>SIM</v>
      </c>
      <c r="J407" s="52" t="str">
        <f>IF(H407="","",VLOOKUP(A407,'6.A'!$A$11:$E$564,4,FALSE))</f>
        <v>UN</v>
      </c>
      <c r="K407" s="52" t="str">
        <f t="shared" ref="K407:K419" si="183">IF(H407="","",IF(J407=D407,"SIM","NÃO"))</f>
        <v>SIM</v>
      </c>
      <c r="L407" s="52">
        <f>IF(H407="","",IF(C407="","",G376*C407))</f>
        <v>12</v>
      </c>
      <c r="M407" s="117" t="str">
        <f>IF(A407="","",VLOOKUP(A407,'6.A'!$A$11:$C$564,2,FALSE))</f>
        <v>CONECTOR METALICO TIPO PARAFUSO FENDIDO (SPLIT BOLT), PARA CABOS ATE 16MM2</v>
      </c>
      <c r="N407" s="57" t="str">
        <f t="shared" ref="N407:N419" si="184">IF(A407="","",IF(M407=B407,"si","no"))</f>
        <v>si</v>
      </c>
      <c r="O407" s="56"/>
      <c r="P407" s="56"/>
      <c r="Q407" s="48"/>
      <c r="R407" s="48"/>
    </row>
    <row r="408" spans="1:22" ht="12.75" customHeight="1" x14ac:dyDescent="0.2">
      <c r="A408" s="22">
        <f>'6.A'!$A$90</f>
        <v>1586</v>
      </c>
      <c r="B408" s="23" t="str">
        <f>IF(A408="","",VLOOKUP(A408,'6.A'!$A$11:$G$180,2,FALSE))</f>
        <v>TERMINAL METALICO A PRESSAO PARA 1 CABO DE 25 MM2, COM 1 FURO DE FIXACAO</v>
      </c>
      <c r="C408" s="99">
        <v>2</v>
      </c>
      <c r="D408" s="57" t="str">
        <f>IF(A408="","",VLOOKUP(A408,'6.A'!$A$11:$G$180,4,FALSE))</f>
        <v>UN</v>
      </c>
      <c r="E408" s="100">
        <f>IF(A408="","",VLOOKUP(A408,'6.A'!$A$11:$G$180,5,FALSE))</f>
        <v>0</v>
      </c>
      <c r="F408" s="24">
        <f t="shared" si="181"/>
        <v>0</v>
      </c>
      <c r="G408" s="52"/>
      <c r="H408" s="52">
        <f>IF(A408="","",VLOOKUP(A408,'6.A'!$A$11:$E$7984,5,FALSE))</f>
        <v>0</v>
      </c>
      <c r="I408" s="52" t="str">
        <f t="shared" si="182"/>
        <v>SIM</v>
      </c>
      <c r="J408" s="52" t="str">
        <f>IF(H408="","",VLOOKUP(A408,'6.A'!$A$11:$E$564,4,FALSE))</f>
        <v>UN</v>
      </c>
      <c r="K408" s="52" t="str">
        <f t="shared" si="183"/>
        <v>SIM</v>
      </c>
      <c r="L408" s="52">
        <f>IF(H408="","",IF(C408="","",G376*C408))</f>
        <v>2</v>
      </c>
      <c r="M408" s="117" t="str">
        <f>IF(A408="","",VLOOKUP(A408,'6.A'!$A$11:$C$564,2,FALSE))</f>
        <v>TERMINAL METALICO A PRESSAO PARA 1 CABO DE 25 MM2, COM 1 FURO DE FIXACAO</v>
      </c>
      <c r="N408" s="57" t="str">
        <f t="shared" si="184"/>
        <v>si</v>
      </c>
      <c r="O408" s="56"/>
      <c r="P408" s="56"/>
      <c r="Q408" s="48"/>
      <c r="R408" s="48"/>
      <c r="S408" s="2"/>
    </row>
    <row r="409" spans="1:22" ht="12.75" customHeight="1" x14ac:dyDescent="0.2">
      <c r="A409" s="22">
        <f>'6.A'!$A$93</f>
        <v>1593</v>
      </c>
      <c r="B409" s="23" t="str">
        <f>IF(A409="","",VLOOKUP(A409,'6.A'!$A$11:$G$180,2,FALSE))</f>
        <v>TERMINAL METALICO A PRESSAO PARA 1 CABO DE 185 MM2, COM 1 FURO DE FIXACAO</v>
      </c>
      <c r="C409" s="99">
        <v>15</v>
      </c>
      <c r="D409" s="57" t="str">
        <f>IF(A409="","",VLOOKUP(A409,'6.A'!$A$11:$G$180,4,FALSE))</f>
        <v>UN</v>
      </c>
      <c r="E409" s="100">
        <f>IF(A409="","",VLOOKUP(A409,'6.A'!$A$11:$G$180,5,FALSE))</f>
        <v>0</v>
      </c>
      <c r="F409" s="24">
        <f t="shared" si="181"/>
        <v>0</v>
      </c>
      <c r="G409" s="52"/>
      <c r="H409" s="52">
        <f>IF(A409="","",VLOOKUP(A409,'6.A'!$A$11:$E$7984,5,FALSE))</f>
        <v>0</v>
      </c>
      <c r="I409" s="52" t="str">
        <f t="shared" si="182"/>
        <v>SIM</v>
      </c>
      <c r="J409" s="52" t="str">
        <f>IF(H409="","",VLOOKUP(A409,'6.A'!$A$11:$E$564,4,FALSE))</f>
        <v>UN</v>
      </c>
      <c r="K409" s="52" t="str">
        <f t="shared" si="183"/>
        <v>SIM</v>
      </c>
      <c r="L409" s="52">
        <f>IF(H409="","",IF(C409="","",G376*C409))</f>
        <v>15</v>
      </c>
      <c r="M409" s="117" t="str">
        <f>IF(A409="","",VLOOKUP(A409,'6.A'!$A$11:$C$564,2,FALSE))</f>
        <v>TERMINAL METALICO A PRESSAO PARA 1 CABO DE 185 MM2, COM 1 FURO DE FIXACAO</v>
      </c>
      <c r="N409" s="57" t="str">
        <f t="shared" si="184"/>
        <v>si</v>
      </c>
      <c r="O409" s="56"/>
      <c r="P409" s="56"/>
      <c r="Q409" s="48"/>
      <c r="R409" s="48"/>
      <c r="S409" s="2"/>
    </row>
    <row r="410" spans="1:22" ht="12.75" customHeight="1" x14ac:dyDescent="0.2">
      <c r="A410" s="22">
        <f>'6.A'!$A$118</f>
        <v>7572</v>
      </c>
      <c r="B410" s="39" t="str">
        <f>IF(A410="","",VLOOKUP(A410,'6.A'!$A$11:$G$180,2,FALSE))</f>
        <v>SUPORTE ISOLADOR REFORCADO DIAMETRO NOMINAL 5/16", COM ROSCA SOBERBA E BUCHA</v>
      </c>
      <c r="C410" s="99">
        <v>6</v>
      </c>
      <c r="D410" s="57" t="str">
        <f>IF(A410="","",VLOOKUP(A410,'6.A'!$A$11:$G$180,4,FALSE))</f>
        <v>UN</v>
      </c>
      <c r="E410" s="100">
        <f>IF(A410="","",VLOOKUP(A410,'6.A'!$A$11:$G$180,5,FALSE))</f>
        <v>0</v>
      </c>
      <c r="F410" s="24">
        <f t="shared" si="181"/>
        <v>0</v>
      </c>
      <c r="G410" s="52"/>
      <c r="H410" s="52">
        <f>IF(A410="","",VLOOKUP(A410,'6.A'!$A$11:$E$7984,5,FALSE))</f>
        <v>0</v>
      </c>
      <c r="I410" s="52" t="str">
        <f t="shared" si="182"/>
        <v>SIM</v>
      </c>
      <c r="J410" s="52" t="str">
        <f>IF(H410="","",VLOOKUP(A410,'6.A'!$A$11:$E$564,4,FALSE))</f>
        <v>UN</v>
      </c>
      <c r="K410" s="52" t="str">
        <f t="shared" si="183"/>
        <v>SIM</v>
      </c>
      <c r="L410" s="52">
        <f>IF(H410="","",IF(C410="","",G376*C410))</f>
        <v>6</v>
      </c>
      <c r="M410" s="117" t="str">
        <f>IF(A410="","",VLOOKUP(A410,'6.A'!$A$11:$C$564,2,FALSE))</f>
        <v>SUPORTE ISOLADOR REFORCADO DIAMETRO NOMINAL 5/16", COM ROSCA SOBERBA E BUCHA</v>
      </c>
      <c r="N410" s="57" t="str">
        <f t="shared" si="184"/>
        <v>si</v>
      </c>
      <c r="O410" s="56"/>
      <c r="P410" s="56"/>
      <c r="Q410" s="48"/>
      <c r="R410" s="48"/>
    </row>
    <row r="411" spans="1:22" s="65" customFormat="1" ht="12.75" customHeight="1" x14ac:dyDescent="0.2">
      <c r="A411" s="22">
        <f>'6.A'!$A$121</f>
        <v>11837</v>
      </c>
      <c r="B411" s="23" t="str">
        <f>IF(A411="","",VLOOKUP(A411,'6.A'!$A$11:$G$180,2,FALSE))</f>
        <v>GRAMPO LINHA VIVA DE LATAO ESTANHADO - Ø CONDUTOR PRINCIPAL 10 A 120 MM2, Ø DERIVACAO 10 A 70 MM2</v>
      </c>
      <c r="C411" s="99">
        <v>3</v>
      </c>
      <c r="D411" s="57" t="str">
        <f>IF(A411="","",VLOOKUP(A411,'6.A'!$A$11:$G$180,4,FALSE))</f>
        <v>UN</v>
      </c>
      <c r="E411" s="100">
        <f>IF(A411="","",VLOOKUP(A411,'6.A'!$A$11:$G$180,5,FALSE))</f>
        <v>0</v>
      </c>
      <c r="F411" s="24">
        <f t="shared" si="181"/>
        <v>0</v>
      </c>
      <c r="G411" s="52"/>
      <c r="H411" s="52">
        <f>IF(A411="","",VLOOKUP(A411,'6.A'!$A$11:$E$7984,5,FALSE))</f>
        <v>0</v>
      </c>
      <c r="I411" s="52" t="str">
        <f t="shared" si="182"/>
        <v>SIM</v>
      </c>
      <c r="J411" s="52" t="str">
        <f>IF(H411="","",VLOOKUP(A411,'6.A'!$A$11:$E$564,4,FALSE))</f>
        <v>UN</v>
      </c>
      <c r="K411" s="52" t="str">
        <f t="shared" si="183"/>
        <v>SIM</v>
      </c>
      <c r="L411" s="52">
        <f>IF(H411="","",IF(C411="","",G376*C411))</f>
        <v>3</v>
      </c>
      <c r="M411" s="117" t="str">
        <f>IF(A411="","",VLOOKUP(A411,'6.A'!$A$11:$C$564,2,FALSE))</f>
        <v>GRAMPO LINHA VIVA DE LATAO ESTANHADO - Ø CONDUTOR PRINCIPAL 10 A 120 MM2, Ø DERIVACAO 10 A 70 MM2</v>
      </c>
      <c r="N411" s="57" t="str">
        <f t="shared" si="184"/>
        <v>si</v>
      </c>
      <c r="O411" s="56"/>
      <c r="P411" s="56"/>
      <c r="Q411" s="48"/>
      <c r="R411" s="48"/>
      <c r="T411" s="2"/>
      <c r="U411" s="2"/>
      <c r="V411" s="2"/>
    </row>
    <row r="412" spans="1:22" ht="12.75" customHeight="1" x14ac:dyDescent="0.2">
      <c r="A412" s="22">
        <f>'6.A'!$A$125</f>
        <v>34519</v>
      </c>
      <c r="B412" s="23" t="str">
        <f>IF(A412="","",VLOOKUP(A412,'6.A'!$A$11:$G$180,2,FALSE))</f>
        <v>CRUZETA DE CONCRETO LEVE, COMP. 2000 MM SECAO, 90 X 90 MM</v>
      </c>
      <c r="C412" s="99">
        <v>3</v>
      </c>
      <c r="D412" s="57" t="str">
        <f>IF(A412="","",VLOOKUP(A412,'6.A'!$A$11:$G$180,4,FALSE))</f>
        <v>UN</v>
      </c>
      <c r="E412" s="100">
        <f>IF(A412="","",VLOOKUP(A412,'6.A'!$A$11:$G$180,5,FALSE))</f>
        <v>0</v>
      </c>
      <c r="F412" s="24">
        <f t="shared" si="181"/>
        <v>0</v>
      </c>
      <c r="G412" s="52"/>
      <c r="H412" s="52">
        <f>IF(A412="","",VLOOKUP(A412,'6.A'!$A$11:$E$7984,5,FALSE))</f>
        <v>0</v>
      </c>
      <c r="I412" s="52" t="str">
        <f t="shared" si="182"/>
        <v>SIM</v>
      </c>
      <c r="J412" s="52" t="str">
        <f>IF(H412="","",VLOOKUP(A412,'6.A'!$A$11:$E$564,4,FALSE))</f>
        <v>UN</v>
      </c>
      <c r="K412" s="52" t="str">
        <f t="shared" si="183"/>
        <v>SIM</v>
      </c>
      <c r="L412" s="52">
        <f>IF(H412="","",IF(C412="","",G376*C412))</f>
        <v>3</v>
      </c>
      <c r="M412" s="117" t="str">
        <f>IF(A412="","",VLOOKUP(A412,'6.A'!$A$11:$C$564,2,FALSE))</f>
        <v>CRUZETA DE CONCRETO LEVE, COMP. 2000 MM SECAO, 90 X 90 MM</v>
      </c>
      <c r="N412" s="57" t="str">
        <f t="shared" si="184"/>
        <v>si</v>
      </c>
      <c r="O412" s="56"/>
      <c r="P412" s="56"/>
      <c r="Q412" s="48"/>
      <c r="R412" s="48"/>
      <c r="S412" s="2"/>
    </row>
    <row r="413" spans="1:22" ht="12.75" customHeight="1" x14ac:dyDescent="0.2">
      <c r="A413" s="22">
        <f>'6.A'!$A$133</f>
        <v>38120</v>
      </c>
      <c r="B413" s="23" t="str">
        <f>IF(A413="","",VLOOKUP(A413,'6.A'!$A$11:$G$180,2,FALSE))</f>
        <v>MASSA EPOXI BICOMPONENTE PARA REPAROS</v>
      </c>
      <c r="C413" s="99">
        <v>0.5</v>
      </c>
      <c r="D413" s="57" t="str">
        <f>IF(A413="","",VLOOKUP(A413,'6.A'!$A$11:$G$180,4,FALSE))</f>
        <v>KG</v>
      </c>
      <c r="E413" s="100">
        <f>IF(A413="","",VLOOKUP(A413,'6.A'!$A$11:$G$180,5,FALSE))</f>
        <v>0</v>
      </c>
      <c r="F413" s="24">
        <f t="shared" si="181"/>
        <v>0</v>
      </c>
      <c r="G413" s="52"/>
      <c r="H413" s="52">
        <f>IF(A413="","",VLOOKUP(A413,'6.A'!$A$11:$E$7984,5,FALSE))</f>
        <v>0</v>
      </c>
      <c r="I413" s="52" t="str">
        <f t="shared" si="182"/>
        <v>SIM</v>
      </c>
      <c r="J413" s="52" t="str">
        <f>IF(H413="","",VLOOKUP(A413,'6.A'!$A$11:$E$564,4,FALSE))</f>
        <v>KG</v>
      </c>
      <c r="K413" s="52" t="str">
        <f t="shared" si="183"/>
        <v>SIM</v>
      </c>
      <c r="L413" s="52">
        <f>IF(H413="","",IF(C413="","",G376*C413))</f>
        <v>0.5</v>
      </c>
      <c r="M413" s="117" t="str">
        <f>IF(A413="","",VLOOKUP(A413,'6.A'!$A$11:$C$564,2,FALSE))</f>
        <v>MASSA EPOXI BICOMPONENTE PARA REPAROS</v>
      </c>
      <c r="N413" s="57" t="str">
        <f t="shared" si="184"/>
        <v>si</v>
      </c>
      <c r="O413" s="56"/>
      <c r="P413" s="56"/>
      <c r="Q413" s="48"/>
      <c r="R413" s="48"/>
    </row>
    <row r="414" spans="1:22" s="65" customFormat="1" ht="12.75" customHeight="1" x14ac:dyDescent="0.2">
      <c r="A414" s="22">
        <f>'6.A'!$A$154</f>
        <v>42306</v>
      </c>
      <c r="B414" s="23" t="str">
        <f>IF(A414="","",VLOOKUP(A414,'6.A'!$A$11:$G$180,2,FALSE))</f>
        <v xml:space="preserve">PLACA DE SINALIZAÇÃO EM CHAPA DE AÇO N.16, COM PINTURA REFLETIVA "PERIGO ALTA TENSÃO" </v>
      </c>
      <c r="C414" s="99">
        <f>0.3*0.4</f>
        <v>0.12</v>
      </c>
      <c r="D414" s="57" t="str">
        <f>IF(A414="","",VLOOKUP(A414,'6.A'!$A$11:$G$180,4,FALSE))</f>
        <v>M2</v>
      </c>
      <c r="E414" s="100">
        <f>IF(A414="","",VLOOKUP(A414,'6.A'!$A$11:$G$180,5,FALSE))</f>
        <v>0</v>
      </c>
      <c r="F414" s="24">
        <f t="shared" si="181"/>
        <v>0</v>
      </c>
      <c r="G414" s="52"/>
      <c r="H414" s="52">
        <f>IF(A414="","",VLOOKUP(A414,'6.A'!$A$11:$E$7984,5,FALSE))</f>
        <v>0</v>
      </c>
      <c r="I414" s="52" t="str">
        <f t="shared" si="182"/>
        <v>SIM</v>
      </c>
      <c r="J414" s="52" t="str">
        <f>IF(H414="","",VLOOKUP(A414,'6.A'!$A$11:$E$564,4,FALSE))</f>
        <v>M2</v>
      </c>
      <c r="K414" s="52" t="str">
        <f t="shared" si="183"/>
        <v>SIM</v>
      </c>
      <c r="L414" s="52">
        <f>IF(H414="","",IF(C414="","",G376*C414))</f>
        <v>0.12</v>
      </c>
      <c r="M414" s="117" t="str">
        <f>IF(A414="","",VLOOKUP(A414,'6.A'!$A$11:$C$564,2,FALSE))</f>
        <v xml:space="preserve">PLACA DE SINALIZAÇÃO EM CHAPA DE AÇO N.16, COM PINTURA REFLETIVA "PERIGO ALTA TENSÃO" </v>
      </c>
      <c r="N414" s="57" t="str">
        <f t="shared" si="184"/>
        <v>si</v>
      </c>
      <c r="O414" s="56"/>
      <c r="P414" s="56"/>
      <c r="Q414" s="48"/>
      <c r="R414" s="48"/>
      <c r="T414" s="2"/>
      <c r="U414" s="2"/>
      <c r="V414" s="2"/>
    </row>
    <row r="415" spans="1:22" ht="12.75" customHeight="1" x14ac:dyDescent="0.2">
      <c r="A415" s="22">
        <f>'6.A'!$A$159</f>
        <v>43502</v>
      </c>
      <c r="B415" s="23" t="str">
        <f>IF(A415="","",VLOOKUP(A415,'6.A'!$A$11:$G$180,2,FALSE))</f>
        <v>ARMAÇÃO SECUNDÁRIA PARA 1 ESTRIBO</v>
      </c>
      <c r="C415" s="99">
        <v>1</v>
      </c>
      <c r="D415" s="57" t="str">
        <f>IF(A415="","",VLOOKUP(A415,'6.A'!$A$11:$G$180,4,FALSE))</f>
        <v>UN</v>
      </c>
      <c r="E415" s="100">
        <f>IF(A415="","",VLOOKUP(A415,'6.A'!$A$11:$G$180,5,FALSE))</f>
        <v>0</v>
      </c>
      <c r="F415" s="24">
        <f t="shared" si="181"/>
        <v>0</v>
      </c>
      <c r="G415" s="52"/>
      <c r="H415" s="52">
        <f>IF(A415="","",VLOOKUP(A415,'6.A'!$A$11:$E$7984,5,FALSE))</f>
        <v>0</v>
      </c>
      <c r="I415" s="52" t="str">
        <f t="shared" si="182"/>
        <v>SIM</v>
      </c>
      <c r="J415" s="52" t="str">
        <f>IF(H415="","",VLOOKUP(A415,'6.A'!$A$11:$E$564,4,FALSE))</f>
        <v>UN</v>
      </c>
      <c r="K415" s="52" t="str">
        <f t="shared" si="183"/>
        <v>SIM</v>
      </c>
      <c r="L415" s="52">
        <f>IF(H415="","",IF(C415="","",G376*C415))</f>
        <v>1</v>
      </c>
      <c r="M415" s="117" t="str">
        <f>IF(A415="","",VLOOKUP(A415,'6.A'!$A$11:$C$564,2,FALSE))</f>
        <v>ARMAÇÃO SECUNDÁRIA PARA 1 ESTRIBO</v>
      </c>
      <c r="N415" s="57" t="str">
        <f t="shared" si="184"/>
        <v>si</v>
      </c>
      <c r="O415" s="56"/>
      <c r="P415" s="56"/>
      <c r="Q415" s="48"/>
      <c r="R415" s="48"/>
    </row>
    <row r="416" spans="1:22" ht="12.75" customHeight="1" x14ac:dyDescent="0.2">
      <c r="A416" s="22">
        <f>'6.A'!$A$165</f>
        <v>49502</v>
      </c>
      <c r="B416" s="23" t="str">
        <f>IF(A416="","",VLOOKUP(A416,'6.A'!$A$11:$G$180,2,FALSE))</f>
        <v>PORCA QUADRADA PARA PARAFUSO M16</v>
      </c>
      <c r="C416" s="99">
        <v>7</v>
      </c>
      <c r="D416" s="57" t="str">
        <f>IF(A416="","",VLOOKUP(A416,'6.A'!$A$11:$G$180,4,FALSE))</f>
        <v>UN</v>
      </c>
      <c r="E416" s="100">
        <f>IF(A416="","",VLOOKUP(A416,'6.A'!$A$11:$G$180,5,FALSE))</f>
        <v>0</v>
      </c>
      <c r="F416" s="24">
        <f t="shared" si="181"/>
        <v>0</v>
      </c>
      <c r="G416" s="52"/>
      <c r="H416" s="52">
        <f>IF(A416="","",VLOOKUP(A416,'6.A'!$A$11:$E$7984,5,FALSE))</f>
        <v>0</v>
      </c>
      <c r="I416" s="52" t="str">
        <f t="shared" si="182"/>
        <v>SIM</v>
      </c>
      <c r="J416" s="52" t="str">
        <f>IF(H416="","",VLOOKUP(A416,'6.A'!$A$11:$E$564,4,FALSE))</f>
        <v>UN</v>
      </c>
      <c r="K416" s="52" t="str">
        <f t="shared" si="183"/>
        <v>SIM</v>
      </c>
      <c r="L416" s="52">
        <f>IF(H416="","",IF(C416="","",G376*C416))</f>
        <v>7</v>
      </c>
      <c r="M416" s="117" t="str">
        <f>IF(A416="","",VLOOKUP(A416,'6.A'!$A$11:$C$564,2,FALSE))</f>
        <v>PORCA QUADRADA PARA PARAFUSO M16</v>
      </c>
      <c r="N416" s="57" t="str">
        <f t="shared" si="184"/>
        <v>si</v>
      </c>
      <c r="O416" s="56"/>
      <c r="P416" s="56"/>
      <c r="Q416" s="48"/>
      <c r="R416" s="48"/>
      <c r="S416" s="2"/>
    </row>
    <row r="417" spans="1:23" ht="12.75" customHeight="1" x14ac:dyDescent="0.2">
      <c r="A417" s="22">
        <f>'6.A'!$A$167</f>
        <v>49511</v>
      </c>
      <c r="B417" s="23" t="str">
        <f>IF(A417="","",VLOOKUP(A417,'6.A'!$A$11:$G$180,2,FALSE))</f>
        <v>MÃO FRANCESA PLANA DE 32X5X619MM</v>
      </c>
      <c r="C417" s="99">
        <v>2</v>
      </c>
      <c r="D417" s="57" t="str">
        <f>IF(A417="","",VLOOKUP(A417,'6.A'!$A$11:$G$180,4,FALSE))</f>
        <v>UN</v>
      </c>
      <c r="E417" s="100">
        <f>IF(A417="","",VLOOKUP(A417,'6.A'!$A$11:$G$180,5,FALSE))</f>
        <v>0</v>
      </c>
      <c r="F417" s="24">
        <f t="shared" si="181"/>
        <v>0</v>
      </c>
      <c r="G417" s="52"/>
      <c r="H417" s="52">
        <f>IF(A417="","",VLOOKUP(A417,'6.A'!$A$11:$E$7984,5,FALSE))</f>
        <v>0</v>
      </c>
      <c r="I417" s="52" t="str">
        <f t="shared" si="182"/>
        <v>SIM</v>
      </c>
      <c r="J417" s="52" t="str">
        <f>IF(H417="","",VLOOKUP(A417,'6.A'!$A$11:$E$564,4,FALSE))</f>
        <v>UN</v>
      </c>
      <c r="K417" s="52" t="str">
        <f t="shared" si="183"/>
        <v>SIM</v>
      </c>
      <c r="L417" s="52">
        <f>IF(H417="","",IF(C417="","",G376*C417))</f>
        <v>2</v>
      </c>
      <c r="M417" s="117" t="str">
        <f>IF(A417="","",VLOOKUP(A417,'6.A'!$A$11:$C$564,2,FALSE))</f>
        <v>MÃO FRANCESA PLANA DE 32X5X619MM</v>
      </c>
      <c r="N417" s="57" t="str">
        <f t="shared" si="184"/>
        <v>si</v>
      </c>
      <c r="O417" s="56"/>
      <c r="P417" s="56"/>
      <c r="Q417" s="48"/>
      <c r="R417" s="48"/>
      <c r="S417" s="2"/>
    </row>
    <row r="418" spans="1:23" s="65" customFormat="1" ht="12.75" customHeight="1" x14ac:dyDescent="0.2">
      <c r="A418" s="22">
        <f>'6.A'!$A$168</f>
        <v>49514</v>
      </c>
      <c r="B418" s="23" t="str">
        <f>IF(A418="","",VLOOKUP(A418,'6.A'!$A$11:$G$180,2,FALSE))</f>
        <v>SELA PARA CRUZETA DE MADEIRA</v>
      </c>
      <c r="C418" s="99">
        <v>3</v>
      </c>
      <c r="D418" s="57" t="str">
        <f>IF(A418="","",VLOOKUP(A418,'6.A'!$A$11:$G$180,4,FALSE))</f>
        <v>UN</v>
      </c>
      <c r="E418" s="100">
        <f>IF(A418="","",VLOOKUP(A418,'6.A'!$A$11:$G$180,5,FALSE))</f>
        <v>0</v>
      </c>
      <c r="F418" s="24">
        <f t="shared" si="181"/>
        <v>0</v>
      </c>
      <c r="G418" s="52"/>
      <c r="H418" s="52">
        <f>IF(A418="","",VLOOKUP(A418,'6.A'!$A$11:$E$7984,5,FALSE))</f>
        <v>0</v>
      </c>
      <c r="I418" s="52" t="str">
        <f t="shared" si="182"/>
        <v>SIM</v>
      </c>
      <c r="J418" s="52" t="str">
        <f>IF(H418="","",VLOOKUP(A418,'6.A'!$A$11:$E$564,4,FALSE))</f>
        <v>UN</v>
      </c>
      <c r="K418" s="52" t="str">
        <f t="shared" si="183"/>
        <v>SIM</v>
      </c>
      <c r="L418" s="52">
        <f>IF(H418="","",IF(C418="","",G376*C418))</f>
        <v>3</v>
      </c>
      <c r="M418" s="117" t="str">
        <f>IF(A418="","",VLOOKUP(A418,'6.A'!$A$11:$C$564,2,FALSE))</f>
        <v>SELA PARA CRUZETA DE MADEIRA</v>
      </c>
      <c r="N418" s="57" t="str">
        <f t="shared" si="184"/>
        <v>si</v>
      </c>
      <c r="O418" s="56"/>
      <c r="P418" s="56"/>
      <c r="Q418" s="48"/>
      <c r="R418" s="48"/>
      <c r="T418" s="2"/>
      <c r="U418" s="2"/>
      <c r="V418" s="2"/>
    </row>
    <row r="419" spans="1:23" ht="12.75" customHeight="1" x14ac:dyDescent="0.2">
      <c r="A419" s="22">
        <f>'6.A'!$A$170</f>
        <v>49539</v>
      </c>
      <c r="B419" s="23" t="str">
        <f>IF(A419="","",VLOOKUP(A419,'6.A'!$A$11:$G$180,2,FALSE))</f>
        <v>ARRUELA QUADRADA DE 50 MM COM FURO DE 18 MM</v>
      </c>
      <c r="C419" s="99">
        <v>7</v>
      </c>
      <c r="D419" s="57" t="str">
        <f>IF(A419="","",VLOOKUP(A419,'6.A'!$A$11:$G$180,4,FALSE))</f>
        <v>UN</v>
      </c>
      <c r="E419" s="100">
        <f>IF(A419="","",VLOOKUP(A419,'6.A'!$A$11:$G$180,5,FALSE))</f>
        <v>0</v>
      </c>
      <c r="F419" s="24">
        <f t="shared" si="181"/>
        <v>0</v>
      </c>
      <c r="G419" s="52"/>
      <c r="H419" s="52">
        <f>IF(A419="","",VLOOKUP(A419,'6.A'!$A$11:$E$7984,5,FALSE))</f>
        <v>0</v>
      </c>
      <c r="I419" s="52" t="str">
        <f t="shared" si="182"/>
        <v>SIM</v>
      </c>
      <c r="J419" s="52" t="str">
        <f>IF(H419="","",VLOOKUP(A419,'6.A'!$A$11:$E$564,4,FALSE))</f>
        <v>UN</v>
      </c>
      <c r="K419" s="52" t="str">
        <f t="shared" si="183"/>
        <v>SIM</v>
      </c>
      <c r="L419" s="52">
        <f>IF(H419="","",IF(C419="","",G376*C419))</f>
        <v>7</v>
      </c>
      <c r="M419" s="117" t="str">
        <f>IF(A419="","",VLOOKUP(A419,'6.A'!$A$11:$C$564,2,FALSE))</f>
        <v>ARRUELA QUADRADA DE 50 MM COM FURO DE 18 MM</v>
      </c>
      <c r="N419" s="57" t="str">
        <f t="shared" si="184"/>
        <v>si</v>
      </c>
      <c r="O419" s="56"/>
      <c r="P419" s="56"/>
      <c r="Q419" s="48"/>
      <c r="R419" s="48"/>
    </row>
    <row r="420" spans="1:23" ht="12.75" customHeight="1" x14ac:dyDescent="0.2">
      <c r="A420" s="22">
        <f>'6.A'!$A$171</f>
        <v>49551</v>
      </c>
      <c r="B420" s="23" t="str">
        <f>IF(A420="","",VLOOKUP(A420,'6.A'!$A$11:$G$180,2,FALSE))</f>
        <v>PARAFUSO CABEÇA ABAULADA M16 X 150 MM</v>
      </c>
      <c r="C420" s="99">
        <v>7</v>
      </c>
      <c r="D420" s="57" t="str">
        <f>IF(A420="","",VLOOKUP(A420,'6.A'!$A$11:$G$180,4,FALSE))</f>
        <v>UN</v>
      </c>
      <c r="E420" s="100">
        <f>IF(A420="","",VLOOKUP(A420,'6.A'!$A$11:$G$180,5,FALSE))</f>
        <v>0</v>
      </c>
      <c r="F420" s="24">
        <f t="shared" si="177"/>
        <v>0</v>
      </c>
      <c r="G420" s="52"/>
      <c r="H420" s="52">
        <f>IF(A420="","",VLOOKUP(A420,'6.A'!$A$11:$E$7984,5,FALSE))</f>
        <v>0</v>
      </c>
      <c r="I420" s="52" t="str">
        <f t="shared" si="178"/>
        <v>SIM</v>
      </c>
      <c r="J420" s="52" t="str">
        <f>IF(H420="","",VLOOKUP(A420,'6.A'!$A$11:$E$564,4,FALSE))</f>
        <v>UN</v>
      </c>
      <c r="K420" s="52" t="str">
        <f t="shared" si="179"/>
        <v>SIM</v>
      </c>
      <c r="L420" s="52">
        <f>IF(H420="","",IF(C420="","",G376*C420))</f>
        <v>7</v>
      </c>
      <c r="M420" s="117" t="str">
        <f>IF(A420="","",VLOOKUP(A420,'6.A'!$A$11:$C$564,2,FALSE))</f>
        <v>PARAFUSO CABEÇA ABAULADA M16 X 150 MM</v>
      </c>
      <c r="N420" s="57" t="str">
        <f t="shared" si="180"/>
        <v>si</v>
      </c>
      <c r="O420" s="56"/>
      <c r="P420" s="56"/>
      <c r="Q420" s="48"/>
      <c r="R420" s="48"/>
    </row>
    <row r="421" spans="1:23" ht="12.75" customHeight="1" x14ac:dyDescent="0.2">
      <c r="A421" s="22">
        <f>'6.A'!$A$172</f>
        <v>49562</v>
      </c>
      <c r="B421" s="39" t="str">
        <f>IF(A421="","",VLOOKUP(A421,'6.A'!$A$11:$G$180,2,FALSE))</f>
        <v>MANILHA SAPATILHA DE FERRO</v>
      </c>
      <c r="C421" s="99">
        <v>4</v>
      </c>
      <c r="D421" s="57" t="str">
        <f>IF(A421="","",VLOOKUP(A421,'6.A'!$A$11:$G$180,4,FALSE))</f>
        <v>UN</v>
      </c>
      <c r="E421" s="100">
        <f>IF(A421="","",VLOOKUP(A421,'6.A'!$A$11:$G$180,5,FALSE))</f>
        <v>0</v>
      </c>
      <c r="F421" s="24">
        <f t="shared" si="177"/>
        <v>0</v>
      </c>
      <c r="G421" s="52"/>
      <c r="H421" s="52">
        <f>IF(A421="","",VLOOKUP(A421,'6.A'!$A$11:$E$7984,5,FALSE))</f>
        <v>0</v>
      </c>
      <c r="I421" s="52" t="str">
        <f t="shared" si="178"/>
        <v>SIM</v>
      </c>
      <c r="J421" s="52" t="str">
        <f>IF(H421="","",VLOOKUP(A421,'6.A'!$A$11:$E$564,4,FALSE))</f>
        <v>UN</v>
      </c>
      <c r="K421" s="52" t="str">
        <f t="shared" si="179"/>
        <v>SIM</v>
      </c>
      <c r="L421" s="52">
        <f>IF(H421="","",IF(C421="","",G376*C421))</f>
        <v>4</v>
      </c>
      <c r="M421" s="117" t="str">
        <f>IF(A421="","",VLOOKUP(A421,'6.A'!$A$11:$C$564,2,FALSE))</f>
        <v>MANILHA SAPATILHA DE FERRO</v>
      </c>
      <c r="N421" s="57" t="str">
        <f t="shared" si="180"/>
        <v>si</v>
      </c>
      <c r="O421" s="56"/>
      <c r="P421" s="56"/>
      <c r="Q421" s="48"/>
      <c r="R421" s="48"/>
    </row>
    <row r="422" spans="1:23" ht="12.75" customHeight="1" x14ac:dyDescent="0.2">
      <c r="A422" s="22">
        <f>'6.A'!$A$173</f>
        <v>49627</v>
      </c>
      <c r="B422" s="39" t="str">
        <f>IF(A422="","",VLOOKUP(A422,'6.A'!$A$11:$G$180,2,FALSE))</f>
        <v>BARRAMENTO DE COBRE NU (QUALQUER BITOLA)</v>
      </c>
      <c r="C422" s="99">
        <f>1.8971*1.3</f>
        <v>2.4662299999999999</v>
      </c>
      <c r="D422" s="57" t="str">
        <f>IF(A422="","",VLOOKUP(A422,'6.A'!$A$11:$G$180,4,FALSE))</f>
        <v>KG</v>
      </c>
      <c r="E422" s="100">
        <f>IF(A422="","",VLOOKUP(A422,'6.A'!$A$11:$G$180,5,FALSE))</f>
        <v>0</v>
      </c>
      <c r="F422" s="24">
        <f t="shared" si="177"/>
        <v>0</v>
      </c>
      <c r="G422" s="52"/>
      <c r="H422" s="52">
        <f>IF(A422="","",VLOOKUP(A422,'6.A'!$A$11:$E$7984,5,FALSE))</f>
        <v>0</v>
      </c>
      <c r="I422" s="52" t="str">
        <f t="shared" si="178"/>
        <v>SIM</v>
      </c>
      <c r="J422" s="52" t="str">
        <f>IF(H422="","",VLOOKUP(A422,'6.A'!$A$11:$E$564,4,FALSE))</f>
        <v>KG</v>
      </c>
      <c r="K422" s="52" t="str">
        <f t="shared" si="179"/>
        <v>SIM</v>
      </c>
      <c r="L422" s="52">
        <f>IF(H422="","",IF(C422="","",G376*C422))</f>
        <v>2.4662299999999999</v>
      </c>
      <c r="M422" s="117" t="str">
        <f>IF(A422="","",VLOOKUP(A422,'6.A'!$A$11:$C$564,2,FALSE))</f>
        <v>BARRAMENTO DE COBRE NU (QUALQUER BITOLA)</v>
      </c>
      <c r="N422" s="57" t="str">
        <f t="shared" si="180"/>
        <v>si</v>
      </c>
      <c r="O422" s="56"/>
      <c r="P422" s="56"/>
      <c r="Q422" s="48"/>
      <c r="R422" s="48"/>
    </row>
    <row r="423" spans="1:23" ht="12.75" customHeight="1" x14ac:dyDescent="0.2">
      <c r="A423" s="22">
        <f>'6.A'!$A$178</f>
        <v>91393</v>
      </c>
      <c r="B423" s="23" t="str">
        <f>IF(A423="","",VLOOKUP(A423,'6.A'!$A$11:$G$180,2,FALSE))</f>
        <v>FECHO EM AÇO INOXIDÁVEL PARA FITA DE 19 MM</v>
      </c>
      <c r="C423" s="99">
        <v>2</v>
      </c>
      <c r="D423" s="57" t="str">
        <f>IF(A423="","",VLOOKUP(A423,'6.A'!$A$11:$G$180,4,FALSE))</f>
        <v>UN</v>
      </c>
      <c r="E423" s="100">
        <f>IF(A423="","",VLOOKUP(A423,'6.A'!$A$11:$G$180,5,FALSE))</f>
        <v>0</v>
      </c>
      <c r="F423" s="24">
        <f>IF(A423="","0,00",ROUND(C423*E423,2))</f>
        <v>0</v>
      </c>
      <c r="G423" s="52"/>
      <c r="H423" s="52">
        <f>IF(A423="","",VLOOKUP(A423,'6.A'!$A$11:$E$7984,5,FALSE))</f>
        <v>0</v>
      </c>
      <c r="I423" s="52" t="str">
        <f>IF(H423="","",IF(E423=H423,"SIM","NÃO"))</f>
        <v>SIM</v>
      </c>
      <c r="J423" s="52" t="str">
        <f>IF(H423="","",VLOOKUP(A423,'6.A'!$A$11:$E$564,4,FALSE))</f>
        <v>UN</v>
      </c>
      <c r="K423" s="52" t="str">
        <f>IF(H423="","",IF(J423=D423,"SIM","NÃO"))</f>
        <v>SIM</v>
      </c>
      <c r="L423" s="52">
        <f>IF(H423="","",IF(C423="","",G376*C423))</f>
        <v>2</v>
      </c>
      <c r="M423" s="117" t="str">
        <f>IF(A423="","",VLOOKUP(A423,'6.A'!$A$11:$C$564,2,FALSE))</f>
        <v>FECHO EM AÇO INOXIDÁVEL PARA FITA DE 19 MM</v>
      </c>
      <c r="N423" s="57" t="str">
        <f>IF(A423="","",IF(M423=B423,"si","no"))</f>
        <v>si</v>
      </c>
      <c r="O423" s="56"/>
      <c r="P423" s="56"/>
      <c r="Q423" s="48"/>
      <c r="R423" s="48"/>
      <c r="S423" s="2"/>
    </row>
    <row r="424" spans="1:23" ht="12.75" customHeight="1" x14ac:dyDescent="0.2">
      <c r="A424" s="22"/>
      <c r="B424" s="23" t="str">
        <f>IF(A424="","",VLOOKUP(A424,'6.A'!$A$11:$G$180,2,FALSE))</f>
        <v/>
      </c>
      <c r="C424" s="99"/>
      <c r="D424" s="57" t="str">
        <f>IF(A424="","",VLOOKUP(A424,'6.A'!$A$11:$G$180,4,FALSE))</f>
        <v/>
      </c>
      <c r="E424" s="100" t="str">
        <f>IF(A424="","",VLOOKUP(A424,'6.A'!$A$11:$G$180,5,FALSE))</f>
        <v/>
      </c>
      <c r="F424" s="24" t="str">
        <f>IF(A424="","0,00",ROUND(C424*E424,2))</f>
        <v>0,00</v>
      </c>
      <c r="G424" s="52"/>
      <c r="H424" s="52" t="str">
        <f>IF(A424="","",VLOOKUP(A424,'6.A'!$A$11:$E$7984,5,FALSE))</f>
        <v/>
      </c>
      <c r="I424" s="52" t="str">
        <f>IF(H424="","",IF(E424=H424,"SIM","NÃO"))</f>
        <v/>
      </c>
      <c r="J424" s="52" t="str">
        <f>IF(H424="","",VLOOKUP(A424,'6.A'!$A$11:$E$564,4,FALSE))</f>
        <v/>
      </c>
      <c r="K424" s="52" t="str">
        <f>IF(H424="","",IF(J424=D424,"SIM","NÃO"))</f>
        <v/>
      </c>
      <c r="L424" s="52" t="str">
        <f>IF(H424="","",IF(C424="","",G376*C424))</f>
        <v/>
      </c>
      <c r="M424" s="117" t="str">
        <f>IF(A424="","",VLOOKUP(A424,'6.A'!$A$11:$C$564,2,FALSE))</f>
        <v/>
      </c>
      <c r="N424" s="57" t="str">
        <f>IF(A424="","",IF(M424=B424,"si","no"))</f>
        <v/>
      </c>
      <c r="O424" s="56"/>
      <c r="P424" s="56"/>
      <c r="Q424" s="48"/>
      <c r="R424" s="48"/>
      <c r="S424" s="2"/>
    </row>
    <row r="425" spans="1:23" ht="12.75" customHeight="1" x14ac:dyDescent="0.2">
      <c r="A425" s="22"/>
      <c r="B425" s="26" t="str">
        <f>$A$9</f>
        <v>BDI</v>
      </c>
      <c r="C425" s="40">
        <f>$C$9</f>
        <v>0</v>
      </c>
      <c r="D425" s="57"/>
      <c r="F425" s="28">
        <f>ROUND(SUM(F405:F424)*C425,2)</f>
        <v>0</v>
      </c>
      <c r="G425" s="63"/>
      <c r="M425" s="57"/>
      <c r="N425" s="57"/>
      <c r="O425" s="56"/>
      <c r="P425" s="56"/>
      <c r="Q425" s="48"/>
      <c r="R425" s="48"/>
    </row>
    <row r="426" spans="1:23" ht="12.75" customHeight="1" thickBot="1" x14ac:dyDescent="0.25">
      <c r="A426" s="41"/>
      <c r="B426" s="42" t="s">
        <v>57</v>
      </c>
      <c r="C426" s="43"/>
      <c r="D426" s="44"/>
      <c r="E426" s="45"/>
      <c r="F426" s="46">
        <f>ROUND(SUM(F405:F425),2)</f>
        <v>0</v>
      </c>
      <c r="G426" s="63"/>
      <c r="M426" s="57"/>
      <c r="N426" s="57"/>
      <c r="O426" s="56"/>
      <c r="P426" s="56"/>
      <c r="Q426" s="48"/>
      <c r="R426" s="48"/>
    </row>
    <row r="427" spans="1:23" ht="12" customHeight="1" thickBot="1" x14ac:dyDescent="0.25">
      <c r="A427" s="8"/>
      <c r="B427" s="9"/>
      <c r="C427" s="10"/>
      <c r="D427" s="57"/>
      <c r="F427" s="12"/>
      <c r="M427" s="57"/>
      <c r="N427" s="57"/>
      <c r="O427" s="56"/>
      <c r="P427" s="56"/>
    </row>
    <row r="428" spans="1:23" ht="50.1" customHeight="1" x14ac:dyDescent="0.2">
      <c r="A428" s="243" t="str">
        <f>'3.A'!$A$112</f>
        <v>2.5</v>
      </c>
      <c r="B428" s="14" t="str">
        <f>IF(A428="","",VLOOKUP(A428,'3.A'!$A$17:$M$279,2,FALSE))</f>
        <v>TE-06 ENTRADA PRIMÁRIA SIMPLIF. POSTE UNICO - CPFL - 112,5 KVA - 15KV- 220/127 V - INFRAESTRUTURA CIVIL</v>
      </c>
      <c r="C428" s="413" t="s">
        <v>62</v>
      </c>
      <c r="D428" s="413"/>
      <c r="E428" s="15" t="str">
        <f>IF(A428="","",VLOOKUP(A428,'3.A'!$A$17:$M$279,3,FALSE))</f>
        <v>UN</v>
      </c>
      <c r="F428" s="16">
        <f>ROUND(F442+F455+F478,2)</f>
        <v>0</v>
      </c>
      <c r="G428" s="118">
        <f>VLOOKUP(A428,'3.A'!$A$19:$I$279,4,FALSE)</f>
        <v>1</v>
      </c>
      <c r="H428" s="47">
        <f>SUM(F430:F441)</f>
        <v>0</v>
      </c>
      <c r="I428" s="47">
        <f>SUM(F444:F454)</f>
        <v>0</v>
      </c>
      <c r="J428" s="47">
        <f>SUM(F457:F477)</f>
        <v>0</v>
      </c>
      <c r="K428" s="47">
        <f>SUM(H428:J428)</f>
        <v>0</v>
      </c>
      <c r="L428" s="47" t="str">
        <f>IF(K428=F428,"SIM","NÃO")</f>
        <v>SIM</v>
      </c>
      <c r="M428" s="58">
        <f>ROUND(SUM(F430:F439)*C440,2)+ROUND(SUM(F430:F440)*C441,2)+ROUND(SUM(F430:F439),2)+ROUND(SUM(F444:F453)*C454,2)+ROUND(SUM(F444:F453),2)+ROUND(SUM(F457:F476)*C477,2)+ROUND(SUM(F457:F476),2)</f>
        <v>0</v>
      </c>
      <c r="N428" s="50" t="str">
        <f>IF(M428=F428,"SIM","NÃO")</f>
        <v>SIM</v>
      </c>
      <c r="O428" s="51" t="str">
        <f>VLOOKUP(A428,'3.A'!$A$8:$E$279,3,FALSE)</f>
        <v>UN</v>
      </c>
      <c r="P428" s="51" t="str">
        <f>IF(O428=E428,"SIM","NÃO")</f>
        <v>SIM</v>
      </c>
      <c r="Q428" s="53">
        <f>ROUND(G428*F442,2)+ROUND(G428*F455,2)+ROUND(G428*F478,2)</f>
        <v>0</v>
      </c>
      <c r="R428" s="59">
        <f>VLOOKUP(A428,'3.A'!$A$17:$L$279,12,FALSE)</f>
        <v>0</v>
      </c>
      <c r="S428" s="60" t="str">
        <f>IF(Q428=R428,"si","no")</f>
        <v>si</v>
      </c>
      <c r="T428" s="61">
        <f>SUM(L430:L439)+SUM(L444:L453)+SUM(L457:L476)</f>
        <v>303.14965799999999</v>
      </c>
      <c r="U428" s="52">
        <f>G428*C436+G428*C438+G428*C431+G428*C432+G428*C434+G428*C437+G428*C435+G428*C430+G428*C433+G428*C439+G428*C450+G428*C444+G428*C452+G428*C451+G428*C449+G428*C446+G428*C445+G428*C447+G428*C453+G428*C448+G428*C457+G428*C458+G428*C459+G428*C467+G428*C468+G428*C469+G428*C470+G428*C471+G428*C472+G428*C473+G428*C474+G428*C475+G428*C476+G428*C465+G428*C466+G428*C460+G428*C461+G428*C462+G428*C463+G428*C464</f>
        <v>303.14965799999993</v>
      </c>
      <c r="V428" s="54" t="str">
        <f>IF(T428=U428,"si","no")</f>
        <v>si</v>
      </c>
      <c r="W428" s="137"/>
    </row>
    <row r="429" spans="1:23" ht="12.75" customHeight="1" x14ac:dyDescent="0.2">
      <c r="A429" s="17" t="s">
        <v>3</v>
      </c>
      <c r="B429" s="18" t="s">
        <v>58</v>
      </c>
      <c r="C429" s="56" t="s">
        <v>59</v>
      </c>
      <c r="D429" s="56" t="s">
        <v>16</v>
      </c>
      <c r="E429" s="19" t="s">
        <v>60</v>
      </c>
      <c r="F429" s="20" t="s">
        <v>61</v>
      </c>
      <c r="G429" s="21"/>
      <c r="M429" s="57"/>
      <c r="N429" s="57"/>
      <c r="O429" s="56"/>
      <c r="P429" s="56"/>
      <c r="Q429" s="48"/>
      <c r="R429" s="48"/>
    </row>
    <row r="430" spans="1:23" ht="12.75" customHeight="1" x14ac:dyDescent="0.2">
      <c r="A430" s="22">
        <f>'6.A'!$A$12</f>
        <v>88238</v>
      </c>
      <c r="B430" s="23" t="str">
        <f>IF(A430="","",VLOOKUP(A430,'6.A'!$A$11:$G$180,2,FALSE))</f>
        <v xml:space="preserve">AJUDANTE DE ARMADOR COM ENCARGOS COMPLEMENTARES </v>
      </c>
      <c r="C430" s="99">
        <v>0.69</v>
      </c>
      <c r="D430" s="57" t="str">
        <f>IF(A430="","",VLOOKUP(A430,'6.A'!$A$11:$G$180,4,FALSE))</f>
        <v>H</v>
      </c>
      <c r="E430" s="100">
        <f>IF(A430="","",VLOOKUP(A430,'6.A'!$A$11:$G$180,5,FALSE))</f>
        <v>0</v>
      </c>
      <c r="F430" s="24">
        <f t="shared" ref="F430" si="185">IF(A430="","0,00",ROUND(C430*E430,2))</f>
        <v>0</v>
      </c>
      <c r="G430" s="52"/>
      <c r="H430" s="52">
        <f>IF(A430="","",VLOOKUP(A430,'6.A'!$A$11:$E$7984,5,FALSE))</f>
        <v>0</v>
      </c>
      <c r="I430" s="52" t="str">
        <f>IF(H430="","",IF(E430=H430,"SIM","NÃO"))</f>
        <v>SIM</v>
      </c>
      <c r="J430" s="52" t="str">
        <f>IF(H430="","",VLOOKUP(A430,'6.A'!$A$11:$E$564,4,FALSE))</f>
        <v>H</v>
      </c>
      <c r="K430" s="52" t="str">
        <f>IF(H430="","",IF(J430=D430,"SIM","NÃO"))</f>
        <v>SIM</v>
      </c>
      <c r="L430" s="52">
        <f>IF(H430="","",IF(C430="","",G428*C430))</f>
        <v>0.69</v>
      </c>
      <c r="M430" s="117" t="str">
        <f>IF(A430="","",VLOOKUP(A430,'6.A'!$A$11:$C$564,2,FALSE))</f>
        <v xml:space="preserve">AJUDANTE DE ARMADOR COM ENCARGOS COMPLEMENTARES </v>
      </c>
      <c r="N430" s="57" t="str">
        <f>IF(A430="","",IF(M430=B430,"si","no"))</f>
        <v>si</v>
      </c>
      <c r="O430" s="56"/>
      <c r="P430" s="56"/>
      <c r="Q430" s="48"/>
      <c r="R430" s="48"/>
      <c r="S430" s="2"/>
    </row>
    <row r="431" spans="1:23" ht="12.75" customHeight="1" x14ac:dyDescent="0.2">
      <c r="A431" s="22">
        <f>'6.A'!$A$13</f>
        <v>88239</v>
      </c>
      <c r="B431" s="23" t="str">
        <f>IF(A431="","",VLOOKUP(A431,'6.A'!$A$11:$G$180,2,FALSE))</f>
        <v>AJUDANTE DE CARPINTEIRO COM ENCARGOS COMPLEMENTARES</v>
      </c>
      <c r="C431" s="99">
        <v>1.4930000000000001</v>
      </c>
      <c r="D431" s="57" t="str">
        <f>IF(A431="","",VLOOKUP(A431,'6.A'!$A$11:$G$180,4,FALSE))</f>
        <v>H</v>
      </c>
      <c r="E431" s="100">
        <f>IF(A431="","",VLOOKUP(A431,'6.A'!$A$11:$G$180,5,FALSE))</f>
        <v>0</v>
      </c>
      <c r="F431" s="24">
        <f>IF(A431="","0,00",ROUND(C431*E431,2))</f>
        <v>0</v>
      </c>
      <c r="G431" s="52"/>
      <c r="H431" s="52">
        <f>IF(A431="","",VLOOKUP(A431,'6.A'!$A$11:$E$7984,5,FALSE))</f>
        <v>0</v>
      </c>
      <c r="I431" s="52" t="str">
        <f>IF(H431="","",IF(E431=H431,"SIM","NÃO"))</f>
        <v>SIM</v>
      </c>
      <c r="J431" s="52" t="str">
        <f>IF(H431="","",VLOOKUP(A431,'6.A'!$A$11:$E$564,4,FALSE))</f>
        <v>H</v>
      </c>
      <c r="K431" s="52" t="str">
        <f>IF(H431="","",IF(J431=D431,"SIM","NÃO"))</f>
        <v>SIM</v>
      </c>
      <c r="L431" s="52">
        <f>IF(H431="","",IF(C431="","",G428*C431))</f>
        <v>1.4930000000000001</v>
      </c>
      <c r="M431" s="117" t="str">
        <f>IF(A431="","",VLOOKUP(A431,'6.A'!$A$11:$C$564,2,FALSE))</f>
        <v>AJUDANTE DE CARPINTEIRO COM ENCARGOS COMPLEMENTARES</v>
      </c>
      <c r="N431" s="57" t="str">
        <f>IF(A431="","",IF(M431=B431,"si","no"))</f>
        <v>si</v>
      </c>
      <c r="O431" s="56"/>
      <c r="P431" s="56"/>
      <c r="Q431" s="48"/>
      <c r="R431" s="48"/>
    </row>
    <row r="432" spans="1:23" ht="12.75" customHeight="1" x14ac:dyDescent="0.2">
      <c r="A432" s="22">
        <f>'6.A'!$A$14</f>
        <v>88245</v>
      </c>
      <c r="B432" s="23" t="str">
        <f>IF(A432="","",VLOOKUP(A432,'6.A'!$A$11:$G$180,2,FALSE))</f>
        <v>ARMADOR COM ENCARGOS COMPLEMENTARES</v>
      </c>
      <c r="C432" s="99">
        <v>0.69</v>
      </c>
      <c r="D432" s="57" t="str">
        <f>IF(A432="","",VLOOKUP(A432,'6.A'!$A$11:$G$180,4,FALSE))</f>
        <v>H</v>
      </c>
      <c r="E432" s="100">
        <f>IF(A432="","",VLOOKUP(A432,'6.A'!$A$11:$G$180,5,FALSE))</f>
        <v>0</v>
      </c>
      <c r="F432" s="24">
        <f>IF(A432="","0,00",ROUND(C432*E432,2))</f>
        <v>0</v>
      </c>
      <c r="G432" s="52"/>
      <c r="H432" s="52">
        <f>IF(A432="","",VLOOKUP(A432,'6.A'!$A$11:$E$7984,5,FALSE))</f>
        <v>0</v>
      </c>
      <c r="I432" s="52" t="str">
        <f>IF(H432="","",IF(E432=H432,"SIM","NÃO"))</f>
        <v>SIM</v>
      </c>
      <c r="J432" s="52" t="str">
        <f>IF(H432="","",VLOOKUP(A432,'6.A'!$A$11:$E$564,4,FALSE))</f>
        <v>H</v>
      </c>
      <c r="K432" s="52" t="str">
        <f t="shared" ref="K432" si="186">IF(H432="","",IF(J432=D432,"SIM","NÃO"))</f>
        <v>SIM</v>
      </c>
      <c r="L432" s="52">
        <f>IF(H432="","",IF(C432="","",G428*C432))</f>
        <v>0.69</v>
      </c>
      <c r="M432" s="117" t="str">
        <f>IF(A432="","",VLOOKUP(A432,'6.A'!$A$11:$C$564,2,FALSE))</f>
        <v>ARMADOR COM ENCARGOS COMPLEMENTARES</v>
      </c>
      <c r="N432" s="57" t="str">
        <f t="shared" ref="N432" si="187">IF(A432="","",IF(M432=B432,"si","no"))</f>
        <v>si</v>
      </c>
      <c r="O432" s="56"/>
      <c r="P432" s="56"/>
      <c r="Q432" s="48"/>
      <c r="R432" s="48"/>
      <c r="S432" s="2"/>
    </row>
    <row r="433" spans="1:19" ht="12.75" customHeight="1" x14ac:dyDescent="0.2">
      <c r="A433" s="22">
        <f>'6.A'!$A$16</f>
        <v>88261</v>
      </c>
      <c r="B433" s="23" t="str">
        <f>IF(A433="","",VLOOKUP(A433,'6.A'!$A$11:$G$180,2,FALSE))</f>
        <v>CARPINTEIRO DE ESQUADRIA COM ENCARGOS COMPLEMENTARES</v>
      </c>
      <c r="C433" s="99">
        <v>1.4930000000000001</v>
      </c>
      <c r="D433" s="57" t="str">
        <f>IF(A433="","",VLOOKUP(A433,'6.A'!$A$11:$G$180,4,FALSE))</f>
        <v>H</v>
      </c>
      <c r="E433" s="100">
        <f>IF(A433="","",VLOOKUP(A433,'6.A'!$A$11:$G$180,5,FALSE))</f>
        <v>0</v>
      </c>
      <c r="F433" s="24">
        <f>IF(A433="","0,00",ROUND(C433*E433,2))</f>
        <v>0</v>
      </c>
      <c r="G433" s="52"/>
      <c r="H433" s="52">
        <f>IF(A433="","",VLOOKUP(A433,'6.A'!$A$11:$E$7984,5,FALSE))</f>
        <v>0</v>
      </c>
      <c r="I433" s="52" t="str">
        <f>IF(H433="","",IF(E433=H433,"SIM","NÃO"))</f>
        <v>SIM</v>
      </c>
      <c r="J433" s="52" t="str">
        <f>IF(H433="","",VLOOKUP(A433,'6.A'!$A$11:$E$564,4,FALSE))</f>
        <v>H</v>
      </c>
      <c r="K433" s="52" t="str">
        <f>IF(H433="","",IF(J433=D433,"SIM","NÃO"))</f>
        <v>SIM</v>
      </c>
      <c r="L433" s="52">
        <f>IF(H433="","",IF(C433="","",G428*C433))</f>
        <v>1.4930000000000001</v>
      </c>
      <c r="M433" s="117" t="str">
        <f>IF(A433="","",VLOOKUP(A433,'6.A'!$A$11:$C$564,2,FALSE))</f>
        <v>CARPINTEIRO DE ESQUADRIA COM ENCARGOS COMPLEMENTARES</v>
      </c>
      <c r="N433" s="57" t="str">
        <f>IF(A433="","",IF(M433=B433,"si","no"))</f>
        <v>si</v>
      </c>
      <c r="O433" s="56"/>
      <c r="P433" s="56"/>
      <c r="Q433" s="48"/>
      <c r="R433" s="48"/>
    </row>
    <row r="434" spans="1:19" ht="12.75" customHeight="1" x14ac:dyDescent="0.2">
      <c r="A434" s="22">
        <f>'6.A'!$A$20</f>
        <v>88309</v>
      </c>
      <c r="B434" s="23" t="str">
        <f>IF(A434="","",VLOOKUP(A434,'6.A'!$A$11:$G$180,2,FALSE))</f>
        <v>PEDREIRO COM ENCARGOS COMPLEMENTARES</v>
      </c>
      <c r="C434" s="99">
        <v>12.797499999999999</v>
      </c>
      <c r="D434" s="57" t="str">
        <f>IF(A434="","",VLOOKUP(A434,'6.A'!$A$11:$G$180,4,FALSE))</f>
        <v>H</v>
      </c>
      <c r="E434" s="101">
        <f>IF(A434="","",VLOOKUP(A434,'6.A'!$A$11:$G$180,5,FALSE))</f>
        <v>0</v>
      </c>
      <c r="F434" s="24">
        <f t="shared" ref="F434:F435" si="188">IF(A434="","0,00",ROUND(C434*E434,2))</f>
        <v>0</v>
      </c>
      <c r="G434" s="52"/>
      <c r="H434" s="52">
        <f>IF(A434="","",VLOOKUP(A434,'6.A'!$A$11:$E$7984,5,FALSE))</f>
        <v>0</v>
      </c>
      <c r="I434" s="52" t="str">
        <f t="shared" ref="I434" si="189">IF(H434="","",IF(E434=H434,"SIM","NÃO"))</f>
        <v>SIM</v>
      </c>
      <c r="J434" s="52" t="str">
        <f>IF(H434="","",VLOOKUP(A434,'6.A'!$A$11:$E$564,4,FALSE))</f>
        <v>H</v>
      </c>
      <c r="K434" s="52" t="str">
        <f t="shared" ref="K434" si="190">IF(H434="","",IF(J434=D434,"SIM","NÃO"))</f>
        <v>SIM</v>
      </c>
      <c r="L434" s="52">
        <f>IF(H434="","",IF(C434="","",G428*C434))</f>
        <v>12.797499999999999</v>
      </c>
      <c r="M434" s="117" t="str">
        <f>IF(A434="","",VLOOKUP(A434,'6.A'!$A$11:$C$564,2,FALSE))</f>
        <v>PEDREIRO COM ENCARGOS COMPLEMENTARES</v>
      </c>
      <c r="N434" s="57" t="str">
        <f t="shared" ref="N434" si="191">IF(A434="","",IF(M434=B434,"si","no"))</f>
        <v>si</v>
      </c>
      <c r="O434" s="56"/>
      <c r="P434" s="56"/>
      <c r="Q434" s="48"/>
      <c r="R434" s="48"/>
      <c r="S434" s="2"/>
    </row>
    <row r="435" spans="1:19" ht="12.75" customHeight="1" x14ac:dyDescent="0.2">
      <c r="A435" s="22">
        <f>'6.A'!$A$21</f>
        <v>88310</v>
      </c>
      <c r="B435" s="23" t="str">
        <f>IF(A435="","",VLOOKUP(A435,'6.A'!$A$11:$G$180,2,FALSE))</f>
        <v>PINTOR COM ENCARGOS COMPLEMENTARES</v>
      </c>
      <c r="C435" s="99">
        <v>2.86</v>
      </c>
      <c r="D435" s="57" t="str">
        <f>IF(A435="","",VLOOKUP(A435,'6.A'!$A$11:$G$180,4,FALSE))</f>
        <v>H</v>
      </c>
      <c r="E435" s="101">
        <f>IF(A435="","",VLOOKUP(A435,'6.A'!$A$11:$G$180,5,FALSE))</f>
        <v>0</v>
      </c>
      <c r="F435" s="24">
        <f t="shared" si="188"/>
        <v>0</v>
      </c>
      <c r="G435" s="52"/>
      <c r="H435" s="52">
        <f>IF(A435="","",VLOOKUP(A435,'6.A'!$A$11:$E$7984,5,FALSE))</f>
        <v>0</v>
      </c>
      <c r="I435" s="52" t="str">
        <f>IF(H435="","",IF(E435=H435,"SIM","NÃO"))</f>
        <v>SIM</v>
      </c>
      <c r="J435" s="52" t="str">
        <f>IF(H435="","",VLOOKUP(A435,'6.A'!$A$11:$E$564,4,FALSE))</f>
        <v>H</v>
      </c>
      <c r="K435" s="52" t="str">
        <f>IF(H435="","",IF(J435=D435,"SIM","NÃO"))</f>
        <v>SIM</v>
      </c>
      <c r="L435" s="52">
        <f>IF(H435="","",IF(C435="","",G428*C435))</f>
        <v>2.86</v>
      </c>
      <c r="M435" s="117" t="str">
        <f>IF(A435="","",VLOOKUP(A435,'6.A'!$A$11:$C$564,2,FALSE))</f>
        <v>PINTOR COM ENCARGOS COMPLEMENTARES</v>
      </c>
      <c r="N435" s="57" t="str">
        <f>IF(A435="","",IF(M435=B435,"si","no"))</f>
        <v>si</v>
      </c>
      <c r="O435" s="56"/>
      <c r="P435" s="56"/>
      <c r="Q435" s="48"/>
      <c r="R435" s="48"/>
      <c r="S435" s="2"/>
    </row>
    <row r="436" spans="1:19" ht="12.75" customHeight="1" x14ac:dyDescent="0.2">
      <c r="A436" s="22">
        <f>'6.A'!$A$22</f>
        <v>88316</v>
      </c>
      <c r="B436" s="23" t="str">
        <f>IF(A436="","",VLOOKUP(A436,'6.A'!$A$11:$G$180,2,FALSE))</f>
        <v>SERVENTE COM ENCARGOS COMPLEMENTARES</v>
      </c>
      <c r="C436" s="99">
        <v>22.3675</v>
      </c>
      <c r="D436" s="57" t="str">
        <f>IF(A436="","",VLOOKUP(A436,'6.A'!$A$11:$G$180,4,FALSE))</f>
        <v>H</v>
      </c>
      <c r="E436" s="100">
        <f>IF(A436="","",VLOOKUP(A436,'6.A'!$A$11:$G$180,5,FALSE))</f>
        <v>0</v>
      </c>
      <c r="F436" s="24">
        <f>IF(A436="","0,00",ROUND(C436*E436,2))</f>
        <v>0</v>
      </c>
      <c r="G436" s="52"/>
      <c r="H436" s="52">
        <f>IF(A436="","",VLOOKUP(A436,'6.A'!$A$11:$E$7984,5,FALSE))</f>
        <v>0</v>
      </c>
      <c r="I436" s="52" t="str">
        <f t="shared" ref="I436" si="192">IF(H436="","",IF(E436=H436,"SIM","NÃO"))</f>
        <v>SIM</v>
      </c>
      <c r="J436" s="52" t="str">
        <f>IF(H436="","",VLOOKUP(A436,'6.A'!$A$11:$E$564,4,FALSE))</f>
        <v>H</v>
      </c>
      <c r="K436" s="52" t="str">
        <f t="shared" ref="K436" si="193">IF(H436="","",IF(J436=D436,"SIM","NÃO"))</f>
        <v>SIM</v>
      </c>
      <c r="L436" s="52">
        <f>IF(H436="","",IF(C436="","",G428*C436))</f>
        <v>22.3675</v>
      </c>
      <c r="M436" s="117" t="str">
        <f>IF(A436="","",VLOOKUP(A436,'6.A'!$A$11:$C$564,2,FALSE))</f>
        <v>SERVENTE COM ENCARGOS COMPLEMENTARES</v>
      </c>
      <c r="N436" s="57" t="str">
        <f t="shared" ref="N436" si="194">IF(A436="","",IF(M436=B436,"si","no"))</f>
        <v>si</v>
      </c>
      <c r="O436" s="56"/>
      <c r="P436" s="56"/>
      <c r="Q436" s="48"/>
      <c r="R436" s="48"/>
      <c r="S436" s="2"/>
    </row>
    <row r="437" spans="1:19" ht="12.75" customHeight="1" x14ac:dyDescent="0.2">
      <c r="A437" s="22">
        <f>'6.A'!$A$25</f>
        <v>100301</v>
      </c>
      <c r="B437" s="23" t="str">
        <f>IF(A437="","",VLOOKUP(A437,'6.A'!$A$11:$G$180,2,FALSE))</f>
        <v>AJUDANTE DE PINTOR COM ENCARGOS COMPLEMENTARES</v>
      </c>
      <c r="C437" s="99">
        <v>2.86</v>
      </c>
      <c r="D437" s="57" t="str">
        <f>IF(A437="","",VLOOKUP(A437,'6.A'!$A$11:$G$180,4,FALSE))</f>
        <v>H</v>
      </c>
      <c r="E437" s="100">
        <f>IF(A437="","",VLOOKUP(A437,'6.A'!$A$11:$G$180,5,FALSE))</f>
        <v>0</v>
      </c>
      <c r="F437" s="24">
        <f t="shared" ref="F437:F439" si="195">IF(A437="","0,00",ROUND(C437*E437,2))</f>
        <v>0</v>
      </c>
      <c r="G437" s="52"/>
      <c r="H437" s="52">
        <f>IF(A437="","",VLOOKUP(A437,'6.A'!$A$11:$E$7984,5,FALSE))</f>
        <v>0</v>
      </c>
      <c r="I437" s="52" t="str">
        <f>IF(H437="","",IF(E437=H437,"SIM","NÃO"))</f>
        <v>SIM</v>
      </c>
      <c r="J437" s="52" t="str">
        <f>IF(H437="","",VLOOKUP(A437,'6.A'!$A$11:$E$564,4,FALSE))</f>
        <v>H</v>
      </c>
      <c r="K437" s="52" t="str">
        <f>IF(H437="","",IF(J437=D437,"SIM","NÃO"))</f>
        <v>SIM</v>
      </c>
      <c r="L437" s="52">
        <f>IF(H437="","",IF(C437="","",G428*C437))</f>
        <v>2.86</v>
      </c>
      <c r="M437" s="117" t="str">
        <f>IF(A437="","",VLOOKUP(A437,'6.A'!$A$11:$C$564,2,FALSE))</f>
        <v>AJUDANTE DE PINTOR COM ENCARGOS COMPLEMENTARES</v>
      </c>
      <c r="N437" s="57" t="str">
        <f>IF(A437="","",IF(M437=B437,"si","no"))</f>
        <v>si</v>
      </c>
      <c r="O437" s="56"/>
      <c r="P437" s="56"/>
      <c r="Q437" s="48"/>
      <c r="R437" s="48"/>
      <c r="S437" s="2"/>
    </row>
    <row r="438" spans="1:19" ht="12.75" customHeight="1" x14ac:dyDescent="0.2">
      <c r="A438" s="22"/>
      <c r="B438" s="23" t="str">
        <f>IF(A438="","",VLOOKUP(A438,'6.A'!$A$11:$G$180,2,FALSE))</f>
        <v/>
      </c>
      <c r="C438" s="99"/>
      <c r="D438" s="73" t="str">
        <f>IF(A438="","",VLOOKUP(A438,'6.A'!$A$11:$G$180,4,FALSE))</f>
        <v/>
      </c>
      <c r="E438" s="101" t="str">
        <f>IF(A438="","",VLOOKUP(A438,'6.A'!$A$11:$G$180,5,FALSE))</f>
        <v/>
      </c>
      <c r="F438" s="24" t="str">
        <f t="shared" si="195"/>
        <v>0,00</v>
      </c>
      <c r="G438" s="52"/>
      <c r="H438" s="52" t="str">
        <f>IF(A438="","",VLOOKUP(A438,'6.A'!$A$11:$E$7984,5,FALSE))</f>
        <v/>
      </c>
      <c r="I438" s="52" t="str">
        <f>IF(H438="","",IF(E438=H438,"SIM","NÃO"))</f>
        <v/>
      </c>
      <c r="J438" s="52" t="str">
        <f>IF(H438="","",VLOOKUP(A438,'6.A'!$A$11:$E$564,4,FALSE))</f>
        <v/>
      </c>
      <c r="K438" s="52" t="str">
        <f>IF(H438="","",IF(J438=D438,"SIM","NÃO"))</f>
        <v/>
      </c>
      <c r="L438" s="52" t="str">
        <f>IF(H438="","",IF(C438="","",G428*C438))</f>
        <v/>
      </c>
      <c r="M438" s="117" t="str">
        <f>IF(A438="","",VLOOKUP(A438,'6.A'!$A$11:$C$564,2,FALSE))</f>
        <v/>
      </c>
      <c r="N438" s="57" t="str">
        <f>IF(A438="","",IF(M438=B438,"si","no"))</f>
        <v/>
      </c>
      <c r="O438" s="56"/>
      <c r="P438" s="56"/>
      <c r="Q438" s="48"/>
      <c r="R438" s="48"/>
      <c r="S438" s="2"/>
    </row>
    <row r="439" spans="1:19" ht="12.75" customHeight="1" x14ac:dyDescent="0.2">
      <c r="A439" s="22"/>
      <c r="B439" s="23" t="str">
        <f>IF(A439="","",VLOOKUP(A439,'6.A'!$A$11:$G$180,2,FALSE))</f>
        <v/>
      </c>
      <c r="C439" s="99"/>
      <c r="D439" s="25" t="str">
        <f>IF(A439="","",VLOOKUP(A439,'6.A'!$A$11:$G$180,4,FALSE))</f>
        <v/>
      </c>
      <c r="E439" s="101" t="str">
        <f>IF(A439="","",VLOOKUP(A439,'6.A'!$A$11:$G$180,5,FALSE))</f>
        <v/>
      </c>
      <c r="F439" s="24" t="str">
        <f t="shared" si="195"/>
        <v>0,00</v>
      </c>
      <c r="G439" s="52"/>
      <c r="H439" s="52" t="str">
        <f>IF(A439="","",VLOOKUP(A439,'6.A'!$A$11:$E$7984,5,FALSE))</f>
        <v/>
      </c>
      <c r="I439" s="52" t="str">
        <f t="shared" ref="I439" si="196">IF(H439="","",IF(E439=H439,"SIM","NÃO"))</f>
        <v/>
      </c>
      <c r="J439" s="52" t="str">
        <f>IF(H439="","",VLOOKUP(A439,'6.A'!$A$11:$E$564,4,FALSE))</f>
        <v/>
      </c>
      <c r="K439" s="52" t="str">
        <f t="shared" ref="K439" si="197">IF(H439="","",IF(J439=D439,"SIM","NÃO"))</f>
        <v/>
      </c>
      <c r="L439" s="52" t="str">
        <f>IF(H439="","",IF(C439="","",G428*C439))</f>
        <v/>
      </c>
      <c r="M439" s="117" t="str">
        <f>IF(A439="","",VLOOKUP(A439,'6.A'!$A$11:$C$564,2,FALSE))</f>
        <v/>
      </c>
      <c r="N439" s="57" t="str">
        <f t="shared" ref="N439" si="198">IF(A439="","",IF(M439=B439,"si","no"))</f>
        <v/>
      </c>
      <c r="O439" s="56"/>
      <c r="P439" s="56"/>
      <c r="Q439" s="48"/>
      <c r="R439" s="48"/>
      <c r="S439" s="2"/>
    </row>
    <row r="440" spans="1:19" ht="12.75" customHeight="1" x14ac:dyDescent="0.2">
      <c r="A440" s="17"/>
      <c r="B440" s="26" t="str">
        <f>$A$8</f>
        <v>LEIS SOCIAIS HORISTA - JORNADA NORMAL</v>
      </c>
      <c r="C440" s="27">
        <f>$C$8</f>
        <v>0</v>
      </c>
      <c r="D440" s="57"/>
      <c r="F440" s="28">
        <f>ROUND(SUM(F430:F439)*C440,2)</f>
        <v>0</v>
      </c>
      <c r="G440" s="63"/>
      <c r="M440" s="62"/>
      <c r="N440" s="57"/>
      <c r="O440" s="56"/>
      <c r="P440" s="56"/>
      <c r="Q440" s="48"/>
      <c r="R440" s="48"/>
      <c r="S440" s="2"/>
    </row>
    <row r="441" spans="1:19" ht="12.75" customHeight="1" x14ac:dyDescent="0.2">
      <c r="A441" s="22"/>
      <c r="B441" s="26" t="str">
        <f>$A$9</f>
        <v>BDI</v>
      </c>
      <c r="C441" s="27">
        <f>$C$9</f>
        <v>0</v>
      </c>
      <c r="D441" s="29"/>
      <c r="F441" s="28">
        <f>ROUND(SUM(F430:F440)*C441,2)</f>
        <v>0</v>
      </c>
      <c r="G441" s="63"/>
      <c r="M441" s="62"/>
      <c r="N441" s="57"/>
      <c r="O441" s="56"/>
      <c r="P441" s="56"/>
      <c r="Q441" s="48"/>
      <c r="R441" s="48"/>
      <c r="S441" s="2"/>
    </row>
    <row r="442" spans="1:19" ht="12.75" customHeight="1" x14ac:dyDescent="0.2">
      <c r="A442" s="30"/>
      <c r="B442" s="31" t="s">
        <v>56</v>
      </c>
      <c r="C442" s="32"/>
      <c r="D442" s="33"/>
      <c r="E442" s="34"/>
      <c r="F442" s="35">
        <f>ROUND(SUM(F430:F441),2)</f>
        <v>0</v>
      </c>
      <c r="G442" s="63"/>
      <c r="M442" s="62"/>
      <c r="N442" s="57"/>
      <c r="O442" s="56"/>
      <c r="P442" s="56"/>
      <c r="Q442" s="48"/>
      <c r="R442" s="48"/>
      <c r="S442" s="2"/>
    </row>
    <row r="443" spans="1:19" ht="12.75" customHeight="1" x14ac:dyDescent="0.2">
      <c r="A443" s="17" t="s">
        <v>5</v>
      </c>
      <c r="B443" s="153" t="s">
        <v>130</v>
      </c>
      <c r="C443" s="56" t="s">
        <v>59</v>
      </c>
      <c r="D443" s="56" t="s">
        <v>16</v>
      </c>
      <c r="E443" s="19" t="s">
        <v>60</v>
      </c>
      <c r="F443" s="20" t="s">
        <v>61</v>
      </c>
      <c r="G443" s="21"/>
      <c r="M443" s="62"/>
      <c r="N443" s="57"/>
      <c r="O443" s="56"/>
      <c r="P443" s="56"/>
      <c r="Q443" s="48"/>
      <c r="R443" s="48"/>
      <c r="S443" s="2"/>
    </row>
    <row r="444" spans="1:19" ht="12.75" customHeight="1" x14ac:dyDescent="0.2">
      <c r="A444" s="22"/>
      <c r="B444" s="23" t="str">
        <f>IF(A444="","",VLOOKUP(A444,'6.A'!$A$11:$G$180,2,FALSE))</f>
        <v/>
      </c>
      <c r="C444" s="156"/>
      <c r="D444" s="57" t="str">
        <f>IF(A444="","",VLOOKUP(A444,'6.A'!$A$11:$G$180,4,FALSE))</f>
        <v/>
      </c>
      <c r="E444" s="100" t="str">
        <f>IF(A444="","",VLOOKUP(A444,'6.A'!$A$11:$G$180,5,FALSE))</f>
        <v/>
      </c>
      <c r="F444" s="24" t="str">
        <f t="shared" ref="F444:F453" si="199">IF(A444="","0,00",ROUND(C444*E444,2))</f>
        <v>0,00</v>
      </c>
      <c r="G444" s="52"/>
      <c r="H444" s="52" t="str">
        <f>IF(A444="","",VLOOKUP(A444,'6.A'!$A$11:$E$7984,5,FALSE))</f>
        <v/>
      </c>
      <c r="I444" s="52" t="str">
        <f t="shared" ref="I444:I453" si="200">IF(H444="","",IF(E444=H444,"SIM","NÃO"))</f>
        <v/>
      </c>
      <c r="J444" s="52" t="str">
        <f>IF(H444="","",VLOOKUP(A444,'6.A'!$A$11:$E$564,4,FALSE))</f>
        <v/>
      </c>
      <c r="K444" s="52" t="str">
        <f t="shared" ref="K444:K453" si="201">IF(H444="","",IF(J444=D444,"SIM","NÃO"))</f>
        <v/>
      </c>
      <c r="L444" s="52" t="str">
        <f>IF(H444="","",IF(C444="","",G428*C444))</f>
        <v/>
      </c>
      <c r="M444" s="117" t="str">
        <f>IF(A444="","",VLOOKUP(A444,'6.A'!$A$11:$C$564,2,FALSE))</f>
        <v/>
      </c>
      <c r="N444" s="57" t="str">
        <f t="shared" ref="N444:N449" si="202">IF(A444="","",IF(M444=B444,"si","no"))</f>
        <v/>
      </c>
      <c r="O444" s="56"/>
      <c r="P444" s="56"/>
      <c r="Q444" s="48"/>
      <c r="R444" s="48"/>
      <c r="S444" s="2"/>
    </row>
    <row r="445" spans="1:19" ht="12.75" customHeight="1" x14ac:dyDescent="0.2">
      <c r="A445" s="22"/>
      <c r="B445" s="23" t="str">
        <f>IF(A445="","",VLOOKUP(A445,'6.A'!$A$11:$G$180,2,FALSE))</f>
        <v/>
      </c>
      <c r="C445" s="99"/>
      <c r="D445" s="57" t="str">
        <f>IF(A445="","",VLOOKUP(A445,'6.A'!$A$11:$G$180,4,FALSE))</f>
        <v/>
      </c>
      <c r="E445" s="100" t="str">
        <f>IF(A445="","",VLOOKUP(A445,'6.A'!$A$11:$G$180,5,FALSE))</f>
        <v/>
      </c>
      <c r="F445" s="24" t="str">
        <f t="shared" si="199"/>
        <v>0,00</v>
      </c>
      <c r="G445" s="52"/>
      <c r="H445" s="52" t="str">
        <f>IF(A445="","",VLOOKUP(A445,'6.A'!$A$11:$E$7984,5,FALSE))</f>
        <v/>
      </c>
      <c r="I445" s="52" t="str">
        <f t="shared" si="200"/>
        <v/>
      </c>
      <c r="J445" s="52" t="str">
        <f>IF(H445="","",VLOOKUP(A445,'6.A'!$A$11:$E$564,4,FALSE))</f>
        <v/>
      </c>
      <c r="K445" s="52" t="str">
        <f t="shared" si="201"/>
        <v/>
      </c>
      <c r="L445" s="52" t="str">
        <f>IF(H445="","",IF(C445="","",G428*C445))</f>
        <v/>
      </c>
      <c r="M445" s="117" t="str">
        <f>IF(A445="","",VLOOKUP(A445,'6.A'!$A$11:$C$564,2,FALSE))</f>
        <v/>
      </c>
      <c r="N445" s="57" t="str">
        <f t="shared" si="202"/>
        <v/>
      </c>
      <c r="O445" s="56"/>
      <c r="P445" s="56"/>
      <c r="Q445" s="48"/>
      <c r="R445" s="48"/>
      <c r="S445" s="2"/>
    </row>
    <row r="446" spans="1:19" ht="12.75" customHeight="1" x14ac:dyDescent="0.2">
      <c r="A446" s="22"/>
      <c r="B446" s="23" t="str">
        <f>IF(A446="","",VLOOKUP(A446,'6.A'!$A$11:$G$180,2,FALSE))</f>
        <v/>
      </c>
      <c r="C446" s="99"/>
      <c r="D446" s="57" t="str">
        <f>IF(A446="","",VLOOKUP(A446,'6.A'!$A$11:$G$180,4,FALSE))</f>
        <v/>
      </c>
      <c r="E446" s="100" t="str">
        <f>IF(A446="","",VLOOKUP(A446,'6.A'!$A$11:$G$180,5,FALSE))</f>
        <v/>
      </c>
      <c r="F446" s="24" t="str">
        <f t="shared" si="199"/>
        <v>0,00</v>
      </c>
      <c r="G446" s="52"/>
      <c r="H446" s="52" t="str">
        <f>IF(A446="","",VLOOKUP(A446,'6.A'!$A$11:$E$7984,5,FALSE))</f>
        <v/>
      </c>
      <c r="I446" s="52" t="str">
        <f t="shared" si="200"/>
        <v/>
      </c>
      <c r="J446" s="52" t="str">
        <f>IF(H446="","",VLOOKUP(A446,'6.A'!$A$11:$E$564,4,FALSE))</f>
        <v/>
      </c>
      <c r="K446" s="52" t="str">
        <f t="shared" si="201"/>
        <v/>
      </c>
      <c r="L446" s="52" t="str">
        <f>IF(H446="","",IF(C446="","",G428*C446))</f>
        <v/>
      </c>
      <c r="M446" s="117" t="str">
        <f>IF(A446="","",VLOOKUP(A446,'6.A'!$A$11:$C$564,2,FALSE))</f>
        <v/>
      </c>
      <c r="N446" s="57" t="str">
        <f t="shared" si="202"/>
        <v/>
      </c>
      <c r="O446" s="56"/>
      <c r="P446" s="56"/>
      <c r="Q446" s="48"/>
      <c r="R446" s="48"/>
      <c r="S446" s="2"/>
    </row>
    <row r="447" spans="1:19" ht="12.75" customHeight="1" x14ac:dyDescent="0.2">
      <c r="A447" s="22"/>
      <c r="B447" s="55" t="str">
        <f>IF(A447="","",VLOOKUP(A447,'6.A'!$A$11:$G$180,2,FALSE))</f>
        <v/>
      </c>
      <c r="C447" s="134"/>
      <c r="D447" s="57" t="str">
        <f>IF(A447="","",VLOOKUP(A447,'6.A'!$A$11:$G$180,4,FALSE))</f>
        <v/>
      </c>
      <c r="E447" s="100" t="str">
        <f>IF(A447="","",VLOOKUP(A447,'6.A'!$A$11:$G$180,5,FALSE))</f>
        <v/>
      </c>
      <c r="F447" s="24" t="str">
        <f t="shared" si="199"/>
        <v>0,00</v>
      </c>
      <c r="G447" s="52"/>
      <c r="H447" s="52" t="str">
        <f>IF(A447="","",VLOOKUP(A447,'6.A'!$A$11:$E$7984,5,FALSE))</f>
        <v/>
      </c>
      <c r="I447" s="52" t="str">
        <f t="shared" si="200"/>
        <v/>
      </c>
      <c r="J447" s="52" t="str">
        <f>IF(H447="","",VLOOKUP(A447,'6.A'!$A$11:$E$564,4,FALSE))</f>
        <v/>
      </c>
      <c r="K447" s="52" t="str">
        <f t="shared" si="201"/>
        <v/>
      </c>
      <c r="L447" s="52" t="str">
        <f>IF(H447="","",IF(C447="","",G428*C447))</f>
        <v/>
      </c>
      <c r="M447" s="117" t="str">
        <f>IF(A447="","",VLOOKUP(A447,'6.A'!$A$11:$C$564,2,FALSE))</f>
        <v/>
      </c>
      <c r="N447" s="57" t="str">
        <f t="shared" si="202"/>
        <v/>
      </c>
      <c r="O447" s="56"/>
      <c r="P447" s="56"/>
      <c r="Q447" s="48"/>
      <c r="R447" s="48"/>
      <c r="S447" s="2"/>
    </row>
    <row r="448" spans="1:19" ht="12.75" customHeight="1" x14ac:dyDescent="0.2">
      <c r="A448" s="22"/>
      <c r="B448" s="23" t="str">
        <f>IF(A448="","",VLOOKUP(A448,'6.A'!$A$11:$G$180,2,FALSE))</f>
        <v/>
      </c>
      <c r="C448" s="99"/>
      <c r="D448" s="57" t="str">
        <f>IF(A448="","",VLOOKUP(A448,'6.A'!$A$11:$G$180,4,FALSE))</f>
        <v/>
      </c>
      <c r="E448" s="100" t="str">
        <f>IF(A448="","",VLOOKUP(A448,'6.A'!$A$11:$G$180,5,FALSE))</f>
        <v/>
      </c>
      <c r="F448" s="24" t="str">
        <f t="shared" si="199"/>
        <v>0,00</v>
      </c>
      <c r="G448" s="52"/>
      <c r="H448" s="52" t="str">
        <f>IF(A448="","",VLOOKUP(A448,'6.A'!$A$11:$E$7984,5,FALSE))</f>
        <v/>
      </c>
      <c r="I448" s="52" t="str">
        <f t="shared" si="200"/>
        <v/>
      </c>
      <c r="J448" s="52" t="str">
        <f>IF(H448="","",VLOOKUP(A448,'6.A'!$A$11:$E$564,4,FALSE))</f>
        <v/>
      </c>
      <c r="K448" s="52" t="str">
        <f t="shared" si="201"/>
        <v/>
      </c>
      <c r="L448" s="52" t="str">
        <f>IF(H448="","",IF(C448="","",G428*C448))</f>
        <v/>
      </c>
      <c r="M448" s="117" t="str">
        <f>IF(A448="","",VLOOKUP(A448,'6.A'!$A$11:$C$564,2,FALSE))</f>
        <v/>
      </c>
      <c r="N448" s="57" t="str">
        <f t="shared" si="202"/>
        <v/>
      </c>
      <c r="O448" s="56"/>
      <c r="P448" s="56"/>
      <c r="Q448" s="48"/>
      <c r="R448" s="48"/>
      <c r="S448" s="2"/>
    </row>
    <row r="449" spans="1:22" ht="12.75" customHeight="1" x14ac:dyDescent="0.2">
      <c r="A449" s="22"/>
      <c r="B449" s="23" t="str">
        <f>IF(A449="","",VLOOKUP(A449,'6.A'!$A$11:$G$180,2,FALSE))</f>
        <v/>
      </c>
      <c r="C449" s="99"/>
      <c r="D449" s="57" t="str">
        <f>IF(A449="","",VLOOKUP(A449,'6.A'!$A$11:$G$180,4,FALSE))</f>
        <v/>
      </c>
      <c r="E449" s="100" t="str">
        <f>IF(A449="","",VLOOKUP(A449,'6.A'!$A$11:$G$180,5,FALSE))</f>
        <v/>
      </c>
      <c r="F449" s="24" t="str">
        <f t="shared" si="199"/>
        <v>0,00</v>
      </c>
      <c r="G449" s="52"/>
      <c r="H449" s="52" t="str">
        <f>IF(A449="","",VLOOKUP(A449,'6.A'!$A$11:$E$7984,5,FALSE))</f>
        <v/>
      </c>
      <c r="I449" s="52" t="str">
        <f t="shared" si="200"/>
        <v/>
      </c>
      <c r="J449" s="52" t="str">
        <f>IF(H449="","",VLOOKUP(A449,'6.A'!$A$11:$E$564,4,FALSE))</f>
        <v/>
      </c>
      <c r="K449" s="52" t="str">
        <f t="shared" si="201"/>
        <v/>
      </c>
      <c r="L449" s="52" t="str">
        <f>IF(H449="","",IF(C449="","",G428*C449))</f>
        <v/>
      </c>
      <c r="M449" s="117" t="str">
        <f>IF(A449="","",VLOOKUP(A449,'6.A'!$A$11:$C$564,2,FALSE))</f>
        <v/>
      </c>
      <c r="N449" s="57" t="str">
        <f t="shared" si="202"/>
        <v/>
      </c>
      <c r="O449" s="56"/>
      <c r="P449" s="56"/>
      <c r="Q449" s="48"/>
      <c r="R449" s="48"/>
      <c r="S449" s="2"/>
    </row>
    <row r="450" spans="1:22" ht="12.75" customHeight="1" x14ac:dyDescent="0.2">
      <c r="A450" s="22"/>
      <c r="B450" s="23" t="str">
        <f>IF(A450="","",VLOOKUP(A450,'6.A'!$A$11:$G$180,2,FALSE))</f>
        <v/>
      </c>
      <c r="C450" s="99"/>
      <c r="D450" s="57" t="str">
        <f>IF(A450="","",VLOOKUP(A450,'6.A'!$A$11:$G$180,4,FALSE))</f>
        <v/>
      </c>
      <c r="E450" s="100" t="str">
        <f>IF(A450="","",VLOOKUP(A450,'6.A'!$A$11:$G$180,5,FALSE))</f>
        <v/>
      </c>
      <c r="F450" s="24" t="str">
        <f t="shared" si="199"/>
        <v>0,00</v>
      </c>
      <c r="G450" s="52"/>
      <c r="H450" s="52" t="str">
        <f>IF(A450="","",VLOOKUP(A450,'6.A'!$A$11:$E$7984,5,FALSE))</f>
        <v/>
      </c>
      <c r="I450" s="52" t="str">
        <f t="shared" si="200"/>
        <v/>
      </c>
      <c r="J450" s="52" t="str">
        <f>IF(H450="","",VLOOKUP(A450,'6.A'!$A$11:$E$564,4,FALSE))</f>
        <v/>
      </c>
      <c r="K450" s="52" t="str">
        <f t="shared" si="201"/>
        <v/>
      </c>
      <c r="L450" s="52" t="str">
        <f>IF(H450="","",IF(C450="","",G428*C450))</f>
        <v/>
      </c>
      <c r="M450" s="117" t="str">
        <f>IF(A450="","",VLOOKUP(A450,'6.A'!$A$11:$C$564,2,FALSE))</f>
        <v/>
      </c>
      <c r="N450" s="57" t="str">
        <f>IF(A450="","",IF(M450=B450,"si","no"))</f>
        <v/>
      </c>
      <c r="O450" s="56"/>
      <c r="P450" s="56"/>
      <c r="Q450" s="48"/>
      <c r="R450" s="48"/>
      <c r="S450" s="2"/>
    </row>
    <row r="451" spans="1:22" ht="12.75" customHeight="1" x14ac:dyDescent="0.2">
      <c r="A451" s="22"/>
      <c r="B451" s="23" t="str">
        <f>IF(A451="","",VLOOKUP(A451,'6.A'!$A$11:$G$180,2,FALSE))</f>
        <v/>
      </c>
      <c r="C451" s="99"/>
      <c r="D451" s="57" t="str">
        <f>IF(A451="","",VLOOKUP(A451,'6.A'!$A$11:$G$180,4,FALSE))</f>
        <v/>
      </c>
      <c r="E451" s="100" t="str">
        <f>IF(A451="","",VLOOKUP(A451,'6.A'!$A$11:$G$180,5,FALSE))</f>
        <v/>
      </c>
      <c r="F451" s="24" t="str">
        <f t="shared" si="199"/>
        <v>0,00</v>
      </c>
      <c r="G451" s="52"/>
      <c r="H451" s="52" t="str">
        <f>IF(A451="","",VLOOKUP(A451,'6.A'!$A$11:$E$7984,5,FALSE))</f>
        <v/>
      </c>
      <c r="I451" s="52" t="str">
        <f t="shared" si="200"/>
        <v/>
      </c>
      <c r="J451" s="52" t="str">
        <f>IF(H451="","",VLOOKUP(A451,'6.A'!$A$11:$E$564,4,FALSE))</f>
        <v/>
      </c>
      <c r="K451" s="52" t="str">
        <f t="shared" si="201"/>
        <v/>
      </c>
      <c r="L451" s="52" t="str">
        <f>IF(H451="","",IF(C451="","",G428*C451))</f>
        <v/>
      </c>
      <c r="M451" s="117" t="str">
        <f>IF(A451="","",VLOOKUP(A451,'6.A'!$A$11:$C$564,2,FALSE))</f>
        <v/>
      </c>
      <c r="N451" s="57" t="str">
        <f>IF(A451="","",IF(M451=B451,"si","no"))</f>
        <v/>
      </c>
      <c r="O451" s="56"/>
      <c r="P451" s="56"/>
      <c r="Q451" s="48"/>
      <c r="R451" s="48"/>
      <c r="S451" s="2"/>
    </row>
    <row r="452" spans="1:22" ht="12.75" customHeight="1" x14ac:dyDescent="0.2">
      <c r="A452" s="22"/>
      <c r="B452" s="23" t="str">
        <f>IF(A452="","",VLOOKUP(A452,'6.A'!$A$11:$G$180,2,FALSE))</f>
        <v/>
      </c>
      <c r="C452" s="99"/>
      <c r="D452" s="57" t="str">
        <f>IF(A452="","",VLOOKUP(A452,'6.A'!$A$11:$G$180,4,FALSE))</f>
        <v/>
      </c>
      <c r="E452" s="100" t="str">
        <f>IF(A452="","",VLOOKUP(A452,'6.A'!$A$11:$G$180,5,FALSE))</f>
        <v/>
      </c>
      <c r="F452" s="24" t="str">
        <f t="shared" si="199"/>
        <v>0,00</v>
      </c>
      <c r="G452" s="52"/>
      <c r="H452" s="52" t="str">
        <f>IF(A452="","",VLOOKUP(A452,'6.A'!$A$11:$E$7984,5,FALSE))</f>
        <v/>
      </c>
      <c r="I452" s="52" t="str">
        <f t="shared" si="200"/>
        <v/>
      </c>
      <c r="J452" s="52" t="str">
        <f>IF(H452="","",VLOOKUP(A452,'6.A'!$A$11:$E$564,4,FALSE))</f>
        <v/>
      </c>
      <c r="K452" s="52" t="str">
        <f t="shared" si="201"/>
        <v/>
      </c>
      <c r="L452" s="52" t="str">
        <f>IF(H452="","",IF(C452="","",G428*C452))</f>
        <v/>
      </c>
      <c r="M452" s="117" t="str">
        <f>IF(A452="","",VLOOKUP(A452,'6.A'!$A$11:$C$564,2,FALSE))</f>
        <v/>
      </c>
      <c r="N452" s="57" t="str">
        <f t="shared" ref="N452:N453" si="203">IF(A452="","",IF(M452=B452,"si","no"))</f>
        <v/>
      </c>
      <c r="O452" s="56"/>
      <c r="P452" s="56"/>
      <c r="Q452" s="48"/>
      <c r="R452" s="48"/>
      <c r="S452" s="2"/>
    </row>
    <row r="453" spans="1:22" ht="12.75" customHeight="1" x14ac:dyDescent="0.2">
      <c r="A453" s="22"/>
      <c r="B453" s="23" t="str">
        <f>IF(A453="","",VLOOKUP(A453,'6.A'!$A$11:$G$180,2,FALSE))</f>
        <v/>
      </c>
      <c r="C453" s="99"/>
      <c r="D453" s="57" t="str">
        <f>IF(A453="","",VLOOKUP(A453,'6.A'!$A$11:$G$180,4,FALSE))</f>
        <v/>
      </c>
      <c r="E453" s="100" t="str">
        <f>IF(A453="","",VLOOKUP(A453,'6.A'!$A$11:$G$180,5,FALSE))</f>
        <v/>
      </c>
      <c r="F453" s="24" t="str">
        <f t="shared" si="199"/>
        <v>0,00</v>
      </c>
      <c r="G453" s="52"/>
      <c r="H453" s="52" t="str">
        <f>IF(A453="","",VLOOKUP(A453,'6.A'!$A$11:$E$7984,5,FALSE))</f>
        <v/>
      </c>
      <c r="I453" s="52" t="str">
        <f t="shared" si="200"/>
        <v/>
      </c>
      <c r="J453" s="52" t="str">
        <f>IF(H453="","",VLOOKUP(A453,'6.A'!$A$11:$E$564,4,FALSE))</f>
        <v/>
      </c>
      <c r="K453" s="52" t="str">
        <f t="shared" si="201"/>
        <v/>
      </c>
      <c r="L453" s="52" t="str">
        <f>IF(H453="","",IF(C453="","",G428*C453))</f>
        <v/>
      </c>
      <c r="M453" s="117" t="str">
        <f>IF(A453="","",VLOOKUP(A453,'6.A'!$A$11:$C$564,2,FALSE))</f>
        <v/>
      </c>
      <c r="N453" s="57" t="str">
        <f t="shared" si="203"/>
        <v/>
      </c>
      <c r="O453" s="56"/>
      <c r="P453" s="56"/>
      <c r="Q453" s="48"/>
      <c r="R453" s="48"/>
      <c r="S453" s="2"/>
    </row>
    <row r="454" spans="1:22" ht="12.75" customHeight="1" x14ac:dyDescent="0.2">
      <c r="A454" s="22"/>
      <c r="B454" s="26" t="str">
        <f>$A$9</f>
        <v>BDI</v>
      </c>
      <c r="C454" s="27">
        <f>$C$9</f>
        <v>0</v>
      </c>
      <c r="D454" s="57"/>
      <c r="F454" s="28">
        <f>ROUND(SUM(F444:F453)*C454,2)</f>
        <v>0</v>
      </c>
      <c r="G454" s="63"/>
      <c r="M454" s="62"/>
      <c r="N454" s="57"/>
      <c r="O454" s="56"/>
      <c r="P454" s="56"/>
      <c r="Q454" s="48"/>
      <c r="R454" s="48"/>
      <c r="S454" s="2"/>
    </row>
    <row r="455" spans="1:22" ht="12.75" customHeight="1" x14ac:dyDescent="0.2">
      <c r="A455" s="30"/>
      <c r="B455" s="31" t="s">
        <v>117</v>
      </c>
      <c r="C455" s="36"/>
      <c r="D455" s="37"/>
      <c r="E455" s="38"/>
      <c r="F455" s="35">
        <f>ROUND(SUM(F444:F454),2)</f>
        <v>0</v>
      </c>
      <c r="G455" s="63"/>
      <c r="M455" s="62"/>
      <c r="N455" s="57"/>
      <c r="O455" s="56"/>
      <c r="P455" s="56"/>
      <c r="Q455" s="48"/>
      <c r="R455" s="48"/>
      <c r="S455" s="2"/>
    </row>
    <row r="456" spans="1:22" ht="12.75" customHeight="1" x14ac:dyDescent="0.2">
      <c r="A456" s="17" t="s">
        <v>6</v>
      </c>
      <c r="B456" s="18" t="s">
        <v>17</v>
      </c>
      <c r="C456" s="56" t="s">
        <v>59</v>
      </c>
      <c r="D456" s="56" t="s">
        <v>16</v>
      </c>
      <c r="E456" s="19" t="s">
        <v>60</v>
      </c>
      <c r="F456" s="20" t="s">
        <v>61</v>
      </c>
      <c r="G456" s="21"/>
      <c r="M456" s="62"/>
      <c r="N456" s="57"/>
      <c r="O456" s="56"/>
      <c r="P456" s="56"/>
      <c r="Q456" s="48"/>
      <c r="R456" s="48"/>
      <c r="S456" s="2"/>
    </row>
    <row r="457" spans="1:22" ht="12.75" customHeight="1" x14ac:dyDescent="0.2">
      <c r="A457" s="22" t="str">
        <f>'6.A'!$A$52</f>
        <v>CV00182</v>
      </c>
      <c r="B457" s="23" t="str">
        <f>IF(A457="","",VLOOKUP(A457,'6.A'!$A$11:$G$180,2,FALSE))</f>
        <v>AREIA MÉDIA GRANULOMETRIA ENTRE (0,42 E 1,2 MM) LAVADA</v>
      </c>
      <c r="C457" s="99">
        <v>0.27777800000000002</v>
      </c>
      <c r="D457" s="57" t="str">
        <f>IF(A457="","",VLOOKUP(A457,'6.A'!$A$11:$G$180,4,FALSE))</f>
        <v>M3</v>
      </c>
      <c r="E457" s="100">
        <f>IF(A457="","",VLOOKUP(A457,'6.A'!$A$11:$G$180,5,FALSE))</f>
        <v>0</v>
      </c>
      <c r="F457" s="24">
        <f t="shared" ref="F457:F471" si="204">IF(A457="","0,00",ROUND(C457*E457,2))</f>
        <v>0</v>
      </c>
      <c r="G457" s="52"/>
      <c r="H457" s="52">
        <f>IF(A457="","",VLOOKUP(A457,'6.A'!$A$11:$E$7984,5,FALSE))</f>
        <v>0</v>
      </c>
      <c r="I457" s="52" t="str">
        <f t="shared" ref="I457:I471" si="205">IF(H457="","",IF(E457=H457,"SIM","NÃO"))</f>
        <v>SIM</v>
      </c>
      <c r="J457" s="52" t="str">
        <f>IF(H457="","",VLOOKUP(A457,'6.A'!$A$11:$E$564,4,FALSE))</f>
        <v>M3</v>
      </c>
      <c r="K457" s="52" t="str">
        <f t="shared" ref="K457:K471" si="206">IF(H457="","",IF(J457=D457,"SIM","NÃO"))</f>
        <v>SIM</v>
      </c>
      <c r="L457" s="52">
        <f>IF(H457="","",IF(C457="","",G428*C457))</f>
        <v>0.27777800000000002</v>
      </c>
      <c r="M457" s="117" t="str">
        <f>IF(A457="","",VLOOKUP(A457,'6.A'!$A$11:$C$564,2,FALSE))</f>
        <v>AREIA MÉDIA GRANULOMETRIA ENTRE (0,42 E 1,2 MM) LAVADA</v>
      </c>
      <c r="N457" s="57" t="str">
        <f t="shared" ref="N457:N471" si="207">IF(A457="","",IF(M457=B457,"si","no"))</f>
        <v>si</v>
      </c>
      <c r="O457" s="56"/>
      <c r="P457" s="56"/>
      <c r="Q457" s="48"/>
      <c r="R457" s="48"/>
      <c r="S457" s="2"/>
    </row>
    <row r="458" spans="1:22" ht="12.75" customHeight="1" x14ac:dyDescent="0.2">
      <c r="A458" s="22" t="str">
        <f>'6.A'!$A$53</f>
        <v>CV00201</v>
      </c>
      <c r="B458" s="23" t="str">
        <f>IF(A458="","",VLOOKUP(A458,'6.A'!$A$11:$G$180,2,FALSE))</f>
        <v>CONCRETO ESTRUTURAL USINADO FCK 25 MPA</v>
      </c>
      <c r="C458" s="99">
        <v>0.24179999999999999</v>
      </c>
      <c r="D458" s="57" t="str">
        <f>IF(A458="","",VLOOKUP(A458,'6.A'!$A$11:$G$180,4,FALSE))</f>
        <v>M3</v>
      </c>
      <c r="E458" s="100">
        <f>IF(A458="","",VLOOKUP(A458,'6.A'!$A$11:$G$180,5,FALSE))</f>
        <v>0</v>
      </c>
      <c r="F458" s="24">
        <f t="shared" si="204"/>
        <v>0</v>
      </c>
      <c r="G458" s="52"/>
      <c r="H458" s="52">
        <f>IF(A458="","",VLOOKUP(A458,'6.A'!$A$11:$E$7984,5,FALSE))</f>
        <v>0</v>
      </c>
      <c r="I458" s="52" t="str">
        <f t="shared" si="205"/>
        <v>SIM</v>
      </c>
      <c r="J458" s="52" t="str">
        <f>IF(H458="","",VLOOKUP(A458,'6.A'!$A$11:$E$564,4,FALSE))</f>
        <v>M3</v>
      </c>
      <c r="K458" s="52" t="str">
        <f t="shared" si="206"/>
        <v>SIM</v>
      </c>
      <c r="L458" s="52">
        <f>IF(H458="","",IF(C458="","",G428*C458))</f>
        <v>0.24179999999999999</v>
      </c>
      <c r="M458" s="117" t="str">
        <f>IF(A458="","",VLOOKUP(A458,'6.A'!$A$11:$C$564,2,FALSE))</f>
        <v>CONCRETO ESTRUTURAL USINADO FCK 25 MPA</v>
      </c>
      <c r="N458" s="57" t="str">
        <f t="shared" si="207"/>
        <v>si</v>
      </c>
      <c r="O458" s="56"/>
      <c r="P458" s="56"/>
      <c r="Q458" s="48"/>
      <c r="R458" s="48"/>
      <c r="S458" s="2"/>
    </row>
    <row r="459" spans="1:22" ht="12.75" customHeight="1" x14ac:dyDescent="0.2">
      <c r="A459" s="22" t="str">
        <f>'6.A'!$A$55</f>
        <v>CV00210</v>
      </c>
      <c r="B459" s="23" t="str">
        <f>IF(A459="","",VLOOKUP(A459,'6.A'!$A$11:$G$180,2,FALSE))</f>
        <v>PEDRA BRITADA Nº 2 GRANULOMETRIA ENTRE (21,0 E 32,0 MM)</v>
      </c>
      <c r="C459" s="99">
        <v>3.0107499999999998</v>
      </c>
      <c r="D459" s="57" t="str">
        <f>IF(A459="","",VLOOKUP(A459,'6.A'!$A$11:$G$180,4,FALSE))</f>
        <v>M3</v>
      </c>
      <c r="E459" s="100">
        <f>IF(A459="","",VLOOKUP(A459,'6.A'!$A$11:$G$180,5,FALSE))</f>
        <v>0</v>
      </c>
      <c r="F459" s="24">
        <f t="shared" si="204"/>
        <v>0</v>
      </c>
      <c r="G459" s="52"/>
      <c r="H459" s="52">
        <f>IF(A459="","",VLOOKUP(A459,'6.A'!$A$11:$E$7984,5,FALSE))</f>
        <v>0</v>
      </c>
      <c r="I459" s="52" t="str">
        <f t="shared" si="205"/>
        <v>SIM</v>
      </c>
      <c r="J459" s="52" t="str">
        <f>IF(H459="","",VLOOKUP(A459,'6.A'!$A$11:$E$564,4,FALSE))</f>
        <v>M3</v>
      </c>
      <c r="K459" s="52" t="str">
        <f t="shared" si="206"/>
        <v>SIM</v>
      </c>
      <c r="L459" s="52">
        <f>IF(H459="","",IF(C459="","",G428*C459))</f>
        <v>3.0107499999999998</v>
      </c>
      <c r="M459" s="117" t="str">
        <f>IF(A459="","",VLOOKUP(A459,'6.A'!$A$11:$C$564,2,FALSE))</f>
        <v>PEDRA BRITADA Nº 2 GRANULOMETRIA ENTRE (21,0 E 32,0 MM)</v>
      </c>
      <c r="N459" s="57" t="str">
        <f t="shared" si="207"/>
        <v>si</v>
      </c>
      <c r="O459" s="56"/>
      <c r="P459" s="56"/>
      <c r="Q459" s="48"/>
      <c r="R459" s="48"/>
      <c r="S459" s="2"/>
    </row>
    <row r="460" spans="1:22" s="65" customFormat="1" ht="12.75" customHeight="1" x14ac:dyDescent="0.2">
      <c r="A460" s="22" t="str">
        <f>'6.A'!$A$57</f>
        <v>CV00238</v>
      </c>
      <c r="B460" s="23" t="str">
        <f>IF(A460="","",VLOOKUP(A460,'6.A'!$A$11:$G$180,2,FALSE))</f>
        <v>VERGALHÃO (AÇO-CA-50) - (MÉDIA DAS BITOLAS ENTRE 6,3 A 25,0MM)</v>
      </c>
      <c r="C460" s="99">
        <v>6.85</v>
      </c>
      <c r="D460" s="57" t="str">
        <f>IF(A460="","",VLOOKUP(A460,'6.A'!$A$11:$G$180,4,FALSE))</f>
        <v>KG</v>
      </c>
      <c r="E460" s="100">
        <f>IF(A460="","",VLOOKUP(A460,'6.A'!$A$11:$G$180,5,FALSE))</f>
        <v>0</v>
      </c>
      <c r="F460" s="24">
        <f t="shared" si="204"/>
        <v>0</v>
      </c>
      <c r="G460" s="52"/>
      <c r="H460" s="52">
        <f>IF(A460="","",VLOOKUP(A460,'6.A'!$A$11:$E$7984,5,FALSE))</f>
        <v>0</v>
      </c>
      <c r="I460" s="52" t="str">
        <f t="shared" si="205"/>
        <v>SIM</v>
      </c>
      <c r="J460" s="52" t="str">
        <f>IF(H460="","",VLOOKUP(A460,'6.A'!$A$11:$E$564,4,FALSE))</f>
        <v>KG</v>
      </c>
      <c r="K460" s="52" t="str">
        <f t="shared" si="206"/>
        <v>SIM</v>
      </c>
      <c r="L460" s="52">
        <f>IF(H460="","",IF(C460="","",G428*C460))</f>
        <v>6.85</v>
      </c>
      <c r="M460" s="117" t="str">
        <f>IF(A460="","",VLOOKUP(A460,'6.A'!$A$11:$C$564,2,FALSE))</f>
        <v>VERGALHÃO (AÇO-CA-50) - (MÉDIA DAS BITOLAS ENTRE 6,3 A 25,0MM)</v>
      </c>
      <c r="N460" s="57" t="str">
        <f t="shared" si="207"/>
        <v>si</v>
      </c>
      <c r="O460" s="56"/>
      <c r="P460" s="56"/>
      <c r="Q460" s="48"/>
      <c r="R460" s="48"/>
      <c r="T460" s="2"/>
      <c r="U460" s="2"/>
      <c r="V460" s="2"/>
    </row>
    <row r="461" spans="1:22" s="65" customFormat="1" ht="12.75" customHeight="1" x14ac:dyDescent="0.2">
      <c r="A461" s="22" t="str">
        <f>'6.A'!$A$59</f>
        <v>CV00521</v>
      </c>
      <c r="B461" s="23" t="str">
        <f>IF(A461="","",VLOOKUP(A461,'6.A'!$A$11:$G$180,2,FALSE))</f>
        <v>PREGO COM CABEÇA AÇO GALV (MÉDIA DAS BITOLAS)</v>
      </c>
      <c r="C461" s="99">
        <v>0.26600000000000001</v>
      </c>
      <c r="D461" s="57" t="str">
        <f>IF(A461="","",VLOOKUP(A461,'6.A'!$A$11:$G$180,4,FALSE))</f>
        <v>KG</v>
      </c>
      <c r="E461" s="100">
        <f>IF(A461="","",VLOOKUP(A461,'6.A'!$A$11:$G$180,5,FALSE))</f>
        <v>0</v>
      </c>
      <c r="F461" s="24">
        <f t="shared" si="204"/>
        <v>0</v>
      </c>
      <c r="G461" s="52"/>
      <c r="H461" s="52">
        <f>IF(A461="","",VLOOKUP(A461,'6.A'!$A$11:$E$7984,5,FALSE))</f>
        <v>0</v>
      </c>
      <c r="I461" s="52" t="str">
        <f t="shared" si="205"/>
        <v>SIM</v>
      </c>
      <c r="J461" s="52" t="str">
        <f>IF(H461="","",VLOOKUP(A461,'6.A'!$A$11:$E$564,4,FALSE))</f>
        <v>KG</v>
      </c>
      <c r="K461" s="52" t="str">
        <f t="shared" si="206"/>
        <v>SIM</v>
      </c>
      <c r="L461" s="52">
        <f>IF(H461="","",IF(C461="","",G428*C461))</f>
        <v>0.26600000000000001</v>
      </c>
      <c r="M461" s="117" t="str">
        <f>IF(A461="","",VLOOKUP(A461,'6.A'!$A$11:$C$564,2,FALSE))</f>
        <v>PREGO COM CABEÇA AÇO GALV (MÉDIA DAS BITOLAS)</v>
      </c>
      <c r="N461" s="57" t="str">
        <f t="shared" si="207"/>
        <v>si</v>
      </c>
      <c r="O461" s="56"/>
      <c r="P461" s="56"/>
      <c r="Q461" s="48"/>
      <c r="R461" s="48"/>
      <c r="T461" s="2"/>
      <c r="U461" s="2"/>
      <c r="V461" s="2"/>
    </row>
    <row r="462" spans="1:22" s="65" customFormat="1" ht="12.75" customHeight="1" x14ac:dyDescent="0.2">
      <c r="A462" s="22">
        <f>'6.A'!$A$68</f>
        <v>650</v>
      </c>
      <c r="B462" s="23" t="str">
        <f>IF(A462="","",VLOOKUP(A462,'6.A'!$A$11:$G$180,2,FALSE))</f>
        <v>BLOCO DE VEDACAO DE CONCRETO, 9 X 19 X 39 CM (CLASSE C - NBR 6136)</v>
      </c>
      <c r="C462" s="99">
        <v>104</v>
      </c>
      <c r="D462" s="57" t="str">
        <f>IF(A462="","",VLOOKUP(A462,'6.A'!$A$11:$G$180,4,FALSE))</f>
        <v>UN</v>
      </c>
      <c r="E462" s="100">
        <f>IF(A462="","",VLOOKUP(A462,'6.A'!$A$11:$G$180,5,FALSE))</f>
        <v>0</v>
      </c>
      <c r="F462" s="24">
        <f t="shared" si="204"/>
        <v>0</v>
      </c>
      <c r="G462" s="52"/>
      <c r="H462" s="52">
        <f>IF(A462="","",VLOOKUP(A462,'6.A'!$A$11:$E$7984,5,FALSE))</f>
        <v>0</v>
      </c>
      <c r="I462" s="52" t="str">
        <f t="shared" si="205"/>
        <v>SIM</v>
      </c>
      <c r="J462" s="52" t="str">
        <f>IF(H462="","",VLOOKUP(A462,'6.A'!$A$11:$E$564,4,FALSE))</f>
        <v>UN</v>
      </c>
      <c r="K462" s="52" t="str">
        <f t="shared" si="206"/>
        <v>SIM</v>
      </c>
      <c r="L462" s="52">
        <f>IF(H462="","",IF(C462="","",G428*C462))</f>
        <v>104</v>
      </c>
      <c r="M462" s="117" t="str">
        <f>IF(A462="","",VLOOKUP(A462,'6.A'!$A$11:$C$564,2,FALSE))</f>
        <v>BLOCO DE VEDACAO DE CONCRETO, 9 X 19 X 39 CM (CLASSE C - NBR 6136)</v>
      </c>
      <c r="N462" s="57" t="str">
        <f t="shared" si="207"/>
        <v>si</v>
      </c>
      <c r="O462" s="56"/>
      <c r="P462" s="56"/>
      <c r="Q462" s="48"/>
      <c r="R462" s="48"/>
      <c r="T462" s="2"/>
      <c r="U462" s="2"/>
      <c r="V462" s="2"/>
    </row>
    <row r="463" spans="1:22" ht="12.75" customHeight="1" x14ac:dyDescent="0.2">
      <c r="A463" s="22">
        <f>'6.A'!$A$82</f>
        <v>1106</v>
      </c>
      <c r="B463" s="23" t="str">
        <f>IF(A463="","",VLOOKUP(A463,'6.A'!$A$11:$G$180,2,FALSE))</f>
        <v>CAL HIDRATADA CH-I PARA ARGAMASSAS</v>
      </c>
      <c r="C463" s="99">
        <v>46.398800000000001</v>
      </c>
      <c r="D463" s="57" t="str">
        <f>IF(A463="","",VLOOKUP(A463,'6.A'!$A$11:$G$180,4,FALSE))</f>
        <v>KG</v>
      </c>
      <c r="E463" s="100">
        <f>IF(A463="","",VLOOKUP(A463,'6.A'!$A$11:$G$180,5,FALSE))</f>
        <v>0</v>
      </c>
      <c r="F463" s="24">
        <f t="shared" si="204"/>
        <v>0</v>
      </c>
      <c r="G463" s="52"/>
      <c r="H463" s="52">
        <f>IF(A463="","",VLOOKUP(A463,'6.A'!$A$11:$E$7984,5,FALSE))</f>
        <v>0</v>
      </c>
      <c r="I463" s="52" t="str">
        <f t="shared" si="205"/>
        <v>SIM</v>
      </c>
      <c r="J463" s="52" t="str">
        <f>IF(H463="","",VLOOKUP(A463,'6.A'!$A$11:$E$564,4,FALSE))</f>
        <v>KG</v>
      </c>
      <c r="K463" s="52" t="str">
        <f t="shared" si="206"/>
        <v>SIM</v>
      </c>
      <c r="L463" s="52">
        <f>IF(H463="","",IF(C463="","",G428*C463))</f>
        <v>46.398800000000001</v>
      </c>
      <c r="M463" s="117" t="str">
        <f>IF(A463="","",VLOOKUP(A463,'6.A'!$A$11:$C$564,2,FALSE))</f>
        <v>CAL HIDRATADA CH-I PARA ARGAMASSAS</v>
      </c>
      <c r="N463" s="57" t="str">
        <f t="shared" si="207"/>
        <v>si</v>
      </c>
      <c r="O463" s="56"/>
      <c r="P463" s="56"/>
      <c r="Q463" s="48"/>
      <c r="R463" s="48"/>
      <c r="S463" s="2"/>
    </row>
    <row r="464" spans="1:22" s="65" customFormat="1" ht="12.75" customHeight="1" x14ac:dyDescent="0.2">
      <c r="A464" s="22">
        <f>'6.A'!$A$83</f>
        <v>1347</v>
      </c>
      <c r="B464" s="23" t="str">
        <f>IF(A464="","",VLOOKUP(A464,'6.A'!$A$11:$G$180,2,FALSE))</f>
        <v>CHAPA/PAINEL DE MADEIRA COMPENSADA PLASTIFICADA PARA FORMA DE CONCRETO, DE 2200 X 1100 MM, E = 12 MM</v>
      </c>
      <c r="C464" s="99">
        <v>0.56842999999999999</v>
      </c>
      <c r="D464" s="57" t="str">
        <f>IF(A464="","",VLOOKUP(A464,'6.A'!$A$11:$G$180,4,FALSE))</f>
        <v>M2</v>
      </c>
      <c r="E464" s="100">
        <f>IF(A464="","",VLOOKUP(A464,'6.A'!$A$11:$G$180,5,FALSE))</f>
        <v>0</v>
      </c>
      <c r="F464" s="24">
        <f t="shared" si="204"/>
        <v>0</v>
      </c>
      <c r="G464" s="52"/>
      <c r="H464" s="52">
        <f>IF(A464="","",VLOOKUP(A464,'6.A'!$A$11:$E$7984,5,FALSE))</f>
        <v>0</v>
      </c>
      <c r="I464" s="52" t="str">
        <f t="shared" si="205"/>
        <v>SIM</v>
      </c>
      <c r="J464" s="52" t="str">
        <f>IF(H464="","",VLOOKUP(A464,'6.A'!$A$11:$E$564,4,FALSE))</f>
        <v>M2</v>
      </c>
      <c r="K464" s="52" t="str">
        <f t="shared" si="206"/>
        <v>SIM</v>
      </c>
      <c r="L464" s="52">
        <f>IF(H464="","",IF(C464="","",G428*C464))</f>
        <v>0.56842999999999999</v>
      </c>
      <c r="M464" s="117" t="str">
        <f>IF(A464="","",VLOOKUP(A464,'6.A'!$A$11:$C$564,2,FALSE))</f>
        <v>CHAPA/PAINEL DE MADEIRA COMPENSADA PLASTIFICADA PARA FORMA DE CONCRETO, DE 2200 X 1100 MM, E = 12 MM</v>
      </c>
      <c r="N464" s="57" t="str">
        <f t="shared" si="207"/>
        <v>si</v>
      </c>
      <c r="O464" s="56"/>
      <c r="P464" s="56"/>
      <c r="Q464" s="48"/>
      <c r="R464" s="48"/>
      <c r="T464" s="2"/>
      <c r="U464" s="2"/>
      <c r="V464" s="2"/>
    </row>
    <row r="465" spans="1:23" ht="12.75" customHeight="1" x14ac:dyDescent="0.2">
      <c r="A465" s="22">
        <f>'6.A'!$A$85</f>
        <v>1379</v>
      </c>
      <c r="B465" s="23" t="str">
        <f>IF(A465="","",VLOOKUP(A465,'6.A'!$A$11:$G$180,2,FALSE))</f>
        <v>CIMENTO PORTLAND COMPOSTO CP II-32</v>
      </c>
      <c r="C465" s="99">
        <v>79.803899999999999</v>
      </c>
      <c r="D465" s="57" t="str">
        <f>IF(A465="","",VLOOKUP(A465,'6.A'!$A$11:$G$180,4,FALSE))</f>
        <v>KG</v>
      </c>
      <c r="E465" s="100">
        <f>IF(A465="","",VLOOKUP(A465,'6.A'!$A$11:$G$180,5,FALSE))</f>
        <v>0</v>
      </c>
      <c r="F465" s="24">
        <f t="shared" si="204"/>
        <v>0</v>
      </c>
      <c r="G465" s="52"/>
      <c r="H465" s="52">
        <f>IF(A465="","",VLOOKUP(A465,'6.A'!$A$11:$E$7984,5,FALSE))</f>
        <v>0</v>
      </c>
      <c r="I465" s="52" t="str">
        <f t="shared" si="205"/>
        <v>SIM</v>
      </c>
      <c r="J465" s="52" t="str">
        <f>IF(H465="","",VLOOKUP(A465,'6.A'!$A$11:$E$564,4,FALSE))</f>
        <v>KG</v>
      </c>
      <c r="K465" s="52" t="str">
        <f t="shared" si="206"/>
        <v>SIM</v>
      </c>
      <c r="L465" s="52">
        <f>IF(H465="","",IF(C465="","",G428*C465))</f>
        <v>79.803899999999999</v>
      </c>
      <c r="M465" s="117" t="str">
        <f>IF(A465="","",VLOOKUP(A465,'6.A'!$A$11:$C$564,2,FALSE))</f>
        <v>CIMENTO PORTLAND COMPOSTO CP II-32</v>
      </c>
      <c r="N465" s="57" t="str">
        <f t="shared" si="207"/>
        <v>si</v>
      </c>
      <c r="O465" s="56"/>
      <c r="P465" s="56"/>
      <c r="Q465" s="48"/>
      <c r="R465" s="48"/>
      <c r="S465" s="2"/>
    </row>
    <row r="466" spans="1:23" ht="12.75" customHeight="1" x14ac:dyDescent="0.2">
      <c r="A466" s="22">
        <f>'6.A'!$A$109</f>
        <v>4509</v>
      </c>
      <c r="B466" s="23" t="str">
        <f>IF(A466="","",VLOOKUP(A466,'6.A'!$A$11:$G$180,2,FALSE))</f>
        <v>SARRAFO 2,5 X 10 CM EM PINUS, MISTA OU EQUIVALENTE DA REGIAO - BRUTA</v>
      </c>
      <c r="C466" s="99">
        <v>6.4</v>
      </c>
      <c r="D466" s="57" t="str">
        <f>IF(A466="","",VLOOKUP(A466,'6.A'!$A$11:$G$180,4,FALSE))</f>
        <v>M</v>
      </c>
      <c r="E466" s="100">
        <f>IF(A466="","",VLOOKUP(A466,'6.A'!$A$11:$G$180,5,FALSE))</f>
        <v>0</v>
      </c>
      <c r="F466" s="24">
        <f t="shared" si="204"/>
        <v>0</v>
      </c>
      <c r="G466" s="52"/>
      <c r="H466" s="52">
        <f>IF(A466="","",VLOOKUP(A466,'6.A'!$A$11:$E$7984,5,FALSE))</f>
        <v>0</v>
      </c>
      <c r="I466" s="52" t="str">
        <f t="shared" si="205"/>
        <v>SIM</v>
      </c>
      <c r="J466" s="52" t="str">
        <f>IF(H466="","",VLOOKUP(A466,'6.A'!$A$11:$E$564,4,FALSE))</f>
        <v>M</v>
      </c>
      <c r="K466" s="52" t="str">
        <f t="shared" si="206"/>
        <v>SIM</v>
      </c>
      <c r="L466" s="52">
        <f>IF(H466="","",IF(C466="","",G428*C466))</f>
        <v>6.4</v>
      </c>
      <c r="M466" s="117" t="str">
        <f>IF(A466="","",VLOOKUP(A466,'6.A'!$A$11:$C$564,2,FALSE))</f>
        <v>SARRAFO 2,5 X 10 CM EM PINUS, MISTA OU EQUIVALENTE DA REGIAO - BRUTA</v>
      </c>
      <c r="N466" s="57" t="str">
        <f t="shared" si="207"/>
        <v>si</v>
      </c>
      <c r="O466" s="56"/>
      <c r="P466" s="56"/>
      <c r="Q466" s="48"/>
      <c r="R466" s="48"/>
      <c r="S466" s="2"/>
    </row>
    <row r="467" spans="1:23" ht="12.75" customHeight="1" x14ac:dyDescent="0.2">
      <c r="A467" s="22">
        <f>'6.A'!$A$110</f>
        <v>4517</v>
      </c>
      <c r="B467" s="23" t="str">
        <f>IF(A467="","",VLOOKUP(A467,'6.A'!$A$11:$G$180,2,FALSE))</f>
        <v>SARRAFO 2,5 X 7,5 CM EM PINUS, MISTA OU EQUIVALENTE DA REGIAO - BRUTA</v>
      </c>
      <c r="C467" s="99">
        <v>2.1312000000000002</v>
      </c>
      <c r="D467" s="57" t="str">
        <f>IF(A467="","",VLOOKUP(A467,'6.A'!$A$11:$G$180,4,FALSE))</f>
        <v>M</v>
      </c>
      <c r="E467" s="100">
        <f>IF(A467="","",VLOOKUP(A467,'6.A'!$A$11:$G$180,5,FALSE))</f>
        <v>0</v>
      </c>
      <c r="F467" s="24">
        <f t="shared" si="204"/>
        <v>0</v>
      </c>
      <c r="G467" s="52"/>
      <c r="H467" s="52">
        <f>IF(A467="","",VLOOKUP(A467,'6.A'!$A$11:$E$7984,5,FALSE))</f>
        <v>0</v>
      </c>
      <c r="I467" s="52" t="str">
        <f t="shared" si="205"/>
        <v>SIM</v>
      </c>
      <c r="J467" s="52" t="str">
        <f>IF(H467="","",VLOOKUP(A467,'6.A'!$A$11:$E$564,4,FALSE))</f>
        <v>M</v>
      </c>
      <c r="K467" s="52" t="str">
        <f t="shared" si="206"/>
        <v>SIM</v>
      </c>
      <c r="L467" s="52">
        <f>IF(H467="","",IF(C467="","",G428*C467))</f>
        <v>2.1312000000000002</v>
      </c>
      <c r="M467" s="117" t="str">
        <f>IF(A467="","",VLOOKUP(A467,'6.A'!$A$11:$C$564,2,FALSE))</f>
        <v>SARRAFO 2,5 X 7,5 CM EM PINUS, MISTA OU EQUIVALENTE DA REGIAO - BRUTA</v>
      </c>
      <c r="N467" s="57" t="str">
        <f t="shared" si="207"/>
        <v>si</v>
      </c>
      <c r="O467" s="56"/>
      <c r="P467" s="56"/>
      <c r="Q467" s="48"/>
      <c r="R467" s="48"/>
      <c r="S467" s="2"/>
    </row>
    <row r="468" spans="1:23" ht="12.75" customHeight="1" x14ac:dyDescent="0.2">
      <c r="A468" s="22">
        <f>'6.A'!$A$113</f>
        <v>6085</v>
      </c>
      <c r="B468" s="23" t="str">
        <f>IF(A468="","",VLOOKUP(A468,'6.A'!$A$11:$G$180,2,FALSE))</f>
        <v>SELADOR ACRILICO OPACO PREMIUM INTERIOR/EXTERIOR</v>
      </c>
      <c r="C468" s="99">
        <v>2.27</v>
      </c>
      <c r="D468" s="57" t="str">
        <f>IF(A468="","",VLOOKUP(A468,'6.A'!$A$11:$G$180,4,FALSE))</f>
        <v>L</v>
      </c>
      <c r="E468" s="100">
        <f>IF(A468="","",VLOOKUP(A468,'6.A'!$A$11:$G$180,5,FALSE))</f>
        <v>0</v>
      </c>
      <c r="F468" s="24">
        <f t="shared" si="204"/>
        <v>0</v>
      </c>
      <c r="G468" s="52"/>
      <c r="H468" s="52">
        <f>IF(A468="","",VLOOKUP(A468,'6.A'!$A$11:$E$7984,5,FALSE))</f>
        <v>0</v>
      </c>
      <c r="I468" s="52" t="str">
        <f t="shared" si="205"/>
        <v>SIM</v>
      </c>
      <c r="J468" s="52" t="str">
        <f>IF(H468="","",VLOOKUP(A468,'6.A'!$A$11:$E$564,4,FALSE))</f>
        <v>L</v>
      </c>
      <c r="K468" s="52" t="str">
        <f t="shared" si="206"/>
        <v>SIM</v>
      </c>
      <c r="L468" s="52">
        <f>IF(H468="","",IF(C468="","",G428*C468))</f>
        <v>2.27</v>
      </c>
      <c r="M468" s="117" t="str">
        <f>IF(A468="","",VLOOKUP(A468,'6.A'!$A$11:$C$564,2,FALSE))</f>
        <v>SELADOR ACRILICO OPACO PREMIUM INTERIOR/EXTERIOR</v>
      </c>
      <c r="N468" s="57" t="str">
        <f t="shared" si="207"/>
        <v>si</v>
      </c>
      <c r="O468" s="56"/>
      <c r="P468" s="56"/>
      <c r="Q468" s="48"/>
      <c r="R468" s="48"/>
    </row>
    <row r="469" spans="1:23" ht="12.75" customHeight="1" x14ac:dyDescent="0.2">
      <c r="A469" s="22">
        <f>'6.A'!$A$132</f>
        <v>35692</v>
      </c>
      <c r="B469" s="23" t="str">
        <f>IF(A469="","",VLOOKUP(A469,'6.A'!$A$11:$G$180,2,FALSE))</f>
        <v>TINTA LATEX ACRILICA STANDARD, COR BRANCA</v>
      </c>
      <c r="C469" s="99">
        <v>2.27</v>
      </c>
      <c r="D469" s="57" t="str">
        <f>IF(A469="","",VLOOKUP(A469,'6.A'!$A$11:$G$180,4,FALSE))</f>
        <v>L</v>
      </c>
      <c r="E469" s="100">
        <f>IF(A469="","",VLOOKUP(A469,'6.A'!$A$11:$G$180,5,FALSE))</f>
        <v>0</v>
      </c>
      <c r="F469" s="24">
        <f t="shared" si="204"/>
        <v>0</v>
      </c>
      <c r="G469" s="52"/>
      <c r="H469" s="52">
        <f>IF(A469="","",VLOOKUP(A469,'6.A'!$A$11:$E$7984,5,FALSE))</f>
        <v>0</v>
      </c>
      <c r="I469" s="52" t="str">
        <f t="shared" si="205"/>
        <v>SIM</v>
      </c>
      <c r="J469" s="52" t="str">
        <f>IF(H469="","",VLOOKUP(A469,'6.A'!$A$11:$E$564,4,FALSE))</f>
        <v>L</v>
      </c>
      <c r="K469" s="52" t="str">
        <f t="shared" si="206"/>
        <v>SIM</v>
      </c>
      <c r="L469" s="52">
        <f>IF(H469="","",IF(C469="","",G428*C469))</f>
        <v>2.27</v>
      </c>
      <c r="M469" s="117" t="str">
        <f>IF(A469="","",VLOOKUP(A469,'6.A'!$A$11:$C$564,2,FALSE))</f>
        <v>TINTA LATEX ACRILICA STANDARD, COR BRANCA</v>
      </c>
      <c r="N469" s="57" t="str">
        <f t="shared" si="207"/>
        <v>si</v>
      </c>
      <c r="O469" s="56"/>
      <c r="P469" s="56"/>
      <c r="Q469" s="48"/>
      <c r="R469" s="48"/>
    </row>
    <row r="470" spans="1:23" ht="12.75" customHeight="1" x14ac:dyDescent="0.2">
      <c r="A470" s="22">
        <f>'6.A'!$A$134</f>
        <v>38383</v>
      </c>
      <c r="B470" s="23" t="str">
        <f>IF(A470="","",VLOOKUP(A470,'6.A'!$A$11:$G$180,2,FALSE))</f>
        <v>LIXA D'AGUA EM FOLHA</v>
      </c>
      <c r="C470" s="99">
        <v>2.27</v>
      </c>
      <c r="D470" s="57" t="str">
        <f>IF(A470="","",VLOOKUP(A470,'6.A'!$A$11:$G$180,4,FALSE))</f>
        <v>UN</v>
      </c>
      <c r="E470" s="100">
        <f>IF(A470="","",VLOOKUP(A470,'6.A'!$A$11:$G$180,5,FALSE))</f>
        <v>0</v>
      </c>
      <c r="F470" s="24">
        <f t="shared" si="204"/>
        <v>0</v>
      </c>
      <c r="G470" s="52"/>
      <c r="H470" s="52">
        <f>IF(A470="","",VLOOKUP(A470,'6.A'!$A$11:$E$7984,5,FALSE))</f>
        <v>0</v>
      </c>
      <c r="I470" s="52" t="str">
        <f t="shared" si="205"/>
        <v>SIM</v>
      </c>
      <c r="J470" s="52" t="str">
        <f>IF(H470="","",VLOOKUP(A470,'6.A'!$A$11:$E$564,4,FALSE))</f>
        <v>UN</v>
      </c>
      <c r="K470" s="52" t="str">
        <f t="shared" si="206"/>
        <v>SIM</v>
      </c>
      <c r="L470" s="52">
        <f>IF(H470="","",IF(C470="","",G428*C470))</f>
        <v>2.27</v>
      </c>
      <c r="M470" s="117" t="str">
        <f>IF(A470="","",VLOOKUP(A470,'6.A'!$A$11:$C$564,2,FALSE))</f>
        <v>LIXA D'AGUA EM FOLHA</v>
      </c>
      <c r="N470" s="57" t="str">
        <f t="shared" si="207"/>
        <v>si</v>
      </c>
      <c r="O470" s="56"/>
      <c r="P470" s="56"/>
      <c r="Q470" s="48"/>
      <c r="R470" s="48"/>
    </row>
    <row r="471" spans="1:23" ht="12.75" customHeight="1" x14ac:dyDescent="0.2">
      <c r="A471" s="22">
        <f>'6.A'!$A$149</f>
        <v>41180</v>
      </c>
      <c r="B471" s="23" t="str">
        <f>IF(A471="","",VLOOKUP(A471,'6.A'!$A$11:$G$180,2,FALSE))</f>
        <v>POSTE DE CONCRETO ARMADO DE SECAO CIRCULAR, EXTENSAO DE 13,00 M, RESISTENCIA DE 1000 DAN, TIPO C-23</v>
      </c>
      <c r="C471" s="99">
        <v>1</v>
      </c>
      <c r="D471" s="57" t="str">
        <f>IF(A471="","",VLOOKUP(A471,'6.A'!$A$11:$G$180,4,FALSE))</f>
        <v>UN</v>
      </c>
      <c r="E471" s="100">
        <f>IF(A471="","",VLOOKUP(A471,'6.A'!$A$11:$G$180,5,FALSE))</f>
        <v>0</v>
      </c>
      <c r="F471" s="24">
        <f t="shared" si="204"/>
        <v>0</v>
      </c>
      <c r="G471" s="52"/>
      <c r="H471" s="52">
        <f>IF(A471="","",VLOOKUP(A471,'6.A'!$A$11:$E$7984,5,FALSE))</f>
        <v>0</v>
      </c>
      <c r="I471" s="52" t="str">
        <f t="shared" si="205"/>
        <v>SIM</v>
      </c>
      <c r="J471" s="52" t="str">
        <f>IF(H471="","",VLOOKUP(A471,'6.A'!$A$11:$E$564,4,FALSE))</f>
        <v>UN</v>
      </c>
      <c r="K471" s="52" t="str">
        <f t="shared" si="206"/>
        <v>SIM</v>
      </c>
      <c r="L471" s="52">
        <f>IF(H471="","",IF(C471="","",G428*C471))</f>
        <v>1</v>
      </c>
      <c r="M471" s="117" t="str">
        <f>IF(A471="","",VLOOKUP(A471,'6.A'!$A$11:$C$564,2,FALSE))</f>
        <v>POSTE DE CONCRETO ARMADO DE SECAO CIRCULAR, EXTENSAO DE 13,00 M, RESISTENCIA DE 1000 DAN, TIPO C-23</v>
      </c>
      <c r="N471" s="57" t="str">
        <f t="shared" si="207"/>
        <v>si</v>
      </c>
      <c r="O471" s="56"/>
      <c r="P471" s="56"/>
      <c r="Q471" s="48"/>
      <c r="R471" s="48"/>
    </row>
    <row r="472" spans="1:23" ht="12.75" customHeight="1" x14ac:dyDescent="0.2">
      <c r="A472" s="22">
        <f>'6.A'!$A$157</f>
        <v>43132</v>
      </c>
      <c r="B472" s="23" t="str">
        <f>IF(A472="","",VLOOKUP(A472,'6.A'!$A$11:$G$180,2,FALSE))</f>
        <v>ARAME RECOZIDO 16 BWG, D = 1,65 MM (0,016 KG/M) OU 18 BWG, D = 1,25 MM (0,01 KG/M)</v>
      </c>
      <c r="C472" s="99">
        <v>0.14000000000000001</v>
      </c>
      <c r="D472" s="57" t="str">
        <f>IF(A472="","",VLOOKUP(A472,'6.A'!$A$11:$G$180,4,FALSE))</f>
        <v>KG</v>
      </c>
      <c r="E472" s="100">
        <f>IF(A472="","",VLOOKUP(A472,'6.A'!$A$11:$G$180,5,FALSE))</f>
        <v>0</v>
      </c>
      <c r="F472" s="24">
        <f>IF(A472="","0,00",ROUND(C472*E472,2))</f>
        <v>0</v>
      </c>
      <c r="G472" s="52"/>
      <c r="H472" s="52">
        <f>IF(A472="","",VLOOKUP(A472,'6.A'!$A$11:$E$7984,5,FALSE))</f>
        <v>0</v>
      </c>
      <c r="I472" s="52" t="str">
        <f>IF(H472="","",IF(E472=H472,"SIM","NÃO"))</f>
        <v>SIM</v>
      </c>
      <c r="J472" s="52" t="str">
        <f>IF(H472="","",VLOOKUP(A472,'6.A'!$A$11:$E$564,4,FALSE))</f>
        <v>KG</v>
      </c>
      <c r="K472" s="52" t="str">
        <f>IF(H472="","",IF(J472=D472,"SIM","NÃO"))</f>
        <v>SIM</v>
      </c>
      <c r="L472" s="52">
        <f>IF(H472="","",IF(C472="","",G428*C472))</f>
        <v>0.14000000000000001</v>
      </c>
      <c r="M472" s="117" t="str">
        <f>IF(A472="","",VLOOKUP(A472,'6.A'!$A$11:$C$564,2,FALSE))</f>
        <v>ARAME RECOZIDO 16 BWG, D = 1,65 MM (0,016 KG/M) OU 18 BWG, D = 1,25 MM (0,01 KG/M)</v>
      </c>
      <c r="N472" s="57" t="str">
        <f>IF(A472="","",IF(M472=B472,"si","no"))</f>
        <v>si</v>
      </c>
      <c r="O472" s="56"/>
      <c r="P472" s="56"/>
      <c r="Q472" s="48"/>
      <c r="R472" s="48"/>
    </row>
    <row r="473" spans="1:23" ht="12.75" customHeight="1" x14ac:dyDescent="0.2">
      <c r="A473" s="22"/>
      <c r="B473" s="23" t="str">
        <f>IF(A473="","",VLOOKUP(A473,'6.A'!$A$11:$G$180,2,FALSE))</f>
        <v/>
      </c>
      <c r="C473" s="99"/>
      <c r="D473" s="57" t="str">
        <f>IF(A473="","",VLOOKUP(A473,'6.A'!$A$11:$G$180,4,FALSE))</f>
        <v/>
      </c>
      <c r="E473" s="100" t="str">
        <f>IF(A473="","",VLOOKUP(A473,'6.A'!$A$11:$G$180,5,FALSE))</f>
        <v/>
      </c>
      <c r="F473" s="24" t="str">
        <f t="shared" ref="F473:F476" si="208">IF(A473="","0,00",ROUND(C473*E473,2))</f>
        <v>0,00</v>
      </c>
      <c r="G473" s="52"/>
      <c r="H473" s="52" t="str">
        <f>IF(A473="","",VLOOKUP(A473,'6.A'!$A$11:$E$7984,5,FALSE))</f>
        <v/>
      </c>
      <c r="I473" s="52" t="str">
        <f t="shared" ref="I473:I476" si="209">IF(H473="","",IF(E473=H473,"SIM","NÃO"))</f>
        <v/>
      </c>
      <c r="J473" s="52" t="str">
        <f>IF(H473="","",VLOOKUP(A473,'6.A'!$A$11:$E$564,4,FALSE))</f>
        <v/>
      </c>
      <c r="K473" s="52" t="str">
        <f t="shared" ref="K473:K476" si="210">IF(H473="","",IF(J473=D473,"SIM","NÃO"))</f>
        <v/>
      </c>
      <c r="L473" s="52" t="str">
        <f>IF(H473="","",IF(C473="","",G428*C473))</f>
        <v/>
      </c>
      <c r="M473" s="117" t="str">
        <f>IF(A473="","",VLOOKUP(A473,'6.A'!$A$11:$C$564,2,FALSE))</f>
        <v/>
      </c>
      <c r="N473" s="57" t="str">
        <f t="shared" ref="N473:N476" si="211">IF(A473="","",IF(M473=B473,"si","no"))</f>
        <v/>
      </c>
      <c r="O473" s="56"/>
      <c r="P473" s="56"/>
      <c r="Q473" s="48"/>
      <c r="R473" s="48"/>
    </row>
    <row r="474" spans="1:23" ht="12.75" customHeight="1" x14ac:dyDescent="0.2">
      <c r="A474" s="22"/>
      <c r="B474" s="39" t="str">
        <f>IF(A474="","",VLOOKUP(A474,'6.A'!$A$11:$G$180,2,FALSE))</f>
        <v/>
      </c>
      <c r="C474" s="99"/>
      <c r="D474" s="57" t="str">
        <f>IF(A474="","",VLOOKUP(A474,'6.A'!$A$11:$G$180,4,FALSE))</f>
        <v/>
      </c>
      <c r="E474" s="100" t="str">
        <f>IF(A474="","",VLOOKUP(A474,'6.A'!$A$11:$G$180,5,FALSE))</f>
        <v/>
      </c>
      <c r="F474" s="24" t="str">
        <f t="shared" si="208"/>
        <v>0,00</v>
      </c>
      <c r="G474" s="52"/>
      <c r="H474" s="52" t="str">
        <f>IF(A474="","",VLOOKUP(A474,'6.A'!$A$11:$E$7984,5,FALSE))</f>
        <v/>
      </c>
      <c r="I474" s="52" t="str">
        <f t="shared" si="209"/>
        <v/>
      </c>
      <c r="J474" s="52" t="str">
        <f>IF(H474="","",VLOOKUP(A474,'6.A'!$A$11:$E$564,4,FALSE))</f>
        <v/>
      </c>
      <c r="K474" s="52" t="str">
        <f t="shared" si="210"/>
        <v/>
      </c>
      <c r="L474" s="52" t="str">
        <f>IF(H474="","",IF(C474="","",G428*C474))</f>
        <v/>
      </c>
      <c r="M474" s="117" t="str">
        <f>IF(A474="","",VLOOKUP(A474,'6.A'!$A$11:$C$564,2,FALSE))</f>
        <v/>
      </c>
      <c r="N474" s="57" t="str">
        <f t="shared" si="211"/>
        <v/>
      </c>
      <c r="O474" s="56"/>
      <c r="P474" s="56"/>
      <c r="Q474" s="48"/>
      <c r="R474" s="48"/>
    </row>
    <row r="475" spans="1:23" ht="12.75" customHeight="1" x14ac:dyDescent="0.2">
      <c r="A475" s="22"/>
      <c r="B475" s="39" t="str">
        <f>IF(A475="","",VLOOKUP(A475,'6.A'!$A$11:$G$180,2,FALSE))</f>
        <v/>
      </c>
      <c r="C475" s="99"/>
      <c r="D475" s="57" t="str">
        <f>IF(A475="","",VLOOKUP(A475,'6.A'!$A$11:$G$180,4,FALSE))</f>
        <v/>
      </c>
      <c r="E475" s="100" t="str">
        <f>IF(A475="","",VLOOKUP(A475,'6.A'!$A$11:$G$180,5,FALSE))</f>
        <v/>
      </c>
      <c r="F475" s="24" t="str">
        <f t="shared" si="208"/>
        <v>0,00</v>
      </c>
      <c r="G475" s="52"/>
      <c r="H475" s="52" t="str">
        <f>IF(A475="","",VLOOKUP(A475,'6.A'!$A$11:$E$7984,5,FALSE))</f>
        <v/>
      </c>
      <c r="I475" s="52" t="str">
        <f t="shared" si="209"/>
        <v/>
      </c>
      <c r="J475" s="52" t="str">
        <f>IF(H475="","",VLOOKUP(A475,'6.A'!$A$11:$E$564,4,FALSE))</f>
        <v/>
      </c>
      <c r="K475" s="52" t="str">
        <f t="shared" si="210"/>
        <v/>
      </c>
      <c r="L475" s="52" t="str">
        <f>IF(H475="","",IF(C475="","",G428*C475))</f>
        <v/>
      </c>
      <c r="M475" s="117" t="str">
        <f>IF(A475="","",VLOOKUP(A475,'6.A'!$A$11:$C$564,2,FALSE))</f>
        <v/>
      </c>
      <c r="N475" s="57" t="str">
        <f t="shared" si="211"/>
        <v/>
      </c>
      <c r="O475" s="56"/>
      <c r="P475" s="56"/>
      <c r="Q475" s="48"/>
      <c r="R475" s="48"/>
    </row>
    <row r="476" spans="1:23" ht="12.75" customHeight="1" x14ac:dyDescent="0.2">
      <c r="A476" s="22"/>
      <c r="B476" s="39" t="str">
        <f>IF(A476="","",VLOOKUP(A476,'6.A'!$A$11:$G$180,2,FALSE))</f>
        <v/>
      </c>
      <c r="C476" s="99"/>
      <c r="D476" s="57" t="str">
        <f>IF(A476="","",VLOOKUP(A476,'6.A'!$A$11:$G$180,4,FALSE))</f>
        <v/>
      </c>
      <c r="E476" s="100" t="str">
        <f>IF(A476="","",VLOOKUP(A476,'6.A'!$A$11:$G$180,5,FALSE))</f>
        <v/>
      </c>
      <c r="F476" s="24" t="str">
        <f t="shared" si="208"/>
        <v>0,00</v>
      </c>
      <c r="G476" s="52"/>
      <c r="H476" s="52" t="str">
        <f>IF(A476="","",VLOOKUP(A476,'6.A'!$A$11:$E$7984,5,FALSE))</f>
        <v/>
      </c>
      <c r="I476" s="52" t="str">
        <f t="shared" si="209"/>
        <v/>
      </c>
      <c r="J476" s="52" t="str">
        <f>IF(H476="","",VLOOKUP(A476,'6.A'!$A$11:$E$564,4,FALSE))</f>
        <v/>
      </c>
      <c r="K476" s="52" t="str">
        <f t="shared" si="210"/>
        <v/>
      </c>
      <c r="L476" s="52" t="str">
        <f>IF(H476="","",IF(C476="","",G428*C476))</f>
        <v/>
      </c>
      <c r="M476" s="117" t="str">
        <f>IF(A476="","",VLOOKUP(A476,'6.A'!$A$11:$C$564,2,FALSE))</f>
        <v/>
      </c>
      <c r="N476" s="57" t="str">
        <f t="shared" si="211"/>
        <v/>
      </c>
      <c r="O476" s="56"/>
      <c r="P476" s="56"/>
      <c r="Q476" s="48"/>
      <c r="R476" s="48"/>
    </row>
    <row r="477" spans="1:23" ht="12.75" customHeight="1" x14ac:dyDescent="0.2">
      <c r="A477" s="22"/>
      <c r="B477" s="26" t="str">
        <f>$A$9</f>
        <v>BDI</v>
      </c>
      <c r="C477" s="40">
        <f>$C$9</f>
        <v>0</v>
      </c>
      <c r="D477" s="57"/>
      <c r="F477" s="28">
        <f>ROUND(SUM(F457:F476)*C477,2)</f>
        <v>0</v>
      </c>
      <c r="G477" s="63"/>
      <c r="M477" s="57"/>
      <c r="N477" s="57"/>
      <c r="O477" s="56"/>
      <c r="P477" s="56"/>
      <c r="Q477" s="48"/>
      <c r="R477" s="48"/>
    </row>
    <row r="478" spans="1:23" ht="12.75" customHeight="1" thickBot="1" x14ac:dyDescent="0.25">
      <c r="A478" s="41"/>
      <c r="B478" s="42" t="s">
        <v>57</v>
      </c>
      <c r="C478" s="43"/>
      <c r="D478" s="44"/>
      <c r="E478" s="45"/>
      <c r="F478" s="46">
        <f>ROUND(SUM(F457:F477),2)</f>
        <v>0</v>
      </c>
      <c r="G478" s="63"/>
      <c r="M478" s="57"/>
      <c r="N478" s="57"/>
      <c r="O478" s="56"/>
      <c r="P478" s="56"/>
      <c r="Q478" s="48"/>
      <c r="R478" s="48"/>
    </row>
    <row r="479" spans="1:23" ht="12" customHeight="1" thickBot="1" x14ac:dyDescent="0.25">
      <c r="A479" s="8"/>
      <c r="B479" s="9"/>
      <c r="C479" s="10"/>
      <c r="D479" s="57"/>
      <c r="F479" s="12"/>
      <c r="M479" s="57"/>
      <c r="N479" s="57"/>
      <c r="O479" s="56"/>
      <c r="P479" s="56"/>
    </row>
    <row r="480" spans="1:23" ht="50.1" customHeight="1" x14ac:dyDescent="0.2">
      <c r="A480" s="243" t="str">
        <f>'3.A'!$A$113</f>
        <v>2.6</v>
      </c>
      <c r="B480" s="14" t="str">
        <f>IF(A480="","",VLOOKUP(A480,'3.A'!$A$17:$M$279,2,FALSE))</f>
        <v>TE-06 ENTRADA PRIMÁRIA SIMPLIF. POSTE UNICO - CPFL - 112,5 KVA - 15KV- 220/127 V - INFRAESTRUTURA ELÉTRICA - MÉDIA TENSÃO</v>
      </c>
      <c r="C480" s="413" t="s">
        <v>62</v>
      </c>
      <c r="D480" s="413"/>
      <c r="E480" s="15" t="str">
        <f>IF(A480="","",VLOOKUP(A480,'3.A'!$A$17:$M$279,3,FALSE))</f>
        <v>UN</v>
      </c>
      <c r="F480" s="16">
        <f>ROUND(F494+F507+F530,2)</f>
        <v>0</v>
      </c>
      <c r="G480" s="118">
        <f>VLOOKUP(A480,'3.A'!$A$19:$I$279,4,FALSE)</f>
        <v>1</v>
      </c>
      <c r="H480" s="47">
        <f>SUM(F482:F493)</f>
        <v>0</v>
      </c>
      <c r="I480" s="47">
        <f>SUM(F496:F506)</f>
        <v>0</v>
      </c>
      <c r="J480" s="47">
        <f>SUM(F509:F529)</f>
        <v>0</v>
      </c>
      <c r="K480" s="47">
        <f>SUM(H480:J480)</f>
        <v>0</v>
      </c>
      <c r="L480" s="47" t="str">
        <f>IF(K480=F480,"SIM","NÃO")</f>
        <v>SIM</v>
      </c>
      <c r="M480" s="58">
        <f>ROUND(SUM(F482:F491)*C492,2)+ROUND(SUM(F482:F492)*C493,2)+ROUND(SUM(F482:F491),2)+ROUND(SUM(F496:F505)*C506,2)+ROUND(SUM(F496:F505),2)+ROUND(SUM(F509:F528)*C529,2)+ROUND(SUM(F509:F528),2)</f>
        <v>0</v>
      </c>
      <c r="N480" s="50" t="str">
        <f>IF(M480=F480,"SIM","NÃO")</f>
        <v>SIM</v>
      </c>
      <c r="O480" s="51" t="str">
        <f>VLOOKUP(A480,'3.A'!$A$8:$E$279,3,FALSE)</f>
        <v>UN</v>
      </c>
      <c r="P480" s="51" t="str">
        <f>IF(O480=E480,"SIM","NÃO")</f>
        <v>SIM</v>
      </c>
      <c r="Q480" s="53">
        <f>ROUND(G480*F494,2)+ROUND(G480*F507,2)+ROUND(G480*F530,2)</f>
        <v>0</v>
      </c>
      <c r="R480" s="59">
        <f>VLOOKUP(A480,'3.A'!$A$17:$L$279,12,FALSE)</f>
        <v>0</v>
      </c>
      <c r="S480" s="60" t="str">
        <f>IF(Q480=R480,"si","no")</f>
        <v>si</v>
      </c>
      <c r="T480" s="61">
        <f>SUM(L482:L491)+SUM(L496:L505)+SUM(L509:L528)</f>
        <v>162.6</v>
      </c>
      <c r="U480" s="52">
        <f>G480*C488+G480*C490+G480*C483+G480*C484+G480*C486+G480*C489+G480*C487+G480*C482+G480*C485+G480*C491+G480*C502+G480*C496+G480*C504+G480*C503+G480*C501+G480*C498+G480*C497+G480*C499+G480*C505+G480*C500+G480*C509+G480*C510+G480*C511+G480*C519+G480*C520+G480*C521+G480*C522+G480*C523+G480*C524+G480*C525+G480*C526+G480*C527+G480*C528+G480*C517+G480*C518+G480*C512+G480*C513+G480*C514+G480*C515+G480*C516</f>
        <v>162.6</v>
      </c>
      <c r="V480" s="54" t="str">
        <f>IF(T480=U480,"si","no")</f>
        <v>si</v>
      </c>
      <c r="W480" s="137"/>
    </row>
    <row r="481" spans="1:19" ht="12.75" customHeight="1" x14ac:dyDescent="0.2">
      <c r="A481" s="17" t="s">
        <v>3</v>
      </c>
      <c r="B481" s="18" t="s">
        <v>58</v>
      </c>
      <c r="C481" s="56" t="s">
        <v>59</v>
      </c>
      <c r="D481" s="56" t="s">
        <v>16</v>
      </c>
      <c r="E481" s="19" t="s">
        <v>60</v>
      </c>
      <c r="F481" s="20" t="s">
        <v>61</v>
      </c>
      <c r="G481" s="21"/>
      <c r="M481" s="57"/>
      <c r="N481" s="57"/>
      <c r="O481" s="56"/>
      <c r="P481" s="56"/>
      <c r="Q481" s="48"/>
      <c r="R481" s="48"/>
    </row>
    <row r="482" spans="1:19" ht="12.75" customHeight="1" x14ac:dyDescent="0.2">
      <c r="A482" s="22">
        <f>'6.A'!$A$18</f>
        <v>88264</v>
      </c>
      <c r="B482" s="23" t="str">
        <f>IF(A482="","",VLOOKUP(A482,'6.A'!$A$11:$G$180,2,FALSE))</f>
        <v>ELETRICISTA COM ENCARGOS COMPLEMENTARES</v>
      </c>
      <c r="C482" s="99">
        <v>40</v>
      </c>
      <c r="D482" s="57" t="str">
        <f>IF(A482="","",VLOOKUP(A482,'6.A'!$A$11:$G$180,4,FALSE))</f>
        <v>H</v>
      </c>
      <c r="E482" s="100">
        <f>IF(A482="","",VLOOKUP(A482,'6.A'!$A$11:$G$180,5,FALSE))</f>
        <v>0</v>
      </c>
      <c r="F482" s="24">
        <f t="shared" ref="F482:F491" si="212">IF(A482="","0,00",ROUND(C482*E482,2))</f>
        <v>0</v>
      </c>
      <c r="G482" s="52"/>
      <c r="H482" s="52">
        <f>IF(A482="","",VLOOKUP(A482,'6.A'!$A$11:$E$7984,5,FALSE))</f>
        <v>0</v>
      </c>
      <c r="I482" s="52" t="str">
        <f>IF(H482="","",IF(E482=H482,"SIM","NÃO"))</f>
        <v>SIM</v>
      </c>
      <c r="J482" s="52" t="str">
        <f>IF(H482="","",VLOOKUP(A482,'6.A'!$A$11:$E$564,4,FALSE))</f>
        <v>H</v>
      </c>
      <c r="K482" s="52" t="str">
        <f>IF(H482="","",IF(J482=D482,"SIM","NÃO"))</f>
        <v>SIM</v>
      </c>
      <c r="L482" s="52">
        <f>IF(H482="","",IF(C482="","",G480*C482))</f>
        <v>40</v>
      </c>
      <c r="M482" s="117" t="str">
        <f>IF(A482="","",VLOOKUP(A482,'6.A'!$A$11:$C$564,2,FALSE))</f>
        <v>ELETRICISTA COM ENCARGOS COMPLEMENTARES</v>
      </c>
      <c r="N482" s="57" t="str">
        <f>IF(A482="","",IF(M482=B482,"si","no"))</f>
        <v>si</v>
      </c>
      <c r="O482" s="56"/>
      <c r="P482" s="56"/>
      <c r="Q482" s="48"/>
      <c r="R482" s="48"/>
    </row>
    <row r="483" spans="1:19" ht="12.75" customHeight="1" x14ac:dyDescent="0.2">
      <c r="A483" s="22"/>
      <c r="B483" s="23" t="str">
        <f>IF(A483="","",VLOOKUP(A483,'6.A'!$A$11:$G$180,2,FALSE))</f>
        <v/>
      </c>
      <c r="C483" s="99"/>
      <c r="D483" s="57" t="str">
        <f>IF(A483="","",VLOOKUP(A483,'6.A'!$A$11:$G$180,4,FALSE))</f>
        <v/>
      </c>
      <c r="E483" s="100" t="str">
        <f>IF(A483="","",VLOOKUP(A483,'6.A'!$A$11:$G$180,5,FALSE))</f>
        <v/>
      </c>
      <c r="F483" s="24" t="str">
        <f t="shared" si="212"/>
        <v>0,00</v>
      </c>
      <c r="G483" s="52"/>
      <c r="H483" s="52" t="str">
        <f>IF(A483="","",VLOOKUP(A483,'6.A'!$A$11:$E$7984,5,FALSE))</f>
        <v/>
      </c>
      <c r="I483" s="52" t="str">
        <f>IF(H483="","",IF(E483=H483,"SIM","NÃO"))</f>
        <v/>
      </c>
      <c r="J483" s="52" t="str">
        <f>IF(H483="","",VLOOKUP(A483,'6.A'!$A$11:$E$564,4,FALSE))</f>
        <v/>
      </c>
      <c r="K483" s="52" t="str">
        <f>IF(H483="","",IF(J483=D483,"SIM","NÃO"))</f>
        <v/>
      </c>
      <c r="L483" s="52" t="str">
        <f>IF(H483="","",IF(C483="","",G480*C483))</f>
        <v/>
      </c>
      <c r="M483" s="117" t="str">
        <f>IF(A483="","",VLOOKUP(A483,'6.A'!$A$11:$C$564,2,FALSE))</f>
        <v/>
      </c>
      <c r="N483" s="57" t="str">
        <f>IF(A483="","",IF(M483=B483,"si","no"))</f>
        <v/>
      </c>
      <c r="O483" s="56"/>
      <c r="P483" s="56"/>
      <c r="Q483" s="48"/>
      <c r="R483" s="48"/>
    </row>
    <row r="484" spans="1:19" ht="12.75" customHeight="1" x14ac:dyDescent="0.2">
      <c r="A484" s="22"/>
      <c r="B484" s="23" t="str">
        <f>IF(A484="","",VLOOKUP(A484,'6.A'!$A$11:$G$180,2,FALSE))</f>
        <v/>
      </c>
      <c r="C484" s="99"/>
      <c r="D484" s="57" t="str">
        <f>IF(A484="","",VLOOKUP(A484,'6.A'!$A$11:$G$180,4,FALSE))</f>
        <v/>
      </c>
      <c r="E484" s="100" t="str">
        <f>IF(A484="","",VLOOKUP(A484,'6.A'!$A$11:$G$180,5,FALSE))</f>
        <v/>
      </c>
      <c r="F484" s="24" t="str">
        <f t="shared" si="212"/>
        <v>0,00</v>
      </c>
      <c r="G484" s="52"/>
      <c r="H484" s="52" t="str">
        <f>IF(A484="","",VLOOKUP(A484,'6.A'!$A$11:$E$7984,5,FALSE))</f>
        <v/>
      </c>
      <c r="I484" s="52" t="str">
        <f>IF(H484="","",IF(E484=H484,"SIM","NÃO"))</f>
        <v/>
      </c>
      <c r="J484" s="52" t="str">
        <f>IF(H484="","",VLOOKUP(A484,'6.A'!$A$11:$E$564,4,FALSE))</f>
        <v/>
      </c>
      <c r="K484" s="52" t="str">
        <f t="shared" ref="K484" si="213">IF(H484="","",IF(J484=D484,"SIM","NÃO"))</f>
        <v/>
      </c>
      <c r="L484" s="52" t="str">
        <f>IF(H484="","",IF(C484="","",G480*C484))</f>
        <v/>
      </c>
      <c r="M484" s="117" t="str">
        <f>IF(A484="","",VLOOKUP(A484,'6.A'!$A$11:$C$564,2,FALSE))</f>
        <v/>
      </c>
      <c r="N484" s="57" t="str">
        <f t="shared" ref="N484" si="214">IF(A484="","",IF(M484=B484,"si","no"))</f>
        <v/>
      </c>
      <c r="O484" s="56"/>
      <c r="P484" s="56"/>
      <c r="Q484" s="48"/>
      <c r="R484" s="48"/>
      <c r="S484" s="2"/>
    </row>
    <row r="485" spans="1:19" ht="12.75" customHeight="1" x14ac:dyDescent="0.2">
      <c r="A485" s="22"/>
      <c r="B485" s="23" t="str">
        <f>IF(A485="","",VLOOKUP(A485,'6.A'!$A$11:$G$180,2,FALSE))</f>
        <v/>
      </c>
      <c r="C485" s="99"/>
      <c r="D485" s="57" t="str">
        <f>IF(A485="","",VLOOKUP(A485,'6.A'!$A$11:$G$180,4,FALSE))</f>
        <v/>
      </c>
      <c r="E485" s="100" t="str">
        <f>IF(A485="","",VLOOKUP(A485,'6.A'!$A$11:$G$180,5,FALSE))</f>
        <v/>
      </c>
      <c r="F485" s="24" t="str">
        <f t="shared" si="212"/>
        <v>0,00</v>
      </c>
      <c r="G485" s="52"/>
      <c r="H485" s="52" t="str">
        <f>IF(A485="","",VLOOKUP(A485,'6.A'!$A$11:$E$7984,5,FALSE))</f>
        <v/>
      </c>
      <c r="I485" s="52" t="str">
        <f>IF(H485="","",IF(E485=H485,"SIM","NÃO"))</f>
        <v/>
      </c>
      <c r="J485" s="52" t="str">
        <f>IF(H485="","",VLOOKUP(A485,'6.A'!$A$11:$E$564,4,FALSE))</f>
        <v/>
      </c>
      <c r="K485" s="52" t="str">
        <f>IF(H485="","",IF(J485=D485,"SIM","NÃO"))</f>
        <v/>
      </c>
      <c r="L485" s="52" t="str">
        <f>IF(H485="","",IF(C485="","",G480*C485))</f>
        <v/>
      </c>
      <c r="M485" s="117" t="str">
        <f>IF(A485="","",VLOOKUP(A485,'6.A'!$A$11:$C$564,2,FALSE))</f>
        <v/>
      </c>
      <c r="N485" s="57" t="str">
        <f>IF(A485="","",IF(M485=B485,"si","no"))</f>
        <v/>
      </c>
      <c r="O485" s="56"/>
      <c r="P485" s="56"/>
      <c r="Q485" s="48"/>
      <c r="R485" s="48"/>
      <c r="S485" s="2"/>
    </row>
    <row r="486" spans="1:19" ht="12.75" customHeight="1" x14ac:dyDescent="0.2">
      <c r="A486" s="22"/>
      <c r="B486" s="23" t="str">
        <f>IF(A486="","",VLOOKUP(A486,'6.A'!$A$11:$G$180,2,FALSE))</f>
        <v/>
      </c>
      <c r="C486" s="99"/>
      <c r="D486" s="57" t="str">
        <f>IF(A486="","",VLOOKUP(A486,'6.A'!$A$11:$G$180,4,FALSE))</f>
        <v/>
      </c>
      <c r="E486" s="101" t="str">
        <f>IF(A486="","",VLOOKUP(A486,'6.A'!$A$11:$G$180,5,FALSE))</f>
        <v/>
      </c>
      <c r="F486" s="24" t="str">
        <f t="shared" si="212"/>
        <v>0,00</v>
      </c>
      <c r="G486" s="52"/>
      <c r="H486" s="52" t="str">
        <f>IF(A486="","",VLOOKUP(A486,'6.A'!$A$11:$E$7984,5,FALSE))</f>
        <v/>
      </c>
      <c r="I486" s="52" t="str">
        <f t="shared" ref="I486" si="215">IF(H486="","",IF(E486=H486,"SIM","NÃO"))</f>
        <v/>
      </c>
      <c r="J486" s="52" t="str">
        <f>IF(H486="","",VLOOKUP(A486,'6.A'!$A$11:$E$564,4,FALSE))</f>
        <v/>
      </c>
      <c r="K486" s="52" t="str">
        <f t="shared" ref="K486" si="216">IF(H486="","",IF(J486=D486,"SIM","NÃO"))</f>
        <v/>
      </c>
      <c r="L486" s="52" t="str">
        <f>IF(H486="","",IF(C486="","",G480*C486))</f>
        <v/>
      </c>
      <c r="M486" s="117" t="str">
        <f>IF(A486="","",VLOOKUP(A486,'6.A'!$A$11:$C$564,2,FALSE))</f>
        <v/>
      </c>
      <c r="N486" s="57" t="str">
        <f t="shared" ref="N486" si="217">IF(A486="","",IF(M486=B486,"si","no"))</f>
        <v/>
      </c>
      <c r="O486" s="56"/>
      <c r="P486" s="56"/>
      <c r="Q486" s="48"/>
      <c r="R486" s="48"/>
      <c r="S486" s="2"/>
    </row>
    <row r="487" spans="1:19" ht="12.75" customHeight="1" x14ac:dyDescent="0.2">
      <c r="A487" s="22"/>
      <c r="B487" s="23" t="str">
        <f>IF(A487="","",VLOOKUP(A487,'6.A'!$A$11:$G$180,2,FALSE))</f>
        <v/>
      </c>
      <c r="C487" s="99"/>
      <c r="D487" s="57" t="str">
        <f>IF(A487="","",VLOOKUP(A487,'6.A'!$A$11:$G$180,4,FALSE))</f>
        <v/>
      </c>
      <c r="E487" s="101" t="str">
        <f>IF(A487="","",VLOOKUP(A487,'6.A'!$A$11:$G$180,5,FALSE))</f>
        <v/>
      </c>
      <c r="F487" s="24" t="str">
        <f t="shared" si="212"/>
        <v>0,00</v>
      </c>
      <c r="G487" s="52"/>
      <c r="H487" s="52" t="str">
        <f>IF(A487="","",VLOOKUP(A487,'6.A'!$A$11:$E$7984,5,FALSE))</f>
        <v/>
      </c>
      <c r="I487" s="52" t="str">
        <f>IF(H487="","",IF(E487=H487,"SIM","NÃO"))</f>
        <v/>
      </c>
      <c r="J487" s="52" t="str">
        <f>IF(H487="","",VLOOKUP(A487,'6.A'!$A$11:$E$564,4,FALSE))</f>
        <v/>
      </c>
      <c r="K487" s="52" t="str">
        <f>IF(H487="","",IF(J487=D487,"SIM","NÃO"))</f>
        <v/>
      </c>
      <c r="L487" s="52" t="str">
        <f>IF(H487="","",IF(C487="","",G480*C487))</f>
        <v/>
      </c>
      <c r="M487" s="117" t="str">
        <f>IF(A487="","",VLOOKUP(A487,'6.A'!$A$11:$C$564,2,FALSE))</f>
        <v/>
      </c>
      <c r="N487" s="57" t="str">
        <f>IF(A487="","",IF(M487=B487,"si","no"))</f>
        <v/>
      </c>
      <c r="O487" s="56"/>
      <c r="P487" s="56"/>
      <c r="Q487" s="48"/>
      <c r="R487" s="48"/>
      <c r="S487" s="2"/>
    </row>
    <row r="488" spans="1:19" ht="12.75" customHeight="1" x14ac:dyDescent="0.2">
      <c r="A488" s="22"/>
      <c r="B488" s="23" t="str">
        <f>IF(A488="","",VLOOKUP(A488,'6.A'!$A$11:$G$180,2,FALSE))</f>
        <v/>
      </c>
      <c r="C488" s="99"/>
      <c r="D488" s="57" t="str">
        <f>IF(A488="","",VLOOKUP(A488,'6.A'!$A$11:$G$180,4,FALSE))</f>
        <v/>
      </c>
      <c r="E488" s="100" t="str">
        <f>IF(A488="","",VLOOKUP(A488,'6.A'!$A$11:$G$180,5,FALSE))</f>
        <v/>
      </c>
      <c r="F488" s="24" t="str">
        <f t="shared" si="212"/>
        <v>0,00</v>
      </c>
      <c r="G488" s="52"/>
      <c r="H488" s="52" t="str">
        <f>IF(A488="","",VLOOKUP(A488,'6.A'!$A$11:$E$7984,5,FALSE))</f>
        <v/>
      </c>
      <c r="I488" s="52" t="str">
        <f>IF(H488="","",IF(E488=H488,"SIM","NÃO"))</f>
        <v/>
      </c>
      <c r="J488" s="52" t="str">
        <f>IF(H488="","",VLOOKUP(A488,'6.A'!$A$11:$E$564,4,FALSE))</f>
        <v/>
      </c>
      <c r="K488" s="52" t="str">
        <f>IF(H488="","",IF(J488=D488,"SIM","NÃO"))</f>
        <v/>
      </c>
      <c r="L488" s="52" t="str">
        <f>IF(H488="","",IF(C488="","",G480*C488))</f>
        <v/>
      </c>
      <c r="M488" s="117" t="str">
        <f>IF(A488="","",VLOOKUP(A488,'6.A'!$A$11:$C$564,2,FALSE))</f>
        <v/>
      </c>
      <c r="N488" s="57" t="str">
        <f>IF(A488="","",IF(M488=B488,"si","no"))</f>
        <v/>
      </c>
      <c r="O488" s="56"/>
      <c r="P488" s="56"/>
      <c r="Q488" s="48"/>
      <c r="R488" s="48"/>
      <c r="S488" s="2"/>
    </row>
    <row r="489" spans="1:19" ht="12.75" customHeight="1" x14ac:dyDescent="0.2">
      <c r="A489" s="22"/>
      <c r="B489" s="23" t="str">
        <f>IF(A489="","",VLOOKUP(A489,'6.A'!$A$11:$G$180,2,FALSE))</f>
        <v/>
      </c>
      <c r="C489" s="99"/>
      <c r="D489" s="57" t="str">
        <f>IF(A489="","",VLOOKUP(A489,'6.A'!$A$11:$G$180,4,FALSE))</f>
        <v/>
      </c>
      <c r="E489" s="100" t="str">
        <f>IF(A489="","",VLOOKUP(A489,'6.A'!$A$11:$G$180,5,FALSE))</f>
        <v/>
      </c>
      <c r="F489" s="24" t="str">
        <f t="shared" si="212"/>
        <v>0,00</v>
      </c>
      <c r="G489" s="52"/>
      <c r="H489" s="52" t="str">
        <f>IF(A489="","",VLOOKUP(A489,'6.A'!$A$11:$E$7984,5,FALSE))</f>
        <v/>
      </c>
      <c r="I489" s="52" t="str">
        <f t="shared" ref="I489" si="218">IF(H489="","",IF(E489=H489,"SIM","NÃO"))</f>
        <v/>
      </c>
      <c r="J489" s="52" t="str">
        <f>IF(H489="","",VLOOKUP(A489,'6.A'!$A$11:$E$564,4,FALSE))</f>
        <v/>
      </c>
      <c r="K489" s="52" t="str">
        <f t="shared" ref="K489" si="219">IF(H489="","",IF(J489=D489,"SIM","NÃO"))</f>
        <v/>
      </c>
      <c r="L489" s="52" t="str">
        <f>IF(H489="","",IF(C489="","",G480*C489))</f>
        <v/>
      </c>
      <c r="M489" s="117" t="str">
        <f>IF(A489="","",VLOOKUP(A489,'6.A'!$A$11:$C$564,2,FALSE))</f>
        <v/>
      </c>
      <c r="N489" s="57" t="str">
        <f t="shared" ref="N489" si="220">IF(A489="","",IF(M489=B489,"si","no"))</f>
        <v/>
      </c>
      <c r="O489" s="56"/>
      <c r="P489" s="56"/>
      <c r="Q489" s="48"/>
      <c r="R489" s="48"/>
      <c r="S489" s="2"/>
    </row>
    <row r="490" spans="1:19" ht="12.75" customHeight="1" x14ac:dyDescent="0.2">
      <c r="A490" s="22"/>
      <c r="B490" s="23" t="str">
        <f>IF(A490="","",VLOOKUP(A490,'6.A'!$A$11:$G$180,2,FALSE))</f>
        <v/>
      </c>
      <c r="C490" s="99"/>
      <c r="D490" s="73" t="str">
        <f>IF(A490="","",VLOOKUP(A490,'6.A'!$A$11:$G$180,4,FALSE))</f>
        <v/>
      </c>
      <c r="E490" s="101" t="str">
        <f>IF(A490="","",VLOOKUP(A490,'6.A'!$A$11:$G$180,5,FALSE))</f>
        <v/>
      </c>
      <c r="F490" s="24" t="str">
        <f t="shared" si="212"/>
        <v>0,00</v>
      </c>
      <c r="G490" s="52"/>
      <c r="H490" s="52" t="str">
        <f>IF(A490="","",VLOOKUP(A490,'6.A'!$A$11:$E$7984,5,FALSE))</f>
        <v/>
      </c>
      <c r="I490" s="52" t="str">
        <f>IF(H490="","",IF(E490=H490,"SIM","NÃO"))</f>
        <v/>
      </c>
      <c r="J490" s="52" t="str">
        <f>IF(H490="","",VLOOKUP(A490,'6.A'!$A$11:$E$564,4,FALSE))</f>
        <v/>
      </c>
      <c r="K490" s="52" t="str">
        <f>IF(H490="","",IF(J490=D490,"SIM","NÃO"))</f>
        <v/>
      </c>
      <c r="L490" s="52" t="str">
        <f>IF(H490="","",IF(C490="","",G480*C490))</f>
        <v/>
      </c>
      <c r="M490" s="117" t="str">
        <f>IF(A490="","",VLOOKUP(A490,'6.A'!$A$11:$C$564,2,FALSE))</f>
        <v/>
      </c>
      <c r="N490" s="57" t="str">
        <f>IF(A490="","",IF(M490=B490,"si","no"))</f>
        <v/>
      </c>
      <c r="O490" s="56"/>
      <c r="P490" s="56"/>
      <c r="Q490" s="48"/>
      <c r="R490" s="48"/>
      <c r="S490" s="2"/>
    </row>
    <row r="491" spans="1:19" ht="12.75" customHeight="1" x14ac:dyDescent="0.2">
      <c r="A491" s="22"/>
      <c r="B491" s="23" t="str">
        <f>IF(A491="","",VLOOKUP(A491,'6.A'!$A$11:$G$180,2,FALSE))</f>
        <v/>
      </c>
      <c r="C491" s="99"/>
      <c r="D491" s="25" t="str">
        <f>IF(A491="","",VLOOKUP(A491,'6.A'!$A$11:$G$180,4,FALSE))</f>
        <v/>
      </c>
      <c r="E491" s="101" t="str">
        <f>IF(A491="","",VLOOKUP(A491,'6.A'!$A$11:$G$180,5,FALSE))</f>
        <v/>
      </c>
      <c r="F491" s="24" t="str">
        <f t="shared" si="212"/>
        <v>0,00</v>
      </c>
      <c r="G491" s="52"/>
      <c r="H491" s="52" t="str">
        <f>IF(A491="","",VLOOKUP(A491,'6.A'!$A$11:$E$7984,5,FALSE))</f>
        <v/>
      </c>
      <c r="I491" s="52" t="str">
        <f t="shared" ref="I491" si="221">IF(H491="","",IF(E491=H491,"SIM","NÃO"))</f>
        <v/>
      </c>
      <c r="J491" s="52" t="str">
        <f>IF(H491="","",VLOOKUP(A491,'6.A'!$A$11:$E$564,4,FALSE))</f>
        <v/>
      </c>
      <c r="K491" s="52" t="str">
        <f t="shared" ref="K491" si="222">IF(H491="","",IF(J491=D491,"SIM","NÃO"))</f>
        <v/>
      </c>
      <c r="L491" s="52" t="str">
        <f>IF(H491="","",IF(C491="","",G480*C491))</f>
        <v/>
      </c>
      <c r="M491" s="117" t="str">
        <f>IF(A491="","",VLOOKUP(A491,'6.A'!$A$11:$C$564,2,FALSE))</f>
        <v/>
      </c>
      <c r="N491" s="57" t="str">
        <f t="shared" ref="N491" si="223">IF(A491="","",IF(M491=B491,"si","no"))</f>
        <v/>
      </c>
      <c r="O491" s="56"/>
      <c r="P491" s="56"/>
      <c r="Q491" s="48"/>
      <c r="R491" s="48"/>
      <c r="S491" s="2"/>
    </row>
    <row r="492" spans="1:19" ht="12.75" customHeight="1" x14ac:dyDescent="0.2">
      <c r="A492" s="17"/>
      <c r="B492" s="26" t="str">
        <f>$A$8</f>
        <v>LEIS SOCIAIS HORISTA - JORNADA NORMAL</v>
      </c>
      <c r="C492" s="27">
        <f>$C$8</f>
        <v>0</v>
      </c>
      <c r="D492" s="57"/>
      <c r="F492" s="28">
        <f>ROUND(SUM(F482:F491)*C492,2)</f>
        <v>0</v>
      </c>
      <c r="G492" s="63"/>
      <c r="M492" s="62"/>
      <c r="N492" s="57"/>
      <c r="O492" s="56"/>
      <c r="P492" s="56"/>
      <c r="Q492" s="48"/>
      <c r="R492" s="48"/>
      <c r="S492" s="2"/>
    </row>
    <row r="493" spans="1:19" ht="12.75" customHeight="1" x14ac:dyDescent="0.2">
      <c r="A493" s="22"/>
      <c r="B493" s="26" t="str">
        <f>$A$9</f>
        <v>BDI</v>
      </c>
      <c r="C493" s="27">
        <f>$C$9</f>
        <v>0</v>
      </c>
      <c r="D493" s="29"/>
      <c r="F493" s="28">
        <f>ROUND(SUM(F482:F492)*C493,2)</f>
        <v>0</v>
      </c>
      <c r="G493" s="63"/>
      <c r="M493" s="62"/>
      <c r="N493" s="57"/>
      <c r="O493" s="56"/>
      <c r="P493" s="56"/>
      <c r="Q493" s="48"/>
      <c r="R493" s="48"/>
      <c r="S493" s="2"/>
    </row>
    <row r="494" spans="1:19" ht="12.75" customHeight="1" x14ac:dyDescent="0.2">
      <c r="A494" s="30"/>
      <c r="B494" s="31" t="s">
        <v>56</v>
      </c>
      <c r="C494" s="32"/>
      <c r="D494" s="33"/>
      <c r="E494" s="34"/>
      <c r="F494" s="35">
        <f>ROUND(SUM(F482:F493),2)</f>
        <v>0</v>
      </c>
      <c r="G494" s="63"/>
      <c r="M494" s="62"/>
      <c r="N494" s="57"/>
      <c r="O494" s="56"/>
      <c r="P494" s="56"/>
      <c r="Q494" s="48"/>
      <c r="R494" s="48"/>
      <c r="S494" s="2"/>
    </row>
    <row r="495" spans="1:19" ht="12.75" customHeight="1" x14ac:dyDescent="0.2">
      <c r="A495" s="17" t="s">
        <v>5</v>
      </c>
      <c r="B495" s="153" t="s">
        <v>130</v>
      </c>
      <c r="C495" s="56" t="s">
        <v>59</v>
      </c>
      <c r="D495" s="56" t="s">
        <v>16</v>
      </c>
      <c r="E495" s="19" t="s">
        <v>60</v>
      </c>
      <c r="F495" s="20" t="s">
        <v>61</v>
      </c>
      <c r="G495" s="21"/>
      <c r="M495" s="62"/>
      <c r="N495" s="57"/>
      <c r="O495" s="56"/>
      <c r="P495" s="56"/>
      <c r="Q495" s="48"/>
      <c r="R495" s="48"/>
      <c r="S495" s="2"/>
    </row>
    <row r="496" spans="1:19" ht="12.75" customHeight="1" x14ac:dyDescent="0.2">
      <c r="A496" s="22"/>
      <c r="B496" s="23" t="str">
        <f>IF(A496="","",VLOOKUP(A496,'6.A'!$A$11:$G$180,2,FALSE))</f>
        <v/>
      </c>
      <c r="C496" s="156"/>
      <c r="D496" s="57" t="str">
        <f>IF(A496="","",VLOOKUP(A496,'6.A'!$A$11:$G$180,4,FALSE))</f>
        <v/>
      </c>
      <c r="E496" s="100" t="str">
        <f>IF(A496="","",VLOOKUP(A496,'6.A'!$A$11:$G$180,5,FALSE))</f>
        <v/>
      </c>
      <c r="F496" s="24" t="str">
        <f t="shared" ref="F496:F505" si="224">IF(A496="","0,00",ROUND(C496*E496,2))</f>
        <v>0,00</v>
      </c>
      <c r="G496" s="52"/>
      <c r="H496" s="52" t="str">
        <f>IF(A496="","",VLOOKUP(A496,'6.A'!$A$11:$E$7984,5,FALSE))</f>
        <v/>
      </c>
      <c r="I496" s="52" t="str">
        <f t="shared" ref="I496:I505" si="225">IF(H496="","",IF(E496=H496,"SIM","NÃO"))</f>
        <v/>
      </c>
      <c r="J496" s="52" t="str">
        <f>IF(H496="","",VLOOKUP(A496,'6.A'!$A$11:$E$564,4,FALSE))</f>
        <v/>
      </c>
      <c r="K496" s="52" t="str">
        <f t="shared" ref="K496:K505" si="226">IF(H496="","",IF(J496=D496,"SIM","NÃO"))</f>
        <v/>
      </c>
      <c r="L496" s="52" t="str">
        <f>IF(H496="","",IF(C496="","",G480*C496))</f>
        <v/>
      </c>
      <c r="M496" s="117" t="str">
        <f>IF(A496="","",VLOOKUP(A496,'6.A'!$A$11:$C$564,2,FALSE))</f>
        <v/>
      </c>
      <c r="N496" s="57" t="str">
        <f t="shared" ref="N496:N501" si="227">IF(A496="","",IF(M496=B496,"si","no"))</f>
        <v/>
      </c>
      <c r="O496" s="56"/>
      <c r="P496" s="56"/>
      <c r="Q496" s="48"/>
      <c r="R496" s="48"/>
      <c r="S496" s="2"/>
    </row>
    <row r="497" spans="1:22" ht="12.75" customHeight="1" x14ac:dyDescent="0.2">
      <c r="A497" s="22"/>
      <c r="B497" s="23" t="str">
        <f>IF(A497="","",VLOOKUP(A497,'6.A'!$A$11:$G$180,2,FALSE))</f>
        <v/>
      </c>
      <c r="C497" s="99"/>
      <c r="D497" s="57" t="str">
        <f>IF(A497="","",VLOOKUP(A497,'6.A'!$A$11:$G$180,4,FALSE))</f>
        <v/>
      </c>
      <c r="E497" s="100" t="str">
        <f>IF(A497="","",VLOOKUP(A497,'6.A'!$A$11:$G$180,5,FALSE))</f>
        <v/>
      </c>
      <c r="F497" s="24" t="str">
        <f t="shared" si="224"/>
        <v>0,00</v>
      </c>
      <c r="G497" s="52"/>
      <c r="H497" s="52" t="str">
        <f>IF(A497="","",VLOOKUP(A497,'6.A'!$A$11:$E$7984,5,FALSE))</f>
        <v/>
      </c>
      <c r="I497" s="52" t="str">
        <f t="shared" si="225"/>
        <v/>
      </c>
      <c r="J497" s="52" t="str">
        <f>IF(H497="","",VLOOKUP(A497,'6.A'!$A$11:$E$564,4,FALSE))</f>
        <v/>
      </c>
      <c r="K497" s="52" t="str">
        <f t="shared" si="226"/>
        <v/>
      </c>
      <c r="L497" s="52" t="str">
        <f>IF(H497="","",IF(C497="","",G480*C497))</f>
        <v/>
      </c>
      <c r="M497" s="117" t="str">
        <f>IF(A497="","",VLOOKUP(A497,'6.A'!$A$11:$C$564,2,FALSE))</f>
        <v/>
      </c>
      <c r="N497" s="57" t="str">
        <f t="shared" si="227"/>
        <v/>
      </c>
      <c r="O497" s="56"/>
      <c r="P497" s="56"/>
      <c r="Q497" s="48"/>
      <c r="R497" s="48"/>
      <c r="S497" s="2"/>
    </row>
    <row r="498" spans="1:22" ht="12.75" customHeight="1" x14ac:dyDescent="0.2">
      <c r="A498" s="22"/>
      <c r="B498" s="23" t="str">
        <f>IF(A498="","",VLOOKUP(A498,'6.A'!$A$11:$G$180,2,FALSE))</f>
        <v/>
      </c>
      <c r="C498" s="99"/>
      <c r="D498" s="57" t="str">
        <f>IF(A498="","",VLOOKUP(A498,'6.A'!$A$11:$G$180,4,FALSE))</f>
        <v/>
      </c>
      <c r="E498" s="100" t="str">
        <f>IF(A498="","",VLOOKUP(A498,'6.A'!$A$11:$G$180,5,FALSE))</f>
        <v/>
      </c>
      <c r="F498" s="24" t="str">
        <f t="shared" si="224"/>
        <v>0,00</v>
      </c>
      <c r="G498" s="52"/>
      <c r="H498" s="52" t="str">
        <f>IF(A498="","",VLOOKUP(A498,'6.A'!$A$11:$E$7984,5,FALSE))</f>
        <v/>
      </c>
      <c r="I498" s="52" t="str">
        <f t="shared" si="225"/>
        <v/>
      </c>
      <c r="J498" s="52" t="str">
        <f>IF(H498="","",VLOOKUP(A498,'6.A'!$A$11:$E$564,4,FALSE))</f>
        <v/>
      </c>
      <c r="K498" s="52" t="str">
        <f t="shared" si="226"/>
        <v/>
      </c>
      <c r="L498" s="52" t="str">
        <f>IF(H498="","",IF(C498="","",G480*C498))</f>
        <v/>
      </c>
      <c r="M498" s="117" t="str">
        <f>IF(A498="","",VLOOKUP(A498,'6.A'!$A$11:$C$564,2,FALSE))</f>
        <v/>
      </c>
      <c r="N498" s="57" t="str">
        <f t="shared" si="227"/>
        <v/>
      </c>
      <c r="O498" s="56"/>
      <c r="P498" s="56"/>
      <c r="Q498" s="48"/>
      <c r="R498" s="48"/>
      <c r="S498" s="2"/>
    </row>
    <row r="499" spans="1:22" ht="12.75" customHeight="1" x14ac:dyDescent="0.2">
      <c r="A499" s="22"/>
      <c r="B499" s="55" t="str">
        <f>IF(A499="","",VLOOKUP(A499,'6.A'!$A$11:$G$180,2,FALSE))</f>
        <v/>
      </c>
      <c r="C499" s="134"/>
      <c r="D499" s="57" t="str">
        <f>IF(A499="","",VLOOKUP(A499,'6.A'!$A$11:$G$180,4,FALSE))</f>
        <v/>
      </c>
      <c r="E499" s="100" t="str">
        <f>IF(A499="","",VLOOKUP(A499,'6.A'!$A$11:$G$180,5,FALSE))</f>
        <v/>
      </c>
      <c r="F499" s="24" t="str">
        <f t="shared" si="224"/>
        <v>0,00</v>
      </c>
      <c r="G499" s="52"/>
      <c r="H499" s="52" t="str">
        <f>IF(A499="","",VLOOKUP(A499,'6.A'!$A$11:$E$7984,5,FALSE))</f>
        <v/>
      </c>
      <c r="I499" s="52" t="str">
        <f t="shared" si="225"/>
        <v/>
      </c>
      <c r="J499" s="52" t="str">
        <f>IF(H499="","",VLOOKUP(A499,'6.A'!$A$11:$E$564,4,FALSE))</f>
        <v/>
      </c>
      <c r="K499" s="52" t="str">
        <f t="shared" si="226"/>
        <v/>
      </c>
      <c r="L499" s="52" t="str">
        <f>IF(H499="","",IF(C499="","",G480*C499))</f>
        <v/>
      </c>
      <c r="M499" s="117" t="str">
        <f>IF(A499="","",VLOOKUP(A499,'6.A'!$A$11:$C$564,2,FALSE))</f>
        <v/>
      </c>
      <c r="N499" s="57" t="str">
        <f t="shared" si="227"/>
        <v/>
      </c>
      <c r="O499" s="56"/>
      <c r="P499" s="56"/>
      <c r="Q499" s="48"/>
      <c r="R499" s="48"/>
      <c r="S499" s="2"/>
    </row>
    <row r="500" spans="1:22" ht="12.75" customHeight="1" x14ac:dyDescent="0.2">
      <c r="A500" s="22"/>
      <c r="B500" s="23" t="str">
        <f>IF(A500="","",VLOOKUP(A500,'6.A'!$A$11:$G$180,2,FALSE))</f>
        <v/>
      </c>
      <c r="C500" s="99"/>
      <c r="D500" s="57" t="str">
        <f>IF(A500="","",VLOOKUP(A500,'6.A'!$A$11:$G$180,4,FALSE))</f>
        <v/>
      </c>
      <c r="E500" s="100" t="str">
        <f>IF(A500="","",VLOOKUP(A500,'6.A'!$A$11:$G$180,5,FALSE))</f>
        <v/>
      </c>
      <c r="F500" s="24" t="str">
        <f t="shared" si="224"/>
        <v>0,00</v>
      </c>
      <c r="G500" s="52"/>
      <c r="H500" s="52" t="str">
        <f>IF(A500="","",VLOOKUP(A500,'6.A'!$A$11:$E$7984,5,FALSE))</f>
        <v/>
      </c>
      <c r="I500" s="52" t="str">
        <f t="shared" si="225"/>
        <v/>
      </c>
      <c r="J500" s="52" t="str">
        <f>IF(H500="","",VLOOKUP(A500,'6.A'!$A$11:$E$564,4,FALSE))</f>
        <v/>
      </c>
      <c r="K500" s="52" t="str">
        <f t="shared" si="226"/>
        <v/>
      </c>
      <c r="L500" s="52" t="str">
        <f>IF(H500="","",IF(C500="","",G480*C500))</f>
        <v/>
      </c>
      <c r="M500" s="117" t="str">
        <f>IF(A500="","",VLOOKUP(A500,'6.A'!$A$11:$C$564,2,FALSE))</f>
        <v/>
      </c>
      <c r="N500" s="57" t="str">
        <f t="shared" si="227"/>
        <v/>
      </c>
      <c r="O500" s="56"/>
      <c r="P500" s="56"/>
      <c r="Q500" s="48"/>
      <c r="R500" s="48"/>
      <c r="S500" s="2"/>
    </row>
    <row r="501" spans="1:22" ht="12.75" customHeight="1" x14ac:dyDescent="0.2">
      <c r="A501" s="22"/>
      <c r="B501" s="23" t="str">
        <f>IF(A501="","",VLOOKUP(A501,'6.A'!$A$11:$G$180,2,FALSE))</f>
        <v/>
      </c>
      <c r="C501" s="99"/>
      <c r="D501" s="57" t="str">
        <f>IF(A501="","",VLOOKUP(A501,'6.A'!$A$11:$G$180,4,FALSE))</f>
        <v/>
      </c>
      <c r="E501" s="100" t="str">
        <f>IF(A501="","",VLOOKUP(A501,'6.A'!$A$11:$G$180,5,FALSE))</f>
        <v/>
      </c>
      <c r="F501" s="24" t="str">
        <f t="shared" si="224"/>
        <v>0,00</v>
      </c>
      <c r="G501" s="52"/>
      <c r="H501" s="52" t="str">
        <f>IF(A501="","",VLOOKUP(A501,'6.A'!$A$11:$E$7984,5,FALSE))</f>
        <v/>
      </c>
      <c r="I501" s="52" t="str">
        <f t="shared" si="225"/>
        <v/>
      </c>
      <c r="J501" s="52" t="str">
        <f>IF(H501="","",VLOOKUP(A501,'6.A'!$A$11:$E$564,4,FALSE))</f>
        <v/>
      </c>
      <c r="K501" s="52" t="str">
        <f t="shared" si="226"/>
        <v/>
      </c>
      <c r="L501" s="52" t="str">
        <f>IF(H501="","",IF(C501="","",G480*C501))</f>
        <v/>
      </c>
      <c r="M501" s="117" t="str">
        <f>IF(A501="","",VLOOKUP(A501,'6.A'!$A$11:$C$564,2,FALSE))</f>
        <v/>
      </c>
      <c r="N501" s="57" t="str">
        <f t="shared" si="227"/>
        <v/>
      </c>
      <c r="O501" s="56"/>
      <c r="P501" s="56"/>
      <c r="Q501" s="48"/>
      <c r="R501" s="48"/>
      <c r="S501" s="2"/>
    </row>
    <row r="502" spans="1:22" ht="12.75" customHeight="1" x14ac:dyDescent="0.2">
      <c r="A502" s="22"/>
      <c r="B502" s="23" t="str">
        <f>IF(A502="","",VLOOKUP(A502,'6.A'!$A$11:$G$180,2,FALSE))</f>
        <v/>
      </c>
      <c r="C502" s="99"/>
      <c r="D502" s="57" t="str">
        <f>IF(A502="","",VLOOKUP(A502,'6.A'!$A$11:$G$180,4,FALSE))</f>
        <v/>
      </c>
      <c r="E502" s="100" t="str">
        <f>IF(A502="","",VLOOKUP(A502,'6.A'!$A$11:$G$180,5,FALSE))</f>
        <v/>
      </c>
      <c r="F502" s="24" t="str">
        <f t="shared" si="224"/>
        <v>0,00</v>
      </c>
      <c r="G502" s="52"/>
      <c r="H502" s="52" t="str">
        <f>IF(A502="","",VLOOKUP(A502,'6.A'!$A$11:$E$7984,5,FALSE))</f>
        <v/>
      </c>
      <c r="I502" s="52" t="str">
        <f t="shared" si="225"/>
        <v/>
      </c>
      <c r="J502" s="52" t="str">
        <f>IF(H502="","",VLOOKUP(A502,'6.A'!$A$11:$E$564,4,FALSE))</f>
        <v/>
      </c>
      <c r="K502" s="52" t="str">
        <f t="shared" si="226"/>
        <v/>
      </c>
      <c r="L502" s="52" t="str">
        <f>IF(H502="","",IF(C502="","",G480*C502))</f>
        <v/>
      </c>
      <c r="M502" s="117" t="str">
        <f>IF(A502="","",VLOOKUP(A502,'6.A'!$A$11:$C$564,2,FALSE))</f>
        <v/>
      </c>
      <c r="N502" s="57" t="str">
        <f>IF(A502="","",IF(M502=B502,"si","no"))</f>
        <v/>
      </c>
      <c r="O502" s="56"/>
      <c r="P502" s="56"/>
      <c r="Q502" s="48"/>
      <c r="R502" s="48"/>
      <c r="S502" s="2"/>
    </row>
    <row r="503" spans="1:22" ht="12.75" customHeight="1" x14ac:dyDescent="0.2">
      <c r="A503" s="22"/>
      <c r="B503" s="23" t="str">
        <f>IF(A503="","",VLOOKUP(A503,'6.A'!$A$11:$G$180,2,FALSE))</f>
        <v/>
      </c>
      <c r="C503" s="99"/>
      <c r="D503" s="57" t="str">
        <f>IF(A503="","",VLOOKUP(A503,'6.A'!$A$11:$G$180,4,FALSE))</f>
        <v/>
      </c>
      <c r="E503" s="100" t="str">
        <f>IF(A503="","",VLOOKUP(A503,'6.A'!$A$11:$G$180,5,FALSE))</f>
        <v/>
      </c>
      <c r="F503" s="24" t="str">
        <f t="shared" si="224"/>
        <v>0,00</v>
      </c>
      <c r="G503" s="52"/>
      <c r="H503" s="52" t="str">
        <f>IF(A503="","",VLOOKUP(A503,'6.A'!$A$11:$E$7984,5,FALSE))</f>
        <v/>
      </c>
      <c r="I503" s="52" t="str">
        <f t="shared" si="225"/>
        <v/>
      </c>
      <c r="J503" s="52" t="str">
        <f>IF(H503="","",VLOOKUP(A503,'6.A'!$A$11:$E$564,4,FALSE))</f>
        <v/>
      </c>
      <c r="K503" s="52" t="str">
        <f t="shared" si="226"/>
        <v/>
      </c>
      <c r="L503" s="52" t="str">
        <f>IF(H503="","",IF(C503="","",G480*C503))</f>
        <v/>
      </c>
      <c r="M503" s="117" t="str">
        <f>IF(A503="","",VLOOKUP(A503,'6.A'!$A$11:$C$564,2,FALSE))</f>
        <v/>
      </c>
      <c r="N503" s="57" t="str">
        <f>IF(A503="","",IF(M503=B503,"si","no"))</f>
        <v/>
      </c>
      <c r="O503" s="56"/>
      <c r="P503" s="56"/>
      <c r="Q503" s="48"/>
      <c r="R503" s="48"/>
      <c r="S503" s="2"/>
    </row>
    <row r="504" spans="1:22" ht="12.75" customHeight="1" x14ac:dyDescent="0.2">
      <c r="A504" s="22"/>
      <c r="B504" s="23" t="str">
        <f>IF(A504="","",VLOOKUP(A504,'6.A'!$A$11:$G$180,2,FALSE))</f>
        <v/>
      </c>
      <c r="C504" s="99"/>
      <c r="D504" s="57" t="str">
        <f>IF(A504="","",VLOOKUP(A504,'6.A'!$A$11:$G$180,4,FALSE))</f>
        <v/>
      </c>
      <c r="E504" s="100" t="str">
        <f>IF(A504="","",VLOOKUP(A504,'6.A'!$A$11:$G$180,5,FALSE))</f>
        <v/>
      </c>
      <c r="F504" s="24" t="str">
        <f t="shared" si="224"/>
        <v>0,00</v>
      </c>
      <c r="G504" s="52"/>
      <c r="H504" s="52" t="str">
        <f>IF(A504="","",VLOOKUP(A504,'6.A'!$A$11:$E$7984,5,FALSE))</f>
        <v/>
      </c>
      <c r="I504" s="52" t="str">
        <f t="shared" si="225"/>
        <v/>
      </c>
      <c r="J504" s="52" t="str">
        <f>IF(H504="","",VLOOKUP(A504,'6.A'!$A$11:$E$564,4,FALSE))</f>
        <v/>
      </c>
      <c r="K504" s="52" t="str">
        <f t="shared" si="226"/>
        <v/>
      </c>
      <c r="L504" s="52" t="str">
        <f>IF(H504="","",IF(C504="","",G480*C504))</f>
        <v/>
      </c>
      <c r="M504" s="117" t="str">
        <f>IF(A504="","",VLOOKUP(A504,'6.A'!$A$11:$C$564,2,FALSE))</f>
        <v/>
      </c>
      <c r="N504" s="57" t="str">
        <f t="shared" ref="N504:N505" si="228">IF(A504="","",IF(M504=B504,"si","no"))</f>
        <v/>
      </c>
      <c r="O504" s="56"/>
      <c r="P504" s="56"/>
      <c r="Q504" s="48"/>
      <c r="R504" s="48"/>
      <c r="S504" s="2"/>
    </row>
    <row r="505" spans="1:22" ht="12.75" customHeight="1" x14ac:dyDescent="0.2">
      <c r="A505" s="22"/>
      <c r="B505" s="23" t="str">
        <f>IF(A505="","",VLOOKUP(A505,'6.A'!$A$11:$G$180,2,FALSE))</f>
        <v/>
      </c>
      <c r="C505" s="99"/>
      <c r="D505" s="57" t="str">
        <f>IF(A505="","",VLOOKUP(A505,'6.A'!$A$11:$G$180,4,FALSE))</f>
        <v/>
      </c>
      <c r="E505" s="100" t="str">
        <f>IF(A505="","",VLOOKUP(A505,'6.A'!$A$11:$G$180,5,FALSE))</f>
        <v/>
      </c>
      <c r="F505" s="24" t="str">
        <f t="shared" si="224"/>
        <v>0,00</v>
      </c>
      <c r="G505" s="52"/>
      <c r="H505" s="52" t="str">
        <f>IF(A505="","",VLOOKUP(A505,'6.A'!$A$11:$E$7984,5,FALSE))</f>
        <v/>
      </c>
      <c r="I505" s="52" t="str">
        <f t="shared" si="225"/>
        <v/>
      </c>
      <c r="J505" s="52" t="str">
        <f>IF(H505="","",VLOOKUP(A505,'6.A'!$A$11:$E$564,4,FALSE))</f>
        <v/>
      </c>
      <c r="K505" s="52" t="str">
        <f t="shared" si="226"/>
        <v/>
      </c>
      <c r="L505" s="52" t="str">
        <f>IF(H505="","",IF(C505="","",G480*C505))</f>
        <v/>
      </c>
      <c r="M505" s="117" t="str">
        <f>IF(A505="","",VLOOKUP(A505,'6.A'!$A$11:$C$564,2,FALSE))</f>
        <v/>
      </c>
      <c r="N505" s="57" t="str">
        <f t="shared" si="228"/>
        <v/>
      </c>
      <c r="O505" s="56"/>
      <c r="P505" s="56"/>
      <c r="Q505" s="48"/>
      <c r="R505" s="48"/>
      <c r="S505" s="2"/>
    </row>
    <row r="506" spans="1:22" ht="12.75" customHeight="1" x14ac:dyDescent="0.2">
      <c r="A506" s="22"/>
      <c r="B506" s="26" t="str">
        <f>$A$9</f>
        <v>BDI</v>
      </c>
      <c r="C506" s="27">
        <f>$C$9</f>
        <v>0</v>
      </c>
      <c r="D506" s="57"/>
      <c r="F506" s="28">
        <f>ROUND(SUM(F496:F505)*C506,2)</f>
        <v>0</v>
      </c>
      <c r="G506" s="63"/>
      <c r="M506" s="62"/>
      <c r="N506" s="57"/>
      <c r="O506" s="56"/>
      <c r="P506" s="56"/>
      <c r="Q506" s="48"/>
      <c r="R506" s="48"/>
      <c r="S506" s="2"/>
    </row>
    <row r="507" spans="1:22" ht="12.75" customHeight="1" x14ac:dyDescent="0.2">
      <c r="A507" s="30"/>
      <c r="B507" s="31" t="s">
        <v>117</v>
      </c>
      <c r="C507" s="36"/>
      <c r="D507" s="37"/>
      <c r="E507" s="38"/>
      <c r="F507" s="35">
        <f>ROUND(SUM(F496:F506),2)</f>
        <v>0</v>
      </c>
      <c r="G507" s="63"/>
      <c r="M507" s="62"/>
      <c r="N507" s="57"/>
      <c r="O507" s="56"/>
      <c r="P507" s="56"/>
      <c r="Q507" s="48"/>
      <c r="R507" s="48"/>
      <c r="S507" s="2"/>
    </row>
    <row r="508" spans="1:22" ht="12.75" customHeight="1" x14ac:dyDescent="0.2">
      <c r="A508" s="17" t="s">
        <v>6</v>
      </c>
      <c r="B508" s="18" t="s">
        <v>17</v>
      </c>
      <c r="C508" s="56" t="s">
        <v>59</v>
      </c>
      <c r="D508" s="56" t="s">
        <v>16</v>
      </c>
      <c r="E508" s="19" t="s">
        <v>60</v>
      </c>
      <c r="F508" s="20" t="s">
        <v>61</v>
      </c>
      <c r="G508" s="21"/>
      <c r="M508" s="62"/>
      <c r="N508" s="57"/>
      <c r="O508" s="56"/>
      <c r="P508" s="56"/>
      <c r="Q508" s="48"/>
      <c r="R508" s="48"/>
      <c r="S508" s="2"/>
    </row>
    <row r="509" spans="1:22" ht="12.75" customHeight="1" x14ac:dyDescent="0.2">
      <c r="A509" s="22" t="str">
        <f>'6.A'!$A$50</f>
        <v>M0013</v>
      </c>
      <c r="B509" s="23" t="str">
        <f>IF(A509="","",VLOOKUP(A509,'6.A'!$A$11:$G$180,2,FALSE))</f>
        <v>GRAMPO DE ANCORAGEM EM AÇO CA 50 - D = 12,5 MM</v>
      </c>
      <c r="C509" s="99">
        <v>3</v>
      </c>
      <c r="D509" s="57" t="str">
        <f>IF(A509="","",VLOOKUP(A509,'6.A'!$A$11:$G$180,4,FALSE))</f>
        <v>KG</v>
      </c>
      <c r="E509" s="100">
        <f>IF(A509="","",VLOOKUP(A509,'6.A'!$A$11:$G$180,5,FALSE))</f>
        <v>0</v>
      </c>
      <c r="F509" s="24">
        <f t="shared" ref="F509:F519" si="229">IF(A509="","0,00",ROUND(C509*E509,2))</f>
        <v>0</v>
      </c>
      <c r="G509" s="52"/>
      <c r="H509" s="52">
        <f>IF(A509="","",VLOOKUP(A509,'6.A'!$A$11:$E$7984,5,FALSE))</f>
        <v>0</v>
      </c>
      <c r="I509" s="52" t="str">
        <f t="shared" ref="I509:I519" si="230">IF(H509="","",IF(E509=H509,"SIM","NÃO"))</f>
        <v>SIM</v>
      </c>
      <c r="J509" s="52" t="str">
        <f>IF(H509="","",VLOOKUP(A509,'6.A'!$A$11:$E$564,4,FALSE))</f>
        <v>KG</v>
      </c>
      <c r="K509" s="52" t="str">
        <f t="shared" ref="K509:K519" si="231">IF(H509="","",IF(J509=D509,"SIM","NÃO"))</f>
        <v>SIM</v>
      </c>
      <c r="L509" s="52">
        <f>IF(H509="","",IF(C509="","",G480*C509))</f>
        <v>3</v>
      </c>
      <c r="M509" s="117" t="str">
        <f>IF(A509="","",VLOOKUP(A509,'6.A'!$A$11:$C$564,2,FALSE))</f>
        <v>GRAMPO DE ANCORAGEM EM AÇO CA 50 - D = 12,5 MM</v>
      </c>
      <c r="N509" s="57" t="str">
        <f t="shared" ref="N509:N519" si="232">IF(A509="","",IF(M509=B509,"si","no"))</f>
        <v>si</v>
      </c>
      <c r="O509" s="56"/>
      <c r="P509" s="56"/>
      <c r="Q509" s="48"/>
      <c r="R509" s="48"/>
      <c r="S509" s="2"/>
    </row>
    <row r="510" spans="1:22" ht="12.75" customHeight="1" x14ac:dyDescent="0.2">
      <c r="A510" s="22">
        <f>'6.A'!$A$69</f>
        <v>857</v>
      </c>
      <c r="B510" s="23" t="str">
        <f>IF(A510="","",VLOOKUP(A510,'6.A'!$A$11:$G$180,2,FALSE))</f>
        <v>CABO DE COBRE NU 16 MM2 MEIO-DURO</v>
      </c>
      <c r="C510" s="99">
        <v>5</v>
      </c>
      <c r="D510" s="57" t="str">
        <f>IF(A510="","",VLOOKUP(A510,'6.A'!$A$11:$G$180,4,FALSE))</f>
        <v>M</v>
      </c>
      <c r="E510" s="100">
        <f>IF(A510="","",VLOOKUP(A510,'6.A'!$A$11:$G$180,5,FALSE))</f>
        <v>0</v>
      </c>
      <c r="F510" s="24">
        <f t="shared" si="229"/>
        <v>0</v>
      </c>
      <c r="G510" s="52"/>
      <c r="H510" s="52">
        <f>IF(A510="","",VLOOKUP(A510,'6.A'!$A$11:$E$7984,5,FALSE))</f>
        <v>0</v>
      </c>
      <c r="I510" s="52" t="str">
        <f t="shared" si="230"/>
        <v>SIM</v>
      </c>
      <c r="J510" s="52" t="str">
        <f>IF(H510="","",VLOOKUP(A510,'6.A'!$A$11:$E$564,4,FALSE))</f>
        <v>M</v>
      </c>
      <c r="K510" s="52" t="str">
        <f t="shared" si="231"/>
        <v>SIM</v>
      </c>
      <c r="L510" s="52">
        <f>IF(H510="","",IF(C510="","",G480*C510))</f>
        <v>5</v>
      </c>
      <c r="M510" s="117" t="str">
        <f>IF(A510="","",VLOOKUP(A510,'6.A'!$A$11:$C$564,2,FALSE))</f>
        <v>CABO DE COBRE NU 16 MM2 MEIO-DURO</v>
      </c>
      <c r="N510" s="57" t="str">
        <f t="shared" si="232"/>
        <v>si</v>
      </c>
      <c r="O510" s="56"/>
      <c r="P510" s="56"/>
      <c r="Q510" s="48"/>
      <c r="R510" s="48"/>
    </row>
    <row r="511" spans="1:22" ht="12.75" customHeight="1" x14ac:dyDescent="0.2">
      <c r="A511" s="22">
        <f>'6.A'!$A$70</f>
        <v>867</v>
      </c>
      <c r="B511" s="23" t="str">
        <f>IF(A511="","",VLOOKUP(A511,'6.A'!$A$11:$G$180,2,FALSE))</f>
        <v>CABO DE COBRE NU 50 MM2 MEIO-DURO</v>
      </c>
      <c r="C511" s="99">
        <v>18</v>
      </c>
      <c r="D511" s="57" t="str">
        <f>IF(A511="","",VLOOKUP(A511,'6.A'!$A$11:$G$180,4,FALSE))</f>
        <v>M</v>
      </c>
      <c r="E511" s="100">
        <f>IF(A511="","",VLOOKUP(A511,'6.A'!$A$11:$G$180,5,FALSE))</f>
        <v>0</v>
      </c>
      <c r="F511" s="24">
        <f t="shared" si="229"/>
        <v>0</v>
      </c>
      <c r="G511" s="52"/>
      <c r="H511" s="52">
        <f>IF(A511="","",VLOOKUP(A511,'6.A'!$A$11:$E$7984,5,FALSE))</f>
        <v>0</v>
      </c>
      <c r="I511" s="52" t="str">
        <f t="shared" si="230"/>
        <v>SIM</v>
      </c>
      <c r="J511" s="52" t="str">
        <f>IF(H511="","",VLOOKUP(A511,'6.A'!$A$11:$E$564,4,FALSE))</f>
        <v>M</v>
      </c>
      <c r="K511" s="52" t="str">
        <f t="shared" si="231"/>
        <v>SIM</v>
      </c>
      <c r="L511" s="52">
        <f>IF(H511="","",IF(C511="","",G480*C511))</f>
        <v>18</v>
      </c>
      <c r="M511" s="117" t="str">
        <f>IF(A511="","",VLOOKUP(A511,'6.A'!$A$11:$C$564,2,FALSE))</f>
        <v>CABO DE COBRE NU 50 MM2 MEIO-DURO</v>
      </c>
      <c r="N511" s="57" t="str">
        <f t="shared" si="232"/>
        <v>si</v>
      </c>
      <c r="O511" s="56"/>
      <c r="P511" s="56"/>
      <c r="Q511" s="48"/>
      <c r="R511" s="48"/>
    </row>
    <row r="512" spans="1:22" s="65" customFormat="1" ht="12.75" customHeight="1" x14ac:dyDescent="0.2">
      <c r="A512" s="22">
        <f>'6.A'!$A$71</f>
        <v>979</v>
      </c>
      <c r="B512" s="23" t="str">
        <f>IF(A512="","",VLOOKUP(A512,'6.A'!$A$11:$G$180,2,FALSE))</f>
        <v>CABO DE COBRE FLEXIVEL CL 4/5, ISOLACAO PVC/A, ANTICHAMA BWF-B, 1 CONDUTOR, 450/750 V, SECAO NOMINAL 16 MM2</v>
      </c>
      <c r="C512" s="99">
        <v>6</v>
      </c>
      <c r="D512" s="57" t="str">
        <f>IF(A512="","",VLOOKUP(A512,'6.A'!$A$11:$G$180,4,FALSE))</f>
        <v>M</v>
      </c>
      <c r="E512" s="100">
        <f>IF(A512="","",VLOOKUP(A512,'6.A'!$A$11:$G$180,5,FALSE))</f>
        <v>0</v>
      </c>
      <c r="F512" s="24">
        <f t="shared" si="229"/>
        <v>0</v>
      </c>
      <c r="G512" s="52"/>
      <c r="H512" s="52">
        <f>IF(A512="","",VLOOKUP(A512,'6.A'!$A$11:$E$7984,5,FALSE))</f>
        <v>0</v>
      </c>
      <c r="I512" s="52" t="str">
        <f t="shared" si="230"/>
        <v>SIM</v>
      </c>
      <c r="J512" s="52" t="str">
        <f>IF(H512="","",VLOOKUP(A512,'6.A'!$A$11:$E$564,4,FALSE))</f>
        <v>M</v>
      </c>
      <c r="K512" s="52" t="str">
        <f t="shared" si="231"/>
        <v>SIM</v>
      </c>
      <c r="L512" s="52">
        <f>IF(H512="","",IF(C512="","",G480*C512))</f>
        <v>6</v>
      </c>
      <c r="M512" s="117" t="str">
        <f>IF(A512="","",VLOOKUP(A512,'6.A'!$A$11:$C$564,2,FALSE))</f>
        <v>CABO DE COBRE FLEXIVEL CL 4/5, ISOLACAO PVC/A, ANTICHAMA BWF-B, 1 CONDUTOR, 450/750 V, SECAO NOMINAL 16 MM2</v>
      </c>
      <c r="N512" s="57" t="str">
        <f t="shared" si="232"/>
        <v>si</v>
      </c>
      <c r="O512" s="56"/>
      <c r="P512" s="56"/>
      <c r="Q512" s="48"/>
      <c r="R512" s="48"/>
      <c r="T512" s="2"/>
      <c r="U512" s="2"/>
      <c r="V512" s="2"/>
    </row>
    <row r="513" spans="1:22" ht="12.75" customHeight="1" x14ac:dyDescent="0.2">
      <c r="A513" s="22">
        <f>'6.A'!$A$73</f>
        <v>982</v>
      </c>
      <c r="B513" s="23" t="str">
        <f>IF(A513="","",VLOOKUP(A513,'6.A'!$A$11:$G$180,2,FALSE))</f>
        <v>CABO DE COBRE FLEXIVEL CL 4/5, ISOLACAO PVC/A, ANTICHAMA BWF-B, 1 CONDUTOR, 450/750 V, SECAO NOMINAL 6 MM2</v>
      </c>
      <c r="C513" s="99">
        <v>2</v>
      </c>
      <c r="D513" s="57" t="str">
        <f>IF(A513="","",VLOOKUP(A513,'6.A'!$A$11:$G$180,4,FALSE))</f>
        <v>M</v>
      </c>
      <c r="E513" s="100">
        <f>IF(A513="","",VLOOKUP(A513,'6.A'!$A$11:$G$180,5,FALSE))</f>
        <v>0</v>
      </c>
      <c r="F513" s="24">
        <f t="shared" si="229"/>
        <v>0</v>
      </c>
      <c r="G513" s="52"/>
      <c r="H513" s="52">
        <f>IF(A513="","",VLOOKUP(A513,'6.A'!$A$11:$E$7984,5,FALSE))</f>
        <v>0</v>
      </c>
      <c r="I513" s="52" t="str">
        <f t="shared" si="230"/>
        <v>SIM</v>
      </c>
      <c r="J513" s="52" t="str">
        <f>IF(H513="","",VLOOKUP(A513,'6.A'!$A$11:$E$564,4,FALSE))</f>
        <v>M</v>
      </c>
      <c r="K513" s="52" t="str">
        <f t="shared" si="231"/>
        <v>SIM</v>
      </c>
      <c r="L513" s="52">
        <f>IF(H513="","",IF(C513="","",G480*C513))</f>
        <v>2</v>
      </c>
      <c r="M513" s="117" t="str">
        <f>IF(A513="","",VLOOKUP(A513,'6.A'!$A$11:$C$564,2,FALSE))</f>
        <v>CABO DE COBRE FLEXIVEL CL 4/5, ISOLACAO PVC/A, ANTICHAMA BWF-B, 1 CONDUTOR, 450/750 V, SECAO NOMINAL 6 MM2</v>
      </c>
      <c r="N513" s="57" t="str">
        <f t="shared" si="232"/>
        <v>si</v>
      </c>
      <c r="O513" s="56"/>
      <c r="P513" s="56"/>
      <c r="Q513" s="48"/>
      <c r="R513" s="48"/>
    </row>
    <row r="514" spans="1:22" ht="12.75" customHeight="1" x14ac:dyDescent="0.2">
      <c r="A514" s="22">
        <f>'6.A'!$A$80</f>
        <v>1051</v>
      </c>
      <c r="B514" s="23" t="str">
        <f>IF(A514="","",VLOOKUP(A514,'6.A'!$A$11:$G$180,2,FALSE))</f>
        <v>CABECOTE DN 4" PARA ELETRODUTO, EM ALUMINIO COM ACABAMENTO ANTI CORROSIVO</v>
      </c>
      <c r="C514" s="99">
        <v>1</v>
      </c>
      <c r="D514" s="57" t="str">
        <f>IF(A514="","",VLOOKUP(A514,'6.A'!$A$11:$G$180,4,FALSE))</f>
        <v>UN</v>
      </c>
      <c r="E514" s="100">
        <f>IF(A514="","",VLOOKUP(A514,'6.A'!$A$11:$G$180,5,FALSE))</f>
        <v>0</v>
      </c>
      <c r="F514" s="24">
        <f t="shared" si="229"/>
        <v>0</v>
      </c>
      <c r="G514" s="52"/>
      <c r="H514" s="52">
        <f>IF(A514="","",VLOOKUP(A514,'6.A'!$A$11:$E$7984,5,FALSE))</f>
        <v>0</v>
      </c>
      <c r="I514" s="52" t="str">
        <f t="shared" si="230"/>
        <v>SIM</v>
      </c>
      <c r="J514" s="52" t="str">
        <f>IF(H514="","",VLOOKUP(A514,'6.A'!$A$11:$E$564,4,FALSE))</f>
        <v>UN</v>
      </c>
      <c r="K514" s="52" t="str">
        <f t="shared" si="231"/>
        <v>SIM</v>
      </c>
      <c r="L514" s="52">
        <f>IF(H514="","",IF(C514="","",G480*C514))</f>
        <v>1</v>
      </c>
      <c r="M514" s="117" t="str">
        <f>IF(A514="","",VLOOKUP(A514,'6.A'!$A$11:$C$564,2,FALSE))</f>
        <v>CABECOTE DN 4" PARA ELETRODUTO, EM ALUMINIO COM ACABAMENTO ANTI CORROSIVO</v>
      </c>
      <c r="N514" s="57" t="str">
        <f t="shared" si="232"/>
        <v>si</v>
      </c>
      <c r="O514" s="56"/>
      <c r="P514" s="56"/>
      <c r="Q514" s="48"/>
      <c r="R514" s="48"/>
      <c r="S514" s="2"/>
    </row>
    <row r="515" spans="1:22" ht="12.75" customHeight="1" x14ac:dyDescent="0.2">
      <c r="A515" s="22">
        <f>'6.A'!$A$98</f>
        <v>2621</v>
      </c>
      <c r="B515" s="23" t="str">
        <f>IF(A515="","",VLOOKUP(A515,'6.A'!$A$11:$G$180,2,FALSE))</f>
        <v>CURVA 90 GRAUS PARA ELETRODUTO, EM ACO GALVANIZADO ELETROLITICO, COM ROSCA, DIAMETRO DE 100 MM (4")</v>
      </c>
      <c r="C515" s="99">
        <v>1</v>
      </c>
      <c r="D515" s="57" t="str">
        <f>IF(A515="","",VLOOKUP(A515,'6.A'!$A$11:$G$180,4,FALSE))</f>
        <v>UN</v>
      </c>
      <c r="E515" s="100">
        <f>IF(A515="","",VLOOKUP(A515,'6.A'!$A$11:$G$180,5,FALSE))</f>
        <v>0</v>
      </c>
      <c r="F515" s="24">
        <f t="shared" si="229"/>
        <v>0</v>
      </c>
      <c r="G515" s="52"/>
      <c r="H515" s="52">
        <f>IF(A515="","",VLOOKUP(A515,'6.A'!$A$11:$E$7984,5,FALSE))</f>
        <v>0</v>
      </c>
      <c r="I515" s="52" t="str">
        <f t="shared" si="230"/>
        <v>SIM</v>
      </c>
      <c r="J515" s="52" t="str">
        <f>IF(H515="","",VLOOKUP(A515,'6.A'!$A$11:$E$564,4,FALSE))</f>
        <v>UN</v>
      </c>
      <c r="K515" s="52" t="str">
        <f t="shared" si="231"/>
        <v>SIM</v>
      </c>
      <c r="L515" s="52">
        <f>IF(H515="","",IF(C515="","",G480*C515))</f>
        <v>1</v>
      </c>
      <c r="M515" s="117" t="str">
        <f>IF(A515="","",VLOOKUP(A515,'6.A'!$A$11:$C$564,2,FALSE))</f>
        <v>CURVA 90 GRAUS PARA ELETRODUTO, EM ACO GALVANIZADO ELETROLITICO, COM ROSCA, DIAMETRO DE 100 MM (4")</v>
      </c>
      <c r="N515" s="57" t="str">
        <f t="shared" si="232"/>
        <v>si</v>
      </c>
      <c r="O515" s="56"/>
      <c r="P515" s="56"/>
      <c r="Q515" s="48"/>
      <c r="R515" s="48"/>
      <c r="S515" s="2"/>
    </row>
    <row r="516" spans="1:22" s="65" customFormat="1" ht="12.75" customHeight="1" x14ac:dyDescent="0.2">
      <c r="A516" s="22">
        <f>'6.A'!$A$99</f>
        <v>2641</v>
      </c>
      <c r="B516" s="23" t="str">
        <f>IF(A516="","",VLOOKUP(A516,'6.A'!$A$11:$G$180,2,FALSE))</f>
        <v>LUVA PARA ELETRODUTO, EM ACO GALVANIZADO ELETROLITICO, COM ROSCA, DIAMETRO DE 100 MM (4")</v>
      </c>
      <c r="C516" s="99">
        <v>2</v>
      </c>
      <c r="D516" s="57" t="str">
        <f>IF(A516="","",VLOOKUP(A516,'6.A'!$A$11:$G$180,4,FALSE))</f>
        <v>UN</v>
      </c>
      <c r="E516" s="100">
        <f>IF(A516="","",VLOOKUP(A516,'6.A'!$A$11:$G$180,5,FALSE))</f>
        <v>0</v>
      </c>
      <c r="F516" s="24">
        <f t="shared" si="229"/>
        <v>0</v>
      </c>
      <c r="G516" s="52"/>
      <c r="H516" s="52">
        <f>IF(A516="","",VLOOKUP(A516,'6.A'!$A$11:$E$7984,5,FALSE))</f>
        <v>0</v>
      </c>
      <c r="I516" s="52" t="str">
        <f t="shared" si="230"/>
        <v>SIM</v>
      </c>
      <c r="J516" s="52" t="str">
        <f>IF(H516="","",VLOOKUP(A516,'6.A'!$A$11:$E$564,4,FALSE))</f>
        <v>UN</v>
      </c>
      <c r="K516" s="52" t="str">
        <f t="shared" si="231"/>
        <v>SIM</v>
      </c>
      <c r="L516" s="52">
        <f>IF(H516="","",IF(C516="","",G480*C516))</f>
        <v>2</v>
      </c>
      <c r="M516" s="117" t="str">
        <f>IF(A516="","",VLOOKUP(A516,'6.A'!$A$11:$C$564,2,FALSE))</f>
        <v>LUVA PARA ELETRODUTO, EM ACO GALVANIZADO ELETROLITICO, COM ROSCA, DIAMETRO DE 100 MM (4")</v>
      </c>
      <c r="N516" s="57" t="str">
        <f t="shared" si="232"/>
        <v>si</v>
      </c>
      <c r="O516" s="56"/>
      <c r="P516" s="56"/>
      <c r="Q516" s="48"/>
      <c r="R516" s="48"/>
      <c r="T516" s="2"/>
      <c r="U516" s="2"/>
      <c r="V516" s="2"/>
    </row>
    <row r="517" spans="1:22" s="65" customFormat="1" ht="12.75" customHeight="1" x14ac:dyDescent="0.2">
      <c r="A517" s="22">
        <f>'6.A'!$A$100</f>
        <v>2674</v>
      </c>
      <c r="B517" s="23" t="str">
        <f>IF(A517="","",VLOOKUP(A517,'6.A'!$A$11:$G$180,2,FALSE))</f>
        <v>ELETRODUTO DE PVC RIGIDO ROSCAVEL DE 3/4", SEM LUVA</v>
      </c>
      <c r="C517" s="99">
        <v>4</v>
      </c>
      <c r="D517" s="57" t="str">
        <f>IF(A517="","",VLOOKUP(A517,'6.A'!$A$11:$G$180,4,FALSE))</f>
        <v>M</v>
      </c>
      <c r="E517" s="100">
        <f>IF(A517="","",VLOOKUP(A517,'6.A'!$A$11:$G$180,5,FALSE))</f>
        <v>0</v>
      </c>
      <c r="F517" s="24">
        <f t="shared" si="229"/>
        <v>0</v>
      </c>
      <c r="G517" s="52"/>
      <c r="H517" s="52">
        <f>IF(A517="","",VLOOKUP(A517,'6.A'!$A$11:$E$7984,5,FALSE))</f>
        <v>0</v>
      </c>
      <c r="I517" s="52" t="str">
        <f t="shared" si="230"/>
        <v>SIM</v>
      </c>
      <c r="J517" s="52" t="str">
        <f>IF(H517="","",VLOOKUP(A517,'6.A'!$A$11:$E$564,4,FALSE))</f>
        <v>M</v>
      </c>
      <c r="K517" s="52" t="str">
        <f t="shared" si="231"/>
        <v>SIM</v>
      </c>
      <c r="L517" s="52">
        <f>IF(H517="","",IF(C517="","",G480*C517))</f>
        <v>4</v>
      </c>
      <c r="M517" s="117" t="str">
        <f>IF(A517="","",VLOOKUP(A517,'6.A'!$A$11:$C$564,2,FALSE))</f>
        <v>ELETRODUTO DE PVC RIGIDO ROSCAVEL DE 3/4", SEM LUVA</v>
      </c>
      <c r="N517" s="57" t="str">
        <f t="shared" si="232"/>
        <v>si</v>
      </c>
      <c r="O517" s="56"/>
      <c r="P517" s="56"/>
      <c r="Q517" s="48"/>
      <c r="R517" s="48"/>
      <c r="T517" s="2"/>
      <c r="U517" s="2"/>
      <c r="V517" s="2"/>
    </row>
    <row r="518" spans="1:22" ht="12.75" customHeight="1" x14ac:dyDescent="0.2">
      <c r="A518" s="22">
        <f>'6.A'!$A$104</f>
        <v>3395</v>
      </c>
      <c r="B518" s="23" t="str">
        <f>IF(A518="","",VLOOKUP(A518,'6.A'!$A$11:$G$180,2,FALSE))</f>
        <v>ISOLADOR DE PORCELANA, TIPO PINO MONOCORPO, PARA TENSAO DE 35 KV</v>
      </c>
      <c r="C518" s="99">
        <v>7</v>
      </c>
      <c r="D518" s="57" t="str">
        <f>IF(A518="","",VLOOKUP(A518,'6.A'!$A$11:$G$180,4,FALSE))</f>
        <v>UN</v>
      </c>
      <c r="E518" s="100">
        <f>IF(A518="","",VLOOKUP(A518,'6.A'!$A$11:$G$180,5,FALSE))</f>
        <v>0</v>
      </c>
      <c r="F518" s="24">
        <f t="shared" si="229"/>
        <v>0</v>
      </c>
      <c r="G518" s="52"/>
      <c r="H518" s="52">
        <f>IF(A518="","",VLOOKUP(A518,'6.A'!$A$11:$E$7984,5,FALSE))</f>
        <v>0</v>
      </c>
      <c r="I518" s="52" t="str">
        <f t="shared" si="230"/>
        <v>SIM</v>
      </c>
      <c r="J518" s="52" t="str">
        <f>IF(H518="","",VLOOKUP(A518,'6.A'!$A$11:$E$564,4,FALSE))</f>
        <v>UN</v>
      </c>
      <c r="K518" s="52" t="str">
        <f t="shared" si="231"/>
        <v>SIM</v>
      </c>
      <c r="L518" s="52">
        <f>IF(H518="","",IF(C518="","",G480*C518))</f>
        <v>7</v>
      </c>
      <c r="M518" s="117" t="str">
        <f>IF(A518="","",VLOOKUP(A518,'6.A'!$A$11:$C$564,2,FALSE))</f>
        <v>ISOLADOR DE PORCELANA, TIPO PINO MONOCORPO, PARA TENSAO DE 35 KV</v>
      </c>
      <c r="N518" s="57" t="str">
        <f t="shared" si="232"/>
        <v>si</v>
      </c>
      <c r="O518" s="56"/>
      <c r="P518" s="56"/>
      <c r="Q518" s="48"/>
      <c r="R518" s="48"/>
      <c r="S518" s="2"/>
    </row>
    <row r="519" spans="1:22" ht="12.75" customHeight="1" x14ac:dyDescent="0.2">
      <c r="A519" s="22">
        <f>'6.A'!$A$105</f>
        <v>3398</v>
      </c>
      <c r="B519" s="23" t="str">
        <f>IF(A519="","",VLOOKUP(A519,'6.A'!$A$11:$G$180,2,FALSE))</f>
        <v>ISOLADOR DE PORCELANA, TIPO ROLDANA, DIMENSOES DE 72 X 72 MM, PARA USO EM BAIXA TENSAO</v>
      </c>
      <c r="C519" s="99">
        <v>1</v>
      </c>
      <c r="D519" s="57" t="str">
        <f>IF(A519="","",VLOOKUP(A519,'6.A'!$A$11:$G$180,4,FALSE))</f>
        <v>UN</v>
      </c>
      <c r="E519" s="100">
        <f>IF(A519="","",VLOOKUP(A519,'6.A'!$A$11:$G$180,5,FALSE))</f>
        <v>0</v>
      </c>
      <c r="F519" s="24">
        <f t="shared" si="229"/>
        <v>0</v>
      </c>
      <c r="G519" s="52"/>
      <c r="H519" s="52">
        <f>IF(A519="","",VLOOKUP(A519,'6.A'!$A$11:$E$7984,5,FALSE))</f>
        <v>0</v>
      </c>
      <c r="I519" s="52" t="str">
        <f t="shared" si="230"/>
        <v>SIM</v>
      </c>
      <c r="J519" s="52" t="str">
        <f>IF(H519="","",VLOOKUP(A519,'6.A'!$A$11:$E$564,4,FALSE))</f>
        <v>UN</v>
      </c>
      <c r="K519" s="52" t="str">
        <f t="shared" si="231"/>
        <v>SIM</v>
      </c>
      <c r="L519" s="52">
        <f>IF(H519="","",IF(C519="","",G480*C519))</f>
        <v>1</v>
      </c>
      <c r="M519" s="117" t="str">
        <f>IF(A519="","",VLOOKUP(A519,'6.A'!$A$11:$C$564,2,FALSE))</f>
        <v>ISOLADOR DE PORCELANA, TIPO ROLDANA, DIMENSOES DE 72 X 72 MM, PARA USO EM BAIXA TENSAO</v>
      </c>
      <c r="N519" s="57" t="str">
        <f t="shared" si="232"/>
        <v>si</v>
      </c>
      <c r="O519" s="56"/>
      <c r="P519" s="56"/>
      <c r="Q519" s="48"/>
      <c r="R519" s="48"/>
      <c r="S519" s="2"/>
    </row>
    <row r="520" spans="1:22" ht="12.75" customHeight="1" x14ac:dyDescent="0.2">
      <c r="A520" s="22">
        <f>'6.A'!$A$139</f>
        <v>39232</v>
      </c>
      <c r="B520" s="23" t="str">
        <f>IF(A520="","",VLOOKUP(A520,'6.A'!$A$11:$G$180,2,FALSE))</f>
        <v>CABO DE COBRE FLEXIVEL CL 4/5, ISOLACAO PVC/A, ANTICHAMA BWF-B, 1 CONDUTOR, 450/750 V, SECAO NOMINAL 25 MM2</v>
      </c>
      <c r="C520" s="99">
        <v>19</v>
      </c>
      <c r="D520" s="57" t="str">
        <f>IF(A520="","",VLOOKUP(A520,'6.A'!$A$11:$G$180,4,FALSE))</f>
        <v>M</v>
      </c>
      <c r="E520" s="100">
        <f>IF(A520="","",VLOOKUP(A520,'6.A'!$A$11:$G$180,5,FALSE))</f>
        <v>0</v>
      </c>
      <c r="F520" s="24">
        <f>IF(A520="","0,00",ROUND(C520*E520,2))</f>
        <v>0</v>
      </c>
      <c r="G520" s="52"/>
      <c r="H520" s="52">
        <f>IF(A520="","",VLOOKUP(A520,'6.A'!$A$11:$E$7984,5,FALSE))</f>
        <v>0</v>
      </c>
      <c r="I520" s="52" t="str">
        <f>IF(H520="","",IF(E520=H520,"SIM","NÃO"))</f>
        <v>SIM</v>
      </c>
      <c r="J520" s="52" t="str">
        <f>IF(H520="","",VLOOKUP(A520,'6.A'!$A$11:$E$564,4,FALSE))</f>
        <v>M</v>
      </c>
      <c r="K520" s="52" t="str">
        <f>IF(H520="","",IF(J520=D520,"SIM","NÃO"))</f>
        <v>SIM</v>
      </c>
      <c r="L520" s="52">
        <f>IF(H520="","",IF(C520="","",G480*C520))</f>
        <v>19</v>
      </c>
      <c r="M520" s="117" t="str">
        <f>IF(A520="","",VLOOKUP(A520,'6.A'!$A$11:$C$564,2,FALSE))</f>
        <v>CABO DE COBRE FLEXIVEL CL 4/5, ISOLACAO PVC/A, ANTICHAMA BWF-B, 1 CONDUTOR, 450/750 V, SECAO NOMINAL 25 MM2</v>
      </c>
      <c r="N520" s="57" t="str">
        <f>IF(A520="","",IF(M520=B520,"si","no"))</f>
        <v>si</v>
      </c>
      <c r="O520" s="56"/>
      <c r="P520" s="56"/>
      <c r="Q520" s="48"/>
      <c r="R520" s="48"/>
    </row>
    <row r="521" spans="1:22" ht="12.75" customHeight="1" x14ac:dyDescent="0.2">
      <c r="A521" s="22">
        <f>'6.A'!$A$140</f>
        <v>39236</v>
      </c>
      <c r="B521" s="23" t="str">
        <f>IF(A521="","",VLOOKUP(A521,'6.A'!$A$11:$G$180,2,FALSE))</f>
        <v>CABO DE COBRE FLEXIVEL CL 4/5, ISOLACAO PVC/A, ANTICHAMA BWF-B, 1 CONDUTOR, 450/750 V, SECAO NOMINAL 95 MM2</v>
      </c>
      <c r="C521" s="99">
        <v>3</v>
      </c>
      <c r="D521" s="57" t="str">
        <f>IF(A521="","",VLOOKUP(A521,'6.A'!$A$11:$G$180,4,FALSE))</f>
        <v>M</v>
      </c>
      <c r="E521" s="100">
        <f>IF(A521="","",VLOOKUP(A521,'6.A'!$A$11:$G$180,5,FALSE))</f>
        <v>0</v>
      </c>
      <c r="F521" s="24">
        <f>IF(A521="","0,00",ROUND(C521*E521,2))</f>
        <v>0</v>
      </c>
      <c r="G521" s="52"/>
      <c r="H521" s="52">
        <f>IF(A521="","",VLOOKUP(A521,'6.A'!$A$11:$E$7984,5,FALSE))</f>
        <v>0</v>
      </c>
      <c r="I521" s="52" t="str">
        <f>IF(H521="","",IF(E521=H521,"SIM","NÃO"))</f>
        <v>SIM</v>
      </c>
      <c r="J521" s="52" t="str">
        <f>IF(H521="","",VLOOKUP(A521,'6.A'!$A$11:$E$564,4,FALSE))</f>
        <v>M</v>
      </c>
      <c r="K521" s="52" t="str">
        <f>IF(H521="","",IF(J521=D521,"SIM","NÃO"))</f>
        <v>SIM</v>
      </c>
      <c r="L521" s="52">
        <f>IF(H521="","",IF(C521="","",G480*C521))</f>
        <v>3</v>
      </c>
      <c r="M521" s="117" t="str">
        <f>IF(A521="","",VLOOKUP(A521,'6.A'!$A$11:$C$564,2,FALSE))</f>
        <v>CABO DE COBRE FLEXIVEL CL 4/5, ISOLACAO PVC/A, ANTICHAMA BWF-B, 1 CONDUTOR, 450/750 V, SECAO NOMINAL 95 MM2</v>
      </c>
      <c r="N521" s="57" t="str">
        <f>IF(A521="","",IF(M521=B521,"si","no"))</f>
        <v>si</v>
      </c>
      <c r="O521" s="56"/>
      <c r="P521" s="56"/>
      <c r="Q521" s="48"/>
      <c r="R521" s="48"/>
    </row>
    <row r="522" spans="1:22" ht="12.75" customHeight="1" x14ac:dyDescent="0.2">
      <c r="A522" s="22">
        <f>'6.A'!$A$148</f>
        <v>41026</v>
      </c>
      <c r="B522" s="23" t="str">
        <f>IF(A522="","",VLOOKUP(A522,'6.A'!$A$11:$G$180,2,FALSE))</f>
        <v>TRANSFORMADOR DE POTÊNCIA TRIFÁSICO DE 112,5KVA CLASSE 15KV, A ÓLEO</v>
      </c>
      <c r="C522" s="99">
        <v>1</v>
      </c>
      <c r="D522" s="57" t="str">
        <f>IF(A522="","",VLOOKUP(A522,'6.A'!$A$11:$G$180,4,FALSE))</f>
        <v>UN</v>
      </c>
      <c r="E522" s="100">
        <f>IF(A522="","",VLOOKUP(A522,'6.A'!$A$11:$G$180,5,FALSE))</f>
        <v>0</v>
      </c>
      <c r="F522" s="24">
        <f t="shared" ref="F522" si="233">IF(A522="","0,00",ROUND(C522*E522,2))</f>
        <v>0</v>
      </c>
      <c r="G522" s="52"/>
      <c r="H522" s="52">
        <f>IF(A522="","",VLOOKUP(A522,'6.A'!$A$11:$E$7984,5,FALSE))</f>
        <v>0</v>
      </c>
      <c r="I522" s="52" t="str">
        <f t="shared" ref="I522" si="234">IF(H522="","",IF(E522=H522,"SIM","NÃO"))</f>
        <v>SIM</v>
      </c>
      <c r="J522" s="52" t="str">
        <f>IF(H522="","",VLOOKUP(A522,'6.A'!$A$11:$E$564,4,FALSE))</f>
        <v>UN</v>
      </c>
      <c r="K522" s="52" t="str">
        <f t="shared" ref="K522" si="235">IF(H522="","",IF(J522=D522,"SIM","NÃO"))</f>
        <v>SIM</v>
      </c>
      <c r="L522" s="52">
        <f>IF(H522="","",IF(C522="","",G480*C522))</f>
        <v>1</v>
      </c>
      <c r="M522" s="117" t="str">
        <f>IF(A522="","",VLOOKUP(A522,'6.A'!$A$11:$C$564,2,FALSE))</f>
        <v>TRANSFORMADOR DE POTÊNCIA TRIFÁSICO DE 112,5KVA CLASSE 15KV, A ÓLEO</v>
      </c>
      <c r="N522" s="57" t="str">
        <f t="shared" ref="N522" si="236">IF(A522="","",IF(M522=B522,"si","no"))</f>
        <v>si</v>
      </c>
      <c r="O522" s="56"/>
      <c r="P522" s="56"/>
      <c r="Q522" s="48"/>
      <c r="R522" s="48"/>
      <c r="S522" s="2"/>
    </row>
    <row r="523" spans="1:22" s="65" customFormat="1" ht="12.75" customHeight="1" x14ac:dyDescent="0.2">
      <c r="A523" s="22">
        <f>'6.A'!$A$152</f>
        <v>42130</v>
      </c>
      <c r="B523" s="23" t="str">
        <f>IF(A523="","",VLOOKUP(A523,'6.A'!$A$11:$G$180,2,FALSE))</f>
        <v xml:space="preserve">ELETRODUTO GALVANIZADO POR IMERSÃO A QUENTE - DN = 4" - NBR5598 </v>
      </c>
      <c r="C523" s="99">
        <v>6.6</v>
      </c>
      <c r="D523" s="57" t="str">
        <f>IF(A523="","",VLOOKUP(A523,'6.A'!$A$11:$G$180,4,FALSE))</f>
        <v>M</v>
      </c>
      <c r="E523" s="100">
        <f>IF(A523="","",VLOOKUP(A523,'6.A'!$A$11:$G$180,5,FALSE))</f>
        <v>0</v>
      </c>
      <c r="F523" s="24">
        <f>IF(A523="","0,00",ROUND(C523*E523,2))</f>
        <v>0</v>
      </c>
      <c r="G523" s="52"/>
      <c r="H523" s="52">
        <f>IF(A523="","",VLOOKUP(A523,'6.A'!$A$11:$E$7984,5,FALSE))</f>
        <v>0</v>
      </c>
      <c r="I523" s="52" t="str">
        <f>IF(H523="","",IF(E523=H523,"SIM","NÃO"))</f>
        <v>SIM</v>
      </c>
      <c r="J523" s="52" t="str">
        <f>IF(H523="","",VLOOKUP(A523,'6.A'!$A$11:$E$564,4,FALSE))</f>
        <v>M</v>
      </c>
      <c r="K523" s="52" t="str">
        <f>IF(H523="","",IF(J523=D523,"SIM","NÃO"))</f>
        <v>SIM</v>
      </c>
      <c r="L523" s="52">
        <f>IF(H523="","",IF(C523="","",G480*C523))</f>
        <v>6.6</v>
      </c>
      <c r="M523" s="117" t="str">
        <f>IF(A523="","",VLOOKUP(A523,'6.A'!$A$11:$C$564,2,FALSE))</f>
        <v xml:space="preserve">ELETRODUTO GALVANIZADO POR IMERSÃO A QUENTE - DN = 4" - NBR5598 </v>
      </c>
      <c r="N523" s="57" t="str">
        <f>IF(A523="","",IF(M523=B523,"si","no"))</f>
        <v>si</v>
      </c>
      <c r="O523" s="56"/>
      <c r="P523" s="56"/>
      <c r="Q523" s="48"/>
      <c r="R523" s="48"/>
      <c r="T523" s="2"/>
      <c r="U523" s="2"/>
      <c r="V523" s="2"/>
    </row>
    <row r="524" spans="1:22" ht="12.75" customHeight="1" x14ac:dyDescent="0.2">
      <c r="A524" s="22">
        <f>'6.A'!$A$158</f>
        <v>43230</v>
      </c>
      <c r="B524" s="23" t="str">
        <f>IF(A524="","",VLOOKUP(A524,'6.A'!$A$11:$G$180,2,FALSE))</f>
        <v>CABO BLINDADO 4 X 4,0MM2, BLINDAGEM METÁLICA 750 V NBR 7289 COLORIDO - ISOLAÇÃO NÃO HALOGENADA</v>
      </c>
      <c r="C524" s="99">
        <v>5</v>
      </c>
      <c r="D524" s="57" t="str">
        <f>IF(A524="","",VLOOKUP(A524,'6.A'!$A$11:$G$180,4,FALSE))</f>
        <v>M</v>
      </c>
      <c r="E524" s="100">
        <f>IF(A524="","",VLOOKUP(A524,'6.A'!$A$11:$G$180,5,FALSE))</f>
        <v>0</v>
      </c>
      <c r="F524" s="24">
        <f>IF(A524="","0,00",ROUND(C524*E524,2))</f>
        <v>0</v>
      </c>
      <c r="G524" s="52"/>
      <c r="H524" s="52">
        <f>IF(A524="","",VLOOKUP(A524,'6.A'!$A$11:$E$7984,5,FALSE))</f>
        <v>0</v>
      </c>
      <c r="I524" s="52" t="str">
        <f>IF(H524="","",IF(E524=H524,"SIM","NÃO"))</f>
        <v>SIM</v>
      </c>
      <c r="J524" s="52" t="str">
        <f>IF(H524="","",VLOOKUP(A524,'6.A'!$A$11:$E$564,4,FALSE))</f>
        <v>M</v>
      </c>
      <c r="K524" s="52" t="str">
        <f>IF(H524="","",IF(J524=D524,"SIM","NÃO"))</f>
        <v>SIM</v>
      </c>
      <c r="L524" s="52">
        <f>IF(H524="","",IF(C524="","",G480*C524))</f>
        <v>5</v>
      </c>
      <c r="M524" s="117" t="str">
        <f>IF(A524="","",VLOOKUP(A524,'6.A'!$A$11:$C$564,2,FALSE))</f>
        <v>CABO BLINDADO 4 X 4,0MM2, BLINDAGEM METÁLICA 750 V NBR 7289 COLORIDO - ISOLAÇÃO NÃO HALOGENADA</v>
      </c>
      <c r="N524" s="57" t="str">
        <f>IF(A524="","",IF(M524=B524,"si","no"))</f>
        <v>si</v>
      </c>
      <c r="O524" s="56"/>
      <c r="P524" s="56"/>
      <c r="Q524" s="48"/>
      <c r="R524" s="48"/>
    </row>
    <row r="525" spans="1:22" ht="12.75" customHeight="1" x14ac:dyDescent="0.2">
      <c r="A525" s="22">
        <f>'6.A'!$A$166</f>
        <v>49507</v>
      </c>
      <c r="B525" s="23" t="str">
        <f>IF(A525="","",VLOOKUP(A525,'6.A'!$A$11:$G$180,2,FALSE))</f>
        <v>ISOLADOR RÍGIDO DE PINO HI-TOP, PARA 15 KV</v>
      </c>
      <c r="C525" s="99">
        <v>9</v>
      </c>
      <c r="D525" s="57" t="str">
        <f>IF(A525="","",VLOOKUP(A525,'6.A'!$A$11:$G$180,4,FALSE))</f>
        <v>UN</v>
      </c>
      <c r="E525" s="100">
        <f>IF(A525="","",VLOOKUP(A525,'6.A'!$A$11:$G$180,5,FALSE))</f>
        <v>0</v>
      </c>
      <c r="F525" s="24">
        <f>IF(A525="","0,00",ROUND(C525*E525,2))</f>
        <v>0</v>
      </c>
      <c r="G525" s="52"/>
      <c r="H525" s="52">
        <f>IF(A525="","",VLOOKUP(A525,'6.A'!$A$11:$E$7984,5,FALSE))</f>
        <v>0</v>
      </c>
      <c r="I525" s="52" t="str">
        <f>IF(H525="","",IF(E525=H525,"SIM","NÃO"))</f>
        <v>SIM</v>
      </c>
      <c r="J525" s="52" t="str">
        <f>IF(H525="","",VLOOKUP(A525,'6.A'!$A$11:$E$564,4,FALSE))</f>
        <v>UN</v>
      </c>
      <c r="K525" s="52" t="str">
        <f>IF(H525="","",IF(J525=D525,"SIM","NÃO"))</f>
        <v>SIM</v>
      </c>
      <c r="L525" s="52">
        <f>IF(H525="","",IF(C525="","",G480*C525))</f>
        <v>9</v>
      </c>
      <c r="M525" s="117" t="str">
        <f>IF(A525="","",VLOOKUP(A525,'6.A'!$A$11:$C$564,2,FALSE))</f>
        <v>ISOLADOR RÍGIDO DE PINO HI-TOP, PARA 15 KV</v>
      </c>
      <c r="N525" s="57" t="str">
        <f>IF(A525="","",IF(M525=B525,"si","no"))</f>
        <v>si</v>
      </c>
      <c r="O525" s="56"/>
      <c r="P525" s="56"/>
      <c r="Q525" s="48"/>
      <c r="R525" s="48"/>
      <c r="S525" s="2"/>
    </row>
    <row r="526" spans="1:22" ht="12.75" customHeight="1" x14ac:dyDescent="0.2">
      <c r="A526" s="22">
        <f>'6.A'!$A$76</f>
        <v>1000</v>
      </c>
      <c r="B526" s="39" t="str">
        <f>IF(A526="","",VLOOKUP(A526,'6.A'!$A$11:$G$180,2,FALSE))</f>
        <v>CABO DE COBRE, FLEXIVEL, CLASSE 4 OU 5, ISOLACAO EM PVC/A, ANTICHAMA BWF-B, COBERTURA PVC-ST1, ANTICHAMA BWF-B, 1 CONDUTOR, 0,6/1 KV, SECAO NOMINAL 185 MM2</v>
      </c>
      <c r="C526" s="99">
        <v>29</v>
      </c>
      <c r="D526" s="57" t="str">
        <f>IF(A526="","",VLOOKUP(A526,'6.A'!$A$11:$G$180,4,FALSE))</f>
        <v>M</v>
      </c>
      <c r="E526" s="100">
        <f>IF(A526="","",VLOOKUP(A526,'6.A'!$A$11:$G$180,5,FALSE))</f>
        <v>0</v>
      </c>
      <c r="F526" s="24">
        <f t="shared" ref="F526:F528" si="237">IF(A526="","0,00",ROUND(C526*E526,2))</f>
        <v>0</v>
      </c>
      <c r="G526" s="52"/>
      <c r="H526" s="52">
        <f>IF(A526="","",VLOOKUP(A526,'6.A'!$A$11:$E$7984,5,FALSE))</f>
        <v>0</v>
      </c>
      <c r="I526" s="52" t="str">
        <f t="shared" ref="I526:I528" si="238">IF(H526="","",IF(E526=H526,"SIM","NÃO"))</f>
        <v>SIM</v>
      </c>
      <c r="J526" s="52" t="str">
        <f>IF(H526="","",VLOOKUP(A526,'6.A'!$A$11:$E$564,4,FALSE))</f>
        <v>M</v>
      </c>
      <c r="K526" s="52" t="str">
        <f t="shared" ref="K526:K528" si="239">IF(H526="","",IF(J526=D526,"SIM","NÃO"))</f>
        <v>SIM</v>
      </c>
      <c r="L526" s="52">
        <f>IF(H526="","",IF(C526="","",G480*C526))</f>
        <v>29</v>
      </c>
      <c r="M526" s="117" t="str">
        <f>IF(A526="","",VLOOKUP(A526,'6.A'!$A$11:$C$564,2,FALSE))</f>
        <v>CABO DE COBRE, FLEXIVEL, CLASSE 4 OU 5, ISOLACAO EM PVC/A, ANTICHAMA BWF-B, COBERTURA PVC-ST1, ANTICHAMA BWF-B, 1 CONDUTOR, 0,6/1 KV, SECAO NOMINAL 185 MM2</v>
      </c>
      <c r="N526" s="57" t="str">
        <f t="shared" ref="N526:N528" si="240">IF(A526="","",IF(M526=B526,"si","no"))</f>
        <v>si</v>
      </c>
      <c r="O526" s="56"/>
      <c r="P526" s="56"/>
      <c r="Q526" s="48"/>
      <c r="R526" s="48"/>
    </row>
    <row r="527" spans="1:22" ht="12.75" customHeight="1" x14ac:dyDescent="0.2">
      <c r="A527" s="22"/>
      <c r="B527" s="39" t="str">
        <f>IF(A527="","",VLOOKUP(A527,'6.A'!$A$11:$G$180,2,FALSE))</f>
        <v/>
      </c>
      <c r="C527" s="99"/>
      <c r="D527" s="57" t="str">
        <f>IF(A527="","",VLOOKUP(A527,'6.A'!$A$11:$G$180,4,FALSE))</f>
        <v/>
      </c>
      <c r="E527" s="100" t="str">
        <f>IF(A527="","",VLOOKUP(A527,'6.A'!$A$11:$G$180,5,FALSE))</f>
        <v/>
      </c>
      <c r="F527" s="24" t="str">
        <f t="shared" si="237"/>
        <v>0,00</v>
      </c>
      <c r="G527" s="52"/>
      <c r="H527" s="52" t="str">
        <f>IF(A527="","",VLOOKUP(A527,'6.A'!$A$11:$E$7984,5,FALSE))</f>
        <v/>
      </c>
      <c r="I527" s="52" t="str">
        <f t="shared" si="238"/>
        <v/>
      </c>
      <c r="J527" s="52" t="str">
        <f>IF(H527="","",VLOOKUP(A527,'6.A'!$A$11:$E$564,4,FALSE))</f>
        <v/>
      </c>
      <c r="K527" s="52" t="str">
        <f t="shared" si="239"/>
        <v/>
      </c>
      <c r="L527" s="52" t="str">
        <f>IF(H527="","",IF(C527="","",G480*C527))</f>
        <v/>
      </c>
      <c r="M527" s="117" t="str">
        <f>IF(A527="","",VLOOKUP(A527,'6.A'!$A$11:$C$564,2,FALSE))</f>
        <v/>
      </c>
      <c r="N527" s="57" t="str">
        <f t="shared" si="240"/>
        <v/>
      </c>
      <c r="O527" s="56"/>
      <c r="P527" s="56"/>
      <c r="Q527" s="48"/>
      <c r="R527" s="48"/>
    </row>
    <row r="528" spans="1:22" ht="12.75" customHeight="1" x14ac:dyDescent="0.2">
      <c r="A528" s="22"/>
      <c r="B528" s="39" t="str">
        <f>IF(A528="","",VLOOKUP(A528,'6.A'!$A$11:$G$180,2,FALSE))</f>
        <v/>
      </c>
      <c r="C528" s="99"/>
      <c r="D528" s="57" t="str">
        <f>IF(A528="","",VLOOKUP(A528,'6.A'!$A$11:$G$180,4,FALSE))</f>
        <v/>
      </c>
      <c r="E528" s="100" t="str">
        <f>IF(A528="","",VLOOKUP(A528,'6.A'!$A$11:$G$180,5,FALSE))</f>
        <v/>
      </c>
      <c r="F528" s="24" t="str">
        <f t="shared" si="237"/>
        <v>0,00</v>
      </c>
      <c r="G528" s="52"/>
      <c r="H528" s="52" t="str">
        <f>IF(A528="","",VLOOKUP(A528,'6.A'!$A$11:$E$7984,5,FALSE))</f>
        <v/>
      </c>
      <c r="I528" s="52" t="str">
        <f t="shared" si="238"/>
        <v/>
      </c>
      <c r="J528" s="52" t="str">
        <f>IF(H528="","",VLOOKUP(A528,'6.A'!$A$11:$E$564,4,FALSE))</f>
        <v/>
      </c>
      <c r="K528" s="52" t="str">
        <f t="shared" si="239"/>
        <v/>
      </c>
      <c r="L528" s="52" t="str">
        <f>IF(H528="","",IF(C528="","",G480*C528))</f>
        <v/>
      </c>
      <c r="M528" s="117" t="str">
        <f>IF(A528="","",VLOOKUP(A528,'6.A'!$A$11:$C$564,2,FALSE))</f>
        <v/>
      </c>
      <c r="N528" s="57" t="str">
        <f t="shared" si="240"/>
        <v/>
      </c>
      <c r="O528" s="56"/>
      <c r="P528" s="56"/>
      <c r="Q528" s="48"/>
      <c r="R528" s="48"/>
    </row>
    <row r="529" spans="1:23" ht="12.75" customHeight="1" x14ac:dyDescent="0.2">
      <c r="A529" s="22"/>
      <c r="B529" s="26" t="str">
        <f>$A$9</f>
        <v>BDI</v>
      </c>
      <c r="C529" s="40">
        <f>$C$9</f>
        <v>0</v>
      </c>
      <c r="D529" s="57"/>
      <c r="F529" s="28">
        <f>ROUND(SUM(F509:F528)*C529,2)</f>
        <v>0</v>
      </c>
      <c r="G529" s="63"/>
      <c r="M529" s="57"/>
      <c r="N529" s="57"/>
      <c r="O529" s="56"/>
      <c r="P529" s="56"/>
      <c r="Q529" s="48"/>
      <c r="R529" s="48"/>
    </row>
    <row r="530" spans="1:23" ht="12.75" customHeight="1" thickBot="1" x14ac:dyDescent="0.25">
      <c r="A530" s="41"/>
      <c r="B530" s="42" t="s">
        <v>57</v>
      </c>
      <c r="C530" s="43"/>
      <c r="D530" s="44"/>
      <c r="E530" s="45"/>
      <c r="F530" s="46">
        <f>ROUND(SUM(F509:F529),2)</f>
        <v>0</v>
      </c>
      <c r="G530" s="63"/>
      <c r="M530" s="57"/>
      <c r="N530" s="57"/>
      <c r="O530" s="56"/>
      <c r="P530" s="56"/>
      <c r="Q530" s="48"/>
      <c r="R530" s="48"/>
    </row>
    <row r="531" spans="1:23" ht="12" customHeight="1" thickBot="1" x14ac:dyDescent="0.25">
      <c r="A531" s="8"/>
      <c r="B531" s="9"/>
      <c r="C531" s="10"/>
      <c r="D531" s="57"/>
      <c r="F531" s="12"/>
      <c r="M531" s="57"/>
      <c r="N531" s="57"/>
      <c r="O531" s="56"/>
      <c r="P531" s="56"/>
    </row>
    <row r="532" spans="1:23" ht="50.1" customHeight="1" x14ac:dyDescent="0.2">
      <c r="A532" s="243" t="str">
        <f>'3.A'!$A$114</f>
        <v>2.7</v>
      </c>
      <c r="B532" s="14" t="str">
        <f>IF(A532="","",VLOOKUP(A532,'3.A'!$A$17:$M$279,2,FALSE))</f>
        <v>TE-06 ENTRADA PRIMÁRIA SIMPLIF. POSTE UNICO - CPFL - 112,5 KVA - 15KV- 220/127 V - INFRAESTRUTURA ELÉTRICA - SPDA/ATERRAMENTO</v>
      </c>
      <c r="C532" s="413" t="s">
        <v>62</v>
      </c>
      <c r="D532" s="413"/>
      <c r="E532" s="15" t="str">
        <f>IF(A532="","",VLOOKUP(A532,'3.A'!$A$17:$M$279,3,FALSE))</f>
        <v>UN</v>
      </c>
      <c r="F532" s="16">
        <f>ROUND(F546+F559+F582,2)</f>
        <v>0</v>
      </c>
      <c r="G532" s="118">
        <f>VLOOKUP(A532,'3.A'!$A$19:$I$279,4,FALSE)</f>
        <v>1</v>
      </c>
      <c r="H532" s="47">
        <f>SUM(F534:F545)</f>
        <v>0</v>
      </c>
      <c r="I532" s="47">
        <f>SUM(F548:F558)</f>
        <v>0</v>
      </c>
      <c r="J532" s="47">
        <f>SUM(F561:F581)</f>
        <v>0</v>
      </c>
      <c r="K532" s="47">
        <f>SUM(H532:J532)</f>
        <v>0</v>
      </c>
      <c r="L532" s="47" t="str">
        <f>IF(K532=F532,"SIM","NÃO")</f>
        <v>SIM</v>
      </c>
      <c r="M532" s="58">
        <f>ROUND(SUM(F534:F543)*C544,2)+ROUND(SUM(F534:F544)*C545,2)+ROUND(SUM(F534:F543),2)+ROUND(SUM(F548:F557)*C558,2)+ROUND(SUM(F548:F557),2)+ROUND(SUM(F561:F580)*C581,2)+ROUND(SUM(F561:F580),2)</f>
        <v>0</v>
      </c>
      <c r="N532" s="50" t="str">
        <f>IF(M532=F532,"SIM","NÃO")</f>
        <v>SIM</v>
      </c>
      <c r="O532" s="51" t="str">
        <f>VLOOKUP(A532,'3.A'!$A$8:$E$279,3,FALSE)</f>
        <v>UN</v>
      </c>
      <c r="P532" s="51" t="str">
        <f>IF(O532=E532,"SIM","NÃO")</f>
        <v>SIM</v>
      </c>
      <c r="Q532" s="53">
        <f>ROUND(G532*F546,2)+ROUND(G532*F559,2)+ROUND(G532*F582,2)</f>
        <v>0</v>
      </c>
      <c r="R532" s="59">
        <f>VLOOKUP(A532,'3.A'!$A$17:$L$279,12,FALSE)</f>
        <v>0</v>
      </c>
      <c r="S532" s="60" t="str">
        <f>IF(Q532=R532,"si","no")</f>
        <v>si</v>
      </c>
      <c r="T532" s="61">
        <f>SUM(L534:L543)+SUM(L548:L557)+SUM(L561:L580)</f>
        <v>107.16266666666667</v>
      </c>
      <c r="U532" s="52">
        <f>G532*C540+G532*C542+G532*C535+G532*C536+G532*C538+G532*C541+G532*C539+G532*C534+G532*C537+G532*C543+G532*C554+G532*C548+G532*C556+G532*C555+G532*C553+G532*C550+G532*C549+G532*C551+G532*C557+G532*C552+G532*C561+G532*C562+G532*C563+G532*C571+G532*C572+G532*C573+G532*C574+G532*C575+G532*C576+G532*C577+G532*C578+G532*C579+G532*C580+G532*C569+G532*C570+G532*C564+G532*C565+G532*C566+G532*C567+G532*C568</f>
        <v>107.16266666666667</v>
      </c>
      <c r="V532" s="54" t="str">
        <f>IF(T532=U532,"si","no")</f>
        <v>si</v>
      </c>
      <c r="W532" s="137"/>
    </row>
    <row r="533" spans="1:23" ht="12.75" customHeight="1" x14ac:dyDescent="0.2">
      <c r="A533" s="17" t="s">
        <v>3</v>
      </c>
      <c r="B533" s="18" t="s">
        <v>58</v>
      </c>
      <c r="C533" s="56" t="s">
        <v>59</v>
      </c>
      <c r="D533" s="56" t="s">
        <v>16</v>
      </c>
      <c r="E533" s="19" t="s">
        <v>60</v>
      </c>
      <c r="F533" s="20" t="s">
        <v>61</v>
      </c>
      <c r="G533" s="21"/>
      <c r="M533" s="57"/>
      <c r="N533" s="57"/>
      <c r="O533" s="56"/>
      <c r="P533" s="56"/>
      <c r="Q533" s="48"/>
      <c r="R533" s="48"/>
    </row>
    <row r="534" spans="1:23" ht="12.75" customHeight="1" x14ac:dyDescent="0.2">
      <c r="A534" s="22">
        <f>'6.A'!$A$15</f>
        <v>88247</v>
      </c>
      <c r="B534" s="23" t="str">
        <f>IF(A534="","",VLOOKUP(A534,'6.A'!$A$11:$G$180,2,FALSE))</f>
        <v>AUXILIAR DE ELETRICISTA COM ENCARGOS COMPLEMENTARES</v>
      </c>
      <c r="C534" s="99">
        <f>65/2</f>
        <v>32.5</v>
      </c>
      <c r="D534" s="57" t="str">
        <f>IF(A534="","",VLOOKUP(A534,'6.A'!$A$11:$G$180,4,FALSE))</f>
        <v>H</v>
      </c>
      <c r="E534" s="100">
        <f>IF(A534="","",VLOOKUP(A534,'6.A'!$A$11:$G$180,5,FALSE))</f>
        <v>0</v>
      </c>
      <c r="F534" s="24">
        <f t="shared" ref="F534" si="241">IF(A534="","0,00",ROUND(C534*E534,2))</f>
        <v>0</v>
      </c>
      <c r="G534" s="52"/>
      <c r="H534" s="52">
        <f>IF(A534="","",VLOOKUP(A534,'6.A'!$A$11:$E$7984,5,FALSE))</f>
        <v>0</v>
      </c>
      <c r="I534" s="52" t="str">
        <f>IF(H534="","",IF(E534=H534,"SIM","NÃO"))</f>
        <v>SIM</v>
      </c>
      <c r="J534" s="52" t="str">
        <f>IF(H534="","",VLOOKUP(A534,'6.A'!$A$11:$E$564,4,FALSE))</f>
        <v>H</v>
      </c>
      <c r="K534" s="52" t="str">
        <f>IF(H534="","",IF(J534=D534,"SIM","NÃO"))</f>
        <v>SIM</v>
      </c>
      <c r="L534" s="52">
        <f>IF(H534="","",IF(C534="","",G532*C534))</f>
        <v>32.5</v>
      </c>
      <c r="M534" s="117" t="str">
        <f>IF(A534="","",VLOOKUP(A534,'6.A'!$A$11:$C$564,2,FALSE))</f>
        <v>AUXILIAR DE ELETRICISTA COM ENCARGOS COMPLEMENTARES</v>
      </c>
      <c r="N534" s="57" t="str">
        <f>IF(A534="","",IF(M534=B534,"si","no"))</f>
        <v>si</v>
      </c>
      <c r="O534" s="56"/>
      <c r="P534" s="56"/>
      <c r="Q534" s="48"/>
      <c r="R534" s="48"/>
    </row>
    <row r="535" spans="1:23" ht="12.75" customHeight="1" x14ac:dyDescent="0.2">
      <c r="A535" s="22">
        <f>'6.A'!$A$18</f>
        <v>88264</v>
      </c>
      <c r="B535" s="23" t="str">
        <f>IF(A535="","",VLOOKUP(A535,'6.A'!$A$11:$G$180,2,FALSE))</f>
        <v>ELETRICISTA COM ENCARGOS COMPLEMENTARES</v>
      </c>
      <c r="C535" s="99">
        <f>65/2</f>
        <v>32.5</v>
      </c>
      <c r="D535" s="57" t="str">
        <f>IF(A535="","",VLOOKUP(A535,'6.A'!$A$11:$G$180,4,FALSE))</f>
        <v>H</v>
      </c>
      <c r="E535" s="100">
        <f>IF(A535="","",VLOOKUP(A535,'6.A'!$A$11:$G$180,5,FALSE))</f>
        <v>0</v>
      </c>
      <c r="F535" s="24">
        <f>IF(A535="","0,00",ROUND(C535*E535,2))</f>
        <v>0</v>
      </c>
      <c r="G535" s="52"/>
      <c r="H535" s="52">
        <f>IF(A535="","",VLOOKUP(A535,'6.A'!$A$11:$E$7984,5,FALSE))</f>
        <v>0</v>
      </c>
      <c r="I535" s="52" t="str">
        <f>IF(H535="","",IF(E535=H535,"SIM","NÃO"))</f>
        <v>SIM</v>
      </c>
      <c r="J535" s="52" t="str">
        <f>IF(H535="","",VLOOKUP(A535,'6.A'!$A$11:$E$564,4,FALSE))</f>
        <v>H</v>
      </c>
      <c r="K535" s="52" t="str">
        <f>IF(H535="","",IF(J535=D535,"SIM","NÃO"))</f>
        <v>SIM</v>
      </c>
      <c r="L535" s="52">
        <f>IF(H535="","",IF(C535="","",G532*C535))</f>
        <v>32.5</v>
      </c>
      <c r="M535" s="117" t="str">
        <f>IF(A535="","",VLOOKUP(A535,'6.A'!$A$11:$C$564,2,FALSE))</f>
        <v>ELETRICISTA COM ENCARGOS COMPLEMENTARES</v>
      </c>
      <c r="N535" s="57" t="str">
        <f>IF(A535="","",IF(M535=B535,"si","no"))</f>
        <v>si</v>
      </c>
      <c r="O535" s="56"/>
      <c r="P535" s="56"/>
      <c r="Q535" s="48"/>
      <c r="R535" s="48"/>
    </row>
    <row r="536" spans="1:23" ht="12.75" customHeight="1" x14ac:dyDescent="0.2">
      <c r="A536" s="22"/>
      <c r="B536" s="23" t="str">
        <f>IF(A536="","",VLOOKUP(A536,'6.A'!$A$11:$G$180,2,FALSE))</f>
        <v/>
      </c>
      <c r="C536" s="99"/>
      <c r="D536" s="57" t="str">
        <f>IF(A536="","",VLOOKUP(A536,'6.A'!$A$11:$G$180,4,FALSE))</f>
        <v/>
      </c>
      <c r="E536" s="100" t="str">
        <f>IF(A536="","",VLOOKUP(A536,'6.A'!$A$11:$G$180,5,FALSE))</f>
        <v/>
      </c>
      <c r="F536" s="24" t="str">
        <f t="shared" ref="F536:F543" si="242">IF(A536="","0,00",ROUND(C536*E536,2))</f>
        <v>0,00</v>
      </c>
      <c r="G536" s="52"/>
      <c r="H536" s="52" t="str">
        <f>IF(A536="","",VLOOKUP(A536,'6.A'!$A$11:$E$7984,5,FALSE))</f>
        <v/>
      </c>
      <c r="I536" s="52" t="str">
        <f>IF(H536="","",IF(E536=H536,"SIM","NÃO"))</f>
        <v/>
      </c>
      <c r="J536" s="52" t="str">
        <f>IF(H536="","",VLOOKUP(A536,'6.A'!$A$11:$E$564,4,FALSE))</f>
        <v/>
      </c>
      <c r="K536" s="52" t="str">
        <f t="shared" ref="K536" si="243">IF(H536="","",IF(J536=D536,"SIM","NÃO"))</f>
        <v/>
      </c>
      <c r="L536" s="52" t="str">
        <f>IF(H536="","",IF(C536="","",G532*C536))</f>
        <v/>
      </c>
      <c r="M536" s="117" t="str">
        <f>IF(A536="","",VLOOKUP(A536,'6.A'!$A$11:$C$564,2,FALSE))</f>
        <v/>
      </c>
      <c r="N536" s="57" t="str">
        <f t="shared" ref="N536" si="244">IF(A536="","",IF(M536=B536,"si","no"))</f>
        <v/>
      </c>
      <c r="O536" s="56"/>
      <c r="P536" s="56"/>
      <c r="Q536" s="48"/>
      <c r="R536" s="48"/>
      <c r="S536" s="2"/>
    </row>
    <row r="537" spans="1:23" ht="12.75" customHeight="1" x14ac:dyDescent="0.2">
      <c r="A537" s="22"/>
      <c r="B537" s="23" t="str">
        <f>IF(A537="","",VLOOKUP(A537,'6.A'!$A$11:$G$180,2,FALSE))</f>
        <v/>
      </c>
      <c r="C537" s="99"/>
      <c r="D537" s="57" t="str">
        <f>IF(A537="","",VLOOKUP(A537,'6.A'!$A$11:$G$180,4,FALSE))</f>
        <v/>
      </c>
      <c r="E537" s="100" t="str">
        <f>IF(A537="","",VLOOKUP(A537,'6.A'!$A$11:$G$180,5,FALSE))</f>
        <v/>
      </c>
      <c r="F537" s="24" t="str">
        <f t="shared" si="242"/>
        <v>0,00</v>
      </c>
      <c r="G537" s="52"/>
      <c r="H537" s="52" t="str">
        <f>IF(A537="","",VLOOKUP(A537,'6.A'!$A$11:$E$7984,5,FALSE))</f>
        <v/>
      </c>
      <c r="I537" s="52" t="str">
        <f>IF(H537="","",IF(E537=H537,"SIM","NÃO"))</f>
        <v/>
      </c>
      <c r="J537" s="52" t="str">
        <f>IF(H537="","",VLOOKUP(A537,'6.A'!$A$11:$E$564,4,FALSE))</f>
        <v/>
      </c>
      <c r="K537" s="52" t="str">
        <f>IF(H537="","",IF(J537=D537,"SIM","NÃO"))</f>
        <v/>
      </c>
      <c r="L537" s="52" t="str">
        <f>IF(H537="","",IF(C537="","",G532*C537))</f>
        <v/>
      </c>
      <c r="M537" s="117" t="str">
        <f>IF(A537="","",VLOOKUP(A537,'6.A'!$A$11:$C$564,2,FALSE))</f>
        <v/>
      </c>
      <c r="N537" s="57" t="str">
        <f>IF(A537="","",IF(M537=B537,"si","no"))</f>
        <v/>
      </c>
      <c r="O537" s="56"/>
      <c r="P537" s="56"/>
      <c r="Q537" s="48"/>
      <c r="R537" s="48"/>
      <c r="S537" s="2"/>
    </row>
    <row r="538" spans="1:23" ht="12.75" customHeight="1" x14ac:dyDescent="0.2">
      <c r="A538" s="22"/>
      <c r="B538" s="23" t="str">
        <f>IF(A538="","",VLOOKUP(A538,'6.A'!$A$11:$G$180,2,FALSE))</f>
        <v/>
      </c>
      <c r="C538" s="99"/>
      <c r="D538" s="57" t="str">
        <f>IF(A538="","",VLOOKUP(A538,'6.A'!$A$11:$G$180,4,FALSE))</f>
        <v/>
      </c>
      <c r="E538" s="101" t="str">
        <f>IF(A538="","",VLOOKUP(A538,'6.A'!$A$11:$G$180,5,FALSE))</f>
        <v/>
      </c>
      <c r="F538" s="24" t="str">
        <f t="shared" si="242"/>
        <v>0,00</v>
      </c>
      <c r="G538" s="52"/>
      <c r="H538" s="52" t="str">
        <f>IF(A538="","",VLOOKUP(A538,'6.A'!$A$11:$E$7984,5,FALSE))</f>
        <v/>
      </c>
      <c r="I538" s="52" t="str">
        <f t="shared" ref="I538" si="245">IF(H538="","",IF(E538=H538,"SIM","NÃO"))</f>
        <v/>
      </c>
      <c r="J538" s="52" t="str">
        <f>IF(H538="","",VLOOKUP(A538,'6.A'!$A$11:$E$564,4,FALSE))</f>
        <v/>
      </c>
      <c r="K538" s="52" t="str">
        <f t="shared" ref="K538" si="246">IF(H538="","",IF(J538=D538,"SIM","NÃO"))</f>
        <v/>
      </c>
      <c r="L538" s="52" t="str">
        <f>IF(H538="","",IF(C538="","",G532*C538))</f>
        <v/>
      </c>
      <c r="M538" s="117" t="str">
        <f>IF(A538="","",VLOOKUP(A538,'6.A'!$A$11:$C$564,2,FALSE))</f>
        <v/>
      </c>
      <c r="N538" s="57" t="str">
        <f t="shared" ref="N538" si="247">IF(A538="","",IF(M538=B538,"si","no"))</f>
        <v/>
      </c>
      <c r="O538" s="56"/>
      <c r="P538" s="56"/>
      <c r="Q538" s="48"/>
      <c r="R538" s="48"/>
      <c r="S538" s="2"/>
    </row>
    <row r="539" spans="1:23" ht="12.75" customHeight="1" x14ac:dyDescent="0.2">
      <c r="A539" s="22"/>
      <c r="B539" s="23" t="str">
        <f>IF(A539="","",VLOOKUP(A539,'6.A'!$A$11:$G$180,2,FALSE))</f>
        <v/>
      </c>
      <c r="C539" s="99"/>
      <c r="D539" s="57" t="str">
        <f>IF(A539="","",VLOOKUP(A539,'6.A'!$A$11:$G$180,4,FALSE))</f>
        <v/>
      </c>
      <c r="E539" s="101" t="str">
        <f>IF(A539="","",VLOOKUP(A539,'6.A'!$A$11:$G$180,5,FALSE))</f>
        <v/>
      </c>
      <c r="F539" s="24" t="str">
        <f t="shared" si="242"/>
        <v>0,00</v>
      </c>
      <c r="G539" s="52"/>
      <c r="H539" s="52" t="str">
        <f>IF(A539="","",VLOOKUP(A539,'6.A'!$A$11:$E$7984,5,FALSE))</f>
        <v/>
      </c>
      <c r="I539" s="52" t="str">
        <f>IF(H539="","",IF(E539=H539,"SIM","NÃO"))</f>
        <v/>
      </c>
      <c r="J539" s="52" t="str">
        <f>IF(H539="","",VLOOKUP(A539,'6.A'!$A$11:$E$564,4,FALSE))</f>
        <v/>
      </c>
      <c r="K539" s="52" t="str">
        <f>IF(H539="","",IF(J539=D539,"SIM","NÃO"))</f>
        <v/>
      </c>
      <c r="L539" s="52" t="str">
        <f>IF(H539="","",IF(C539="","",G532*C539))</f>
        <v/>
      </c>
      <c r="M539" s="117" t="str">
        <f>IF(A539="","",VLOOKUP(A539,'6.A'!$A$11:$C$564,2,FALSE))</f>
        <v/>
      </c>
      <c r="N539" s="57" t="str">
        <f>IF(A539="","",IF(M539=B539,"si","no"))</f>
        <v/>
      </c>
      <c r="O539" s="56"/>
      <c r="P539" s="56"/>
      <c r="Q539" s="48"/>
      <c r="R539" s="48"/>
      <c r="S539" s="2"/>
    </row>
    <row r="540" spans="1:23" ht="12.75" customHeight="1" x14ac:dyDescent="0.2">
      <c r="A540" s="22"/>
      <c r="B540" s="23" t="str">
        <f>IF(A540="","",VLOOKUP(A540,'6.A'!$A$11:$G$180,2,FALSE))</f>
        <v/>
      </c>
      <c r="C540" s="99"/>
      <c r="D540" s="57" t="str">
        <f>IF(A540="","",VLOOKUP(A540,'6.A'!$A$11:$G$180,4,FALSE))</f>
        <v/>
      </c>
      <c r="E540" s="100" t="str">
        <f>IF(A540="","",VLOOKUP(A540,'6.A'!$A$11:$G$180,5,FALSE))</f>
        <v/>
      </c>
      <c r="F540" s="24" t="str">
        <f t="shared" si="242"/>
        <v>0,00</v>
      </c>
      <c r="G540" s="52"/>
      <c r="H540" s="52" t="str">
        <f>IF(A540="","",VLOOKUP(A540,'6.A'!$A$11:$E$7984,5,FALSE))</f>
        <v/>
      </c>
      <c r="I540" s="52" t="str">
        <f>IF(H540="","",IF(E540=H540,"SIM","NÃO"))</f>
        <v/>
      </c>
      <c r="J540" s="52" t="str">
        <f>IF(H540="","",VLOOKUP(A540,'6.A'!$A$11:$E$564,4,FALSE))</f>
        <v/>
      </c>
      <c r="K540" s="52" t="str">
        <f>IF(H540="","",IF(J540=D540,"SIM","NÃO"))</f>
        <v/>
      </c>
      <c r="L540" s="52" t="str">
        <f>IF(H540="","",IF(C540="","",G532*C540))</f>
        <v/>
      </c>
      <c r="M540" s="117" t="str">
        <f>IF(A540="","",VLOOKUP(A540,'6.A'!$A$11:$C$564,2,FALSE))</f>
        <v/>
      </c>
      <c r="N540" s="57" t="str">
        <f>IF(A540="","",IF(M540=B540,"si","no"))</f>
        <v/>
      </c>
      <c r="O540" s="56"/>
      <c r="P540" s="56"/>
      <c r="Q540" s="48"/>
      <c r="R540" s="48"/>
      <c r="S540" s="2"/>
    </row>
    <row r="541" spans="1:23" ht="12.75" customHeight="1" x14ac:dyDescent="0.2">
      <c r="A541" s="22"/>
      <c r="B541" s="23" t="str">
        <f>IF(A541="","",VLOOKUP(A541,'6.A'!$A$11:$G$180,2,FALSE))</f>
        <v/>
      </c>
      <c r="C541" s="99"/>
      <c r="D541" s="57" t="str">
        <f>IF(A541="","",VLOOKUP(A541,'6.A'!$A$11:$G$180,4,FALSE))</f>
        <v/>
      </c>
      <c r="E541" s="100" t="str">
        <f>IF(A541="","",VLOOKUP(A541,'6.A'!$A$11:$G$180,5,FALSE))</f>
        <v/>
      </c>
      <c r="F541" s="24" t="str">
        <f t="shared" si="242"/>
        <v>0,00</v>
      </c>
      <c r="G541" s="52"/>
      <c r="H541" s="52" t="str">
        <f>IF(A541="","",VLOOKUP(A541,'6.A'!$A$11:$E$7984,5,FALSE))</f>
        <v/>
      </c>
      <c r="I541" s="52" t="str">
        <f t="shared" ref="I541" si="248">IF(H541="","",IF(E541=H541,"SIM","NÃO"))</f>
        <v/>
      </c>
      <c r="J541" s="52" t="str">
        <f>IF(H541="","",VLOOKUP(A541,'6.A'!$A$11:$E$564,4,FALSE))</f>
        <v/>
      </c>
      <c r="K541" s="52" t="str">
        <f t="shared" ref="K541" si="249">IF(H541="","",IF(J541=D541,"SIM","NÃO"))</f>
        <v/>
      </c>
      <c r="L541" s="52" t="str">
        <f>IF(H541="","",IF(C541="","",G532*C541))</f>
        <v/>
      </c>
      <c r="M541" s="117" t="str">
        <f>IF(A541="","",VLOOKUP(A541,'6.A'!$A$11:$C$564,2,FALSE))</f>
        <v/>
      </c>
      <c r="N541" s="57" t="str">
        <f t="shared" ref="N541" si="250">IF(A541="","",IF(M541=B541,"si","no"))</f>
        <v/>
      </c>
      <c r="O541" s="56"/>
      <c r="P541" s="56"/>
      <c r="Q541" s="48"/>
      <c r="R541" s="48"/>
      <c r="S541" s="2"/>
    </row>
    <row r="542" spans="1:23" ht="12.75" customHeight="1" x14ac:dyDescent="0.2">
      <c r="A542" s="22"/>
      <c r="B542" s="23" t="str">
        <f>IF(A542="","",VLOOKUP(A542,'6.A'!$A$11:$G$180,2,FALSE))</f>
        <v/>
      </c>
      <c r="C542" s="99"/>
      <c r="D542" s="73" t="str">
        <f>IF(A542="","",VLOOKUP(A542,'6.A'!$A$11:$G$180,4,FALSE))</f>
        <v/>
      </c>
      <c r="E542" s="101" t="str">
        <f>IF(A542="","",VLOOKUP(A542,'6.A'!$A$11:$G$180,5,FALSE))</f>
        <v/>
      </c>
      <c r="F542" s="24" t="str">
        <f t="shared" si="242"/>
        <v>0,00</v>
      </c>
      <c r="G542" s="52"/>
      <c r="H542" s="52" t="str">
        <f>IF(A542="","",VLOOKUP(A542,'6.A'!$A$11:$E$7984,5,FALSE))</f>
        <v/>
      </c>
      <c r="I542" s="52" t="str">
        <f>IF(H542="","",IF(E542=H542,"SIM","NÃO"))</f>
        <v/>
      </c>
      <c r="J542" s="52" t="str">
        <f>IF(H542="","",VLOOKUP(A542,'6.A'!$A$11:$E$564,4,FALSE))</f>
        <v/>
      </c>
      <c r="K542" s="52" t="str">
        <f>IF(H542="","",IF(J542=D542,"SIM","NÃO"))</f>
        <v/>
      </c>
      <c r="L542" s="52" t="str">
        <f>IF(H542="","",IF(C542="","",G532*C542))</f>
        <v/>
      </c>
      <c r="M542" s="117" t="str">
        <f>IF(A542="","",VLOOKUP(A542,'6.A'!$A$11:$C$564,2,FALSE))</f>
        <v/>
      </c>
      <c r="N542" s="57" t="str">
        <f>IF(A542="","",IF(M542=B542,"si","no"))</f>
        <v/>
      </c>
      <c r="O542" s="56"/>
      <c r="P542" s="56"/>
      <c r="Q542" s="48"/>
      <c r="R542" s="48"/>
      <c r="S542" s="2"/>
    </row>
    <row r="543" spans="1:23" ht="12.75" customHeight="1" x14ac:dyDescent="0.2">
      <c r="A543" s="22"/>
      <c r="B543" s="23" t="str">
        <f>IF(A543="","",VLOOKUP(A543,'6.A'!$A$11:$G$180,2,FALSE))</f>
        <v/>
      </c>
      <c r="C543" s="99"/>
      <c r="D543" s="25" t="str">
        <f>IF(A543="","",VLOOKUP(A543,'6.A'!$A$11:$G$180,4,FALSE))</f>
        <v/>
      </c>
      <c r="E543" s="101" t="str">
        <f>IF(A543="","",VLOOKUP(A543,'6.A'!$A$11:$G$180,5,FALSE))</f>
        <v/>
      </c>
      <c r="F543" s="24" t="str">
        <f t="shared" si="242"/>
        <v>0,00</v>
      </c>
      <c r="G543" s="52"/>
      <c r="H543" s="52" t="str">
        <f>IF(A543="","",VLOOKUP(A543,'6.A'!$A$11:$E$7984,5,FALSE))</f>
        <v/>
      </c>
      <c r="I543" s="52" t="str">
        <f t="shared" ref="I543" si="251">IF(H543="","",IF(E543=H543,"SIM","NÃO"))</f>
        <v/>
      </c>
      <c r="J543" s="52" t="str">
        <f>IF(H543="","",VLOOKUP(A543,'6.A'!$A$11:$E$564,4,FALSE))</f>
        <v/>
      </c>
      <c r="K543" s="52" t="str">
        <f t="shared" ref="K543" si="252">IF(H543="","",IF(J543=D543,"SIM","NÃO"))</f>
        <v/>
      </c>
      <c r="L543" s="52" t="str">
        <f>IF(H543="","",IF(C543="","",G532*C543))</f>
        <v/>
      </c>
      <c r="M543" s="117" t="str">
        <f>IF(A543="","",VLOOKUP(A543,'6.A'!$A$11:$C$564,2,FALSE))</f>
        <v/>
      </c>
      <c r="N543" s="57" t="str">
        <f t="shared" ref="N543" si="253">IF(A543="","",IF(M543=B543,"si","no"))</f>
        <v/>
      </c>
      <c r="O543" s="56"/>
      <c r="P543" s="56"/>
      <c r="Q543" s="48"/>
      <c r="R543" s="48"/>
      <c r="S543" s="2"/>
    </row>
    <row r="544" spans="1:23" ht="12.75" customHeight="1" x14ac:dyDescent="0.2">
      <c r="A544" s="17"/>
      <c r="B544" s="26" t="str">
        <f>$A$8</f>
        <v>LEIS SOCIAIS HORISTA - JORNADA NORMAL</v>
      </c>
      <c r="C544" s="27">
        <f>$C$8</f>
        <v>0</v>
      </c>
      <c r="D544" s="57"/>
      <c r="F544" s="28">
        <f>ROUND(SUM(F534:F543)*C544,2)</f>
        <v>0</v>
      </c>
      <c r="G544" s="63"/>
      <c r="M544" s="62"/>
      <c r="N544" s="57"/>
      <c r="O544" s="56"/>
      <c r="P544" s="56"/>
      <c r="Q544" s="48"/>
      <c r="R544" s="48"/>
      <c r="S544" s="2"/>
    </row>
    <row r="545" spans="1:19" ht="12.75" customHeight="1" x14ac:dyDescent="0.2">
      <c r="A545" s="22"/>
      <c r="B545" s="26" t="str">
        <f>$A$9</f>
        <v>BDI</v>
      </c>
      <c r="C545" s="27">
        <f>$C$9</f>
        <v>0</v>
      </c>
      <c r="D545" s="29"/>
      <c r="F545" s="28">
        <f>ROUND(SUM(F534:F544)*C545,2)</f>
        <v>0</v>
      </c>
      <c r="G545" s="63"/>
      <c r="M545" s="62"/>
      <c r="N545" s="57"/>
      <c r="O545" s="56"/>
      <c r="P545" s="56"/>
      <c r="Q545" s="48"/>
      <c r="R545" s="48"/>
      <c r="S545" s="2"/>
    </row>
    <row r="546" spans="1:19" ht="12.75" customHeight="1" x14ac:dyDescent="0.2">
      <c r="A546" s="30"/>
      <c r="B546" s="31" t="s">
        <v>56</v>
      </c>
      <c r="C546" s="32"/>
      <c r="D546" s="33"/>
      <c r="E546" s="34"/>
      <c r="F546" s="35">
        <f>ROUND(SUM(F534:F545),2)</f>
        <v>0</v>
      </c>
      <c r="G546" s="63"/>
      <c r="M546" s="62"/>
      <c r="N546" s="57"/>
      <c r="O546" s="56"/>
      <c r="P546" s="56"/>
      <c r="Q546" s="48"/>
      <c r="R546" s="48"/>
      <c r="S546" s="2"/>
    </row>
    <row r="547" spans="1:19" ht="12.75" customHeight="1" x14ac:dyDescent="0.2">
      <c r="A547" s="17" t="s">
        <v>5</v>
      </c>
      <c r="B547" s="153" t="s">
        <v>130</v>
      </c>
      <c r="C547" s="56" t="s">
        <v>59</v>
      </c>
      <c r="D547" s="56" t="s">
        <v>16</v>
      </c>
      <c r="E547" s="19" t="s">
        <v>60</v>
      </c>
      <c r="F547" s="20" t="s">
        <v>61</v>
      </c>
      <c r="G547" s="21"/>
      <c r="M547" s="62"/>
      <c r="N547" s="57"/>
      <c r="O547" s="56"/>
      <c r="P547" s="56"/>
      <c r="Q547" s="48"/>
      <c r="R547" s="48"/>
      <c r="S547" s="2"/>
    </row>
    <row r="548" spans="1:19" ht="12.75" customHeight="1" x14ac:dyDescent="0.2">
      <c r="A548" s="22"/>
      <c r="B548" s="23" t="str">
        <f>IF(A548="","",VLOOKUP(A548,'6.A'!$A$11:$G$180,2,FALSE))</f>
        <v/>
      </c>
      <c r="C548" s="156"/>
      <c r="D548" s="57" t="str">
        <f>IF(A548="","",VLOOKUP(A548,'6.A'!$A$11:$G$180,4,FALSE))</f>
        <v/>
      </c>
      <c r="E548" s="100" t="str">
        <f>IF(A548="","",VLOOKUP(A548,'6.A'!$A$11:$G$180,5,FALSE))</f>
        <v/>
      </c>
      <c r="F548" s="24" t="str">
        <f t="shared" ref="F548:F557" si="254">IF(A548="","0,00",ROUND(C548*E548,2))</f>
        <v>0,00</v>
      </c>
      <c r="G548" s="52"/>
      <c r="H548" s="52" t="str">
        <f>IF(A548="","",VLOOKUP(A548,'6.A'!$A$11:$E$7984,5,FALSE))</f>
        <v/>
      </c>
      <c r="I548" s="52" t="str">
        <f t="shared" ref="I548:I557" si="255">IF(H548="","",IF(E548=H548,"SIM","NÃO"))</f>
        <v/>
      </c>
      <c r="J548" s="52" t="str">
        <f>IF(H548="","",VLOOKUP(A548,'6.A'!$A$11:$E$564,4,FALSE))</f>
        <v/>
      </c>
      <c r="K548" s="52" t="str">
        <f t="shared" ref="K548:K557" si="256">IF(H548="","",IF(J548=D548,"SIM","NÃO"))</f>
        <v/>
      </c>
      <c r="L548" s="52" t="str">
        <f>IF(H548="","",IF(C548="","",G532*C548))</f>
        <v/>
      </c>
      <c r="M548" s="117" t="str">
        <f>IF(A548="","",VLOOKUP(A548,'6.A'!$A$11:$C$564,2,FALSE))</f>
        <v/>
      </c>
      <c r="N548" s="57" t="str">
        <f t="shared" ref="N548:N553" si="257">IF(A548="","",IF(M548=B548,"si","no"))</f>
        <v/>
      </c>
      <c r="O548" s="56"/>
      <c r="P548" s="56"/>
      <c r="Q548" s="48"/>
      <c r="R548" s="48"/>
      <c r="S548" s="2"/>
    </row>
    <row r="549" spans="1:19" ht="12.75" customHeight="1" x14ac:dyDescent="0.2">
      <c r="A549" s="22"/>
      <c r="B549" s="23" t="str">
        <f>IF(A549="","",VLOOKUP(A549,'6.A'!$A$11:$G$180,2,FALSE))</f>
        <v/>
      </c>
      <c r="C549" s="99"/>
      <c r="D549" s="57" t="str">
        <f>IF(A549="","",VLOOKUP(A549,'6.A'!$A$11:$G$180,4,FALSE))</f>
        <v/>
      </c>
      <c r="E549" s="100" t="str">
        <f>IF(A549="","",VLOOKUP(A549,'6.A'!$A$11:$G$180,5,FALSE))</f>
        <v/>
      </c>
      <c r="F549" s="24" t="str">
        <f t="shared" si="254"/>
        <v>0,00</v>
      </c>
      <c r="G549" s="52"/>
      <c r="H549" s="52" t="str">
        <f>IF(A549="","",VLOOKUP(A549,'6.A'!$A$11:$E$7984,5,FALSE))</f>
        <v/>
      </c>
      <c r="I549" s="52" t="str">
        <f t="shared" si="255"/>
        <v/>
      </c>
      <c r="J549" s="52" t="str">
        <f>IF(H549="","",VLOOKUP(A549,'6.A'!$A$11:$E$564,4,FALSE))</f>
        <v/>
      </c>
      <c r="K549" s="52" t="str">
        <f t="shared" si="256"/>
        <v/>
      </c>
      <c r="L549" s="52" t="str">
        <f>IF(H549="","",IF(C549="","",G532*C549))</f>
        <v/>
      </c>
      <c r="M549" s="117" t="str">
        <f>IF(A549="","",VLOOKUP(A549,'6.A'!$A$11:$C$564,2,FALSE))</f>
        <v/>
      </c>
      <c r="N549" s="57" t="str">
        <f t="shared" si="257"/>
        <v/>
      </c>
      <c r="O549" s="56"/>
      <c r="P549" s="56"/>
      <c r="Q549" s="48"/>
      <c r="R549" s="48"/>
      <c r="S549" s="2"/>
    </row>
    <row r="550" spans="1:19" ht="12.75" customHeight="1" x14ac:dyDescent="0.2">
      <c r="A550" s="22"/>
      <c r="B550" s="23" t="str">
        <f>IF(A550="","",VLOOKUP(A550,'6.A'!$A$11:$G$180,2,FALSE))</f>
        <v/>
      </c>
      <c r="C550" s="99"/>
      <c r="D550" s="57" t="str">
        <f>IF(A550="","",VLOOKUP(A550,'6.A'!$A$11:$G$180,4,FALSE))</f>
        <v/>
      </c>
      <c r="E550" s="100" t="str">
        <f>IF(A550="","",VLOOKUP(A550,'6.A'!$A$11:$G$180,5,FALSE))</f>
        <v/>
      </c>
      <c r="F550" s="24" t="str">
        <f t="shared" si="254"/>
        <v>0,00</v>
      </c>
      <c r="G550" s="52"/>
      <c r="H550" s="52" t="str">
        <f>IF(A550="","",VLOOKUP(A550,'6.A'!$A$11:$E$7984,5,FALSE))</f>
        <v/>
      </c>
      <c r="I550" s="52" t="str">
        <f t="shared" si="255"/>
        <v/>
      </c>
      <c r="J550" s="52" t="str">
        <f>IF(H550="","",VLOOKUP(A550,'6.A'!$A$11:$E$564,4,FALSE))</f>
        <v/>
      </c>
      <c r="K550" s="52" t="str">
        <f t="shared" si="256"/>
        <v/>
      </c>
      <c r="L550" s="52" t="str">
        <f>IF(H550="","",IF(C550="","",G532*C550))</f>
        <v/>
      </c>
      <c r="M550" s="117" t="str">
        <f>IF(A550="","",VLOOKUP(A550,'6.A'!$A$11:$C$564,2,FALSE))</f>
        <v/>
      </c>
      <c r="N550" s="57" t="str">
        <f t="shared" si="257"/>
        <v/>
      </c>
      <c r="O550" s="56"/>
      <c r="P550" s="56"/>
      <c r="Q550" s="48"/>
      <c r="R550" s="48"/>
      <c r="S550" s="2"/>
    </row>
    <row r="551" spans="1:19" ht="12.75" customHeight="1" x14ac:dyDescent="0.2">
      <c r="A551" s="22"/>
      <c r="B551" s="55" t="str">
        <f>IF(A551="","",VLOOKUP(A551,'6.A'!$A$11:$G$180,2,FALSE))</f>
        <v/>
      </c>
      <c r="C551" s="134"/>
      <c r="D551" s="57" t="str">
        <f>IF(A551="","",VLOOKUP(A551,'6.A'!$A$11:$G$180,4,FALSE))</f>
        <v/>
      </c>
      <c r="E551" s="100" t="str">
        <f>IF(A551="","",VLOOKUP(A551,'6.A'!$A$11:$G$180,5,FALSE))</f>
        <v/>
      </c>
      <c r="F551" s="24" t="str">
        <f t="shared" si="254"/>
        <v>0,00</v>
      </c>
      <c r="G551" s="52"/>
      <c r="H551" s="52" t="str">
        <f>IF(A551="","",VLOOKUP(A551,'6.A'!$A$11:$E$7984,5,FALSE))</f>
        <v/>
      </c>
      <c r="I551" s="52" t="str">
        <f t="shared" si="255"/>
        <v/>
      </c>
      <c r="J551" s="52" t="str">
        <f>IF(H551="","",VLOOKUP(A551,'6.A'!$A$11:$E$564,4,FALSE))</f>
        <v/>
      </c>
      <c r="K551" s="52" t="str">
        <f t="shared" si="256"/>
        <v/>
      </c>
      <c r="L551" s="52" t="str">
        <f>IF(H551="","",IF(C551="","",G532*C551))</f>
        <v/>
      </c>
      <c r="M551" s="117" t="str">
        <f>IF(A551="","",VLOOKUP(A551,'6.A'!$A$11:$C$564,2,FALSE))</f>
        <v/>
      </c>
      <c r="N551" s="57" t="str">
        <f t="shared" si="257"/>
        <v/>
      </c>
      <c r="O551" s="56"/>
      <c r="P551" s="56"/>
      <c r="Q551" s="48"/>
      <c r="R551" s="48"/>
      <c r="S551" s="2"/>
    </row>
    <row r="552" spans="1:19" ht="12.75" customHeight="1" x14ac:dyDescent="0.2">
      <c r="A552" s="22"/>
      <c r="B552" s="23" t="str">
        <f>IF(A552="","",VLOOKUP(A552,'6.A'!$A$11:$G$180,2,FALSE))</f>
        <v/>
      </c>
      <c r="C552" s="99"/>
      <c r="D552" s="57" t="str">
        <f>IF(A552="","",VLOOKUP(A552,'6.A'!$A$11:$G$180,4,FALSE))</f>
        <v/>
      </c>
      <c r="E552" s="100" t="str">
        <f>IF(A552="","",VLOOKUP(A552,'6.A'!$A$11:$G$180,5,FALSE))</f>
        <v/>
      </c>
      <c r="F552" s="24" t="str">
        <f t="shared" si="254"/>
        <v>0,00</v>
      </c>
      <c r="G552" s="52"/>
      <c r="H552" s="52" t="str">
        <f>IF(A552="","",VLOOKUP(A552,'6.A'!$A$11:$E$7984,5,FALSE))</f>
        <v/>
      </c>
      <c r="I552" s="52" t="str">
        <f t="shared" si="255"/>
        <v/>
      </c>
      <c r="J552" s="52" t="str">
        <f>IF(H552="","",VLOOKUP(A552,'6.A'!$A$11:$E$564,4,FALSE))</f>
        <v/>
      </c>
      <c r="K552" s="52" t="str">
        <f t="shared" si="256"/>
        <v/>
      </c>
      <c r="L552" s="52" t="str">
        <f>IF(H552="","",IF(C552="","",G532*C552))</f>
        <v/>
      </c>
      <c r="M552" s="117" t="str">
        <f>IF(A552="","",VLOOKUP(A552,'6.A'!$A$11:$C$564,2,FALSE))</f>
        <v/>
      </c>
      <c r="N552" s="57" t="str">
        <f t="shared" si="257"/>
        <v/>
      </c>
      <c r="O552" s="56"/>
      <c r="P552" s="56"/>
      <c r="Q552" s="48"/>
      <c r="R552" s="48"/>
      <c r="S552" s="2"/>
    </row>
    <row r="553" spans="1:19" ht="12.75" customHeight="1" x14ac:dyDescent="0.2">
      <c r="A553" s="22"/>
      <c r="B553" s="23" t="str">
        <f>IF(A553="","",VLOOKUP(A553,'6.A'!$A$11:$G$180,2,FALSE))</f>
        <v/>
      </c>
      <c r="C553" s="99"/>
      <c r="D553" s="57" t="str">
        <f>IF(A553="","",VLOOKUP(A553,'6.A'!$A$11:$G$180,4,FALSE))</f>
        <v/>
      </c>
      <c r="E553" s="100" t="str">
        <f>IF(A553="","",VLOOKUP(A553,'6.A'!$A$11:$G$180,5,FALSE))</f>
        <v/>
      </c>
      <c r="F553" s="24" t="str">
        <f t="shared" si="254"/>
        <v>0,00</v>
      </c>
      <c r="G553" s="52"/>
      <c r="H553" s="52" t="str">
        <f>IF(A553="","",VLOOKUP(A553,'6.A'!$A$11:$E$7984,5,FALSE))</f>
        <v/>
      </c>
      <c r="I553" s="52" t="str">
        <f t="shared" si="255"/>
        <v/>
      </c>
      <c r="J553" s="52" t="str">
        <f>IF(H553="","",VLOOKUP(A553,'6.A'!$A$11:$E$564,4,FALSE))</f>
        <v/>
      </c>
      <c r="K553" s="52" t="str">
        <f t="shared" si="256"/>
        <v/>
      </c>
      <c r="L553" s="52" t="str">
        <f>IF(H553="","",IF(C553="","",G532*C553))</f>
        <v/>
      </c>
      <c r="M553" s="117" t="str">
        <f>IF(A553="","",VLOOKUP(A553,'6.A'!$A$11:$C$564,2,FALSE))</f>
        <v/>
      </c>
      <c r="N553" s="57" t="str">
        <f t="shared" si="257"/>
        <v/>
      </c>
      <c r="O553" s="56"/>
      <c r="P553" s="56"/>
      <c r="Q553" s="48"/>
      <c r="R553" s="48"/>
      <c r="S553" s="2"/>
    </row>
    <row r="554" spans="1:19" ht="12.75" customHeight="1" x14ac:dyDescent="0.2">
      <c r="A554" s="22"/>
      <c r="B554" s="23" t="str">
        <f>IF(A554="","",VLOOKUP(A554,'6.A'!$A$11:$G$180,2,FALSE))</f>
        <v/>
      </c>
      <c r="C554" s="99"/>
      <c r="D554" s="57" t="str">
        <f>IF(A554="","",VLOOKUP(A554,'6.A'!$A$11:$G$180,4,FALSE))</f>
        <v/>
      </c>
      <c r="E554" s="100" t="str">
        <f>IF(A554="","",VLOOKUP(A554,'6.A'!$A$11:$G$180,5,FALSE))</f>
        <v/>
      </c>
      <c r="F554" s="24" t="str">
        <f t="shared" si="254"/>
        <v>0,00</v>
      </c>
      <c r="G554" s="52"/>
      <c r="H554" s="52" t="str">
        <f>IF(A554="","",VLOOKUP(A554,'6.A'!$A$11:$E$7984,5,FALSE))</f>
        <v/>
      </c>
      <c r="I554" s="52" t="str">
        <f t="shared" si="255"/>
        <v/>
      </c>
      <c r="J554" s="52" t="str">
        <f>IF(H554="","",VLOOKUP(A554,'6.A'!$A$11:$E$564,4,FALSE))</f>
        <v/>
      </c>
      <c r="K554" s="52" t="str">
        <f t="shared" si="256"/>
        <v/>
      </c>
      <c r="L554" s="52" t="str">
        <f>IF(H554="","",IF(C554="","",G532*C554))</f>
        <v/>
      </c>
      <c r="M554" s="117" t="str">
        <f>IF(A554="","",VLOOKUP(A554,'6.A'!$A$11:$C$564,2,FALSE))</f>
        <v/>
      </c>
      <c r="N554" s="57" t="str">
        <f>IF(A554="","",IF(M554=B554,"si","no"))</f>
        <v/>
      </c>
      <c r="O554" s="56"/>
      <c r="P554" s="56"/>
      <c r="Q554" s="48"/>
      <c r="R554" s="48"/>
      <c r="S554" s="2"/>
    </row>
    <row r="555" spans="1:19" ht="12.75" customHeight="1" x14ac:dyDescent="0.2">
      <c r="A555" s="22"/>
      <c r="B555" s="23" t="str">
        <f>IF(A555="","",VLOOKUP(A555,'6.A'!$A$11:$G$180,2,FALSE))</f>
        <v/>
      </c>
      <c r="C555" s="99"/>
      <c r="D555" s="57" t="str">
        <f>IF(A555="","",VLOOKUP(A555,'6.A'!$A$11:$G$180,4,FALSE))</f>
        <v/>
      </c>
      <c r="E555" s="100" t="str">
        <f>IF(A555="","",VLOOKUP(A555,'6.A'!$A$11:$G$180,5,FALSE))</f>
        <v/>
      </c>
      <c r="F555" s="24" t="str">
        <f t="shared" si="254"/>
        <v>0,00</v>
      </c>
      <c r="G555" s="52"/>
      <c r="H555" s="52" t="str">
        <f>IF(A555="","",VLOOKUP(A555,'6.A'!$A$11:$E$7984,5,FALSE))</f>
        <v/>
      </c>
      <c r="I555" s="52" t="str">
        <f t="shared" si="255"/>
        <v/>
      </c>
      <c r="J555" s="52" t="str">
        <f>IF(H555="","",VLOOKUP(A555,'6.A'!$A$11:$E$564,4,FALSE))</f>
        <v/>
      </c>
      <c r="K555" s="52" t="str">
        <f t="shared" si="256"/>
        <v/>
      </c>
      <c r="L555" s="52" t="str">
        <f>IF(H555="","",IF(C555="","",G532*C555))</f>
        <v/>
      </c>
      <c r="M555" s="117" t="str">
        <f>IF(A555="","",VLOOKUP(A555,'6.A'!$A$11:$C$564,2,FALSE))</f>
        <v/>
      </c>
      <c r="N555" s="57" t="str">
        <f>IF(A555="","",IF(M555=B555,"si","no"))</f>
        <v/>
      </c>
      <c r="O555" s="56"/>
      <c r="P555" s="56"/>
      <c r="Q555" s="48"/>
      <c r="R555" s="48"/>
      <c r="S555" s="2"/>
    </row>
    <row r="556" spans="1:19" ht="12.75" customHeight="1" x14ac:dyDescent="0.2">
      <c r="A556" s="22"/>
      <c r="B556" s="23" t="str">
        <f>IF(A556="","",VLOOKUP(A556,'6.A'!$A$11:$G$180,2,FALSE))</f>
        <v/>
      </c>
      <c r="C556" s="99"/>
      <c r="D556" s="57" t="str">
        <f>IF(A556="","",VLOOKUP(A556,'6.A'!$A$11:$G$180,4,FALSE))</f>
        <v/>
      </c>
      <c r="E556" s="100" t="str">
        <f>IF(A556="","",VLOOKUP(A556,'6.A'!$A$11:$G$180,5,FALSE))</f>
        <v/>
      </c>
      <c r="F556" s="24" t="str">
        <f t="shared" si="254"/>
        <v>0,00</v>
      </c>
      <c r="G556" s="52"/>
      <c r="H556" s="52" t="str">
        <f>IF(A556="","",VLOOKUP(A556,'6.A'!$A$11:$E$7984,5,FALSE))</f>
        <v/>
      </c>
      <c r="I556" s="52" t="str">
        <f t="shared" si="255"/>
        <v/>
      </c>
      <c r="J556" s="52" t="str">
        <f>IF(H556="","",VLOOKUP(A556,'6.A'!$A$11:$E$564,4,FALSE))</f>
        <v/>
      </c>
      <c r="K556" s="52" t="str">
        <f t="shared" si="256"/>
        <v/>
      </c>
      <c r="L556" s="52" t="str">
        <f>IF(H556="","",IF(C556="","",G532*C556))</f>
        <v/>
      </c>
      <c r="M556" s="117" t="str">
        <f>IF(A556="","",VLOOKUP(A556,'6.A'!$A$11:$C$564,2,FALSE))</f>
        <v/>
      </c>
      <c r="N556" s="57" t="str">
        <f t="shared" ref="N556:N557" si="258">IF(A556="","",IF(M556=B556,"si","no"))</f>
        <v/>
      </c>
      <c r="O556" s="56"/>
      <c r="P556" s="56"/>
      <c r="Q556" s="48"/>
      <c r="R556" s="48"/>
      <c r="S556" s="2"/>
    </row>
    <row r="557" spans="1:19" ht="12.75" customHeight="1" x14ac:dyDescent="0.2">
      <c r="A557" s="22"/>
      <c r="B557" s="23" t="str">
        <f>IF(A557="","",VLOOKUP(A557,'6.A'!$A$11:$G$180,2,FALSE))</f>
        <v/>
      </c>
      <c r="C557" s="99"/>
      <c r="D557" s="57" t="str">
        <f>IF(A557="","",VLOOKUP(A557,'6.A'!$A$11:$G$180,4,FALSE))</f>
        <v/>
      </c>
      <c r="E557" s="100" t="str">
        <f>IF(A557="","",VLOOKUP(A557,'6.A'!$A$11:$G$180,5,FALSE))</f>
        <v/>
      </c>
      <c r="F557" s="24" t="str">
        <f t="shared" si="254"/>
        <v>0,00</v>
      </c>
      <c r="G557" s="52"/>
      <c r="H557" s="52" t="str">
        <f>IF(A557="","",VLOOKUP(A557,'6.A'!$A$11:$E$7984,5,FALSE))</f>
        <v/>
      </c>
      <c r="I557" s="52" t="str">
        <f t="shared" si="255"/>
        <v/>
      </c>
      <c r="J557" s="52" t="str">
        <f>IF(H557="","",VLOOKUP(A557,'6.A'!$A$11:$E$564,4,FALSE))</f>
        <v/>
      </c>
      <c r="K557" s="52" t="str">
        <f t="shared" si="256"/>
        <v/>
      </c>
      <c r="L557" s="52" t="str">
        <f>IF(H557="","",IF(C557="","",G532*C557))</f>
        <v/>
      </c>
      <c r="M557" s="117" t="str">
        <f>IF(A557="","",VLOOKUP(A557,'6.A'!$A$11:$C$564,2,FALSE))</f>
        <v/>
      </c>
      <c r="N557" s="57" t="str">
        <f t="shared" si="258"/>
        <v/>
      </c>
      <c r="O557" s="56"/>
      <c r="P557" s="56"/>
      <c r="Q557" s="48"/>
      <c r="R557" s="48"/>
      <c r="S557" s="2"/>
    </row>
    <row r="558" spans="1:19" ht="12.75" customHeight="1" x14ac:dyDescent="0.2">
      <c r="A558" s="22"/>
      <c r="B558" s="26" t="str">
        <f>$A$9</f>
        <v>BDI</v>
      </c>
      <c r="C558" s="27">
        <f>$C$9</f>
        <v>0</v>
      </c>
      <c r="D558" s="57"/>
      <c r="F558" s="28">
        <f>ROUND(SUM(F548:F557)*C558,2)</f>
        <v>0</v>
      </c>
      <c r="G558" s="63"/>
      <c r="M558" s="62"/>
      <c r="N558" s="57"/>
      <c r="O558" s="56"/>
      <c r="P558" s="56"/>
      <c r="Q558" s="48"/>
      <c r="R558" s="48"/>
      <c r="S558" s="2"/>
    </row>
    <row r="559" spans="1:19" ht="12.75" customHeight="1" x14ac:dyDescent="0.2">
      <c r="A559" s="30"/>
      <c r="B559" s="31" t="s">
        <v>117</v>
      </c>
      <c r="C559" s="36"/>
      <c r="D559" s="37"/>
      <c r="E559" s="38"/>
      <c r="F559" s="35">
        <f>ROUND(SUM(F548:F558),2)</f>
        <v>0</v>
      </c>
      <c r="G559" s="63"/>
      <c r="M559" s="62"/>
      <c r="N559" s="57"/>
      <c r="O559" s="56"/>
      <c r="P559" s="56"/>
      <c r="Q559" s="48"/>
      <c r="R559" s="48"/>
      <c r="S559" s="2"/>
    </row>
    <row r="560" spans="1:19" ht="12.75" customHeight="1" x14ac:dyDescent="0.2">
      <c r="A560" s="17" t="s">
        <v>6</v>
      </c>
      <c r="B560" s="18" t="s">
        <v>17</v>
      </c>
      <c r="C560" s="56" t="s">
        <v>59</v>
      </c>
      <c r="D560" s="56" t="s">
        <v>16</v>
      </c>
      <c r="E560" s="19" t="s">
        <v>60</v>
      </c>
      <c r="F560" s="20" t="s">
        <v>61</v>
      </c>
      <c r="G560" s="21"/>
      <c r="M560" s="62"/>
      <c r="N560" s="57"/>
      <c r="O560" s="56"/>
      <c r="P560" s="56"/>
      <c r="Q560" s="48"/>
      <c r="R560" s="48"/>
      <c r="S560" s="2"/>
    </row>
    <row r="561" spans="1:22" ht="12.75" customHeight="1" x14ac:dyDescent="0.2">
      <c r="A561" s="22" t="str">
        <f>'6.A'!$A$60</f>
        <v>EL02359</v>
      </c>
      <c r="B561" s="39" t="str">
        <f>IF(A561="","",VLOOKUP(A561,'6.A'!$A$11:$G$180,2,FALSE))</f>
        <v>ABRAÇADEIRA TIPO D EM AÇO GALV A FOGO D=2" COM CUNHA PARA ELETRODUTO</v>
      </c>
      <c r="C561" s="99">
        <v>2</v>
      </c>
      <c r="D561" s="57" t="str">
        <f>IF(A561="","",VLOOKUP(A561,'6.A'!$A$11:$G$180,4,FALSE))</f>
        <v>UN</v>
      </c>
      <c r="E561" s="100">
        <f>IF(A561="","",VLOOKUP(A561,'6.A'!$A$11:$G$180,5,FALSE))</f>
        <v>0</v>
      </c>
      <c r="F561" s="24">
        <f t="shared" ref="F561" si="259">IF(A561="","0,00",ROUND(C561*E561,2))</f>
        <v>0</v>
      </c>
      <c r="G561" s="52"/>
      <c r="H561" s="52">
        <f>IF(A561="","",VLOOKUP(A561,'6.A'!$A$11:$E$7984,5,FALSE))</f>
        <v>0</v>
      </c>
      <c r="I561" s="52" t="str">
        <f t="shared" ref="I561" si="260">IF(H561="","",IF(E561=H561,"SIM","NÃO"))</f>
        <v>SIM</v>
      </c>
      <c r="J561" s="52" t="str">
        <f>IF(H561="","",VLOOKUP(A561,'6.A'!$A$11:$E$564,4,FALSE))</f>
        <v>UN</v>
      </c>
      <c r="K561" s="52" t="str">
        <f t="shared" ref="K561" si="261">IF(H561="","",IF(J561=D561,"SIM","NÃO"))</f>
        <v>SIM</v>
      </c>
      <c r="L561" s="52">
        <f>IF(H561="","",IF(C561="","",G532*C561))</f>
        <v>2</v>
      </c>
      <c r="M561" s="117" t="str">
        <f>IF(A561="","",VLOOKUP(A561,'6.A'!$A$11:$C$564,2,FALSE))</f>
        <v>ABRAÇADEIRA TIPO D EM AÇO GALV A FOGO D=2" COM CUNHA PARA ELETRODUTO</v>
      </c>
      <c r="N561" s="57" t="str">
        <f t="shared" ref="N561" si="262">IF(A561="","",IF(M561=B561,"si","no"))</f>
        <v>si</v>
      </c>
      <c r="O561" s="56"/>
      <c r="P561" s="56"/>
      <c r="Q561" s="48"/>
      <c r="R561" s="48"/>
    </row>
    <row r="562" spans="1:22" ht="12.75" customHeight="1" x14ac:dyDescent="0.2">
      <c r="A562" s="22" t="str">
        <f>'6.A'!$A$61</f>
        <v>EL07725</v>
      </c>
      <c r="B562" s="23" t="str">
        <f>IF(A562="","",VLOOKUP(A562,'6.A'!$A$11:$G$180,2,FALSE))</f>
        <v>DISJUNTOR TERMOMAGNÉTICO EM CAIXA MOLDADA TRIPOLAR 400A, ICC - 50KA/220V</v>
      </c>
      <c r="C562" s="99">
        <v>1</v>
      </c>
      <c r="D562" s="57" t="str">
        <f>IF(A562="","",VLOOKUP(A562,'6.A'!$A$11:$G$180,4,FALSE))</f>
        <v>UN</v>
      </c>
      <c r="E562" s="100">
        <f>IF(A562="","",VLOOKUP(A562,'6.A'!$A$11:$G$180,5,FALSE))</f>
        <v>0</v>
      </c>
      <c r="F562" s="24">
        <f>IF(A562="","0,00",ROUND(C562*E562,2))</f>
        <v>0</v>
      </c>
      <c r="G562" s="52"/>
      <c r="H562" s="52">
        <f>IF(A562="","",VLOOKUP(A562,'6.A'!$A$11:$E$7984,5,FALSE))</f>
        <v>0</v>
      </c>
      <c r="I562" s="52" t="str">
        <f>IF(H562="","",IF(E562=H562,"SIM","NÃO"))</f>
        <v>SIM</v>
      </c>
      <c r="J562" s="52" t="str">
        <f>IF(H562="","",VLOOKUP(A562,'6.A'!$A$11:$E$564,4,FALSE))</f>
        <v>UN</v>
      </c>
      <c r="K562" s="52" t="str">
        <f>IF(H562="","",IF(J562=D562,"SIM","NÃO"))</f>
        <v>SIM</v>
      </c>
      <c r="L562" s="52">
        <f>IF(H562="","",IF(C562="","",G532*C562))</f>
        <v>1</v>
      </c>
      <c r="M562" s="117" t="str">
        <f>IF(A562="","",VLOOKUP(A562,'6.A'!$A$11:$C$564,2,FALSE))</f>
        <v>DISJUNTOR TERMOMAGNÉTICO EM CAIXA MOLDADA TRIPOLAR 400A, ICC - 50KA/220V</v>
      </c>
      <c r="N562" s="57" t="str">
        <f>IF(A562="","",IF(M562=B562,"si","no"))</f>
        <v>si</v>
      </c>
      <c r="O562" s="56"/>
      <c r="P562" s="56"/>
      <c r="Q562" s="48"/>
      <c r="R562" s="48"/>
      <c r="S562" s="2"/>
    </row>
    <row r="563" spans="1:22" ht="12.75" customHeight="1" x14ac:dyDescent="0.2">
      <c r="A563" s="22">
        <f>'6.A'!$A$66</f>
        <v>406</v>
      </c>
      <c r="B563" s="39" t="str">
        <f>IF(A563="","",VLOOKUP(A563,'6.A'!$A$11:$G$180,2,FALSE))</f>
        <v xml:space="preserve">FITA ACO INOX PARA CINTAR POSTE, L = 19 MM, E = 0,5 MM (ROLO DE 30M) </v>
      </c>
      <c r="C563" s="99">
        <f>4.1/30</f>
        <v>0.13666666666666666</v>
      </c>
      <c r="D563" s="57" t="str">
        <f>IF(A563="","",VLOOKUP(A563,'6.A'!$A$11:$G$180,4,FALSE))</f>
        <v>UN</v>
      </c>
      <c r="E563" s="100">
        <f>IF(A563="","",VLOOKUP(A563,'6.A'!$A$11:$G$180,5,FALSE))</f>
        <v>0</v>
      </c>
      <c r="F563" s="24">
        <f t="shared" ref="F563:F580" si="263">IF(A563="","0,00",ROUND(C563*E563,2))</f>
        <v>0</v>
      </c>
      <c r="G563" s="52"/>
      <c r="H563" s="52">
        <f>IF(A563="","",VLOOKUP(A563,'6.A'!$A$11:$E$7984,5,FALSE))</f>
        <v>0</v>
      </c>
      <c r="I563" s="52" t="str">
        <f t="shared" ref="I563:I580" si="264">IF(H563="","",IF(E563=H563,"SIM","NÃO"))</f>
        <v>SIM</v>
      </c>
      <c r="J563" s="52" t="str">
        <f>IF(H563="","",VLOOKUP(A563,'6.A'!$A$11:$E$564,4,FALSE))</f>
        <v>UN</v>
      </c>
      <c r="K563" s="52" t="str">
        <f t="shared" ref="K563:K580" si="265">IF(H563="","",IF(J563=D563,"SIM","NÃO"))</f>
        <v>SIM</v>
      </c>
      <c r="L563" s="52">
        <f>IF(H563="","",IF(C563="","",G532*C563))</f>
        <v>0.13666666666666666</v>
      </c>
      <c r="M563" s="117" t="str">
        <f>IF(A563="","",VLOOKUP(A563,'6.A'!$A$11:$C$564,2,FALSE))</f>
        <v xml:space="preserve">FITA ACO INOX PARA CINTAR POSTE, L = 19 MM, E = 0,5 MM (ROLO DE 30M) </v>
      </c>
      <c r="N563" s="57" t="str">
        <f t="shared" ref="N563:N580" si="266">IF(A563="","",IF(M563=B563,"si","no"))</f>
        <v>si</v>
      </c>
      <c r="O563" s="56"/>
      <c r="P563" s="56"/>
      <c r="Q563" s="48"/>
      <c r="R563" s="48"/>
    </row>
    <row r="564" spans="1:22" ht="12.75" customHeight="1" x14ac:dyDescent="0.2">
      <c r="A564" s="22">
        <f>'6.A'!$A$81</f>
        <v>1062</v>
      </c>
      <c r="B564" s="23" t="str">
        <f>IF(A564="","",VLOOKUP(A564,'6.A'!$A$11:$G$180,2,FALSE))</f>
        <v>CAIXA DE MEDICAO PARA 1 MEDIDOR TRIFASICO, COM VISOR, EM CHAPA DE ACO 18 USG (PADRAO CONCESSIONARIA)</v>
      </c>
      <c r="C564" s="99">
        <v>1</v>
      </c>
      <c r="D564" s="57" t="str">
        <f>IF(A564="","",VLOOKUP(A564,'6.A'!$A$11:$G$180,4,FALSE))</f>
        <v>UN</v>
      </c>
      <c r="E564" s="100">
        <f>IF(A564="","",VLOOKUP(A564,'6.A'!$A$11:$G$180,5,FALSE))</f>
        <v>0</v>
      </c>
      <c r="F564" s="24">
        <f t="shared" si="263"/>
        <v>0</v>
      </c>
      <c r="G564" s="52"/>
      <c r="H564" s="52">
        <f>IF(A564="","",VLOOKUP(A564,'6.A'!$A$11:$E$7984,5,FALSE))</f>
        <v>0</v>
      </c>
      <c r="I564" s="52" t="str">
        <f t="shared" si="264"/>
        <v>SIM</v>
      </c>
      <c r="J564" s="52" t="str">
        <f>IF(H564="","",VLOOKUP(A564,'6.A'!$A$11:$E$564,4,FALSE))</f>
        <v>UN</v>
      </c>
      <c r="K564" s="52" t="str">
        <f t="shared" si="265"/>
        <v>SIM</v>
      </c>
      <c r="L564" s="52">
        <f>IF(H564="","",IF(C564="","",G532*C564))</f>
        <v>1</v>
      </c>
      <c r="M564" s="117" t="str">
        <f>IF(A564="","",VLOOKUP(A564,'6.A'!$A$11:$C$564,2,FALSE))</f>
        <v>CAIXA DE MEDICAO PARA 1 MEDIDOR TRIFASICO, COM VISOR, EM CHAPA DE ACO 18 USG (PADRAO CONCESSIONARIA)</v>
      </c>
      <c r="N564" s="57" t="str">
        <f t="shared" si="266"/>
        <v>si</v>
      </c>
      <c r="O564" s="56"/>
      <c r="P564" s="56"/>
      <c r="Q564" s="48"/>
      <c r="R564" s="48"/>
      <c r="S564" s="2"/>
    </row>
    <row r="565" spans="1:22" ht="12.75" customHeight="1" x14ac:dyDescent="0.2">
      <c r="A565" s="22">
        <f>'6.A'!$A$112</f>
        <v>4917</v>
      </c>
      <c r="B565" s="23" t="str">
        <f>IF(A565="","",VLOOKUP(A565,'6.A'!$A$11:$G$180,2,FALSE))</f>
        <v>PORTA DE ABRIR EM ALUMINIO ANODIZADO NATURAL TIPO VENEZIANA, SEM GUARNICAO/ALIZAR/VISTA</v>
      </c>
      <c r="C565" s="99">
        <f>1.85*1.6</f>
        <v>2.9600000000000004</v>
      </c>
      <c r="D565" s="57" t="str">
        <f>IF(A565="","",VLOOKUP(A565,'6.A'!$A$11:$G$180,4,FALSE))</f>
        <v>M2</v>
      </c>
      <c r="E565" s="100">
        <f>IF(A565="","",VLOOKUP(A565,'6.A'!$A$11:$G$180,5,FALSE))</f>
        <v>0</v>
      </c>
      <c r="F565" s="24">
        <f t="shared" si="263"/>
        <v>0</v>
      </c>
      <c r="G565" s="52"/>
      <c r="H565" s="52">
        <f>IF(A565="","",VLOOKUP(A565,'6.A'!$A$11:$E$7984,5,FALSE))</f>
        <v>0</v>
      </c>
      <c r="I565" s="52" t="str">
        <f t="shared" si="264"/>
        <v>SIM</v>
      </c>
      <c r="J565" s="52" t="str">
        <f>IF(H565="","",VLOOKUP(A565,'6.A'!$A$11:$E$564,4,FALSE))</f>
        <v>M2</v>
      </c>
      <c r="K565" s="52" t="str">
        <f t="shared" si="265"/>
        <v>SIM</v>
      </c>
      <c r="L565" s="52">
        <f>IF(H565="","",IF(C565="","",G532*C565))</f>
        <v>2.9600000000000004</v>
      </c>
      <c r="M565" s="117" t="str">
        <f>IF(A565="","",VLOOKUP(A565,'6.A'!$A$11:$C$564,2,FALSE))</f>
        <v>PORTA DE ABRIR EM ALUMINIO ANODIZADO NATURAL TIPO VENEZIANA, SEM GUARNICAO/ALIZAR/VISTA</v>
      </c>
      <c r="N565" s="57" t="str">
        <f t="shared" si="266"/>
        <v>si</v>
      </c>
      <c r="O565" s="56"/>
      <c r="P565" s="56"/>
      <c r="Q565" s="48"/>
      <c r="R565" s="48"/>
      <c r="S565" s="2"/>
    </row>
    <row r="566" spans="1:22" ht="12.75" customHeight="1" x14ac:dyDescent="0.2">
      <c r="A566" s="22">
        <f>'6.A'!$A$116</f>
        <v>7528</v>
      </c>
      <c r="B566" s="23" t="str">
        <f>IF(A566="","",VLOOKUP(A566,'6.A'!$A$11:$G$180,2,FALSE))</f>
        <v>TOMADA 2P+T 10A, 250V, CONJUNTO MONTADO PARA EMBUTIR 4" X 2" (PLACA + SUPORTE + MODULO)</v>
      </c>
      <c r="C566" s="99">
        <v>2</v>
      </c>
      <c r="D566" s="57" t="str">
        <f>IF(A566="","",VLOOKUP(A566,'6.A'!$A$11:$G$180,4,FALSE))</f>
        <v>UN</v>
      </c>
      <c r="E566" s="100">
        <f>IF(A566="","",VLOOKUP(A566,'6.A'!$A$11:$G$180,5,FALSE))</f>
        <v>0</v>
      </c>
      <c r="F566" s="24">
        <f t="shared" si="263"/>
        <v>0</v>
      </c>
      <c r="G566" s="52"/>
      <c r="H566" s="52">
        <f>IF(A566="","",VLOOKUP(A566,'6.A'!$A$11:$E$7984,5,FALSE))</f>
        <v>0</v>
      </c>
      <c r="I566" s="52" t="str">
        <f t="shared" si="264"/>
        <v>SIM</v>
      </c>
      <c r="J566" s="52" t="str">
        <f>IF(H566="","",VLOOKUP(A566,'6.A'!$A$11:$E$564,4,FALSE))</f>
        <v>UN</v>
      </c>
      <c r="K566" s="52" t="str">
        <f t="shared" si="265"/>
        <v>SIM</v>
      </c>
      <c r="L566" s="52">
        <f>IF(H566="","",IF(C566="","",G532*C566))</f>
        <v>2</v>
      </c>
      <c r="M566" s="117" t="str">
        <f>IF(A566="","",VLOOKUP(A566,'6.A'!$A$11:$C$564,2,FALSE))</f>
        <v>TOMADA 2P+T 10A, 250V, CONJUNTO MONTADO PARA EMBUTIR 4" X 2" (PLACA + SUPORTE + MODULO)</v>
      </c>
      <c r="N566" s="57" t="str">
        <f t="shared" si="266"/>
        <v>si</v>
      </c>
      <c r="O566" s="56"/>
      <c r="P566" s="56"/>
      <c r="Q566" s="48"/>
      <c r="R566" s="48"/>
      <c r="S566" s="2"/>
    </row>
    <row r="567" spans="1:22" ht="12.75" customHeight="1" x14ac:dyDescent="0.2">
      <c r="A567" s="22">
        <f>'6.A'!$A$119</f>
        <v>7576</v>
      </c>
      <c r="B567" s="23" t="str">
        <f>IF(A567="","",VLOOKUP(A567,'6.A'!$A$11:$G$180,2,FALSE))</f>
        <v>SUPORTE EM ACO GALVANIZADO PARA TRANSFORMADOR PARA POSTE DUPLO T 185 X 95 MM, CHAPA DE 5/16"</v>
      </c>
      <c r="C567" s="99">
        <v>2</v>
      </c>
      <c r="D567" s="57" t="str">
        <f>IF(A567="","",VLOOKUP(A567,'6.A'!$A$11:$G$180,4,FALSE))</f>
        <v>UN</v>
      </c>
      <c r="E567" s="100">
        <f>IF(A567="","",VLOOKUP(A567,'6.A'!$A$11:$G$180,5,FALSE))</f>
        <v>0</v>
      </c>
      <c r="F567" s="24">
        <f t="shared" si="263"/>
        <v>0</v>
      </c>
      <c r="G567" s="52"/>
      <c r="H567" s="52">
        <f>IF(A567="","",VLOOKUP(A567,'6.A'!$A$11:$E$7984,5,FALSE))</f>
        <v>0</v>
      </c>
      <c r="I567" s="52" t="str">
        <f t="shared" si="264"/>
        <v>SIM</v>
      </c>
      <c r="J567" s="52" t="str">
        <f>IF(H567="","",VLOOKUP(A567,'6.A'!$A$11:$E$564,4,FALSE))</f>
        <v>UN</v>
      </c>
      <c r="K567" s="52" t="str">
        <f t="shared" si="265"/>
        <v>SIM</v>
      </c>
      <c r="L567" s="52">
        <f>IF(H567="","",IF(C567="","",G532*C567))</f>
        <v>2</v>
      </c>
      <c r="M567" s="117" t="str">
        <f>IF(A567="","",VLOOKUP(A567,'6.A'!$A$11:$C$564,2,FALSE))</f>
        <v>SUPORTE EM ACO GALVANIZADO PARA TRANSFORMADOR PARA POSTE DUPLO T 185 X 95 MM, CHAPA DE 5/16"</v>
      </c>
      <c r="N567" s="57" t="str">
        <f t="shared" si="266"/>
        <v>si</v>
      </c>
      <c r="O567" s="56"/>
      <c r="P567" s="56"/>
      <c r="Q567" s="48"/>
      <c r="R567" s="48"/>
    </row>
    <row r="568" spans="1:22" ht="12.75" customHeight="1" x14ac:dyDescent="0.2">
      <c r="A568" s="22">
        <f>'6.A'!$A$122</f>
        <v>12327</v>
      </c>
      <c r="B568" s="23" t="str">
        <f>IF(A568="","",VLOOKUP(A568,'6.A'!$A$11:$G$180,2,FALSE))</f>
        <v>CINTA CIRCULAR EM ACO GALVANIZADO DIÂMETRO 210 MM PARA INSTALACAO DE TRANSFORMADOR EM POSTE</v>
      </c>
      <c r="C568" s="99">
        <v>3</v>
      </c>
      <c r="D568" s="57" t="str">
        <f>IF(A568="","",VLOOKUP(A568,'6.A'!$A$11:$G$180,4,FALSE))</f>
        <v>UN</v>
      </c>
      <c r="E568" s="100">
        <f>IF(A568="","",VLOOKUP(A568,'6.A'!$A$11:$G$180,5,FALSE))</f>
        <v>0</v>
      </c>
      <c r="F568" s="24">
        <f t="shared" si="263"/>
        <v>0</v>
      </c>
      <c r="G568" s="52"/>
      <c r="H568" s="52">
        <f>IF(A568="","",VLOOKUP(A568,'6.A'!$A$11:$E$7984,5,FALSE))</f>
        <v>0</v>
      </c>
      <c r="I568" s="52" t="str">
        <f t="shared" si="264"/>
        <v>SIM</v>
      </c>
      <c r="J568" s="52" t="str">
        <f>IF(H568="","",VLOOKUP(A568,'6.A'!$A$11:$E$564,4,FALSE))</f>
        <v>UN</v>
      </c>
      <c r="K568" s="52" t="str">
        <f t="shared" si="265"/>
        <v>SIM</v>
      </c>
      <c r="L568" s="52">
        <f>IF(H568="","",IF(C568="","",G532*C568))</f>
        <v>3</v>
      </c>
      <c r="M568" s="117" t="str">
        <f>IF(A568="","",VLOOKUP(A568,'6.A'!$A$11:$C$564,2,FALSE))</f>
        <v>CINTA CIRCULAR EM ACO GALVANIZADO DIÂMETRO 210 MM PARA INSTALACAO DE TRANSFORMADOR EM POSTE</v>
      </c>
      <c r="N568" s="57" t="str">
        <f t="shared" si="266"/>
        <v>si</v>
      </c>
      <c r="O568" s="56"/>
      <c r="P568" s="56"/>
      <c r="Q568" s="48"/>
      <c r="R568" s="48"/>
    </row>
    <row r="569" spans="1:22" ht="12.75" customHeight="1" x14ac:dyDescent="0.2">
      <c r="A569" s="22">
        <f>'6.A'!$A$127</f>
        <v>34623</v>
      </c>
      <c r="B569" s="23" t="str">
        <f>IF(A569="","",VLOOKUP(A569,'6.A'!$A$11:$G$180,2,FALSE))</f>
        <v>DISJUNTOR TERMOMAGNETICO PARA TRILHO DIN (IEC), BIPOLAR, 40 - 50 A</v>
      </c>
      <c r="C569" s="99">
        <v>1</v>
      </c>
      <c r="D569" s="57" t="str">
        <f>IF(A569="","",VLOOKUP(A569,'6.A'!$A$11:$G$180,4,FALSE))</f>
        <v>UN</v>
      </c>
      <c r="E569" s="100">
        <f>IF(A569="","",VLOOKUP(A569,'6.A'!$A$11:$G$180,5,FALSE))</f>
        <v>0</v>
      </c>
      <c r="F569" s="24">
        <f t="shared" si="263"/>
        <v>0</v>
      </c>
      <c r="G569" s="52"/>
      <c r="H569" s="52">
        <f>IF(A569="","",VLOOKUP(A569,'6.A'!$A$11:$E$7984,5,FALSE))</f>
        <v>0</v>
      </c>
      <c r="I569" s="52" t="str">
        <f t="shared" si="264"/>
        <v>SIM</v>
      </c>
      <c r="J569" s="52" t="str">
        <f>IF(H569="","",VLOOKUP(A569,'6.A'!$A$11:$E$564,4,FALSE))</f>
        <v>UN</v>
      </c>
      <c r="K569" s="52" t="str">
        <f t="shared" si="265"/>
        <v>SIM</v>
      </c>
      <c r="L569" s="52">
        <f>IF(H569="","",IF(C569="","",G532*C569))</f>
        <v>1</v>
      </c>
      <c r="M569" s="117" t="str">
        <f>IF(A569="","",VLOOKUP(A569,'6.A'!$A$11:$C$564,2,FALSE))</f>
        <v>DISJUNTOR TERMOMAGNETICO PARA TRILHO DIN (IEC), BIPOLAR, 40 - 50 A</v>
      </c>
      <c r="N569" s="57" t="str">
        <f t="shared" si="266"/>
        <v>si</v>
      </c>
      <c r="O569" s="56"/>
      <c r="P569" s="56"/>
      <c r="Q569" s="48"/>
      <c r="R569" s="48"/>
      <c r="S569" s="2"/>
    </row>
    <row r="570" spans="1:22" ht="12.75" customHeight="1" x14ac:dyDescent="0.2">
      <c r="A570" s="22">
        <f>'6.A'!$A$137</f>
        <v>39182</v>
      </c>
      <c r="B570" s="23" t="str">
        <f>IF(A570="","",VLOOKUP(A570,'6.A'!$A$11:$G$180,2,FALSE))</f>
        <v>BUCHA EM ALUMINIO, COM ROSCA, DE 4", PARA ELETRODUTO</v>
      </c>
      <c r="C570" s="99">
        <v>1</v>
      </c>
      <c r="D570" s="57" t="str">
        <f>IF(A570="","",VLOOKUP(A570,'6.A'!$A$11:$G$180,4,FALSE))</f>
        <v>UN</v>
      </c>
      <c r="E570" s="100">
        <f>IF(A570="","",VLOOKUP(A570,'6.A'!$A$11:$G$180,5,FALSE))</f>
        <v>0</v>
      </c>
      <c r="F570" s="24">
        <f t="shared" si="263"/>
        <v>0</v>
      </c>
      <c r="G570" s="52"/>
      <c r="H570" s="52">
        <f>IF(A570="","",VLOOKUP(A570,'6.A'!$A$11:$E$7984,5,FALSE))</f>
        <v>0</v>
      </c>
      <c r="I570" s="52" t="str">
        <f t="shared" si="264"/>
        <v>SIM</v>
      </c>
      <c r="J570" s="52" t="str">
        <f>IF(H570="","",VLOOKUP(A570,'6.A'!$A$11:$E$564,4,FALSE))</f>
        <v>UN</v>
      </c>
      <c r="K570" s="52" t="str">
        <f t="shared" si="265"/>
        <v>SIM</v>
      </c>
      <c r="L570" s="52">
        <f>IF(H570="","",IF(C570="","",G532*C570))</f>
        <v>1</v>
      </c>
      <c r="M570" s="117" t="str">
        <f>IF(A570="","",VLOOKUP(A570,'6.A'!$A$11:$C$564,2,FALSE))</f>
        <v>BUCHA EM ALUMINIO, COM ROSCA, DE 4", PARA ELETRODUTO</v>
      </c>
      <c r="N570" s="57" t="str">
        <f t="shared" si="266"/>
        <v>si</v>
      </c>
      <c r="O570" s="56"/>
      <c r="P570" s="56"/>
      <c r="Q570" s="48"/>
      <c r="R570" s="48"/>
    </row>
    <row r="571" spans="1:22" ht="12.75" customHeight="1" x14ac:dyDescent="0.2">
      <c r="A571" s="22">
        <f>'6.A'!$A$138</f>
        <v>39216</v>
      </c>
      <c r="B571" s="39" t="str">
        <f>IF(A571="","",VLOOKUP(A571,'6.A'!$A$11:$G$180,2,FALSE))</f>
        <v>ARRUELA EM ALUMINIO, COM ROSCA, DE 4", PARA ELETRODUTO</v>
      </c>
      <c r="C571" s="99">
        <v>2</v>
      </c>
      <c r="D571" s="57" t="str">
        <f>IF(A571="","",VLOOKUP(A571,'6.A'!$A$11:$G$180,4,FALSE))</f>
        <v>UN</v>
      </c>
      <c r="E571" s="100">
        <f>IF(A571="","",VLOOKUP(A571,'6.A'!$A$11:$G$180,5,FALSE))</f>
        <v>0</v>
      </c>
      <c r="F571" s="24">
        <f t="shared" si="263"/>
        <v>0</v>
      </c>
      <c r="G571" s="52"/>
      <c r="H571" s="52">
        <f>IF(A571="","",VLOOKUP(A571,'6.A'!$A$11:$E$7984,5,FALSE))</f>
        <v>0</v>
      </c>
      <c r="I571" s="52" t="str">
        <f t="shared" si="264"/>
        <v>SIM</v>
      </c>
      <c r="J571" s="52" t="str">
        <f>IF(H571="","",VLOOKUP(A571,'6.A'!$A$11:$E$564,4,FALSE))</f>
        <v>UN</v>
      </c>
      <c r="K571" s="52" t="str">
        <f t="shared" si="265"/>
        <v>SIM</v>
      </c>
      <c r="L571" s="52">
        <f>IF(H571="","",IF(C571="","",G532*C571))</f>
        <v>2</v>
      </c>
      <c r="M571" s="117" t="str">
        <f>IF(A571="","",VLOOKUP(A571,'6.A'!$A$11:$C$564,2,FALSE))</f>
        <v>ARRUELA EM ALUMINIO, COM ROSCA, DE 4", PARA ELETRODUTO</v>
      </c>
      <c r="N571" s="57" t="str">
        <f t="shared" si="266"/>
        <v>si</v>
      </c>
      <c r="O571" s="56"/>
      <c r="P571" s="56"/>
      <c r="Q571" s="48"/>
      <c r="R571" s="48"/>
    </row>
    <row r="572" spans="1:22" ht="12.75" customHeight="1" x14ac:dyDescent="0.2">
      <c r="A572" s="22">
        <f>'6.A'!$A$143</f>
        <v>39467</v>
      </c>
      <c r="B572" s="23" t="str">
        <f>IF(A572="","",VLOOKUP(A572,'6.A'!$A$11:$G$180,2,FALSE))</f>
        <v>DISPOSITIVO DPS CLASSE II, 1 POLO, TENSAO MAXIMA DE 175 V, CORRENTE MAXIMA DE *45* KA (TIPO AC)</v>
      </c>
      <c r="C572" s="99">
        <v>4</v>
      </c>
      <c r="D572" s="57" t="str">
        <f>IF(A572="","",VLOOKUP(A572,'6.A'!$A$11:$G$180,4,FALSE))</f>
        <v>UN</v>
      </c>
      <c r="E572" s="100">
        <f>IF(A572="","",VLOOKUP(A572,'6.A'!$A$11:$G$180,5,FALSE))</f>
        <v>0</v>
      </c>
      <c r="F572" s="24">
        <f t="shared" si="263"/>
        <v>0</v>
      </c>
      <c r="G572" s="52"/>
      <c r="H572" s="52">
        <f>IF(A572="","",VLOOKUP(A572,'6.A'!$A$11:$E$7984,5,FALSE))</f>
        <v>0</v>
      </c>
      <c r="I572" s="52" t="str">
        <f t="shared" si="264"/>
        <v>SIM</v>
      </c>
      <c r="J572" s="52" t="str">
        <f>IF(H572="","",VLOOKUP(A572,'6.A'!$A$11:$E$564,4,FALSE))</f>
        <v>UN</v>
      </c>
      <c r="K572" s="52" t="str">
        <f t="shared" si="265"/>
        <v>SIM</v>
      </c>
      <c r="L572" s="52">
        <f>IF(H572="","",IF(C572="","",G532*C572))</f>
        <v>4</v>
      </c>
      <c r="M572" s="117" t="str">
        <f>IF(A572="","",VLOOKUP(A572,'6.A'!$A$11:$C$564,2,FALSE))</f>
        <v>DISPOSITIVO DPS CLASSE II, 1 POLO, TENSAO MAXIMA DE 175 V, CORRENTE MAXIMA DE *45* KA (TIPO AC)</v>
      </c>
      <c r="N572" s="57" t="str">
        <f t="shared" si="266"/>
        <v>si</v>
      </c>
      <c r="O572" s="56"/>
      <c r="P572" s="56"/>
      <c r="Q572" s="48"/>
      <c r="R572" s="48"/>
      <c r="S572" s="2"/>
    </row>
    <row r="573" spans="1:22" s="65" customFormat="1" ht="12.75" customHeight="1" x14ac:dyDescent="0.2">
      <c r="A573" s="22">
        <f>'6.A'!$A$153</f>
        <v>42252</v>
      </c>
      <c r="B573" s="23" t="str">
        <f>IF(A573="","",VLOOKUP(A573,'6.A'!$A$11:$G$180,2,FALSE))</f>
        <v>HASTE DE ATERRAMENTO DE 5/8" X 2,4 M, EM AÇO SAE1010/1020, TREFILADO E REVESTIDO DE COBRE ELETROLÍTICO</v>
      </c>
      <c r="C573" s="99">
        <v>4</v>
      </c>
      <c r="D573" s="57" t="str">
        <f>IF(A573="","",VLOOKUP(A573,'6.A'!$A$11:$G$180,4,FALSE))</f>
        <v>UN</v>
      </c>
      <c r="E573" s="100">
        <f>IF(A573="","",VLOOKUP(A573,'6.A'!$A$11:$G$180,5,FALSE))</f>
        <v>0</v>
      </c>
      <c r="F573" s="24">
        <f t="shared" si="263"/>
        <v>0</v>
      </c>
      <c r="G573" s="52"/>
      <c r="H573" s="52">
        <f>IF(A573="","",VLOOKUP(A573,'6.A'!$A$11:$E$7984,5,FALSE))</f>
        <v>0</v>
      </c>
      <c r="I573" s="52" t="str">
        <f t="shared" si="264"/>
        <v>SIM</v>
      </c>
      <c r="J573" s="52" t="str">
        <f>IF(H573="","",VLOOKUP(A573,'6.A'!$A$11:$E$564,4,FALSE))</f>
        <v>UN</v>
      </c>
      <c r="K573" s="52" t="str">
        <f t="shared" si="265"/>
        <v>SIM</v>
      </c>
      <c r="L573" s="52">
        <f>IF(H573="","",IF(C573="","",G532*C573))</f>
        <v>4</v>
      </c>
      <c r="M573" s="117" t="str">
        <f>IF(A573="","",VLOOKUP(A573,'6.A'!$A$11:$C$564,2,FALSE))</f>
        <v>HASTE DE ATERRAMENTO DE 5/8" X 2,4 M, EM AÇO SAE1010/1020, TREFILADO E REVESTIDO DE COBRE ELETROLÍTICO</v>
      </c>
      <c r="N573" s="57" t="str">
        <f t="shared" si="266"/>
        <v>si</v>
      </c>
      <c r="O573" s="56"/>
      <c r="P573" s="56"/>
      <c r="Q573" s="48"/>
      <c r="R573" s="48"/>
      <c r="T573" s="2"/>
      <c r="U573" s="2"/>
      <c r="V573" s="2"/>
    </row>
    <row r="574" spans="1:22" ht="12.75" customHeight="1" x14ac:dyDescent="0.2">
      <c r="A574" s="22">
        <f>'6.A'!$A$156</f>
        <v>42476</v>
      </c>
      <c r="B574" s="23" t="str">
        <f>IF(A574="","",VLOOKUP(A574,'6.A'!$A$11:$G$180,2,FALSE))</f>
        <v>CAIXA DE INSPEÇÃO DO TERRA CILÍNDRICA EM PVC RÍGIDO, DIÂMETRO DE 300 MM, H= 400 MM</v>
      </c>
      <c r="C574" s="99">
        <v>4</v>
      </c>
      <c r="D574" s="57" t="str">
        <f>IF(A574="","",VLOOKUP(A574,'6.A'!$A$11:$G$180,4,FALSE))</f>
        <v>UN</v>
      </c>
      <c r="E574" s="100">
        <f>IF(A574="","",VLOOKUP(A574,'6.A'!$A$11:$G$180,5,FALSE))</f>
        <v>0</v>
      </c>
      <c r="F574" s="24">
        <f t="shared" si="263"/>
        <v>0</v>
      </c>
      <c r="G574" s="52"/>
      <c r="H574" s="52">
        <f>IF(A574="","",VLOOKUP(A574,'6.A'!$A$11:$E$7984,5,FALSE))</f>
        <v>0</v>
      </c>
      <c r="I574" s="52" t="str">
        <f t="shared" si="264"/>
        <v>SIM</v>
      </c>
      <c r="J574" s="52" t="str">
        <f>IF(H574="","",VLOOKUP(A574,'6.A'!$A$11:$E$564,4,FALSE))</f>
        <v>UN</v>
      </c>
      <c r="K574" s="52" t="str">
        <f t="shared" si="265"/>
        <v>SIM</v>
      </c>
      <c r="L574" s="52">
        <f>IF(H574="","",IF(C574="","",G532*C574))</f>
        <v>4</v>
      </c>
      <c r="M574" s="117" t="str">
        <f>IF(A574="","",VLOOKUP(A574,'6.A'!$A$11:$C$564,2,FALSE))</f>
        <v>CAIXA DE INSPEÇÃO DO TERRA CILÍNDRICA EM PVC RÍGIDO, DIÂMETRO DE 300 MM, H= 400 MM</v>
      </c>
      <c r="N574" s="57" t="str">
        <f t="shared" si="266"/>
        <v>si</v>
      </c>
      <c r="O574" s="56"/>
      <c r="P574" s="56"/>
      <c r="Q574" s="48"/>
      <c r="R574" s="48"/>
    </row>
    <row r="575" spans="1:22" ht="12.75" customHeight="1" x14ac:dyDescent="0.2">
      <c r="A575" s="22">
        <f>'6.A'!$A$161</f>
        <v>43657</v>
      </c>
      <c r="B575" s="23" t="str">
        <f>IF(A575="","",VLOOKUP(A575,'6.A'!$A$11:$G$180,2,FALSE))</f>
        <v>CHAVE FUSÍVEL BASE C PARA 15KV/200A, CAPACIDADE DE RUPTURA ATÉ 10KA, COM FUSÍVEL E FERRAGEM DE FIXAÇÃO</v>
      </c>
      <c r="C575" s="99">
        <v>3</v>
      </c>
      <c r="D575" s="57" t="str">
        <f>IF(A575="","",VLOOKUP(A575,'6.A'!$A$11:$G$180,4,FALSE))</f>
        <v>UN</v>
      </c>
      <c r="E575" s="100">
        <f>IF(A575="","",VLOOKUP(A575,'6.A'!$A$11:$G$180,5,FALSE))</f>
        <v>0</v>
      </c>
      <c r="F575" s="24">
        <f t="shared" si="263"/>
        <v>0</v>
      </c>
      <c r="G575" s="52"/>
      <c r="H575" s="52">
        <f>IF(A575="","",VLOOKUP(A575,'6.A'!$A$11:$E$7984,5,FALSE))</f>
        <v>0</v>
      </c>
      <c r="I575" s="52" t="str">
        <f t="shared" si="264"/>
        <v>SIM</v>
      </c>
      <c r="J575" s="52" t="str">
        <f>IF(H575="","",VLOOKUP(A575,'6.A'!$A$11:$E$564,4,FALSE))</f>
        <v>UN</v>
      </c>
      <c r="K575" s="52" t="str">
        <f t="shared" si="265"/>
        <v>SIM</v>
      </c>
      <c r="L575" s="52">
        <f>IF(H575="","",IF(C575="","",G532*C575))</f>
        <v>3</v>
      </c>
      <c r="M575" s="117" t="str">
        <f>IF(A575="","",VLOOKUP(A575,'6.A'!$A$11:$C$564,2,FALSE))</f>
        <v>CHAVE FUSÍVEL BASE C PARA 15KV/200A, CAPACIDADE DE RUPTURA ATÉ 10KA, COM FUSÍVEL E FERRAGEM DE FIXAÇÃO</v>
      </c>
      <c r="N575" s="57" t="str">
        <f t="shared" si="266"/>
        <v>si</v>
      </c>
      <c r="O575" s="56"/>
      <c r="P575" s="56"/>
      <c r="Q575" s="48"/>
      <c r="R575" s="48"/>
      <c r="S575" s="2"/>
    </row>
    <row r="576" spans="1:22" s="65" customFormat="1" ht="12.75" customHeight="1" x14ac:dyDescent="0.2">
      <c r="A576" s="22">
        <f>'6.A'!$A$162</f>
        <v>48072</v>
      </c>
      <c r="B576" s="23" t="str">
        <f>IF(A576="","",VLOOKUP(A576,'6.A'!$A$11:$G$180,2,FALSE))</f>
        <v>KIT SOLDA COM CARTUCHO PARA SOLDA EXOTÉRMICA Nº 65 A 115</v>
      </c>
      <c r="C576" s="99">
        <v>4</v>
      </c>
      <c r="D576" s="57" t="str">
        <f>IF(A576="","",VLOOKUP(A576,'6.A'!$A$11:$G$180,4,FALSE))</f>
        <v>UN</v>
      </c>
      <c r="E576" s="100">
        <f>IF(A576="","",VLOOKUP(A576,'6.A'!$A$11:$G$180,5,FALSE))</f>
        <v>0</v>
      </c>
      <c r="F576" s="24">
        <f t="shared" si="263"/>
        <v>0</v>
      </c>
      <c r="G576" s="52"/>
      <c r="H576" s="52">
        <f>IF(A576="","",VLOOKUP(A576,'6.A'!$A$11:$E$7984,5,FALSE))</f>
        <v>0</v>
      </c>
      <c r="I576" s="52" t="str">
        <f t="shared" si="264"/>
        <v>SIM</v>
      </c>
      <c r="J576" s="52" t="str">
        <f>IF(H576="","",VLOOKUP(A576,'6.A'!$A$11:$E$564,4,FALSE))</f>
        <v>UN</v>
      </c>
      <c r="K576" s="52" t="str">
        <f t="shared" si="265"/>
        <v>SIM</v>
      </c>
      <c r="L576" s="52">
        <f>IF(H576="","",IF(C576="","",G532*C576))</f>
        <v>4</v>
      </c>
      <c r="M576" s="117" t="str">
        <f>IF(A576="","",VLOOKUP(A576,'6.A'!$A$11:$C$564,2,FALSE))</f>
        <v>KIT SOLDA COM CARTUCHO PARA SOLDA EXOTÉRMICA Nº 65 A 115</v>
      </c>
      <c r="N576" s="57" t="str">
        <f t="shared" si="266"/>
        <v>si</v>
      </c>
      <c r="O576" s="56"/>
      <c r="P576" s="56"/>
      <c r="Q576" s="48"/>
      <c r="R576" s="48"/>
      <c r="T576" s="2"/>
      <c r="U576" s="2"/>
      <c r="V576" s="2"/>
    </row>
    <row r="577" spans="1:23" s="65" customFormat="1" ht="12.75" customHeight="1" x14ac:dyDescent="0.2">
      <c r="A577" s="22">
        <f>'6.A'!$A$163</f>
        <v>48074</v>
      </c>
      <c r="B577" s="23" t="str">
        <f>IF(A577="","",VLOOKUP(A577,'6.A'!$A$11:$G$180,2,FALSE))</f>
        <v>ALICATE PARA SOLDA EXOTÉRMICA; REFERÊNCIA U-L160 DA UNISOLDA OU EQUIVALENTE</v>
      </c>
      <c r="C577" s="99">
        <v>6.0000000000000001E-3</v>
      </c>
      <c r="D577" s="57" t="str">
        <f>IF(A577="","",VLOOKUP(A577,'6.A'!$A$11:$G$180,4,FALSE))</f>
        <v>UN</v>
      </c>
      <c r="E577" s="100">
        <f>IF(A577="","",VLOOKUP(A577,'6.A'!$A$11:$G$180,5,FALSE))</f>
        <v>0</v>
      </c>
      <c r="F577" s="24">
        <f t="shared" si="263"/>
        <v>0</v>
      </c>
      <c r="G577" s="52"/>
      <c r="H577" s="52">
        <f>IF(A577="","",VLOOKUP(A577,'6.A'!$A$11:$E$7984,5,FALSE))</f>
        <v>0</v>
      </c>
      <c r="I577" s="52" t="str">
        <f t="shared" si="264"/>
        <v>SIM</v>
      </c>
      <c r="J577" s="52" t="str">
        <f>IF(H577="","",VLOOKUP(A577,'6.A'!$A$11:$E$564,4,FALSE))</f>
        <v>UN</v>
      </c>
      <c r="K577" s="52" t="str">
        <f t="shared" si="265"/>
        <v>SIM</v>
      </c>
      <c r="L577" s="52">
        <f>IF(H577="","",IF(C577="","",G532*C577))</f>
        <v>6.0000000000000001E-3</v>
      </c>
      <c r="M577" s="117" t="str">
        <f>IF(A577="","",VLOOKUP(A577,'6.A'!$A$11:$C$564,2,FALSE))</f>
        <v>ALICATE PARA SOLDA EXOTÉRMICA; REFERÊNCIA U-L160 DA UNISOLDA OU EQUIVALENTE</v>
      </c>
      <c r="N577" s="57" t="str">
        <f t="shared" si="266"/>
        <v>si</v>
      </c>
      <c r="O577" s="56"/>
      <c r="P577" s="56"/>
      <c r="Q577" s="48"/>
      <c r="R577" s="48"/>
      <c r="T577" s="2"/>
      <c r="U577" s="2"/>
      <c r="V577" s="2"/>
    </row>
    <row r="578" spans="1:23" s="65" customFormat="1" ht="12.75" customHeight="1" x14ac:dyDescent="0.2">
      <c r="A578" s="22">
        <f>'6.A'!$A$164</f>
        <v>48081</v>
      </c>
      <c r="B578" s="23" t="str">
        <f>IF(A578="","",VLOOKUP(A578,'6.A'!$A$11:$G$180,2,FALSE))</f>
        <v>MOLDE PARA SOLDA EXOTÉRMICA CONEXÃO CABO-CABO HORIZONTAL EM X, CABO DE 50-25MM² A 95-50MM²</v>
      </c>
      <c r="C578" s="99">
        <v>0.06</v>
      </c>
      <c r="D578" s="57" t="str">
        <f>IF(A578="","",VLOOKUP(A578,'6.A'!$A$11:$G$180,4,FALSE))</f>
        <v>UN</v>
      </c>
      <c r="E578" s="100">
        <f>IF(A578="","",VLOOKUP(A578,'6.A'!$A$11:$G$180,5,FALSE))</f>
        <v>0</v>
      </c>
      <c r="F578" s="24">
        <f t="shared" si="263"/>
        <v>0</v>
      </c>
      <c r="G578" s="52"/>
      <c r="H578" s="52">
        <f>IF(A578="","",VLOOKUP(A578,'6.A'!$A$11:$E$7984,5,FALSE))</f>
        <v>0</v>
      </c>
      <c r="I578" s="52" t="str">
        <f t="shared" si="264"/>
        <v>SIM</v>
      </c>
      <c r="J578" s="52" t="str">
        <f>IF(H578="","",VLOOKUP(A578,'6.A'!$A$11:$E$564,4,FALSE))</f>
        <v>UN</v>
      </c>
      <c r="K578" s="52" t="str">
        <f t="shared" si="265"/>
        <v>SIM</v>
      </c>
      <c r="L578" s="52">
        <f>IF(H578="","",IF(C578="","",G532*C578))</f>
        <v>0.06</v>
      </c>
      <c r="M578" s="117" t="str">
        <f>IF(A578="","",VLOOKUP(A578,'6.A'!$A$11:$C$564,2,FALSE))</f>
        <v>MOLDE PARA SOLDA EXOTÉRMICA CONEXÃO CABO-CABO HORIZONTAL EM X, CABO DE 50-25MM² A 95-50MM²</v>
      </c>
      <c r="N578" s="57" t="str">
        <f t="shared" si="266"/>
        <v>si</v>
      </c>
      <c r="O578" s="56"/>
      <c r="P578" s="56"/>
      <c r="Q578" s="48"/>
      <c r="R578" s="48"/>
      <c r="T578" s="2"/>
      <c r="U578" s="2"/>
      <c r="V578" s="2"/>
    </row>
    <row r="579" spans="1:23" ht="12.75" customHeight="1" x14ac:dyDescent="0.2">
      <c r="A579" s="22">
        <f>'6.A'!$A$169</f>
        <v>49531</v>
      </c>
      <c r="B579" s="23" t="str">
        <f>IF(A579="","",VLOOKUP(A579,'6.A'!$A$11:$G$180,2,FALSE))</f>
        <v>CONECTOR COM RABICHO, PORCA 3/8", ROSCA, EM LATÃO NATURAL, PARA CABO 16 ATÉ 35MM²</v>
      </c>
      <c r="C579" s="99">
        <v>2</v>
      </c>
      <c r="D579" s="57" t="str">
        <f>IF(A579="","",VLOOKUP(A579,'6.A'!$A$11:$G$180,4,FALSE))</f>
        <v>UN</v>
      </c>
      <c r="E579" s="100">
        <f>IF(A579="","",VLOOKUP(A579,'6.A'!$A$11:$G$180,5,FALSE))</f>
        <v>0</v>
      </c>
      <c r="F579" s="24">
        <f t="shared" si="263"/>
        <v>0</v>
      </c>
      <c r="G579" s="52"/>
      <c r="H579" s="52">
        <f>IF(A579="","",VLOOKUP(A579,'6.A'!$A$11:$E$7984,5,FALSE))</f>
        <v>0</v>
      </c>
      <c r="I579" s="52" t="str">
        <f t="shared" si="264"/>
        <v>SIM</v>
      </c>
      <c r="J579" s="52" t="str">
        <f>IF(H579="","",VLOOKUP(A579,'6.A'!$A$11:$E$564,4,FALSE))</f>
        <v>UN</v>
      </c>
      <c r="K579" s="52" t="str">
        <f t="shared" si="265"/>
        <v>SIM</v>
      </c>
      <c r="L579" s="52">
        <f>IF(H579="","",IF(C579="","",G532*C579))</f>
        <v>2</v>
      </c>
      <c r="M579" s="117" t="str">
        <f>IF(A579="","",VLOOKUP(A579,'6.A'!$A$11:$C$564,2,FALSE))</f>
        <v>CONECTOR COM RABICHO, PORCA 3/8", ROSCA, EM LATÃO NATURAL, PARA CABO 16 ATÉ 35MM²</v>
      </c>
      <c r="N579" s="57" t="str">
        <f t="shared" si="266"/>
        <v>si</v>
      </c>
      <c r="O579" s="56"/>
      <c r="P579" s="56"/>
      <c r="Q579" s="48"/>
      <c r="R579" s="48"/>
    </row>
    <row r="580" spans="1:23" ht="12.75" customHeight="1" x14ac:dyDescent="0.2">
      <c r="A580" s="22">
        <f>'6.A'!$A$180</f>
        <v>92152</v>
      </c>
      <c r="B580" s="23" t="str">
        <f>IF(A580="","",VLOOKUP(A580,'6.A'!$A$11:$G$180,2,FALSE))</f>
        <v>PARA-RAIOS DE DISTRIBUIÇÃO, CLASSE 12 KV / 10 KA, ENCAPSULADO COM POLÍMERO</v>
      </c>
      <c r="C580" s="99">
        <v>3</v>
      </c>
      <c r="D580" s="57" t="str">
        <f>IF(A580="","",VLOOKUP(A580,'6.A'!$A$11:$G$180,4,FALSE))</f>
        <v>UN</v>
      </c>
      <c r="E580" s="100">
        <f>IF(A580="","",VLOOKUP(A580,'6.A'!$A$11:$G$180,5,FALSE))</f>
        <v>0</v>
      </c>
      <c r="F580" s="24">
        <f t="shared" si="263"/>
        <v>0</v>
      </c>
      <c r="G580" s="52"/>
      <c r="H580" s="52">
        <f>IF(A580="","",VLOOKUP(A580,'6.A'!$A$11:$E$7984,5,FALSE))</f>
        <v>0</v>
      </c>
      <c r="I580" s="52" t="str">
        <f t="shared" si="264"/>
        <v>SIM</v>
      </c>
      <c r="J580" s="52" t="str">
        <f>IF(H580="","",VLOOKUP(A580,'6.A'!$A$11:$E$564,4,FALSE))</f>
        <v>UN</v>
      </c>
      <c r="K580" s="52" t="str">
        <f t="shared" si="265"/>
        <v>SIM</v>
      </c>
      <c r="L580" s="52">
        <f>IF(H580="","",IF(C580="","",G532*C580))</f>
        <v>3</v>
      </c>
      <c r="M580" s="117" t="str">
        <f>IF(A580="","",VLOOKUP(A580,'6.A'!$A$11:$C$564,2,FALSE))</f>
        <v>PARA-RAIOS DE DISTRIBUIÇÃO, CLASSE 12 KV / 10 KA, ENCAPSULADO COM POLÍMERO</v>
      </c>
      <c r="N580" s="57" t="str">
        <f t="shared" si="266"/>
        <v>si</v>
      </c>
      <c r="O580" s="56"/>
      <c r="P580" s="56"/>
      <c r="Q580" s="48"/>
      <c r="R580" s="48"/>
    </row>
    <row r="581" spans="1:23" ht="12.75" customHeight="1" x14ac:dyDescent="0.2">
      <c r="A581" s="22"/>
      <c r="B581" s="26" t="str">
        <f>$A$9</f>
        <v>BDI</v>
      </c>
      <c r="C581" s="40">
        <f>$C$9</f>
        <v>0</v>
      </c>
      <c r="D581" s="57"/>
      <c r="F581" s="28">
        <f>ROUND(SUM(F561:F580)*C581,2)</f>
        <v>0</v>
      </c>
      <c r="G581" s="63"/>
      <c r="M581" s="57"/>
      <c r="N581" s="57"/>
      <c r="O581" s="56"/>
      <c r="P581" s="56"/>
      <c r="Q581" s="48"/>
      <c r="R581" s="48"/>
    </row>
    <row r="582" spans="1:23" ht="12.75" customHeight="1" thickBot="1" x14ac:dyDescent="0.25">
      <c r="A582" s="41"/>
      <c r="B582" s="42" t="s">
        <v>57</v>
      </c>
      <c r="C582" s="43"/>
      <c r="D582" s="44"/>
      <c r="E582" s="45"/>
      <c r="F582" s="46">
        <f>ROUND(SUM(F561:F581),2)</f>
        <v>0</v>
      </c>
      <c r="G582" s="63"/>
      <c r="M582" s="57"/>
      <c r="N582" s="57"/>
      <c r="O582" s="56"/>
      <c r="P582" s="56"/>
      <c r="Q582" s="48"/>
      <c r="R582" s="48"/>
    </row>
    <row r="583" spans="1:23" ht="12" customHeight="1" thickBot="1" x14ac:dyDescent="0.25">
      <c r="A583" s="8"/>
      <c r="B583" s="9"/>
      <c r="C583" s="10"/>
      <c r="D583" s="57"/>
      <c r="F583" s="12"/>
      <c r="M583" s="57"/>
      <c r="N583" s="57"/>
      <c r="O583" s="56"/>
      <c r="P583" s="56"/>
    </row>
    <row r="584" spans="1:23" ht="50.1" customHeight="1" x14ac:dyDescent="0.2">
      <c r="A584" s="243" t="str">
        <f>'3.A'!$A$115</f>
        <v>2.8</v>
      </c>
      <c r="B584" s="14" t="str">
        <f>IF(A584="","",VLOOKUP(A584,'3.A'!$A$17:$M$279,2,FALSE))</f>
        <v>TE-06 ENTRADA PRIMÁRIA SIMPLIF. POSTE UNICO - CPFL - 112,5 KVA - 15KV- 220/127 V - INFRAESTRUTURA ELÉTRICA - BAIXA TENSÃO</v>
      </c>
      <c r="C584" s="413" t="s">
        <v>62</v>
      </c>
      <c r="D584" s="413"/>
      <c r="E584" s="15" t="str">
        <f>IF(A584="","",VLOOKUP(A584,'3.A'!$A$17:$M$279,3,FALSE))</f>
        <v>UN</v>
      </c>
      <c r="F584" s="16">
        <f>ROUND(F598+F611+F634,2)</f>
        <v>0</v>
      </c>
      <c r="G584" s="118">
        <f>VLOOKUP(A584,'3.A'!$A$19:$I$279,4,FALSE)</f>
        <v>1</v>
      </c>
      <c r="H584" s="47">
        <f>SUM(F586:F597)</f>
        <v>0</v>
      </c>
      <c r="I584" s="47">
        <f>SUM(F600:F610)</f>
        <v>0</v>
      </c>
      <c r="J584" s="47">
        <f>SUM(F613:F633)</f>
        <v>0</v>
      </c>
      <c r="K584" s="47">
        <f>SUM(H584:J584)</f>
        <v>0</v>
      </c>
      <c r="L584" s="47" t="str">
        <f>IF(K584=F584,"SIM","NÃO")</f>
        <v>SIM</v>
      </c>
      <c r="M584" s="58">
        <f>ROUND(SUM(F586:F595)*C596,2)+ROUND(SUM(F586:F596)*C597,2)+ROUND(SUM(F586:F595),2)+ROUND(SUM(F600:F609)*C610,2)+ROUND(SUM(F600:F609),2)+ROUND(SUM(F613:F632)*C633,2)+ROUND(SUM(F613:F632),2)</f>
        <v>0</v>
      </c>
      <c r="N584" s="50" t="str">
        <f>IF(M584=F584,"SIM","NÃO")</f>
        <v>SIM</v>
      </c>
      <c r="O584" s="51" t="str">
        <f>VLOOKUP(A584,'3.A'!$A$8:$E$279,3,FALSE)</f>
        <v>UN</v>
      </c>
      <c r="P584" s="51" t="str">
        <f>IF(O584=E584,"SIM","NÃO")</f>
        <v>SIM</v>
      </c>
      <c r="Q584" s="53">
        <f>ROUND(G584*F598,2)+ROUND(G584*F611,2)+ROUND(G584*F634,2)</f>
        <v>0</v>
      </c>
      <c r="R584" s="59">
        <f>VLOOKUP(A584,'3.A'!$A$17:$L$279,12,FALSE)</f>
        <v>0</v>
      </c>
      <c r="S584" s="60" t="str">
        <f>IF(Q584=R584,"si","no")</f>
        <v>si</v>
      </c>
      <c r="T584" s="61">
        <f>SUM(L586:L595)+SUM(L600:L609)+SUM(L613:L632)</f>
        <v>141.95623000000001</v>
      </c>
      <c r="U584" s="52">
        <f>G584*C592+G584*C594+G584*C587+G584*C588+G584*C590+G584*C593+G584*C591+G584*C586+G584*C589+G584*C595+G584*C606+G584*C600+G584*C608+G584*C607+G584*C605+G584*C602+G584*C601+G584*C603+G584*C609+G584*C604+G584*C613+G584*C614+G584*C615+G584*C623+G584*C624+G584*C625+G584*C626+G584*C627+G584*C628+G584*C629+G584*C630+G584*C631+G584*C632+G584*C621+G584*C622+G584*C616+G584*C617+G584*C618+G584*C619+G584*C620</f>
        <v>141.95623000000001</v>
      </c>
      <c r="V584" s="54" t="str">
        <f>IF(T584=U584,"si","no")</f>
        <v>si</v>
      </c>
      <c r="W584" s="137"/>
    </row>
    <row r="585" spans="1:23" ht="12.75" customHeight="1" x14ac:dyDescent="0.2">
      <c r="A585" s="17" t="s">
        <v>3</v>
      </c>
      <c r="B585" s="18" t="s">
        <v>58</v>
      </c>
      <c r="C585" s="56" t="s">
        <v>59</v>
      </c>
      <c r="D585" s="56" t="s">
        <v>16</v>
      </c>
      <c r="E585" s="19" t="s">
        <v>60</v>
      </c>
      <c r="F585" s="20" t="s">
        <v>61</v>
      </c>
      <c r="G585" s="21"/>
      <c r="M585" s="57"/>
      <c r="N585" s="57"/>
      <c r="O585" s="56"/>
      <c r="P585" s="56"/>
      <c r="Q585" s="48"/>
      <c r="R585" s="48"/>
    </row>
    <row r="586" spans="1:23" ht="12.75" customHeight="1" x14ac:dyDescent="0.2">
      <c r="A586" s="22">
        <f>'6.A'!$A$15</f>
        <v>88247</v>
      </c>
      <c r="B586" s="23" t="str">
        <f>IF(A586="","",VLOOKUP(A586,'6.A'!$A$11:$G$180,2,FALSE))</f>
        <v>AUXILIAR DE ELETRICISTA COM ENCARGOS COMPLEMENTARES</v>
      </c>
      <c r="C586" s="99">
        <f>65/2</f>
        <v>32.5</v>
      </c>
      <c r="D586" s="57" t="str">
        <f>IF(A586="","",VLOOKUP(A586,'6.A'!$A$11:$G$180,4,FALSE))</f>
        <v>H</v>
      </c>
      <c r="E586" s="100">
        <f>IF(A586="","",VLOOKUP(A586,'6.A'!$A$11:$G$180,5,FALSE))</f>
        <v>0</v>
      </c>
      <c r="F586" s="24">
        <f t="shared" ref="F586" si="267">IF(A586="","0,00",ROUND(C586*E586,2))</f>
        <v>0</v>
      </c>
      <c r="G586" s="52"/>
      <c r="H586" s="52">
        <f>IF(A586="","",VLOOKUP(A586,'6.A'!$A$11:$E$7984,5,FALSE))</f>
        <v>0</v>
      </c>
      <c r="I586" s="52" t="str">
        <f>IF(H586="","",IF(E586=H586,"SIM","NÃO"))</f>
        <v>SIM</v>
      </c>
      <c r="J586" s="52" t="str">
        <f>IF(H586="","",VLOOKUP(A586,'6.A'!$A$11:$E$564,4,FALSE))</f>
        <v>H</v>
      </c>
      <c r="K586" s="52" t="str">
        <f>IF(H586="","",IF(J586=D586,"SIM","NÃO"))</f>
        <v>SIM</v>
      </c>
      <c r="L586" s="52">
        <f>IF(H586="","",IF(C586="","",G584*C586))</f>
        <v>32.5</v>
      </c>
      <c r="M586" s="117" t="str">
        <f>IF(A586="","",VLOOKUP(A586,'6.A'!$A$11:$C$564,2,FALSE))</f>
        <v>AUXILIAR DE ELETRICISTA COM ENCARGOS COMPLEMENTARES</v>
      </c>
      <c r="N586" s="57" t="str">
        <f>IF(A586="","",IF(M586=B586,"si","no"))</f>
        <v>si</v>
      </c>
      <c r="O586" s="56"/>
      <c r="P586" s="56"/>
      <c r="Q586" s="48"/>
      <c r="R586" s="48"/>
    </row>
    <row r="587" spans="1:23" ht="12.75" customHeight="1" x14ac:dyDescent="0.2">
      <c r="A587" s="22">
        <f>'6.A'!$A$18</f>
        <v>88264</v>
      </c>
      <c r="B587" s="23" t="str">
        <f>IF(A587="","",VLOOKUP(A587,'6.A'!$A$11:$G$180,2,FALSE))</f>
        <v>ELETRICISTA COM ENCARGOS COMPLEMENTARES</v>
      </c>
      <c r="C587" s="99">
        <f>65/2</f>
        <v>32.5</v>
      </c>
      <c r="D587" s="57" t="str">
        <f>IF(A587="","",VLOOKUP(A587,'6.A'!$A$11:$G$180,4,FALSE))</f>
        <v>H</v>
      </c>
      <c r="E587" s="100">
        <f>IF(A587="","",VLOOKUP(A587,'6.A'!$A$11:$G$180,5,FALSE))</f>
        <v>0</v>
      </c>
      <c r="F587" s="24">
        <f>IF(A587="","0,00",ROUND(C587*E587,2))</f>
        <v>0</v>
      </c>
      <c r="G587" s="52"/>
      <c r="H587" s="52">
        <f>IF(A587="","",VLOOKUP(A587,'6.A'!$A$11:$E$7984,5,FALSE))</f>
        <v>0</v>
      </c>
      <c r="I587" s="52" t="str">
        <f>IF(H587="","",IF(E587=H587,"SIM","NÃO"))</f>
        <v>SIM</v>
      </c>
      <c r="J587" s="52" t="str">
        <f>IF(H587="","",VLOOKUP(A587,'6.A'!$A$11:$E$564,4,FALSE))</f>
        <v>H</v>
      </c>
      <c r="K587" s="52" t="str">
        <f>IF(H587="","",IF(J587=D587,"SIM","NÃO"))</f>
        <v>SIM</v>
      </c>
      <c r="L587" s="52">
        <f>IF(H587="","",IF(C587="","",G584*C587))</f>
        <v>32.5</v>
      </c>
      <c r="M587" s="117" t="str">
        <f>IF(A587="","",VLOOKUP(A587,'6.A'!$A$11:$C$564,2,FALSE))</f>
        <v>ELETRICISTA COM ENCARGOS COMPLEMENTARES</v>
      </c>
      <c r="N587" s="57" t="str">
        <f>IF(A587="","",IF(M587=B587,"si","no"))</f>
        <v>si</v>
      </c>
      <c r="O587" s="56"/>
      <c r="P587" s="56"/>
      <c r="Q587" s="48"/>
      <c r="R587" s="48"/>
    </row>
    <row r="588" spans="1:23" ht="12.75" customHeight="1" x14ac:dyDescent="0.2">
      <c r="A588" s="22"/>
      <c r="B588" s="23" t="str">
        <f>IF(A588="","",VLOOKUP(A588,'6.A'!$A$11:$G$180,2,FALSE))</f>
        <v/>
      </c>
      <c r="C588" s="99"/>
      <c r="D588" s="57" t="str">
        <f>IF(A588="","",VLOOKUP(A588,'6.A'!$A$11:$G$180,4,FALSE))</f>
        <v/>
      </c>
      <c r="E588" s="100" t="str">
        <f>IF(A588="","",VLOOKUP(A588,'6.A'!$A$11:$G$180,5,FALSE))</f>
        <v/>
      </c>
      <c r="F588" s="24" t="str">
        <f t="shared" ref="F588:F595" si="268">IF(A588="","0,00",ROUND(C588*E588,2))</f>
        <v>0,00</v>
      </c>
      <c r="G588" s="52"/>
      <c r="H588" s="52" t="str">
        <f>IF(A588="","",VLOOKUP(A588,'6.A'!$A$11:$E$7984,5,FALSE))</f>
        <v/>
      </c>
      <c r="I588" s="52" t="str">
        <f>IF(H588="","",IF(E588=H588,"SIM","NÃO"))</f>
        <v/>
      </c>
      <c r="J588" s="52" t="str">
        <f>IF(H588="","",VLOOKUP(A588,'6.A'!$A$11:$E$564,4,FALSE))</f>
        <v/>
      </c>
      <c r="K588" s="52" t="str">
        <f t="shared" ref="K588" si="269">IF(H588="","",IF(J588=D588,"SIM","NÃO"))</f>
        <v/>
      </c>
      <c r="L588" s="52" t="str">
        <f>IF(H588="","",IF(C588="","",G584*C588))</f>
        <v/>
      </c>
      <c r="M588" s="117" t="str">
        <f>IF(A588="","",VLOOKUP(A588,'6.A'!$A$11:$C$564,2,FALSE))</f>
        <v/>
      </c>
      <c r="N588" s="57" t="str">
        <f t="shared" ref="N588" si="270">IF(A588="","",IF(M588=B588,"si","no"))</f>
        <v/>
      </c>
      <c r="O588" s="56"/>
      <c r="P588" s="56"/>
      <c r="Q588" s="48"/>
      <c r="R588" s="48"/>
      <c r="S588" s="2"/>
    </row>
    <row r="589" spans="1:23" ht="12.75" customHeight="1" x14ac:dyDescent="0.2">
      <c r="A589" s="22"/>
      <c r="B589" s="23" t="str">
        <f>IF(A589="","",VLOOKUP(A589,'6.A'!$A$11:$G$180,2,FALSE))</f>
        <v/>
      </c>
      <c r="C589" s="99"/>
      <c r="D589" s="57" t="str">
        <f>IF(A589="","",VLOOKUP(A589,'6.A'!$A$11:$G$180,4,FALSE))</f>
        <v/>
      </c>
      <c r="E589" s="100" t="str">
        <f>IF(A589="","",VLOOKUP(A589,'6.A'!$A$11:$G$180,5,FALSE))</f>
        <v/>
      </c>
      <c r="F589" s="24" t="str">
        <f t="shared" si="268"/>
        <v>0,00</v>
      </c>
      <c r="G589" s="52"/>
      <c r="H589" s="52" t="str">
        <f>IF(A589="","",VLOOKUP(A589,'6.A'!$A$11:$E$7984,5,FALSE))</f>
        <v/>
      </c>
      <c r="I589" s="52" t="str">
        <f>IF(H589="","",IF(E589=H589,"SIM","NÃO"))</f>
        <v/>
      </c>
      <c r="J589" s="52" t="str">
        <f>IF(H589="","",VLOOKUP(A589,'6.A'!$A$11:$E$564,4,FALSE))</f>
        <v/>
      </c>
      <c r="K589" s="52" t="str">
        <f>IF(H589="","",IF(J589=D589,"SIM","NÃO"))</f>
        <v/>
      </c>
      <c r="L589" s="52" t="str">
        <f>IF(H589="","",IF(C589="","",G584*C589))</f>
        <v/>
      </c>
      <c r="M589" s="117" t="str">
        <f>IF(A589="","",VLOOKUP(A589,'6.A'!$A$11:$C$564,2,FALSE))</f>
        <v/>
      </c>
      <c r="N589" s="57" t="str">
        <f>IF(A589="","",IF(M589=B589,"si","no"))</f>
        <v/>
      </c>
      <c r="O589" s="56"/>
      <c r="P589" s="56"/>
      <c r="Q589" s="48"/>
      <c r="R589" s="48"/>
      <c r="S589" s="2"/>
    </row>
    <row r="590" spans="1:23" ht="12.75" customHeight="1" x14ac:dyDescent="0.2">
      <c r="A590" s="22"/>
      <c r="B590" s="23" t="str">
        <f>IF(A590="","",VLOOKUP(A590,'6.A'!$A$11:$G$180,2,FALSE))</f>
        <v/>
      </c>
      <c r="C590" s="99"/>
      <c r="D590" s="57" t="str">
        <f>IF(A590="","",VLOOKUP(A590,'6.A'!$A$11:$G$180,4,FALSE))</f>
        <v/>
      </c>
      <c r="E590" s="101" t="str">
        <f>IF(A590="","",VLOOKUP(A590,'6.A'!$A$11:$G$180,5,FALSE))</f>
        <v/>
      </c>
      <c r="F590" s="24" t="str">
        <f t="shared" si="268"/>
        <v>0,00</v>
      </c>
      <c r="G590" s="52"/>
      <c r="H590" s="52" t="str">
        <f>IF(A590="","",VLOOKUP(A590,'6.A'!$A$11:$E$7984,5,FALSE))</f>
        <v/>
      </c>
      <c r="I590" s="52" t="str">
        <f t="shared" ref="I590" si="271">IF(H590="","",IF(E590=H590,"SIM","NÃO"))</f>
        <v/>
      </c>
      <c r="J590" s="52" t="str">
        <f>IF(H590="","",VLOOKUP(A590,'6.A'!$A$11:$E$564,4,FALSE))</f>
        <v/>
      </c>
      <c r="K590" s="52" t="str">
        <f t="shared" ref="K590" si="272">IF(H590="","",IF(J590=D590,"SIM","NÃO"))</f>
        <v/>
      </c>
      <c r="L590" s="52" t="str">
        <f>IF(H590="","",IF(C590="","",G584*C590))</f>
        <v/>
      </c>
      <c r="M590" s="117" t="str">
        <f>IF(A590="","",VLOOKUP(A590,'6.A'!$A$11:$C$564,2,FALSE))</f>
        <v/>
      </c>
      <c r="N590" s="57" t="str">
        <f t="shared" ref="N590" si="273">IF(A590="","",IF(M590=B590,"si","no"))</f>
        <v/>
      </c>
      <c r="O590" s="56"/>
      <c r="P590" s="56"/>
      <c r="Q590" s="48"/>
      <c r="R590" s="48"/>
      <c r="S590" s="2"/>
    </row>
    <row r="591" spans="1:23" ht="12.75" customHeight="1" x14ac:dyDescent="0.2">
      <c r="A591" s="22"/>
      <c r="B591" s="23" t="str">
        <f>IF(A591="","",VLOOKUP(A591,'6.A'!$A$11:$G$180,2,FALSE))</f>
        <v/>
      </c>
      <c r="C591" s="99"/>
      <c r="D591" s="57" t="str">
        <f>IF(A591="","",VLOOKUP(A591,'6.A'!$A$11:$G$180,4,FALSE))</f>
        <v/>
      </c>
      <c r="E591" s="101" t="str">
        <f>IF(A591="","",VLOOKUP(A591,'6.A'!$A$11:$G$180,5,FALSE))</f>
        <v/>
      </c>
      <c r="F591" s="24" t="str">
        <f t="shared" si="268"/>
        <v>0,00</v>
      </c>
      <c r="G591" s="52"/>
      <c r="H591" s="52" t="str">
        <f>IF(A591="","",VLOOKUP(A591,'6.A'!$A$11:$E$7984,5,FALSE))</f>
        <v/>
      </c>
      <c r="I591" s="52" t="str">
        <f>IF(H591="","",IF(E591=H591,"SIM","NÃO"))</f>
        <v/>
      </c>
      <c r="J591" s="52" t="str">
        <f>IF(H591="","",VLOOKUP(A591,'6.A'!$A$11:$E$564,4,FALSE))</f>
        <v/>
      </c>
      <c r="K591" s="52" t="str">
        <f>IF(H591="","",IF(J591=D591,"SIM","NÃO"))</f>
        <v/>
      </c>
      <c r="L591" s="52" t="str">
        <f>IF(H591="","",IF(C591="","",G584*C591))</f>
        <v/>
      </c>
      <c r="M591" s="117" t="str">
        <f>IF(A591="","",VLOOKUP(A591,'6.A'!$A$11:$C$564,2,FALSE))</f>
        <v/>
      </c>
      <c r="N591" s="57" t="str">
        <f>IF(A591="","",IF(M591=B591,"si","no"))</f>
        <v/>
      </c>
      <c r="O591" s="56"/>
      <c r="P591" s="56"/>
      <c r="Q591" s="48"/>
      <c r="R591" s="48"/>
      <c r="S591" s="2"/>
    </row>
    <row r="592" spans="1:23" ht="12.75" customHeight="1" x14ac:dyDescent="0.2">
      <c r="A592" s="22"/>
      <c r="B592" s="23" t="str">
        <f>IF(A592="","",VLOOKUP(A592,'6.A'!$A$11:$G$180,2,FALSE))</f>
        <v/>
      </c>
      <c r="C592" s="99"/>
      <c r="D592" s="57" t="str">
        <f>IF(A592="","",VLOOKUP(A592,'6.A'!$A$11:$G$180,4,FALSE))</f>
        <v/>
      </c>
      <c r="E592" s="100" t="str">
        <f>IF(A592="","",VLOOKUP(A592,'6.A'!$A$11:$G$180,5,FALSE))</f>
        <v/>
      </c>
      <c r="F592" s="24" t="str">
        <f t="shared" si="268"/>
        <v>0,00</v>
      </c>
      <c r="G592" s="52"/>
      <c r="H592" s="52" t="str">
        <f>IF(A592="","",VLOOKUP(A592,'6.A'!$A$11:$E$7984,5,FALSE))</f>
        <v/>
      </c>
      <c r="I592" s="52" t="str">
        <f>IF(H592="","",IF(E592=H592,"SIM","NÃO"))</f>
        <v/>
      </c>
      <c r="J592" s="52" t="str">
        <f>IF(H592="","",VLOOKUP(A592,'6.A'!$A$11:$E$564,4,FALSE))</f>
        <v/>
      </c>
      <c r="K592" s="52" t="str">
        <f>IF(H592="","",IF(J592=D592,"SIM","NÃO"))</f>
        <v/>
      </c>
      <c r="L592" s="52" t="str">
        <f>IF(H592="","",IF(C592="","",G584*C592))</f>
        <v/>
      </c>
      <c r="M592" s="117" t="str">
        <f>IF(A592="","",VLOOKUP(A592,'6.A'!$A$11:$C$564,2,FALSE))</f>
        <v/>
      </c>
      <c r="N592" s="57" t="str">
        <f>IF(A592="","",IF(M592=B592,"si","no"))</f>
        <v/>
      </c>
      <c r="O592" s="56"/>
      <c r="P592" s="56"/>
      <c r="Q592" s="48"/>
      <c r="R592" s="48"/>
      <c r="S592" s="2"/>
    </row>
    <row r="593" spans="1:19" ht="12.75" customHeight="1" x14ac:dyDescent="0.2">
      <c r="A593" s="22"/>
      <c r="B593" s="23" t="str">
        <f>IF(A593="","",VLOOKUP(A593,'6.A'!$A$11:$G$180,2,FALSE))</f>
        <v/>
      </c>
      <c r="C593" s="99"/>
      <c r="D593" s="57" t="str">
        <f>IF(A593="","",VLOOKUP(A593,'6.A'!$A$11:$G$180,4,FALSE))</f>
        <v/>
      </c>
      <c r="E593" s="100" t="str">
        <f>IF(A593="","",VLOOKUP(A593,'6.A'!$A$11:$G$180,5,FALSE))</f>
        <v/>
      </c>
      <c r="F593" s="24" t="str">
        <f t="shared" si="268"/>
        <v>0,00</v>
      </c>
      <c r="G593" s="52"/>
      <c r="H593" s="52" t="str">
        <f>IF(A593="","",VLOOKUP(A593,'6.A'!$A$11:$E$7984,5,FALSE))</f>
        <v/>
      </c>
      <c r="I593" s="52" t="str">
        <f t="shared" ref="I593" si="274">IF(H593="","",IF(E593=H593,"SIM","NÃO"))</f>
        <v/>
      </c>
      <c r="J593" s="52" t="str">
        <f>IF(H593="","",VLOOKUP(A593,'6.A'!$A$11:$E$564,4,FALSE))</f>
        <v/>
      </c>
      <c r="K593" s="52" t="str">
        <f t="shared" ref="K593" si="275">IF(H593="","",IF(J593=D593,"SIM","NÃO"))</f>
        <v/>
      </c>
      <c r="L593" s="52" t="str">
        <f>IF(H593="","",IF(C593="","",G584*C593))</f>
        <v/>
      </c>
      <c r="M593" s="117" t="str">
        <f>IF(A593="","",VLOOKUP(A593,'6.A'!$A$11:$C$564,2,FALSE))</f>
        <v/>
      </c>
      <c r="N593" s="57" t="str">
        <f t="shared" ref="N593" si="276">IF(A593="","",IF(M593=B593,"si","no"))</f>
        <v/>
      </c>
      <c r="O593" s="56"/>
      <c r="P593" s="56"/>
      <c r="Q593" s="48"/>
      <c r="R593" s="48"/>
      <c r="S593" s="2"/>
    </row>
    <row r="594" spans="1:19" ht="12.75" customHeight="1" x14ac:dyDescent="0.2">
      <c r="A594" s="22"/>
      <c r="B594" s="23" t="str">
        <f>IF(A594="","",VLOOKUP(A594,'6.A'!$A$11:$G$180,2,FALSE))</f>
        <v/>
      </c>
      <c r="C594" s="99"/>
      <c r="D594" s="73" t="str">
        <f>IF(A594="","",VLOOKUP(A594,'6.A'!$A$11:$G$180,4,FALSE))</f>
        <v/>
      </c>
      <c r="E594" s="101" t="str">
        <f>IF(A594="","",VLOOKUP(A594,'6.A'!$A$11:$G$180,5,FALSE))</f>
        <v/>
      </c>
      <c r="F594" s="24" t="str">
        <f t="shared" si="268"/>
        <v>0,00</v>
      </c>
      <c r="G594" s="52"/>
      <c r="H594" s="52" t="str">
        <f>IF(A594="","",VLOOKUP(A594,'6.A'!$A$11:$E$7984,5,FALSE))</f>
        <v/>
      </c>
      <c r="I594" s="52" t="str">
        <f>IF(H594="","",IF(E594=H594,"SIM","NÃO"))</f>
        <v/>
      </c>
      <c r="J594" s="52" t="str">
        <f>IF(H594="","",VLOOKUP(A594,'6.A'!$A$11:$E$564,4,FALSE))</f>
        <v/>
      </c>
      <c r="K594" s="52" t="str">
        <f>IF(H594="","",IF(J594=D594,"SIM","NÃO"))</f>
        <v/>
      </c>
      <c r="L594" s="52" t="str">
        <f>IF(H594="","",IF(C594="","",G584*C594))</f>
        <v/>
      </c>
      <c r="M594" s="117" t="str">
        <f>IF(A594="","",VLOOKUP(A594,'6.A'!$A$11:$C$564,2,FALSE))</f>
        <v/>
      </c>
      <c r="N594" s="57" t="str">
        <f>IF(A594="","",IF(M594=B594,"si","no"))</f>
        <v/>
      </c>
      <c r="O594" s="56"/>
      <c r="P594" s="56"/>
      <c r="Q594" s="48"/>
      <c r="R594" s="48"/>
      <c r="S594" s="2"/>
    </row>
    <row r="595" spans="1:19" ht="12.75" customHeight="1" x14ac:dyDescent="0.2">
      <c r="A595" s="22"/>
      <c r="B595" s="23" t="str">
        <f>IF(A595="","",VLOOKUP(A595,'6.A'!$A$11:$G$180,2,FALSE))</f>
        <v/>
      </c>
      <c r="C595" s="99"/>
      <c r="D595" s="25" t="str">
        <f>IF(A595="","",VLOOKUP(A595,'6.A'!$A$11:$G$180,4,FALSE))</f>
        <v/>
      </c>
      <c r="E595" s="101" t="str">
        <f>IF(A595="","",VLOOKUP(A595,'6.A'!$A$11:$G$180,5,FALSE))</f>
        <v/>
      </c>
      <c r="F595" s="24" t="str">
        <f t="shared" si="268"/>
        <v>0,00</v>
      </c>
      <c r="G595" s="52"/>
      <c r="H595" s="52" t="str">
        <f>IF(A595="","",VLOOKUP(A595,'6.A'!$A$11:$E$7984,5,FALSE))</f>
        <v/>
      </c>
      <c r="I595" s="52" t="str">
        <f t="shared" ref="I595" si="277">IF(H595="","",IF(E595=H595,"SIM","NÃO"))</f>
        <v/>
      </c>
      <c r="J595" s="52" t="str">
        <f>IF(H595="","",VLOOKUP(A595,'6.A'!$A$11:$E$564,4,FALSE))</f>
        <v/>
      </c>
      <c r="K595" s="52" t="str">
        <f t="shared" ref="K595" si="278">IF(H595="","",IF(J595=D595,"SIM","NÃO"))</f>
        <v/>
      </c>
      <c r="L595" s="52" t="str">
        <f>IF(H595="","",IF(C595="","",G584*C595))</f>
        <v/>
      </c>
      <c r="M595" s="117" t="str">
        <f>IF(A595="","",VLOOKUP(A595,'6.A'!$A$11:$C$564,2,FALSE))</f>
        <v/>
      </c>
      <c r="N595" s="57" t="str">
        <f t="shared" ref="N595" si="279">IF(A595="","",IF(M595=B595,"si","no"))</f>
        <v/>
      </c>
      <c r="O595" s="56"/>
      <c r="P595" s="56"/>
      <c r="Q595" s="48"/>
      <c r="R595" s="48"/>
      <c r="S595" s="2"/>
    </row>
    <row r="596" spans="1:19" ht="12.75" customHeight="1" x14ac:dyDescent="0.2">
      <c r="A596" s="17"/>
      <c r="B596" s="26" t="str">
        <f>$A$8</f>
        <v>LEIS SOCIAIS HORISTA - JORNADA NORMAL</v>
      </c>
      <c r="C596" s="27">
        <f>$C$8</f>
        <v>0</v>
      </c>
      <c r="D596" s="57"/>
      <c r="F596" s="28">
        <f>ROUND(SUM(F586:F595)*C596,2)</f>
        <v>0</v>
      </c>
      <c r="G596" s="63"/>
      <c r="M596" s="62"/>
      <c r="N596" s="57"/>
      <c r="O596" s="56"/>
      <c r="P596" s="56"/>
      <c r="Q596" s="48"/>
      <c r="R596" s="48"/>
      <c r="S596" s="2"/>
    </row>
    <row r="597" spans="1:19" ht="12.75" customHeight="1" x14ac:dyDescent="0.2">
      <c r="A597" s="22"/>
      <c r="B597" s="26" t="str">
        <f>$A$9</f>
        <v>BDI</v>
      </c>
      <c r="C597" s="27">
        <f>$C$9</f>
        <v>0</v>
      </c>
      <c r="D597" s="29"/>
      <c r="F597" s="28">
        <f>ROUND(SUM(F586:F596)*C597,2)</f>
        <v>0</v>
      </c>
      <c r="G597" s="63"/>
      <c r="M597" s="62"/>
      <c r="N597" s="57"/>
      <c r="O597" s="56"/>
      <c r="P597" s="56"/>
      <c r="Q597" s="48"/>
      <c r="R597" s="48"/>
      <c r="S597" s="2"/>
    </row>
    <row r="598" spans="1:19" ht="12.75" customHeight="1" x14ac:dyDescent="0.2">
      <c r="A598" s="30"/>
      <c r="B598" s="31" t="s">
        <v>56</v>
      </c>
      <c r="C598" s="32"/>
      <c r="D598" s="33"/>
      <c r="E598" s="34"/>
      <c r="F598" s="35">
        <f>ROUND(SUM(F586:F597),2)</f>
        <v>0</v>
      </c>
      <c r="G598" s="63"/>
      <c r="M598" s="62"/>
      <c r="N598" s="57"/>
      <c r="O598" s="56"/>
      <c r="P598" s="56"/>
      <c r="Q598" s="48"/>
      <c r="R598" s="48"/>
      <c r="S598" s="2"/>
    </row>
    <row r="599" spans="1:19" ht="12.75" customHeight="1" x14ac:dyDescent="0.2">
      <c r="A599" s="17" t="s">
        <v>5</v>
      </c>
      <c r="B599" s="153" t="s">
        <v>130</v>
      </c>
      <c r="C599" s="56" t="s">
        <v>59</v>
      </c>
      <c r="D599" s="56" t="s">
        <v>16</v>
      </c>
      <c r="E599" s="19" t="s">
        <v>60</v>
      </c>
      <c r="F599" s="20" t="s">
        <v>61</v>
      </c>
      <c r="G599" s="21"/>
      <c r="M599" s="62"/>
      <c r="N599" s="57"/>
      <c r="O599" s="56"/>
      <c r="P599" s="56"/>
      <c r="Q599" s="48"/>
      <c r="R599" s="48"/>
      <c r="S599" s="2"/>
    </row>
    <row r="600" spans="1:19" ht="12.75" customHeight="1" x14ac:dyDescent="0.2">
      <c r="A600" s="22"/>
      <c r="B600" s="23" t="str">
        <f>IF(A600="","",VLOOKUP(A600,'6.A'!$A$11:$G$180,2,FALSE))</f>
        <v/>
      </c>
      <c r="C600" s="156"/>
      <c r="D600" s="57" t="str">
        <f>IF(A600="","",VLOOKUP(A600,'6.A'!$A$11:$G$180,4,FALSE))</f>
        <v/>
      </c>
      <c r="E600" s="100" t="str">
        <f>IF(A600="","",VLOOKUP(A600,'6.A'!$A$11:$G$180,5,FALSE))</f>
        <v/>
      </c>
      <c r="F600" s="24" t="str">
        <f t="shared" ref="F600:F609" si="280">IF(A600="","0,00",ROUND(C600*E600,2))</f>
        <v>0,00</v>
      </c>
      <c r="G600" s="52"/>
      <c r="H600" s="52" t="str">
        <f>IF(A600="","",VLOOKUP(A600,'6.A'!$A$11:$E$7984,5,FALSE))</f>
        <v/>
      </c>
      <c r="I600" s="52" t="str">
        <f t="shared" ref="I600:I609" si="281">IF(H600="","",IF(E600=H600,"SIM","NÃO"))</f>
        <v/>
      </c>
      <c r="J600" s="52" t="str">
        <f>IF(H600="","",VLOOKUP(A600,'6.A'!$A$11:$E$564,4,FALSE))</f>
        <v/>
      </c>
      <c r="K600" s="52" t="str">
        <f t="shared" ref="K600:K609" si="282">IF(H600="","",IF(J600=D600,"SIM","NÃO"))</f>
        <v/>
      </c>
      <c r="L600" s="52" t="str">
        <f>IF(H600="","",IF(C600="","",G584*C600))</f>
        <v/>
      </c>
      <c r="M600" s="117" t="str">
        <f>IF(A600="","",VLOOKUP(A600,'6.A'!$A$11:$C$564,2,FALSE))</f>
        <v/>
      </c>
      <c r="N600" s="57" t="str">
        <f t="shared" ref="N600:N605" si="283">IF(A600="","",IF(M600=B600,"si","no"))</f>
        <v/>
      </c>
      <c r="O600" s="56"/>
      <c r="P600" s="56"/>
      <c r="Q600" s="48"/>
      <c r="R600" s="48"/>
      <c r="S600" s="2"/>
    </row>
    <row r="601" spans="1:19" ht="12.75" customHeight="1" x14ac:dyDescent="0.2">
      <c r="A601" s="22"/>
      <c r="B601" s="23" t="str">
        <f>IF(A601="","",VLOOKUP(A601,'6.A'!$A$11:$G$180,2,FALSE))</f>
        <v/>
      </c>
      <c r="C601" s="99"/>
      <c r="D601" s="57" t="str">
        <f>IF(A601="","",VLOOKUP(A601,'6.A'!$A$11:$G$180,4,FALSE))</f>
        <v/>
      </c>
      <c r="E601" s="100" t="str">
        <f>IF(A601="","",VLOOKUP(A601,'6.A'!$A$11:$G$180,5,FALSE))</f>
        <v/>
      </c>
      <c r="F601" s="24" t="str">
        <f t="shared" si="280"/>
        <v>0,00</v>
      </c>
      <c r="G601" s="52"/>
      <c r="H601" s="52" t="str">
        <f>IF(A601="","",VLOOKUP(A601,'6.A'!$A$11:$E$7984,5,FALSE))</f>
        <v/>
      </c>
      <c r="I601" s="52" t="str">
        <f t="shared" si="281"/>
        <v/>
      </c>
      <c r="J601" s="52" t="str">
        <f>IF(H601="","",VLOOKUP(A601,'6.A'!$A$11:$E$564,4,FALSE))</f>
        <v/>
      </c>
      <c r="K601" s="52" t="str">
        <f t="shared" si="282"/>
        <v/>
      </c>
      <c r="L601" s="52" t="str">
        <f>IF(H601="","",IF(C601="","",G584*C601))</f>
        <v/>
      </c>
      <c r="M601" s="117" t="str">
        <f>IF(A601="","",VLOOKUP(A601,'6.A'!$A$11:$C$564,2,FALSE))</f>
        <v/>
      </c>
      <c r="N601" s="57" t="str">
        <f t="shared" si="283"/>
        <v/>
      </c>
      <c r="O601" s="56"/>
      <c r="P601" s="56"/>
      <c r="Q601" s="48"/>
      <c r="R601" s="48"/>
      <c r="S601" s="2"/>
    </row>
    <row r="602" spans="1:19" ht="12.75" customHeight="1" x14ac:dyDescent="0.2">
      <c r="A602" s="22"/>
      <c r="B602" s="23" t="str">
        <f>IF(A602="","",VLOOKUP(A602,'6.A'!$A$11:$G$180,2,FALSE))</f>
        <v/>
      </c>
      <c r="C602" s="99"/>
      <c r="D602" s="57" t="str">
        <f>IF(A602="","",VLOOKUP(A602,'6.A'!$A$11:$G$180,4,FALSE))</f>
        <v/>
      </c>
      <c r="E602" s="100" t="str">
        <f>IF(A602="","",VLOOKUP(A602,'6.A'!$A$11:$G$180,5,FALSE))</f>
        <v/>
      </c>
      <c r="F602" s="24" t="str">
        <f t="shared" si="280"/>
        <v>0,00</v>
      </c>
      <c r="G602" s="52"/>
      <c r="H602" s="52" t="str">
        <f>IF(A602="","",VLOOKUP(A602,'6.A'!$A$11:$E$7984,5,FALSE))</f>
        <v/>
      </c>
      <c r="I602" s="52" t="str">
        <f t="shared" si="281"/>
        <v/>
      </c>
      <c r="J602" s="52" t="str">
        <f>IF(H602="","",VLOOKUP(A602,'6.A'!$A$11:$E$564,4,FALSE))</f>
        <v/>
      </c>
      <c r="K602" s="52" t="str">
        <f t="shared" si="282"/>
        <v/>
      </c>
      <c r="L602" s="52" t="str">
        <f>IF(H602="","",IF(C602="","",G584*C602))</f>
        <v/>
      </c>
      <c r="M602" s="117" t="str">
        <f>IF(A602="","",VLOOKUP(A602,'6.A'!$A$11:$C$564,2,FALSE))</f>
        <v/>
      </c>
      <c r="N602" s="57" t="str">
        <f t="shared" si="283"/>
        <v/>
      </c>
      <c r="O602" s="56"/>
      <c r="P602" s="56"/>
      <c r="Q602" s="48"/>
      <c r="R602" s="48"/>
      <c r="S602" s="2"/>
    </row>
    <row r="603" spans="1:19" ht="12.75" customHeight="1" x14ac:dyDescent="0.2">
      <c r="A603" s="22"/>
      <c r="B603" s="55" t="str">
        <f>IF(A603="","",VLOOKUP(A603,'6.A'!$A$11:$G$180,2,FALSE))</f>
        <v/>
      </c>
      <c r="C603" s="134"/>
      <c r="D603" s="57" t="str">
        <f>IF(A603="","",VLOOKUP(A603,'6.A'!$A$11:$G$180,4,FALSE))</f>
        <v/>
      </c>
      <c r="E603" s="100" t="str">
        <f>IF(A603="","",VLOOKUP(A603,'6.A'!$A$11:$G$180,5,FALSE))</f>
        <v/>
      </c>
      <c r="F603" s="24" t="str">
        <f t="shared" si="280"/>
        <v>0,00</v>
      </c>
      <c r="G603" s="52"/>
      <c r="H603" s="52" t="str">
        <f>IF(A603="","",VLOOKUP(A603,'6.A'!$A$11:$E$7984,5,FALSE))</f>
        <v/>
      </c>
      <c r="I603" s="52" t="str">
        <f t="shared" si="281"/>
        <v/>
      </c>
      <c r="J603" s="52" t="str">
        <f>IF(H603="","",VLOOKUP(A603,'6.A'!$A$11:$E$564,4,FALSE))</f>
        <v/>
      </c>
      <c r="K603" s="52" t="str">
        <f t="shared" si="282"/>
        <v/>
      </c>
      <c r="L603" s="52" t="str">
        <f>IF(H603="","",IF(C603="","",G584*C603))</f>
        <v/>
      </c>
      <c r="M603" s="117" t="str">
        <f>IF(A603="","",VLOOKUP(A603,'6.A'!$A$11:$C$564,2,FALSE))</f>
        <v/>
      </c>
      <c r="N603" s="57" t="str">
        <f t="shared" si="283"/>
        <v/>
      </c>
      <c r="O603" s="56"/>
      <c r="P603" s="56"/>
      <c r="Q603" s="48"/>
      <c r="R603" s="48"/>
      <c r="S603" s="2"/>
    </row>
    <row r="604" spans="1:19" ht="12.75" customHeight="1" x14ac:dyDescent="0.2">
      <c r="A604" s="22"/>
      <c r="B604" s="23" t="str">
        <f>IF(A604="","",VLOOKUP(A604,'6.A'!$A$11:$G$180,2,FALSE))</f>
        <v/>
      </c>
      <c r="C604" s="99"/>
      <c r="D604" s="57" t="str">
        <f>IF(A604="","",VLOOKUP(A604,'6.A'!$A$11:$G$180,4,FALSE))</f>
        <v/>
      </c>
      <c r="E604" s="100" t="str">
        <f>IF(A604="","",VLOOKUP(A604,'6.A'!$A$11:$G$180,5,FALSE))</f>
        <v/>
      </c>
      <c r="F604" s="24" t="str">
        <f t="shared" si="280"/>
        <v>0,00</v>
      </c>
      <c r="G604" s="52"/>
      <c r="H604" s="52" t="str">
        <f>IF(A604="","",VLOOKUP(A604,'6.A'!$A$11:$E$7984,5,FALSE))</f>
        <v/>
      </c>
      <c r="I604" s="52" t="str">
        <f t="shared" si="281"/>
        <v/>
      </c>
      <c r="J604" s="52" t="str">
        <f>IF(H604="","",VLOOKUP(A604,'6.A'!$A$11:$E$564,4,FALSE))</f>
        <v/>
      </c>
      <c r="K604" s="52" t="str">
        <f t="shared" si="282"/>
        <v/>
      </c>
      <c r="L604" s="52" t="str">
        <f>IF(H604="","",IF(C604="","",G584*C604))</f>
        <v/>
      </c>
      <c r="M604" s="117" t="str">
        <f>IF(A604="","",VLOOKUP(A604,'6.A'!$A$11:$C$564,2,FALSE))</f>
        <v/>
      </c>
      <c r="N604" s="57" t="str">
        <f t="shared" si="283"/>
        <v/>
      </c>
      <c r="O604" s="56"/>
      <c r="P604" s="56"/>
      <c r="Q604" s="48"/>
      <c r="R604" s="48"/>
      <c r="S604" s="2"/>
    </row>
    <row r="605" spans="1:19" ht="12.75" customHeight="1" x14ac:dyDescent="0.2">
      <c r="A605" s="22"/>
      <c r="B605" s="23" t="str">
        <f>IF(A605="","",VLOOKUP(A605,'6.A'!$A$11:$G$180,2,FALSE))</f>
        <v/>
      </c>
      <c r="C605" s="99"/>
      <c r="D605" s="57" t="str">
        <f>IF(A605="","",VLOOKUP(A605,'6.A'!$A$11:$G$180,4,FALSE))</f>
        <v/>
      </c>
      <c r="E605" s="100" t="str">
        <f>IF(A605="","",VLOOKUP(A605,'6.A'!$A$11:$G$180,5,FALSE))</f>
        <v/>
      </c>
      <c r="F605" s="24" t="str">
        <f t="shared" si="280"/>
        <v>0,00</v>
      </c>
      <c r="G605" s="52"/>
      <c r="H605" s="52" t="str">
        <f>IF(A605="","",VLOOKUP(A605,'6.A'!$A$11:$E$7984,5,FALSE))</f>
        <v/>
      </c>
      <c r="I605" s="52" t="str">
        <f t="shared" si="281"/>
        <v/>
      </c>
      <c r="J605" s="52" t="str">
        <f>IF(H605="","",VLOOKUP(A605,'6.A'!$A$11:$E$564,4,FALSE))</f>
        <v/>
      </c>
      <c r="K605" s="52" t="str">
        <f t="shared" si="282"/>
        <v/>
      </c>
      <c r="L605" s="52" t="str">
        <f>IF(H605="","",IF(C605="","",G584*C605))</f>
        <v/>
      </c>
      <c r="M605" s="117" t="str">
        <f>IF(A605="","",VLOOKUP(A605,'6.A'!$A$11:$C$564,2,FALSE))</f>
        <v/>
      </c>
      <c r="N605" s="57" t="str">
        <f t="shared" si="283"/>
        <v/>
      </c>
      <c r="O605" s="56"/>
      <c r="P605" s="56"/>
      <c r="Q605" s="48"/>
      <c r="R605" s="48"/>
      <c r="S605" s="2"/>
    </row>
    <row r="606" spans="1:19" ht="12.75" customHeight="1" x14ac:dyDescent="0.2">
      <c r="A606" s="22"/>
      <c r="B606" s="23" t="str">
        <f>IF(A606="","",VLOOKUP(A606,'6.A'!$A$11:$G$180,2,FALSE))</f>
        <v/>
      </c>
      <c r="C606" s="99"/>
      <c r="D606" s="57" t="str">
        <f>IF(A606="","",VLOOKUP(A606,'6.A'!$A$11:$G$180,4,FALSE))</f>
        <v/>
      </c>
      <c r="E606" s="100" t="str">
        <f>IF(A606="","",VLOOKUP(A606,'6.A'!$A$11:$G$180,5,FALSE))</f>
        <v/>
      </c>
      <c r="F606" s="24" t="str">
        <f t="shared" si="280"/>
        <v>0,00</v>
      </c>
      <c r="G606" s="52"/>
      <c r="H606" s="52" t="str">
        <f>IF(A606="","",VLOOKUP(A606,'6.A'!$A$11:$E$7984,5,FALSE))</f>
        <v/>
      </c>
      <c r="I606" s="52" t="str">
        <f t="shared" si="281"/>
        <v/>
      </c>
      <c r="J606" s="52" t="str">
        <f>IF(H606="","",VLOOKUP(A606,'6.A'!$A$11:$E$564,4,FALSE))</f>
        <v/>
      </c>
      <c r="K606" s="52" t="str">
        <f t="shared" si="282"/>
        <v/>
      </c>
      <c r="L606" s="52" t="str">
        <f>IF(H606="","",IF(C606="","",G584*C606))</f>
        <v/>
      </c>
      <c r="M606" s="117" t="str">
        <f>IF(A606="","",VLOOKUP(A606,'6.A'!$A$11:$C$564,2,FALSE))</f>
        <v/>
      </c>
      <c r="N606" s="57" t="str">
        <f>IF(A606="","",IF(M606=B606,"si","no"))</f>
        <v/>
      </c>
      <c r="O606" s="56"/>
      <c r="P606" s="56"/>
      <c r="Q606" s="48"/>
      <c r="R606" s="48"/>
      <c r="S606" s="2"/>
    </row>
    <row r="607" spans="1:19" ht="12.75" customHeight="1" x14ac:dyDescent="0.2">
      <c r="A607" s="22"/>
      <c r="B607" s="23" t="str">
        <f>IF(A607="","",VLOOKUP(A607,'6.A'!$A$11:$G$180,2,FALSE))</f>
        <v/>
      </c>
      <c r="C607" s="99"/>
      <c r="D607" s="57" t="str">
        <f>IF(A607="","",VLOOKUP(A607,'6.A'!$A$11:$G$180,4,FALSE))</f>
        <v/>
      </c>
      <c r="E607" s="100" t="str">
        <f>IF(A607="","",VLOOKUP(A607,'6.A'!$A$11:$G$180,5,FALSE))</f>
        <v/>
      </c>
      <c r="F607" s="24" t="str">
        <f t="shared" si="280"/>
        <v>0,00</v>
      </c>
      <c r="G607" s="52"/>
      <c r="H607" s="52" t="str">
        <f>IF(A607="","",VLOOKUP(A607,'6.A'!$A$11:$E$7984,5,FALSE))</f>
        <v/>
      </c>
      <c r="I607" s="52" t="str">
        <f t="shared" si="281"/>
        <v/>
      </c>
      <c r="J607" s="52" t="str">
        <f>IF(H607="","",VLOOKUP(A607,'6.A'!$A$11:$E$564,4,FALSE))</f>
        <v/>
      </c>
      <c r="K607" s="52" t="str">
        <f t="shared" si="282"/>
        <v/>
      </c>
      <c r="L607" s="52" t="str">
        <f>IF(H607="","",IF(C607="","",G584*C607))</f>
        <v/>
      </c>
      <c r="M607" s="117" t="str">
        <f>IF(A607="","",VLOOKUP(A607,'6.A'!$A$11:$C$564,2,FALSE))</f>
        <v/>
      </c>
      <c r="N607" s="57" t="str">
        <f>IF(A607="","",IF(M607=B607,"si","no"))</f>
        <v/>
      </c>
      <c r="O607" s="56"/>
      <c r="P607" s="56"/>
      <c r="Q607" s="48"/>
      <c r="R607" s="48"/>
      <c r="S607" s="2"/>
    </row>
    <row r="608" spans="1:19" ht="12.75" customHeight="1" x14ac:dyDescent="0.2">
      <c r="A608" s="22"/>
      <c r="B608" s="23" t="str">
        <f>IF(A608="","",VLOOKUP(A608,'6.A'!$A$11:$G$180,2,FALSE))</f>
        <v/>
      </c>
      <c r="C608" s="99"/>
      <c r="D608" s="57" t="str">
        <f>IF(A608="","",VLOOKUP(A608,'6.A'!$A$11:$G$180,4,FALSE))</f>
        <v/>
      </c>
      <c r="E608" s="100" t="str">
        <f>IF(A608="","",VLOOKUP(A608,'6.A'!$A$11:$G$180,5,FALSE))</f>
        <v/>
      </c>
      <c r="F608" s="24" t="str">
        <f t="shared" si="280"/>
        <v>0,00</v>
      </c>
      <c r="G608" s="52"/>
      <c r="H608" s="52" t="str">
        <f>IF(A608="","",VLOOKUP(A608,'6.A'!$A$11:$E$7984,5,FALSE))</f>
        <v/>
      </c>
      <c r="I608" s="52" t="str">
        <f t="shared" si="281"/>
        <v/>
      </c>
      <c r="J608" s="52" t="str">
        <f>IF(H608="","",VLOOKUP(A608,'6.A'!$A$11:$E$564,4,FALSE))</f>
        <v/>
      </c>
      <c r="K608" s="52" t="str">
        <f t="shared" si="282"/>
        <v/>
      </c>
      <c r="L608" s="52" t="str">
        <f>IF(H608="","",IF(C608="","",G584*C608))</f>
        <v/>
      </c>
      <c r="M608" s="117" t="str">
        <f>IF(A608="","",VLOOKUP(A608,'6.A'!$A$11:$C$564,2,FALSE))</f>
        <v/>
      </c>
      <c r="N608" s="57" t="str">
        <f t="shared" ref="N608:N609" si="284">IF(A608="","",IF(M608=B608,"si","no"))</f>
        <v/>
      </c>
      <c r="O608" s="56"/>
      <c r="P608" s="56"/>
      <c r="Q608" s="48"/>
      <c r="R608" s="48"/>
      <c r="S608" s="2"/>
    </row>
    <row r="609" spans="1:22" ht="12.75" customHeight="1" x14ac:dyDescent="0.2">
      <c r="A609" s="22"/>
      <c r="B609" s="23" t="str">
        <f>IF(A609="","",VLOOKUP(A609,'6.A'!$A$11:$G$180,2,FALSE))</f>
        <v/>
      </c>
      <c r="C609" s="99"/>
      <c r="D609" s="57" t="str">
        <f>IF(A609="","",VLOOKUP(A609,'6.A'!$A$11:$G$180,4,FALSE))</f>
        <v/>
      </c>
      <c r="E609" s="100" t="str">
        <f>IF(A609="","",VLOOKUP(A609,'6.A'!$A$11:$G$180,5,FALSE))</f>
        <v/>
      </c>
      <c r="F609" s="24" t="str">
        <f t="shared" si="280"/>
        <v>0,00</v>
      </c>
      <c r="G609" s="52"/>
      <c r="H609" s="52" t="str">
        <f>IF(A609="","",VLOOKUP(A609,'6.A'!$A$11:$E$7984,5,FALSE))</f>
        <v/>
      </c>
      <c r="I609" s="52" t="str">
        <f t="shared" si="281"/>
        <v/>
      </c>
      <c r="J609" s="52" t="str">
        <f>IF(H609="","",VLOOKUP(A609,'6.A'!$A$11:$E$564,4,FALSE))</f>
        <v/>
      </c>
      <c r="K609" s="52" t="str">
        <f t="shared" si="282"/>
        <v/>
      </c>
      <c r="L609" s="52" t="str">
        <f>IF(H609="","",IF(C609="","",G584*C609))</f>
        <v/>
      </c>
      <c r="M609" s="117" t="str">
        <f>IF(A609="","",VLOOKUP(A609,'6.A'!$A$11:$C$564,2,FALSE))</f>
        <v/>
      </c>
      <c r="N609" s="57" t="str">
        <f t="shared" si="284"/>
        <v/>
      </c>
      <c r="O609" s="56"/>
      <c r="P609" s="56"/>
      <c r="Q609" s="48"/>
      <c r="R609" s="48"/>
      <c r="S609" s="2"/>
    </row>
    <row r="610" spans="1:22" ht="12.75" customHeight="1" x14ac:dyDescent="0.2">
      <c r="A610" s="22"/>
      <c r="B610" s="26" t="str">
        <f>$A$9</f>
        <v>BDI</v>
      </c>
      <c r="C610" s="27">
        <f>$C$9</f>
        <v>0</v>
      </c>
      <c r="D610" s="57"/>
      <c r="F610" s="28">
        <f>ROUND(SUM(F600:F609)*C610,2)</f>
        <v>0</v>
      </c>
      <c r="G610" s="63"/>
      <c r="M610" s="62"/>
      <c r="N610" s="57"/>
      <c r="O610" s="56"/>
      <c r="P610" s="56"/>
      <c r="Q610" s="48"/>
      <c r="R610" s="48"/>
      <c r="S610" s="2"/>
    </row>
    <row r="611" spans="1:22" ht="12.75" customHeight="1" x14ac:dyDescent="0.2">
      <c r="A611" s="30"/>
      <c r="B611" s="31" t="s">
        <v>117</v>
      </c>
      <c r="C611" s="36"/>
      <c r="D611" s="37"/>
      <c r="E611" s="38"/>
      <c r="F611" s="35">
        <f>ROUND(SUM(F600:F610),2)</f>
        <v>0</v>
      </c>
      <c r="G611" s="63"/>
      <c r="M611" s="62"/>
      <c r="N611" s="57"/>
      <c r="O611" s="56"/>
      <c r="P611" s="56"/>
      <c r="Q611" s="48"/>
      <c r="R611" s="48"/>
      <c r="S611" s="2"/>
    </row>
    <row r="612" spans="1:22" ht="12.75" customHeight="1" x14ac:dyDescent="0.2">
      <c r="A612" s="17" t="s">
        <v>6</v>
      </c>
      <c r="B612" s="18" t="s">
        <v>17</v>
      </c>
      <c r="C612" s="56" t="s">
        <v>59</v>
      </c>
      <c r="D612" s="56" t="s">
        <v>16</v>
      </c>
      <c r="E612" s="19" t="s">
        <v>60</v>
      </c>
      <c r="F612" s="20" t="s">
        <v>61</v>
      </c>
      <c r="G612" s="21"/>
      <c r="M612" s="62"/>
      <c r="N612" s="57"/>
      <c r="O612" s="56"/>
      <c r="P612" s="56"/>
      <c r="Q612" s="48"/>
      <c r="R612" s="48"/>
      <c r="S612" s="2"/>
    </row>
    <row r="613" spans="1:22" ht="12.75" customHeight="1" x14ac:dyDescent="0.2">
      <c r="A613" s="22">
        <f>'6.A'!$A$65</f>
        <v>402</v>
      </c>
      <c r="B613" s="23" t="str">
        <f>IF(A613="","",VLOOKUP(A613,'6.A'!$A$11:$G$180,2,FALSE))</f>
        <v xml:space="preserve">GANCHO OLHAL EM ACO GALVANIZADO, ESPESSURA 16MM, ABERTURA 21MM </v>
      </c>
      <c r="C613" s="99">
        <v>3</v>
      </c>
      <c r="D613" s="57" t="str">
        <f>IF(A613="","",VLOOKUP(A613,'6.A'!$A$11:$G$180,4,FALSE))</f>
        <v>UN</v>
      </c>
      <c r="E613" s="100">
        <f>IF(A613="","",VLOOKUP(A613,'6.A'!$A$11:$G$180,5,FALSE))</f>
        <v>0</v>
      </c>
      <c r="F613" s="24">
        <f>IF(A613="","0,00",ROUND(C613*E613,2))</f>
        <v>0</v>
      </c>
      <c r="G613" s="52"/>
      <c r="H613" s="52">
        <f>IF(A613="","",VLOOKUP(A613,'6.A'!$A$11:$E$7984,5,FALSE))</f>
        <v>0</v>
      </c>
      <c r="I613" s="52" t="str">
        <f>IF(H613="","",IF(E613=H613,"SIM","NÃO"))</f>
        <v>SIM</v>
      </c>
      <c r="J613" s="52" t="str">
        <f>IF(H613="","",VLOOKUP(A613,'6.A'!$A$11:$E$564,4,FALSE))</f>
        <v>UN</v>
      </c>
      <c r="K613" s="52" t="str">
        <f>IF(H613="","",IF(J613=D613,"SIM","NÃO"))</f>
        <v>SIM</v>
      </c>
      <c r="L613" s="52">
        <f>IF(H613="","",IF(C613="","",G584*C613))</f>
        <v>3</v>
      </c>
      <c r="M613" s="117" t="str">
        <f>IF(A613="","",VLOOKUP(A613,'6.A'!$A$11:$C$564,2,FALSE))</f>
        <v xml:space="preserve">GANCHO OLHAL EM ACO GALVANIZADO, ESPESSURA 16MM, ABERTURA 21MM </v>
      </c>
      <c r="N613" s="57" t="str">
        <f>IF(A613="","",IF(M613=B613,"si","no"))</f>
        <v>si</v>
      </c>
      <c r="O613" s="56"/>
      <c r="P613" s="56"/>
      <c r="Q613" s="48"/>
      <c r="R613" s="48"/>
    </row>
    <row r="614" spans="1:22" s="65" customFormat="1" ht="12.75" customHeight="1" x14ac:dyDescent="0.2">
      <c r="A614" s="22">
        <f>'6.A'!$A$67</f>
        <v>421</v>
      </c>
      <c r="B614" s="23" t="str">
        <f>IF(A614="","",VLOOKUP(A614,'6.A'!$A$11:$G$180,2,FALSE))</f>
        <v>PORCA OLHAL M 16, EM ACO GALVANIZADO, DIAMETRO = 16 MM</v>
      </c>
      <c r="C614" s="99">
        <v>1</v>
      </c>
      <c r="D614" s="57" t="str">
        <f>IF(A614="","",VLOOKUP(A614,'6.A'!$A$11:$G$180,4,FALSE))</f>
        <v>UN</v>
      </c>
      <c r="E614" s="100">
        <f>IF(A614="","",VLOOKUP(A614,'6.A'!$A$11:$G$180,5,FALSE))</f>
        <v>0</v>
      </c>
      <c r="F614" s="24">
        <f t="shared" ref="F614:F630" si="285">IF(A614="","0,00",ROUND(C614*E614,2))</f>
        <v>0</v>
      </c>
      <c r="G614" s="52"/>
      <c r="H614" s="52">
        <f>IF(A614="","",VLOOKUP(A614,'6.A'!$A$11:$E$7984,5,FALSE))</f>
        <v>0</v>
      </c>
      <c r="I614" s="52" t="str">
        <f t="shared" ref="I614:I630" si="286">IF(H614="","",IF(E614=H614,"SIM","NÃO"))</f>
        <v>SIM</v>
      </c>
      <c r="J614" s="52" t="str">
        <f>IF(H614="","",VLOOKUP(A614,'6.A'!$A$11:$E$564,4,FALSE))</f>
        <v>UN</v>
      </c>
      <c r="K614" s="52" t="str">
        <f t="shared" ref="K614:K630" si="287">IF(H614="","",IF(J614=D614,"SIM","NÃO"))</f>
        <v>SIM</v>
      </c>
      <c r="L614" s="52">
        <f>IF(H614="","",IF(C614="","",G584*C614))</f>
        <v>1</v>
      </c>
      <c r="M614" s="117" t="str">
        <f>IF(A614="","",VLOOKUP(A614,'6.A'!$A$11:$C$564,2,FALSE))</f>
        <v>PORCA OLHAL M 16, EM ACO GALVANIZADO, DIAMETRO = 16 MM</v>
      </c>
      <c r="N614" s="57" t="str">
        <f t="shared" ref="N614:N630" si="288">IF(A614="","",IF(M614=B614,"si","no"))</f>
        <v>si</v>
      </c>
      <c r="O614" s="56"/>
      <c r="P614" s="56"/>
      <c r="Q614" s="48"/>
      <c r="R614" s="48"/>
      <c r="T614" s="2"/>
      <c r="U614" s="2"/>
      <c r="V614" s="2"/>
    </row>
    <row r="615" spans="1:22" ht="12.75" customHeight="1" x14ac:dyDescent="0.2">
      <c r="A615" s="22">
        <f>'6.A'!$A$86</f>
        <v>1539</v>
      </c>
      <c r="B615" s="23" t="str">
        <f>IF(A615="","",VLOOKUP(A615,'6.A'!$A$11:$G$180,2,FALSE))</f>
        <v>CONECTOR METALICO TIPO PARAFUSO FENDIDO (SPLIT BOLT), PARA CABOS ATE 16MM2</v>
      </c>
      <c r="C615" s="99">
        <v>12</v>
      </c>
      <c r="D615" s="57" t="str">
        <f>IF(A615="","",VLOOKUP(A615,'6.A'!$A$11:$G$180,4,FALSE))</f>
        <v>UN</v>
      </c>
      <c r="E615" s="100">
        <f>IF(A615="","",VLOOKUP(A615,'6.A'!$A$11:$G$180,5,FALSE))</f>
        <v>0</v>
      </c>
      <c r="F615" s="24">
        <f t="shared" si="285"/>
        <v>0</v>
      </c>
      <c r="G615" s="52"/>
      <c r="H615" s="52">
        <f>IF(A615="","",VLOOKUP(A615,'6.A'!$A$11:$E$7984,5,FALSE))</f>
        <v>0</v>
      </c>
      <c r="I615" s="52" t="str">
        <f t="shared" si="286"/>
        <v>SIM</v>
      </c>
      <c r="J615" s="52" t="str">
        <f>IF(H615="","",VLOOKUP(A615,'6.A'!$A$11:$E$564,4,FALSE))</f>
        <v>UN</v>
      </c>
      <c r="K615" s="52" t="str">
        <f t="shared" si="287"/>
        <v>SIM</v>
      </c>
      <c r="L615" s="52">
        <f>IF(H615="","",IF(C615="","",G584*C615))</f>
        <v>12</v>
      </c>
      <c r="M615" s="117" t="str">
        <f>IF(A615="","",VLOOKUP(A615,'6.A'!$A$11:$C$564,2,FALSE))</f>
        <v>CONECTOR METALICO TIPO PARAFUSO FENDIDO (SPLIT BOLT), PARA CABOS ATE 16MM2</v>
      </c>
      <c r="N615" s="57" t="str">
        <f t="shared" si="288"/>
        <v>si</v>
      </c>
      <c r="O615" s="56"/>
      <c r="P615" s="56"/>
      <c r="Q615" s="48"/>
      <c r="R615" s="48"/>
    </row>
    <row r="616" spans="1:22" ht="12.75" customHeight="1" x14ac:dyDescent="0.2">
      <c r="A616" s="22">
        <f>'6.A'!$A$90</f>
        <v>1586</v>
      </c>
      <c r="B616" s="23" t="str">
        <f>IF(A616="","",VLOOKUP(A616,'6.A'!$A$11:$G$180,2,FALSE))</f>
        <v>TERMINAL METALICO A PRESSAO PARA 1 CABO DE 25 MM2, COM 1 FURO DE FIXACAO</v>
      </c>
      <c r="C616" s="99">
        <v>2</v>
      </c>
      <c r="D616" s="57" t="str">
        <f>IF(A616="","",VLOOKUP(A616,'6.A'!$A$11:$G$180,4,FALSE))</f>
        <v>UN</v>
      </c>
      <c r="E616" s="100">
        <f>IF(A616="","",VLOOKUP(A616,'6.A'!$A$11:$G$180,5,FALSE))</f>
        <v>0</v>
      </c>
      <c r="F616" s="24">
        <f t="shared" si="285"/>
        <v>0</v>
      </c>
      <c r="G616" s="52"/>
      <c r="H616" s="52">
        <f>IF(A616="","",VLOOKUP(A616,'6.A'!$A$11:$E$7984,5,FALSE))</f>
        <v>0</v>
      </c>
      <c r="I616" s="52" t="str">
        <f t="shared" si="286"/>
        <v>SIM</v>
      </c>
      <c r="J616" s="52" t="str">
        <f>IF(H616="","",VLOOKUP(A616,'6.A'!$A$11:$E$564,4,FALSE))</f>
        <v>UN</v>
      </c>
      <c r="K616" s="52" t="str">
        <f t="shared" si="287"/>
        <v>SIM</v>
      </c>
      <c r="L616" s="52">
        <f>IF(H616="","",IF(C616="","",G584*C616))</f>
        <v>2</v>
      </c>
      <c r="M616" s="117" t="str">
        <f>IF(A616="","",VLOOKUP(A616,'6.A'!$A$11:$C$564,2,FALSE))</f>
        <v>TERMINAL METALICO A PRESSAO PARA 1 CABO DE 25 MM2, COM 1 FURO DE FIXACAO</v>
      </c>
      <c r="N616" s="57" t="str">
        <f t="shared" si="288"/>
        <v>si</v>
      </c>
      <c r="O616" s="56"/>
      <c r="P616" s="56"/>
      <c r="Q616" s="48"/>
      <c r="R616" s="48"/>
      <c r="S616" s="2"/>
    </row>
    <row r="617" spans="1:22" ht="12.75" customHeight="1" x14ac:dyDescent="0.2">
      <c r="A617" s="22">
        <f>'6.A'!$A$92</f>
        <v>1590</v>
      </c>
      <c r="B617" s="23" t="str">
        <f>IF(A617="","",VLOOKUP(A617,'6.A'!$A$11:$G$180,2,FALSE))</f>
        <v>TERMINAL METALICO A PRESSAO PARA 1 CABO DE 95 MM2, COM 1 FURO DE FIXACAO</v>
      </c>
      <c r="C617" s="99">
        <v>1</v>
      </c>
      <c r="D617" s="57" t="str">
        <f>IF(A617="","",VLOOKUP(A617,'6.A'!$A$11:$G$180,4,FALSE))</f>
        <v>UN</v>
      </c>
      <c r="E617" s="100">
        <f>IF(A617="","",VLOOKUP(A617,'6.A'!$A$11:$G$180,5,FALSE))</f>
        <v>0</v>
      </c>
      <c r="F617" s="24">
        <f t="shared" si="285"/>
        <v>0</v>
      </c>
      <c r="G617" s="52"/>
      <c r="H617" s="52">
        <f>IF(A617="","",VLOOKUP(A617,'6.A'!$A$11:$E$7984,5,FALSE))</f>
        <v>0</v>
      </c>
      <c r="I617" s="52" t="str">
        <f t="shared" si="286"/>
        <v>SIM</v>
      </c>
      <c r="J617" s="52" t="str">
        <f>IF(H617="","",VLOOKUP(A617,'6.A'!$A$11:$E$564,4,FALSE))</f>
        <v>UN</v>
      </c>
      <c r="K617" s="52" t="str">
        <f t="shared" si="287"/>
        <v>SIM</v>
      </c>
      <c r="L617" s="52">
        <f>IF(H617="","",IF(C617="","",G584*C617))</f>
        <v>1</v>
      </c>
      <c r="M617" s="117" t="str">
        <f>IF(A617="","",VLOOKUP(A617,'6.A'!$A$11:$C$564,2,FALSE))</f>
        <v>TERMINAL METALICO A PRESSAO PARA 1 CABO DE 95 MM2, COM 1 FURO DE FIXACAO</v>
      </c>
      <c r="N617" s="57" t="str">
        <f t="shared" si="288"/>
        <v>si</v>
      </c>
      <c r="O617" s="56"/>
      <c r="P617" s="56"/>
      <c r="Q617" s="48"/>
      <c r="R617" s="48"/>
      <c r="S617" s="2"/>
    </row>
    <row r="618" spans="1:22" ht="12.75" customHeight="1" x14ac:dyDescent="0.2">
      <c r="A618" s="22">
        <f>'6.A'!$A$118</f>
        <v>7572</v>
      </c>
      <c r="B618" s="39" t="str">
        <f>IF(A618="","",VLOOKUP(A618,'6.A'!$A$11:$G$180,2,FALSE))</f>
        <v>SUPORTE ISOLADOR REFORCADO DIAMETRO NOMINAL 5/16", COM ROSCA SOBERBA E BUCHA</v>
      </c>
      <c r="C618" s="99">
        <v>6</v>
      </c>
      <c r="D618" s="57" t="str">
        <f>IF(A618="","",VLOOKUP(A618,'6.A'!$A$11:$G$180,4,FALSE))</f>
        <v>UN</v>
      </c>
      <c r="E618" s="100">
        <f>IF(A618="","",VLOOKUP(A618,'6.A'!$A$11:$G$180,5,FALSE))</f>
        <v>0</v>
      </c>
      <c r="F618" s="24">
        <f t="shared" si="285"/>
        <v>0</v>
      </c>
      <c r="G618" s="52"/>
      <c r="H618" s="52">
        <f>IF(A618="","",VLOOKUP(A618,'6.A'!$A$11:$E$7984,5,FALSE))</f>
        <v>0</v>
      </c>
      <c r="I618" s="52" t="str">
        <f t="shared" si="286"/>
        <v>SIM</v>
      </c>
      <c r="J618" s="52" t="str">
        <f>IF(H618="","",VLOOKUP(A618,'6.A'!$A$11:$E$564,4,FALSE))</f>
        <v>UN</v>
      </c>
      <c r="K618" s="52" t="str">
        <f t="shared" si="287"/>
        <v>SIM</v>
      </c>
      <c r="L618" s="52">
        <f>IF(H618="","",IF(C618="","",G584*C618))</f>
        <v>6</v>
      </c>
      <c r="M618" s="117" t="str">
        <f>IF(A618="","",VLOOKUP(A618,'6.A'!$A$11:$C$564,2,FALSE))</f>
        <v>SUPORTE ISOLADOR REFORCADO DIAMETRO NOMINAL 5/16", COM ROSCA SOBERBA E BUCHA</v>
      </c>
      <c r="N618" s="57" t="str">
        <f t="shared" si="288"/>
        <v>si</v>
      </c>
      <c r="O618" s="56"/>
      <c r="P618" s="56"/>
      <c r="Q618" s="48"/>
      <c r="R618" s="48"/>
    </row>
    <row r="619" spans="1:22" s="65" customFormat="1" ht="12.75" customHeight="1" x14ac:dyDescent="0.2">
      <c r="A619" s="22">
        <f>'6.A'!$A$121</f>
        <v>11837</v>
      </c>
      <c r="B619" s="23" t="str">
        <f>IF(A619="","",VLOOKUP(A619,'6.A'!$A$11:$G$180,2,FALSE))</f>
        <v>GRAMPO LINHA VIVA DE LATAO ESTANHADO - Ø CONDUTOR PRINCIPAL 10 A 120 MM2, Ø DERIVACAO 10 A 70 MM2</v>
      </c>
      <c r="C619" s="99">
        <v>3</v>
      </c>
      <c r="D619" s="57" t="str">
        <f>IF(A619="","",VLOOKUP(A619,'6.A'!$A$11:$G$180,4,FALSE))</f>
        <v>UN</v>
      </c>
      <c r="E619" s="100">
        <f>IF(A619="","",VLOOKUP(A619,'6.A'!$A$11:$G$180,5,FALSE))</f>
        <v>0</v>
      </c>
      <c r="F619" s="24">
        <f t="shared" si="285"/>
        <v>0</v>
      </c>
      <c r="G619" s="52"/>
      <c r="H619" s="52">
        <f>IF(A619="","",VLOOKUP(A619,'6.A'!$A$11:$E$7984,5,FALSE))</f>
        <v>0</v>
      </c>
      <c r="I619" s="52" t="str">
        <f t="shared" si="286"/>
        <v>SIM</v>
      </c>
      <c r="J619" s="52" t="str">
        <f>IF(H619="","",VLOOKUP(A619,'6.A'!$A$11:$E$564,4,FALSE))</f>
        <v>UN</v>
      </c>
      <c r="K619" s="52" t="str">
        <f t="shared" si="287"/>
        <v>SIM</v>
      </c>
      <c r="L619" s="52">
        <f>IF(H619="","",IF(C619="","",G584*C619))</f>
        <v>3</v>
      </c>
      <c r="M619" s="117" t="str">
        <f>IF(A619="","",VLOOKUP(A619,'6.A'!$A$11:$C$564,2,FALSE))</f>
        <v>GRAMPO LINHA VIVA DE LATAO ESTANHADO - Ø CONDUTOR PRINCIPAL 10 A 120 MM2, Ø DERIVACAO 10 A 70 MM2</v>
      </c>
      <c r="N619" s="57" t="str">
        <f t="shared" si="288"/>
        <v>si</v>
      </c>
      <c r="O619" s="56"/>
      <c r="P619" s="56"/>
      <c r="Q619" s="48"/>
      <c r="R619" s="48"/>
      <c r="T619" s="2"/>
      <c r="U619" s="2"/>
      <c r="V619" s="2"/>
    </row>
    <row r="620" spans="1:22" ht="12.75" customHeight="1" x14ac:dyDescent="0.2">
      <c r="A620" s="22">
        <f>'6.A'!$A$125</f>
        <v>34519</v>
      </c>
      <c r="B620" s="23" t="str">
        <f>IF(A620="","",VLOOKUP(A620,'6.A'!$A$11:$G$180,2,FALSE))</f>
        <v>CRUZETA DE CONCRETO LEVE, COMP. 2000 MM SECAO, 90 X 90 MM</v>
      </c>
      <c r="C620" s="99">
        <v>3</v>
      </c>
      <c r="D620" s="57" t="str">
        <f>IF(A620="","",VLOOKUP(A620,'6.A'!$A$11:$G$180,4,FALSE))</f>
        <v>UN</v>
      </c>
      <c r="E620" s="100">
        <f>IF(A620="","",VLOOKUP(A620,'6.A'!$A$11:$G$180,5,FALSE))</f>
        <v>0</v>
      </c>
      <c r="F620" s="24">
        <f t="shared" si="285"/>
        <v>0</v>
      </c>
      <c r="G620" s="52"/>
      <c r="H620" s="52">
        <f>IF(A620="","",VLOOKUP(A620,'6.A'!$A$11:$E$7984,5,FALSE))</f>
        <v>0</v>
      </c>
      <c r="I620" s="52" t="str">
        <f t="shared" si="286"/>
        <v>SIM</v>
      </c>
      <c r="J620" s="52" t="str">
        <f>IF(H620="","",VLOOKUP(A620,'6.A'!$A$11:$E$564,4,FALSE))</f>
        <v>UN</v>
      </c>
      <c r="K620" s="52" t="str">
        <f t="shared" si="287"/>
        <v>SIM</v>
      </c>
      <c r="L620" s="52">
        <f>IF(H620="","",IF(C620="","",G584*C620))</f>
        <v>3</v>
      </c>
      <c r="M620" s="117" t="str">
        <f>IF(A620="","",VLOOKUP(A620,'6.A'!$A$11:$C$564,2,FALSE))</f>
        <v>CRUZETA DE CONCRETO LEVE, COMP. 2000 MM SECAO, 90 X 90 MM</v>
      </c>
      <c r="N620" s="57" t="str">
        <f t="shared" si="288"/>
        <v>si</v>
      </c>
      <c r="O620" s="56"/>
      <c r="P620" s="56"/>
      <c r="Q620" s="48"/>
      <c r="R620" s="48"/>
      <c r="S620" s="2"/>
    </row>
    <row r="621" spans="1:22" ht="12.75" customHeight="1" x14ac:dyDescent="0.2">
      <c r="A621" s="22">
        <f>'6.A'!$A$133</f>
        <v>38120</v>
      </c>
      <c r="B621" s="23" t="str">
        <f>IF(A621="","",VLOOKUP(A621,'6.A'!$A$11:$G$180,2,FALSE))</f>
        <v>MASSA EPOXI BICOMPONENTE PARA REPAROS</v>
      </c>
      <c r="C621" s="99">
        <v>0.25</v>
      </c>
      <c r="D621" s="57" t="str">
        <f>IF(A621="","",VLOOKUP(A621,'6.A'!$A$11:$G$180,4,FALSE))</f>
        <v>KG</v>
      </c>
      <c r="E621" s="100">
        <f>IF(A621="","",VLOOKUP(A621,'6.A'!$A$11:$G$180,5,FALSE))</f>
        <v>0</v>
      </c>
      <c r="F621" s="24">
        <f t="shared" si="285"/>
        <v>0</v>
      </c>
      <c r="G621" s="52"/>
      <c r="H621" s="52">
        <f>IF(A621="","",VLOOKUP(A621,'6.A'!$A$11:$E$7984,5,FALSE))</f>
        <v>0</v>
      </c>
      <c r="I621" s="52" t="str">
        <f t="shared" si="286"/>
        <v>SIM</v>
      </c>
      <c r="J621" s="52" t="str">
        <f>IF(H621="","",VLOOKUP(A621,'6.A'!$A$11:$E$564,4,FALSE))</f>
        <v>KG</v>
      </c>
      <c r="K621" s="52" t="str">
        <f t="shared" si="287"/>
        <v>SIM</v>
      </c>
      <c r="L621" s="52">
        <f>IF(H621="","",IF(C621="","",G584*C621))</f>
        <v>0.25</v>
      </c>
      <c r="M621" s="117" t="str">
        <f>IF(A621="","",VLOOKUP(A621,'6.A'!$A$11:$C$564,2,FALSE))</f>
        <v>MASSA EPOXI BICOMPONENTE PARA REPAROS</v>
      </c>
      <c r="N621" s="57" t="str">
        <f t="shared" si="288"/>
        <v>si</v>
      </c>
      <c r="O621" s="56"/>
      <c r="P621" s="56"/>
      <c r="Q621" s="48"/>
      <c r="R621" s="48"/>
    </row>
    <row r="622" spans="1:22" s="65" customFormat="1" ht="12.75" customHeight="1" x14ac:dyDescent="0.2">
      <c r="A622" s="22">
        <f>'6.A'!$A$154</f>
        <v>42306</v>
      </c>
      <c r="B622" s="23" t="str">
        <f>IF(A622="","",VLOOKUP(A622,'6.A'!$A$11:$G$180,2,FALSE))</f>
        <v xml:space="preserve">PLACA DE SINALIZAÇÃO EM CHAPA DE AÇO N.16, COM PINTURA REFLETIVA "PERIGO ALTA TENSÃO" </v>
      </c>
      <c r="C622" s="99">
        <f>0.3*0.4*2</f>
        <v>0.24</v>
      </c>
      <c r="D622" s="57" t="str">
        <f>IF(A622="","",VLOOKUP(A622,'6.A'!$A$11:$G$180,4,FALSE))</f>
        <v>M2</v>
      </c>
      <c r="E622" s="100">
        <f>IF(A622="","",VLOOKUP(A622,'6.A'!$A$11:$G$180,5,FALSE))</f>
        <v>0</v>
      </c>
      <c r="F622" s="24">
        <f t="shared" si="285"/>
        <v>0</v>
      </c>
      <c r="G622" s="52"/>
      <c r="H622" s="52">
        <f>IF(A622="","",VLOOKUP(A622,'6.A'!$A$11:$E$7984,5,FALSE))</f>
        <v>0</v>
      </c>
      <c r="I622" s="52" t="str">
        <f t="shared" si="286"/>
        <v>SIM</v>
      </c>
      <c r="J622" s="52" t="str">
        <f>IF(H622="","",VLOOKUP(A622,'6.A'!$A$11:$E$564,4,FALSE))</f>
        <v>M2</v>
      </c>
      <c r="K622" s="52" t="str">
        <f t="shared" si="287"/>
        <v>SIM</v>
      </c>
      <c r="L622" s="52">
        <f>IF(H622="","",IF(C622="","",G584*C622))</f>
        <v>0.24</v>
      </c>
      <c r="M622" s="117" t="str">
        <f>IF(A622="","",VLOOKUP(A622,'6.A'!$A$11:$C$564,2,FALSE))</f>
        <v xml:space="preserve">PLACA DE SINALIZAÇÃO EM CHAPA DE AÇO N.16, COM PINTURA REFLETIVA "PERIGO ALTA TENSÃO" </v>
      </c>
      <c r="N622" s="57" t="str">
        <f t="shared" si="288"/>
        <v>si</v>
      </c>
      <c r="O622" s="56"/>
      <c r="P622" s="56"/>
      <c r="Q622" s="48"/>
      <c r="R622" s="48"/>
      <c r="T622" s="2"/>
      <c r="U622" s="2"/>
      <c r="V622" s="2"/>
    </row>
    <row r="623" spans="1:22" ht="12.75" customHeight="1" x14ac:dyDescent="0.2">
      <c r="A623" s="22">
        <f>'6.A'!$A$159</f>
        <v>43502</v>
      </c>
      <c r="B623" s="23" t="str">
        <f>IF(A623="","",VLOOKUP(A623,'6.A'!$A$11:$G$180,2,FALSE))</f>
        <v>ARMAÇÃO SECUNDÁRIA PARA 1 ESTRIBO</v>
      </c>
      <c r="C623" s="99">
        <v>1</v>
      </c>
      <c r="D623" s="57" t="str">
        <f>IF(A623="","",VLOOKUP(A623,'6.A'!$A$11:$G$180,4,FALSE))</f>
        <v>UN</v>
      </c>
      <c r="E623" s="100">
        <f>IF(A623="","",VLOOKUP(A623,'6.A'!$A$11:$G$180,5,FALSE))</f>
        <v>0</v>
      </c>
      <c r="F623" s="24">
        <f t="shared" si="285"/>
        <v>0</v>
      </c>
      <c r="G623" s="52"/>
      <c r="H623" s="52">
        <f>IF(A623="","",VLOOKUP(A623,'6.A'!$A$11:$E$7984,5,FALSE))</f>
        <v>0</v>
      </c>
      <c r="I623" s="52" t="str">
        <f t="shared" si="286"/>
        <v>SIM</v>
      </c>
      <c r="J623" s="52" t="str">
        <f>IF(H623="","",VLOOKUP(A623,'6.A'!$A$11:$E$564,4,FALSE))</f>
        <v>UN</v>
      </c>
      <c r="K623" s="52" t="str">
        <f t="shared" si="287"/>
        <v>SIM</v>
      </c>
      <c r="L623" s="52">
        <f>IF(H623="","",IF(C623="","",G584*C623))</f>
        <v>1</v>
      </c>
      <c r="M623" s="117" t="str">
        <f>IF(A623="","",VLOOKUP(A623,'6.A'!$A$11:$C$564,2,FALSE))</f>
        <v>ARMAÇÃO SECUNDÁRIA PARA 1 ESTRIBO</v>
      </c>
      <c r="N623" s="57" t="str">
        <f t="shared" si="288"/>
        <v>si</v>
      </c>
      <c r="O623" s="56"/>
      <c r="P623" s="56"/>
      <c r="Q623" s="48"/>
      <c r="R623" s="48"/>
    </row>
    <row r="624" spans="1:22" ht="12.75" customHeight="1" x14ac:dyDescent="0.2">
      <c r="A624" s="22">
        <f>'6.A'!$A$165</f>
        <v>49502</v>
      </c>
      <c r="B624" s="23" t="str">
        <f>IF(A624="","",VLOOKUP(A624,'6.A'!$A$11:$G$180,2,FALSE))</f>
        <v>PORCA QUADRADA PARA PARAFUSO M16</v>
      </c>
      <c r="C624" s="99">
        <v>7</v>
      </c>
      <c r="D624" s="57" t="str">
        <f>IF(A624="","",VLOOKUP(A624,'6.A'!$A$11:$G$180,4,FALSE))</f>
        <v>UN</v>
      </c>
      <c r="E624" s="100">
        <f>IF(A624="","",VLOOKUP(A624,'6.A'!$A$11:$G$180,5,FALSE))</f>
        <v>0</v>
      </c>
      <c r="F624" s="24">
        <f t="shared" si="285"/>
        <v>0</v>
      </c>
      <c r="G624" s="52"/>
      <c r="H624" s="52">
        <f>IF(A624="","",VLOOKUP(A624,'6.A'!$A$11:$E$7984,5,FALSE))</f>
        <v>0</v>
      </c>
      <c r="I624" s="52" t="str">
        <f t="shared" si="286"/>
        <v>SIM</v>
      </c>
      <c r="J624" s="52" t="str">
        <f>IF(H624="","",VLOOKUP(A624,'6.A'!$A$11:$E$564,4,FALSE))</f>
        <v>UN</v>
      </c>
      <c r="K624" s="52" t="str">
        <f t="shared" si="287"/>
        <v>SIM</v>
      </c>
      <c r="L624" s="52">
        <f>IF(H624="","",IF(C624="","",G584*C624))</f>
        <v>7</v>
      </c>
      <c r="M624" s="117" t="str">
        <f>IF(A624="","",VLOOKUP(A624,'6.A'!$A$11:$C$564,2,FALSE))</f>
        <v>PORCA QUADRADA PARA PARAFUSO M16</v>
      </c>
      <c r="N624" s="57" t="str">
        <f t="shared" si="288"/>
        <v>si</v>
      </c>
      <c r="O624" s="56"/>
      <c r="P624" s="56"/>
      <c r="Q624" s="48"/>
      <c r="R624" s="48"/>
      <c r="S624" s="2"/>
    </row>
    <row r="625" spans="1:23" ht="12.75" customHeight="1" x14ac:dyDescent="0.2">
      <c r="A625" s="22">
        <f>'6.A'!$A$167</f>
        <v>49511</v>
      </c>
      <c r="B625" s="23" t="str">
        <f>IF(A625="","",VLOOKUP(A625,'6.A'!$A$11:$G$180,2,FALSE))</f>
        <v>MÃO FRANCESA PLANA DE 32X5X619MM</v>
      </c>
      <c r="C625" s="99">
        <v>2</v>
      </c>
      <c r="D625" s="57" t="str">
        <f>IF(A625="","",VLOOKUP(A625,'6.A'!$A$11:$G$180,4,FALSE))</f>
        <v>UN</v>
      </c>
      <c r="E625" s="100">
        <f>IF(A625="","",VLOOKUP(A625,'6.A'!$A$11:$G$180,5,FALSE))</f>
        <v>0</v>
      </c>
      <c r="F625" s="24">
        <f t="shared" si="285"/>
        <v>0</v>
      </c>
      <c r="G625" s="52"/>
      <c r="H625" s="52">
        <f>IF(A625="","",VLOOKUP(A625,'6.A'!$A$11:$E$7984,5,FALSE))</f>
        <v>0</v>
      </c>
      <c r="I625" s="52" t="str">
        <f t="shared" si="286"/>
        <v>SIM</v>
      </c>
      <c r="J625" s="52" t="str">
        <f>IF(H625="","",VLOOKUP(A625,'6.A'!$A$11:$E$564,4,FALSE))</f>
        <v>UN</v>
      </c>
      <c r="K625" s="52" t="str">
        <f t="shared" si="287"/>
        <v>SIM</v>
      </c>
      <c r="L625" s="52">
        <f>IF(H625="","",IF(C625="","",G584*C625))</f>
        <v>2</v>
      </c>
      <c r="M625" s="117" t="str">
        <f>IF(A625="","",VLOOKUP(A625,'6.A'!$A$11:$C$564,2,FALSE))</f>
        <v>MÃO FRANCESA PLANA DE 32X5X619MM</v>
      </c>
      <c r="N625" s="57" t="str">
        <f t="shared" si="288"/>
        <v>si</v>
      </c>
      <c r="O625" s="56"/>
      <c r="P625" s="56"/>
      <c r="Q625" s="48"/>
      <c r="R625" s="48"/>
      <c r="S625" s="2"/>
    </row>
    <row r="626" spans="1:23" s="65" customFormat="1" ht="12.75" customHeight="1" x14ac:dyDescent="0.2">
      <c r="A626" s="22">
        <f>'6.A'!$A$168</f>
        <v>49514</v>
      </c>
      <c r="B626" s="23" t="str">
        <f>IF(A626="","",VLOOKUP(A626,'6.A'!$A$11:$G$180,2,FALSE))</f>
        <v>SELA PARA CRUZETA DE MADEIRA</v>
      </c>
      <c r="C626" s="99">
        <v>3</v>
      </c>
      <c r="D626" s="57" t="str">
        <f>IF(A626="","",VLOOKUP(A626,'6.A'!$A$11:$G$180,4,FALSE))</f>
        <v>UN</v>
      </c>
      <c r="E626" s="100">
        <f>IF(A626="","",VLOOKUP(A626,'6.A'!$A$11:$G$180,5,FALSE))</f>
        <v>0</v>
      </c>
      <c r="F626" s="24">
        <f t="shared" si="285"/>
        <v>0</v>
      </c>
      <c r="G626" s="52"/>
      <c r="H626" s="52">
        <f>IF(A626="","",VLOOKUP(A626,'6.A'!$A$11:$E$7984,5,FALSE))</f>
        <v>0</v>
      </c>
      <c r="I626" s="52" t="str">
        <f t="shared" si="286"/>
        <v>SIM</v>
      </c>
      <c r="J626" s="52" t="str">
        <f>IF(H626="","",VLOOKUP(A626,'6.A'!$A$11:$E$564,4,FALSE))</f>
        <v>UN</v>
      </c>
      <c r="K626" s="52" t="str">
        <f t="shared" si="287"/>
        <v>SIM</v>
      </c>
      <c r="L626" s="52">
        <f>IF(H626="","",IF(C626="","",G584*C626))</f>
        <v>3</v>
      </c>
      <c r="M626" s="117" t="str">
        <f>IF(A626="","",VLOOKUP(A626,'6.A'!$A$11:$C$564,2,FALSE))</f>
        <v>SELA PARA CRUZETA DE MADEIRA</v>
      </c>
      <c r="N626" s="57" t="str">
        <f t="shared" si="288"/>
        <v>si</v>
      </c>
      <c r="O626" s="56"/>
      <c r="P626" s="56"/>
      <c r="Q626" s="48"/>
      <c r="R626" s="48"/>
      <c r="T626" s="2"/>
      <c r="U626" s="2"/>
      <c r="V626" s="2"/>
    </row>
    <row r="627" spans="1:23" ht="12.75" customHeight="1" x14ac:dyDescent="0.2">
      <c r="A627" s="22">
        <f>'6.A'!$A$170</f>
        <v>49539</v>
      </c>
      <c r="B627" s="23" t="str">
        <f>IF(A627="","",VLOOKUP(A627,'6.A'!$A$11:$G$180,2,FALSE))</f>
        <v>ARRUELA QUADRADA DE 50 MM COM FURO DE 18 MM</v>
      </c>
      <c r="C627" s="99">
        <v>7</v>
      </c>
      <c r="D627" s="57" t="str">
        <f>IF(A627="","",VLOOKUP(A627,'6.A'!$A$11:$G$180,4,FALSE))</f>
        <v>UN</v>
      </c>
      <c r="E627" s="100">
        <f>IF(A627="","",VLOOKUP(A627,'6.A'!$A$11:$G$180,5,FALSE))</f>
        <v>0</v>
      </c>
      <c r="F627" s="24">
        <f t="shared" si="285"/>
        <v>0</v>
      </c>
      <c r="G627" s="52"/>
      <c r="H627" s="52">
        <f>IF(A627="","",VLOOKUP(A627,'6.A'!$A$11:$E$7984,5,FALSE))</f>
        <v>0</v>
      </c>
      <c r="I627" s="52" t="str">
        <f t="shared" si="286"/>
        <v>SIM</v>
      </c>
      <c r="J627" s="52" t="str">
        <f>IF(H627="","",VLOOKUP(A627,'6.A'!$A$11:$E$564,4,FALSE))</f>
        <v>UN</v>
      </c>
      <c r="K627" s="52" t="str">
        <f t="shared" si="287"/>
        <v>SIM</v>
      </c>
      <c r="L627" s="52">
        <f>IF(H627="","",IF(C627="","",G584*C627))</f>
        <v>7</v>
      </c>
      <c r="M627" s="117" t="str">
        <f>IF(A627="","",VLOOKUP(A627,'6.A'!$A$11:$C$564,2,FALSE))</f>
        <v>ARRUELA QUADRADA DE 50 MM COM FURO DE 18 MM</v>
      </c>
      <c r="N627" s="57" t="str">
        <f t="shared" si="288"/>
        <v>si</v>
      </c>
      <c r="O627" s="56"/>
      <c r="P627" s="56"/>
      <c r="Q627" s="48"/>
      <c r="R627" s="48"/>
    </row>
    <row r="628" spans="1:23" ht="12.75" customHeight="1" x14ac:dyDescent="0.2">
      <c r="A628" s="22">
        <f>'6.A'!$A$171</f>
        <v>49551</v>
      </c>
      <c r="B628" s="23" t="str">
        <f>IF(A628="","",VLOOKUP(A628,'6.A'!$A$11:$G$180,2,FALSE))</f>
        <v>PARAFUSO CABEÇA ABAULADA M16 X 150 MM</v>
      </c>
      <c r="C628" s="99">
        <v>7</v>
      </c>
      <c r="D628" s="57" t="str">
        <f>IF(A628="","",VLOOKUP(A628,'6.A'!$A$11:$G$180,4,FALSE))</f>
        <v>UN</v>
      </c>
      <c r="E628" s="100">
        <f>IF(A628="","",VLOOKUP(A628,'6.A'!$A$11:$G$180,5,FALSE))</f>
        <v>0</v>
      </c>
      <c r="F628" s="24">
        <f t="shared" si="285"/>
        <v>0</v>
      </c>
      <c r="G628" s="52"/>
      <c r="H628" s="52">
        <f>IF(A628="","",VLOOKUP(A628,'6.A'!$A$11:$E$7984,5,FALSE))</f>
        <v>0</v>
      </c>
      <c r="I628" s="52" t="str">
        <f t="shared" si="286"/>
        <v>SIM</v>
      </c>
      <c r="J628" s="52" t="str">
        <f>IF(H628="","",VLOOKUP(A628,'6.A'!$A$11:$E$564,4,FALSE))</f>
        <v>UN</v>
      </c>
      <c r="K628" s="52" t="str">
        <f t="shared" si="287"/>
        <v>SIM</v>
      </c>
      <c r="L628" s="52">
        <f>IF(H628="","",IF(C628="","",G584*C628))</f>
        <v>7</v>
      </c>
      <c r="M628" s="117" t="str">
        <f>IF(A628="","",VLOOKUP(A628,'6.A'!$A$11:$C$564,2,FALSE))</f>
        <v>PARAFUSO CABEÇA ABAULADA M16 X 150 MM</v>
      </c>
      <c r="N628" s="57" t="str">
        <f t="shared" si="288"/>
        <v>si</v>
      </c>
      <c r="O628" s="56"/>
      <c r="P628" s="56"/>
      <c r="Q628" s="48"/>
      <c r="R628" s="48"/>
    </row>
    <row r="629" spans="1:23" ht="12.75" customHeight="1" x14ac:dyDescent="0.2">
      <c r="A629" s="22">
        <f>'6.A'!$A$172</f>
        <v>49562</v>
      </c>
      <c r="B629" s="39" t="str">
        <f>IF(A629="","",VLOOKUP(A629,'6.A'!$A$11:$G$180,2,FALSE))</f>
        <v>MANILHA SAPATILHA DE FERRO</v>
      </c>
      <c r="C629" s="99">
        <v>4</v>
      </c>
      <c r="D629" s="57" t="str">
        <f>IF(A629="","",VLOOKUP(A629,'6.A'!$A$11:$G$180,4,FALSE))</f>
        <v>UN</v>
      </c>
      <c r="E629" s="100">
        <f>IF(A629="","",VLOOKUP(A629,'6.A'!$A$11:$G$180,5,FALSE))</f>
        <v>0</v>
      </c>
      <c r="F629" s="24">
        <f t="shared" si="285"/>
        <v>0</v>
      </c>
      <c r="G629" s="52"/>
      <c r="H629" s="52">
        <f>IF(A629="","",VLOOKUP(A629,'6.A'!$A$11:$E$7984,5,FALSE))</f>
        <v>0</v>
      </c>
      <c r="I629" s="52" t="str">
        <f t="shared" si="286"/>
        <v>SIM</v>
      </c>
      <c r="J629" s="52" t="str">
        <f>IF(H629="","",VLOOKUP(A629,'6.A'!$A$11:$E$564,4,FALSE))</f>
        <v>UN</v>
      </c>
      <c r="K629" s="52" t="str">
        <f t="shared" si="287"/>
        <v>SIM</v>
      </c>
      <c r="L629" s="52">
        <f>IF(H629="","",IF(C629="","",G584*C629))</f>
        <v>4</v>
      </c>
      <c r="M629" s="117" t="str">
        <f>IF(A629="","",VLOOKUP(A629,'6.A'!$A$11:$C$564,2,FALSE))</f>
        <v>MANILHA SAPATILHA DE FERRO</v>
      </c>
      <c r="N629" s="57" t="str">
        <f t="shared" si="288"/>
        <v>si</v>
      </c>
      <c r="O629" s="56"/>
      <c r="P629" s="56"/>
      <c r="Q629" s="48"/>
      <c r="R629" s="48"/>
    </row>
    <row r="630" spans="1:23" ht="12.75" customHeight="1" x14ac:dyDescent="0.2">
      <c r="A630" s="22">
        <f>'6.A'!$A$173</f>
        <v>49627</v>
      </c>
      <c r="B630" s="39" t="str">
        <f>IF(A630="","",VLOOKUP(A630,'6.A'!$A$11:$G$180,2,FALSE))</f>
        <v>BARRAMENTO DE COBRE NU (QUALQUER BITOLA)</v>
      </c>
      <c r="C630" s="99">
        <f>1.8971*1.3</f>
        <v>2.4662299999999999</v>
      </c>
      <c r="D630" s="57" t="str">
        <f>IF(A630="","",VLOOKUP(A630,'6.A'!$A$11:$G$180,4,FALSE))</f>
        <v>KG</v>
      </c>
      <c r="E630" s="100">
        <f>IF(A630="","",VLOOKUP(A630,'6.A'!$A$11:$G$180,5,FALSE))</f>
        <v>0</v>
      </c>
      <c r="F630" s="24">
        <f t="shared" si="285"/>
        <v>0</v>
      </c>
      <c r="G630" s="52"/>
      <c r="H630" s="52">
        <f>IF(A630="","",VLOOKUP(A630,'6.A'!$A$11:$E$7984,5,FALSE))</f>
        <v>0</v>
      </c>
      <c r="I630" s="52" t="str">
        <f t="shared" si="286"/>
        <v>SIM</v>
      </c>
      <c r="J630" s="52" t="str">
        <f>IF(H630="","",VLOOKUP(A630,'6.A'!$A$11:$E$564,4,FALSE))</f>
        <v>KG</v>
      </c>
      <c r="K630" s="52" t="str">
        <f t="shared" si="287"/>
        <v>SIM</v>
      </c>
      <c r="L630" s="52">
        <f>IF(H630="","",IF(C630="","",G584*C630))</f>
        <v>2.4662299999999999</v>
      </c>
      <c r="M630" s="117" t="str">
        <f>IF(A630="","",VLOOKUP(A630,'6.A'!$A$11:$C$564,2,FALSE))</f>
        <v>BARRAMENTO DE COBRE NU (QUALQUER BITOLA)</v>
      </c>
      <c r="N630" s="57" t="str">
        <f t="shared" si="288"/>
        <v>si</v>
      </c>
      <c r="O630" s="56"/>
      <c r="P630" s="56"/>
      <c r="Q630" s="48"/>
      <c r="R630" s="48"/>
    </row>
    <row r="631" spans="1:23" ht="12.75" customHeight="1" x14ac:dyDescent="0.2">
      <c r="A631" s="22">
        <f>'6.A'!$A$178</f>
        <v>91393</v>
      </c>
      <c r="B631" s="23" t="str">
        <f>IF(A631="","",VLOOKUP(A631,'6.A'!$A$11:$G$180,2,FALSE))</f>
        <v>FECHO EM AÇO INOXIDÁVEL PARA FITA DE 19 MM</v>
      </c>
      <c r="C631" s="99">
        <v>2</v>
      </c>
      <c r="D631" s="57" t="str">
        <f>IF(A631="","",VLOOKUP(A631,'6.A'!$A$11:$G$180,4,FALSE))</f>
        <v>UN</v>
      </c>
      <c r="E631" s="100">
        <f>IF(A631="","",VLOOKUP(A631,'6.A'!$A$11:$G$180,5,FALSE))</f>
        <v>0</v>
      </c>
      <c r="F631" s="24">
        <f>IF(A631="","0,00",ROUND(C631*E631,2))</f>
        <v>0</v>
      </c>
      <c r="G631" s="52"/>
      <c r="H631" s="52">
        <f>IF(A631="","",VLOOKUP(A631,'6.A'!$A$11:$E$7984,5,FALSE))</f>
        <v>0</v>
      </c>
      <c r="I631" s="52" t="str">
        <f>IF(H631="","",IF(E631=H631,"SIM","NÃO"))</f>
        <v>SIM</v>
      </c>
      <c r="J631" s="52" t="str">
        <f>IF(H631="","",VLOOKUP(A631,'6.A'!$A$11:$E$564,4,FALSE))</f>
        <v>UN</v>
      </c>
      <c r="K631" s="52" t="str">
        <f>IF(H631="","",IF(J631=D631,"SIM","NÃO"))</f>
        <v>SIM</v>
      </c>
      <c r="L631" s="52">
        <f>IF(H631="","",IF(C631="","",G584*C631))</f>
        <v>2</v>
      </c>
      <c r="M631" s="117" t="str">
        <f>IF(A631="","",VLOOKUP(A631,'6.A'!$A$11:$C$564,2,FALSE))</f>
        <v>FECHO EM AÇO INOXIDÁVEL PARA FITA DE 19 MM</v>
      </c>
      <c r="N631" s="57" t="str">
        <f>IF(A631="","",IF(M631=B631,"si","no"))</f>
        <v>si</v>
      </c>
      <c r="O631" s="56"/>
      <c r="P631" s="56"/>
      <c r="Q631" s="48"/>
      <c r="R631" s="48"/>
      <c r="S631" s="2"/>
    </row>
    <row r="632" spans="1:23" ht="12.75" customHeight="1" x14ac:dyDescent="0.2">
      <c r="A632" s="22">
        <f>'6.A'!$A$93</f>
        <v>1593</v>
      </c>
      <c r="B632" s="23" t="str">
        <f>IF(A632="","",VLOOKUP(A632,'6.A'!$A$11:$G$180,2,FALSE))</f>
        <v>TERMINAL METALICO A PRESSAO PARA 1 CABO DE 185 MM2, COM 1 FURO DE FIXACAO</v>
      </c>
      <c r="C632" s="99">
        <v>10</v>
      </c>
      <c r="D632" s="57" t="str">
        <f>IF(A632="","",VLOOKUP(A632,'6.A'!$A$11:$G$180,4,FALSE))</f>
        <v>UN</v>
      </c>
      <c r="E632" s="100">
        <f>IF(A632="","",VLOOKUP(A632,'6.A'!$A$11:$G$180,5,FALSE))</f>
        <v>0</v>
      </c>
      <c r="F632" s="24">
        <f>IF(A632="","0,00",ROUND(C632*E632,2))</f>
        <v>0</v>
      </c>
      <c r="G632" s="52"/>
      <c r="H632" s="52">
        <f>IF(A632="","",VLOOKUP(A632,'6.A'!$A$11:$E$7984,5,FALSE))</f>
        <v>0</v>
      </c>
      <c r="I632" s="52" t="str">
        <f>IF(H632="","",IF(E632=H632,"SIM","NÃO"))</f>
        <v>SIM</v>
      </c>
      <c r="J632" s="52" t="str">
        <f>IF(H632="","",VLOOKUP(A632,'6.A'!$A$11:$E$564,4,FALSE))</f>
        <v>UN</v>
      </c>
      <c r="K632" s="52" t="str">
        <f>IF(H632="","",IF(J632=D632,"SIM","NÃO"))</f>
        <v>SIM</v>
      </c>
      <c r="L632" s="52">
        <f>IF(H632="","",IF(C632="","",G584*C632))</f>
        <v>10</v>
      </c>
      <c r="M632" s="117" t="str">
        <f>IF(A632="","",VLOOKUP(A632,'6.A'!$A$11:$C$564,2,FALSE))</f>
        <v>TERMINAL METALICO A PRESSAO PARA 1 CABO DE 185 MM2, COM 1 FURO DE FIXACAO</v>
      </c>
      <c r="N632" s="57" t="str">
        <f>IF(A632="","",IF(M632=B632,"si","no"))</f>
        <v>si</v>
      </c>
      <c r="O632" s="56"/>
      <c r="P632" s="56"/>
      <c r="Q632" s="48"/>
      <c r="R632" s="48"/>
      <c r="S632" s="2"/>
    </row>
    <row r="633" spans="1:23" ht="12.75" customHeight="1" x14ac:dyDescent="0.2">
      <c r="A633" s="22"/>
      <c r="B633" s="26" t="str">
        <f>$A$9</f>
        <v>BDI</v>
      </c>
      <c r="C633" s="40">
        <f>$C$9</f>
        <v>0</v>
      </c>
      <c r="D633" s="57"/>
      <c r="F633" s="28">
        <f>ROUND(SUM(F613:F632)*C633,2)</f>
        <v>0</v>
      </c>
      <c r="G633" s="63"/>
      <c r="M633" s="57"/>
      <c r="N633" s="57"/>
      <c r="O633" s="56"/>
      <c r="P633" s="56"/>
      <c r="Q633" s="48"/>
      <c r="R633" s="48"/>
    </row>
    <row r="634" spans="1:23" ht="12.75" customHeight="1" thickBot="1" x14ac:dyDescent="0.25">
      <c r="A634" s="41"/>
      <c r="B634" s="42" t="s">
        <v>57</v>
      </c>
      <c r="C634" s="43"/>
      <c r="D634" s="44"/>
      <c r="E634" s="45"/>
      <c r="F634" s="46">
        <f>ROUND(SUM(F613:F633),2)</f>
        <v>0</v>
      </c>
      <c r="G634" s="63"/>
      <c r="M634" s="57"/>
      <c r="N634" s="57"/>
      <c r="O634" s="56"/>
      <c r="P634" s="56"/>
      <c r="Q634" s="48"/>
      <c r="R634" s="48"/>
    </row>
    <row r="635" spans="1:23" ht="12" customHeight="1" thickBot="1" x14ac:dyDescent="0.25">
      <c r="A635" s="8"/>
      <c r="B635" s="9"/>
      <c r="C635" s="10"/>
      <c r="D635" s="57"/>
      <c r="F635" s="12"/>
      <c r="M635" s="57"/>
      <c r="N635" s="57"/>
      <c r="O635" s="56"/>
      <c r="P635" s="56"/>
    </row>
    <row r="636" spans="1:23" ht="50.1" customHeight="1" x14ac:dyDescent="0.2">
      <c r="A636" s="13" t="str">
        <f>'3.A'!$A$34</f>
        <v>3.1.1</v>
      </c>
      <c r="B636" s="14" t="str">
        <f>IF(A636="","",VLOOKUP(A636,'3.A'!$A$17:$M$279,2,FALSE))</f>
        <v>CAIXA ENTERRADA ELÉTRICA EM ALVENARIA COM BLOCOS DE CONCRETO, FUNDO COM BRITA, DIMENSÕES INTERNAS 0,80X0,80X0,60 M</v>
      </c>
      <c r="C636" s="413" t="s">
        <v>62</v>
      </c>
      <c r="D636" s="413"/>
      <c r="E636" s="15" t="str">
        <f>IF(A636="","",VLOOKUP(A636,'3.A'!$A$17:$M$279,3,FALSE))</f>
        <v>UN</v>
      </c>
      <c r="F636" s="16">
        <f>ROUND(F650+F663+F686,2)</f>
        <v>0</v>
      </c>
      <c r="G636" s="118">
        <f>VLOOKUP(A636,'3.A'!$A$19:$I$279,4,FALSE)</f>
        <v>2</v>
      </c>
      <c r="H636" s="47">
        <f>SUM(F638:F649)</f>
        <v>0</v>
      </c>
      <c r="I636" s="47">
        <f>SUM(F652:F662)</f>
        <v>0</v>
      </c>
      <c r="J636" s="47">
        <f>SUM(F665:F685)</f>
        <v>0</v>
      </c>
      <c r="K636" s="47">
        <f>SUM(H636:J636)</f>
        <v>0</v>
      </c>
      <c r="L636" s="47" t="str">
        <f>IF(K636=F636,"SIM","NÃO")</f>
        <v>SIM</v>
      </c>
      <c r="M636" s="58">
        <f>ROUND(SUM(F638:F647)*C648,2)+ROUND(SUM(F638:F648)*C649,2)+ROUND(SUM(F638:F647),2)+ROUND(SUM(F652:F661)*C662,2)+ROUND(SUM(F652:F661),2)+ROUND(SUM(F665:F684)*C685,2)+ROUND(SUM(F665:F684),2)</f>
        <v>0</v>
      </c>
      <c r="N636" s="50" t="str">
        <f>IF(M636=F636,"SIM","NÃO")</f>
        <v>SIM</v>
      </c>
      <c r="O636" s="51" t="str">
        <f>VLOOKUP(A636,'3.A'!$A$8:$E$279,3,FALSE)</f>
        <v>UN</v>
      </c>
      <c r="P636" s="51" t="str">
        <f>IF(O636=E636,"SIM","NÃO")</f>
        <v>SIM</v>
      </c>
      <c r="Q636" s="53">
        <f>ROUND(G636*F650,2)+ROUND(G636*F663,2)+ROUND(G636*F686,2)</f>
        <v>0</v>
      </c>
      <c r="R636" s="59">
        <f>VLOOKUP(A636,'3.A'!$A$17:$L$279,12,FALSE)</f>
        <v>0</v>
      </c>
      <c r="S636" s="60" t="str">
        <f>IF(Q636=R636,"si","no")</f>
        <v>si</v>
      </c>
      <c r="T636" s="61">
        <f>SUM(L638:L647)+SUM(L652:L661)+SUM(L665:L684)</f>
        <v>256.65279312520005</v>
      </c>
      <c r="U636" s="52">
        <f>G636*C644+G636*C646+G636*C639+G636*C640+G636*C642+G636*C645+G636*C643+G636*C638+G636*C641+G636*C647+G636*C658+G636*C652+G636*C660+G636*C659+G636*C657+G636*C654+G636*C653+G636*C655+G636*C661+G636*C656+G636*C665+G636*C666+G636*C667+G636*C675+G636*C676+G636*C677+G636*C678+G636*C679+G636*C680+G636*C681+G636*C682+G636*C683+G636*C684+G636*C673+G636*C674+G636*C668+G636*C669+G636*C670+G636*C671+G636*C672</f>
        <v>256.65279312519999</v>
      </c>
      <c r="V636" s="54" t="str">
        <f>IF(T636=U636,"si","no")</f>
        <v>si</v>
      </c>
      <c r="W636" s="137"/>
    </row>
    <row r="637" spans="1:23" ht="12.75" customHeight="1" x14ac:dyDescent="0.2">
      <c r="A637" s="17" t="s">
        <v>3</v>
      </c>
      <c r="B637" s="18" t="s">
        <v>58</v>
      </c>
      <c r="C637" s="56" t="s">
        <v>59</v>
      </c>
      <c r="D637" s="56" t="s">
        <v>16</v>
      </c>
      <c r="E637" s="19" t="s">
        <v>60</v>
      </c>
      <c r="F637" s="20" t="s">
        <v>61</v>
      </c>
      <c r="G637" s="21"/>
      <c r="M637" s="57"/>
      <c r="N637" s="57"/>
      <c r="O637" s="56"/>
      <c r="P637" s="56"/>
      <c r="Q637" s="48"/>
      <c r="R637" s="48"/>
    </row>
    <row r="638" spans="1:23" ht="12.75" customHeight="1" x14ac:dyDescent="0.2">
      <c r="A638" s="22">
        <f>'6.A'!$A$12</f>
        <v>88238</v>
      </c>
      <c r="B638" s="23" t="str">
        <f>IF(A638="","",VLOOKUP(A638,'6.A'!$A$11:$G$180,2,FALSE))</f>
        <v xml:space="preserve">AJUDANTE DE ARMADOR COM ENCARGOS COMPLEMENTARES </v>
      </c>
      <c r="C638" s="99">
        <f>(0.07*28.9369*0.0172)+(0.07*28.9369*1*0.0152)</f>
        <v>6.5628889200000012E-2</v>
      </c>
      <c r="D638" s="57" t="str">
        <f>IF(A638="","",VLOOKUP(A638,'6.A'!$A$11:$G$180,4,FALSE))</f>
        <v>H</v>
      </c>
      <c r="E638" s="101">
        <f>IF(A638="","",VLOOKUP(A638,'6.A'!$A$11:$G$180,5,FALSE))</f>
        <v>0</v>
      </c>
      <c r="F638" s="24">
        <f t="shared" ref="F638:F647" si="289">IF(A638="","0,00",ROUND(C638*E638,2))</f>
        <v>0</v>
      </c>
      <c r="G638" s="52"/>
      <c r="H638" s="52">
        <f>IF(A638="","",VLOOKUP(A638,'6.A'!$A$11:$E$7984,5,FALSE))</f>
        <v>0</v>
      </c>
      <c r="I638" s="52" t="str">
        <f>IF(H638="","",IF(E638=H638,"SIM","NÃO"))</f>
        <v>SIM</v>
      </c>
      <c r="J638" s="52" t="str">
        <f>IF(H638="","",VLOOKUP(A638,'6.A'!$A$11:$E$564,4,FALSE))</f>
        <v>H</v>
      </c>
      <c r="K638" s="52" t="str">
        <f>IF(H638="","",IF(J638=D638,"SIM","NÃO"))</f>
        <v>SIM</v>
      </c>
      <c r="L638" s="52">
        <f>IF(H638="","",IF(C638="","",G636*C638))</f>
        <v>0.13125777840000002</v>
      </c>
      <c r="M638" s="117" t="str">
        <f>IF(A638="","",VLOOKUP(A638,'6.A'!$A$11:$C$564,2,FALSE))</f>
        <v xml:space="preserve">AJUDANTE DE ARMADOR COM ENCARGOS COMPLEMENTARES </v>
      </c>
      <c r="N638" s="57" t="str">
        <f>IF(A638="","",IF(M638=B638,"si","no"))</f>
        <v>si</v>
      </c>
      <c r="O638" s="56"/>
      <c r="P638" s="56"/>
      <c r="Q638" s="48"/>
      <c r="R638" s="48"/>
      <c r="S638" s="2"/>
    </row>
    <row r="639" spans="1:23" ht="12.75" customHeight="1" x14ac:dyDescent="0.2">
      <c r="A639" s="22">
        <f>'6.A'!$A$13</f>
        <v>88239</v>
      </c>
      <c r="B639" s="23" t="str">
        <f>IF(A639="","",VLOOKUP(A639,'6.A'!$A$11:$G$180,2,FALSE))</f>
        <v>AJUDANTE DE CARPINTEIRO COM ENCARGOS COMPLEMENTARES</v>
      </c>
      <c r="C639" s="99">
        <f>(0.07*0.7356)</f>
        <v>5.149200000000001E-2</v>
      </c>
      <c r="D639" s="57" t="str">
        <f>IF(A639="","",VLOOKUP(A639,'6.A'!$A$11:$G$180,4,FALSE))</f>
        <v>H</v>
      </c>
      <c r="E639" s="100">
        <f>IF(A639="","",VLOOKUP(A639,'6.A'!$A$11:$G$180,5,FALSE))</f>
        <v>0</v>
      </c>
      <c r="F639" s="24">
        <f t="shared" ref="F639:F644" si="290">IF(A639="","0,00",ROUND(C639*E639,2))</f>
        <v>0</v>
      </c>
      <c r="G639" s="52"/>
      <c r="H639" s="52">
        <f>IF(A639="","",VLOOKUP(A639,'6.A'!$A$11:$E$7984,5,FALSE))</f>
        <v>0</v>
      </c>
      <c r="I639" s="52" t="str">
        <f>IF(H639="","",IF(E639=H639,"SIM","NÃO"))</f>
        <v>SIM</v>
      </c>
      <c r="J639" s="52" t="str">
        <f>IF(H639="","",VLOOKUP(A639,'6.A'!$A$11:$E$564,4,FALSE))</f>
        <v>H</v>
      </c>
      <c r="K639" s="52" t="str">
        <f>IF(H639="","",IF(J639=D639,"SIM","NÃO"))</f>
        <v>SIM</v>
      </c>
      <c r="L639" s="52">
        <f>IF(H639="","",IF(C639="","",G636*C639))</f>
        <v>0.10298400000000002</v>
      </c>
      <c r="M639" s="117" t="str">
        <f>IF(A639="","",VLOOKUP(A639,'6.A'!$A$11:$C$564,2,FALSE))</f>
        <v>AJUDANTE DE CARPINTEIRO COM ENCARGOS COMPLEMENTARES</v>
      </c>
      <c r="N639" s="57" t="str">
        <f>IF(A639="","",IF(M639=B639,"si","no"))</f>
        <v>si</v>
      </c>
      <c r="O639" s="56"/>
      <c r="P639" s="56"/>
      <c r="Q639" s="48"/>
      <c r="R639" s="48"/>
      <c r="S639" s="2"/>
    </row>
    <row r="640" spans="1:23" ht="12.75" customHeight="1" x14ac:dyDescent="0.2">
      <c r="A640" s="22">
        <f>'6.A'!$A$14</f>
        <v>88245</v>
      </c>
      <c r="B640" s="23" t="str">
        <f>IF(A640="","",VLOOKUP(A640,'6.A'!$A$11:$G$180,2,FALSE))</f>
        <v>ARMADOR COM ENCARGOS COMPLEMENTARES</v>
      </c>
      <c r="C640" s="99">
        <f>(0.07*28.9369*0.1055)+(0.07*28.9369*1*0.0933)</f>
        <v>0.40268590040000002</v>
      </c>
      <c r="D640" s="57" t="str">
        <f>IF(A640="","",VLOOKUP(A640,'6.A'!$A$11:$G$180,4,FALSE))</f>
        <v>H</v>
      </c>
      <c r="E640" s="100">
        <f>IF(A640="","",VLOOKUP(A640,'6.A'!$A$11:$G$180,5,FALSE))</f>
        <v>0</v>
      </c>
      <c r="F640" s="24">
        <f t="shared" si="290"/>
        <v>0</v>
      </c>
      <c r="G640" s="52"/>
      <c r="H640" s="52">
        <f>IF(A640="","",VLOOKUP(A640,'6.A'!$A$11:$E$7984,5,FALSE))</f>
        <v>0</v>
      </c>
      <c r="I640" s="52" t="str">
        <f>IF(H640="","",IF(E640=H640,"SIM","NÃO"))</f>
        <v>SIM</v>
      </c>
      <c r="J640" s="52" t="str">
        <f>IF(H640="","",VLOOKUP(A640,'6.A'!$A$11:$E$564,4,FALSE))</f>
        <v>H</v>
      </c>
      <c r="K640" s="52" t="str">
        <f>IF(H640="","",IF(J640=D640,"SIM","NÃO"))</f>
        <v>SIM</v>
      </c>
      <c r="L640" s="52">
        <f>IF(H640="","",IF(C640="","",G636*C640))</f>
        <v>0.80537180080000004</v>
      </c>
      <c r="M640" s="117" t="str">
        <f>IF(A640="","",VLOOKUP(A640,'6.A'!$A$11:$C$564,2,FALSE))</f>
        <v>ARMADOR COM ENCARGOS COMPLEMENTARES</v>
      </c>
      <c r="N640" s="57" t="str">
        <f>IF(A640="","",IF(M640=B640,"si","no"))</f>
        <v>si</v>
      </c>
      <c r="O640" s="56"/>
      <c r="P640" s="56"/>
      <c r="Q640" s="48"/>
      <c r="R640" s="48"/>
      <c r="S640" s="2"/>
    </row>
    <row r="641" spans="1:19" ht="12.75" customHeight="1" x14ac:dyDescent="0.2">
      <c r="A641" s="22">
        <f>'6.A'!$A$16</f>
        <v>88261</v>
      </c>
      <c r="B641" s="23" t="str">
        <f>IF(A641="","",VLOOKUP(A641,'6.A'!$A$11:$G$180,2,FALSE))</f>
        <v>CARPINTEIRO DE ESQUADRIA COM ENCARGOS COMPLEMENTARES</v>
      </c>
      <c r="C641" s="99">
        <f>(0.07*3.678)</f>
        <v>0.25746000000000002</v>
      </c>
      <c r="D641" s="57" t="str">
        <f>IF(A641="","",VLOOKUP(A641,'6.A'!$A$11:$G$180,4,FALSE))</f>
        <v>H</v>
      </c>
      <c r="E641" s="101">
        <f>IF(A641="","",VLOOKUP(A641,'6.A'!$A$11:$G$180,5,FALSE))</f>
        <v>0</v>
      </c>
      <c r="F641" s="24">
        <f t="shared" si="290"/>
        <v>0</v>
      </c>
      <c r="G641" s="52"/>
      <c r="H641" s="52">
        <f>IF(A641="","",VLOOKUP(A641,'6.A'!$A$11:$E$7984,5,FALSE))</f>
        <v>0</v>
      </c>
      <c r="I641" s="52" t="str">
        <f t="shared" ref="I641" si="291">IF(H641="","",IF(E641=H641,"SIM","NÃO"))</f>
        <v>SIM</v>
      </c>
      <c r="J641" s="52" t="str">
        <f>IF(H641="","",VLOOKUP(A641,'6.A'!$A$11:$E$564,4,FALSE))</f>
        <v>H</v>
      </c>
      <c r="K641" s="52" t="str">
        <f t="shared" ref="K641" si="292">IF(H641="","",IF(J641=D641,"SIM","NÃO"))</f>
        <v>SIM</v>
      </c>
      <c r="L641" s="52">
        <f>IF(H641="","",IF(C641="","",G636*C641))</f>
        <v>0.51492000000000004</v>
      </c>
      <c r="M641" s="117" t="str">
        <f>IF(A641="","",VLOOKUP(A641,'6.A'!$A$11:$C$564,2,FALSE))</f>
        <v>CARPINTEIRO DE ESQUADRIA COM ENCARGOS COMPLEMENTARES</v>
      </c>
      <c r="N641" s="57" t="str">
        <f t="shared" ref="N641" si="293">IF(A641="","",IF(M641=B641,"si","no"))</f>
        <v>si</v>
      </c>
      <c r="O641" s="56"/>
      <c r="P641" s="56"/>
      <c r="Q641" s="48"/>
      <c r="R641" s="48"/>
      <c r="S641" s="2"/>
    </row>
    <row r="642" spans="1:19" ht="12.75" customHeight="1" x14ac:dyDescent="0.2">
      <c r="A642" s="22">
        <f>'6.A'!$A$20</f>
        <v>88309</v>
      </c>
      <c r="B642" s="23" t="str">
        <f>IF(A642="","",VLOOKUP(A642,'6.A'!$A$11:$G$180,2,FALSE))</f>
        <v>PEDREIRO COM ENCARGOS COMPLEMENTARES</v>
      </c>
      <c r="C642" s="99">
        <f>3.8569+(0.121*2.4938)+(0.07*22.4974)</f>
        <v>5.7334677999999997</v>
      </c>
      <c r="D642" s="57" t="str">
        <f>IF(A642="","",VLOOKUP(A642,'6.A'!$A$11:$G$180,4,FALSE))</f>
        <v>H</v>
      </c>
      <c r="E642" s="100">
        <f>IF(A642="","",VLOOKUP(A642,'6.A'!$A$11:$G$180,5,FALSE))</f>
        <v>0</v>
      </c>
      <c r="F642" s="24">
        <f t="shared" si="290"/>
        <v>0</v>
      </c>
      <c r="G642" s="52"/>
      <c r="H642" s="52">
        <f>IF(A642="","",VLOOKUP(A642,'6.A'!$A$11:$E$7984,5,FALSE))</f>
        <v>0</v>
      </c>
      <c r="I642" s="52" t="str">
        <f>IF(H642="","",IF(E642=H642,"SIM","NÃO"))</f>
        <v>SIM</v>
      </c>
      <c r="J642" s="52" t="str">
        <f>IF(H642="","",VLOOKUP(A642,'6.A'!$A$11:$E$564,4,FALSE))</f>
        <v>H</v>
      </c>
      <c r="K642" s="52" t="str">
        <f>IF(H642="","",IF(J642=D642,"SIM","NÃO"))</f>
        <v>SIM</v>
      </c>
      <c r="L642" s="52">
        <f>IF(H642="","",IF(C642="","",G636*C642))</f>
        <v>11.466935599999999</v>
      </c>
      <c r="M642" s="117" t="str">
        <f>IF(A642="","",VLOOKUP(A642,'6.A'!$A$11:$C$564,2,FALSE))</f>
        <v>PEDREIRO COM ENCARGOS COMPLEMENTARES</v>
      </c>
      <c r="N642" s="57" t="str">
        <f>IF(A642="","",IF(M642=B642,"si","no"))</f>
        <v>si</v>
      </c>
      <c r="O642" s="56"/>
      <c r="P642" s="56"/>
      <c r="Q642" s="48"/>
      <c r="R642" s="48"/>
    </row>
    <row r="643" spans="1:19" ht="12.75" customHeight="1" x14ac:dyDescent="0.2">
      <c r="A643" s="22">
        <f>'6.A'!$A$22</f>
        <v>88316</v>
      </c>
      <c r="B643" s="23" t="str">
        <f>IF(A643="","",VLOOKUP(A643,'6.A'!$A$11:$G$180,2,FALSE))</f>
        <v>SERVENTE COM ENCARGOS COMPLEMENTARES</v>
      </c>
      <c r="C643" s="99">
        <f>3.0305+(0.121*3.7407)+(0.07*22.4974)+(0.07*1.2*1.9633)+3.9557667*(1*1*0.8)+(0.0173*4.64)+(0.0748*3.75)+(0.07*1.2*1.24)</f>
        <v>8.8524052600000012</v>
      </c>
      <c r="D643" s="57" t="str">
        <f>IF(A643="","",VLOOKUP(A643,'6.A'!$A$11:$G$180,4,FALSE))</f>
        <v>H</v>
      </c>
      <c r="E643" s="100">
        <f>IF(A643="","",VLOOKUP(A643,'6.A'!$A$11:$G$180,5,FALSE))</f>
        <v>0</v>
      </c>
      <c r="F643" s="24">
        <f t="shared" si="290"/>
        <v>0</v>
      </c>
      <c r="G643" s="52"/>
      <c r="H643" s="52">
        <f>IF(A643="","",VLOOKUP(A643,'6.A'!$A$11:$E$7984,5,FALSE))</f>
        <v>0</v>
      </c>
      <c r="I643" s="52" t="str">
        <f>IF(H643="","",IF(E643=H643,"SIM","NÃO"))</f>
        <v>SIM</v>
      </c>
      <c r="J643" s="52" t="str">
        <f>IF(H643="","",VLOOKUP(A643,'6.A'!$A$11:$E$564,4,FALSE))</f>
        <v>H</v>
      </c>
      <c r="K643" s="52" t="str">
        <f>IF(H643="","",IF(J643=D643,"SIM","NÃO"))</f>
        <v>SIM</v>
      </c>
      <c r="L643" s="52">
        <f>IF(H643="","",IF(C643="","",G636*C643))</f>
        <v>17.704810520000002</v>
      </c>
      <c r="M643" s="117" t="str">
        <f>IF(A643="","",VLOOKUP(A643,'6.A'!$A$11:$C$564,2,FALSE))</f>
        <v>SERVENTE COM ENCARGOS COMPLEMENTARES</v>
      </c>
      <c r="N643" s="57" t="str">
        <f>IF(A643="","",IF(M643=B643,"si","no"))</f>
        <v>si</v>
      </c>
      <c r="O643" s="56"/>
      <c r="P643" s="56"/>
      <c r="Q643" s="48"/>
      <c r="R643" s="48"/>
    </row>
    <row r="644" spans="1:19" ht="12.75" customHeight="1" x14ac:dyDescent="0.2">
      <c r="A644" s="22"/>
      <c r="B644" s="23"/>
      <c r="C644" s="99"/>
      <c r="D644" s="57"/>
      <c r="E644" s="100"/>
      <c r="F644" s="24" t="str">
        <f t="shared" si="290"/>
        <v>0,00</v>
      </c>
      <c r="G644" s="52"/>
      <c r="H644" s="52" t="str">
        <f>IF(A644="","",VLOOKUP(A644,'6.A'!$A$11:$E$7984,5,FALSE))</f>
        <v/>
      </c>
      <c r="I644" s="52" t="str">
        <f>IF(H644="","",IF(E644=H644,"SIM","NÃO"))</f>
        <v/>
      </c>
      <c r="J644" s="52" t="str">
        <f>IF(H644="","",VLOOKUP(A644,'6.A'!$A$11:$E$564,4,FALSE))</f>
        <v/>
      </c>
      <c r="K644" s="52" t="str">
        <f t="shared" ref="K644" si="294">IF(H644="","",IF(J644=D644,"SIM","NÃO"))</f>
        <v/>
      </c>
      <c r="L644" s="52" t="str">
        <f>IF(H644="","",IF(C644="","",G636*C644))</f>
        <v/>
      </c>
      <c r="M644" s="117" t="str">
        <f>IF(A644="","",VLOOKUP(A644,'6.A'!$A$11:$C$564,2,FALSE))</f>
        <v/>
      </c>
      <c r="N644" s="57" t="str">
        <f t="shared" ref="N644" si="295">IF(A644="","",IF(M644=B644,"si","no"))</f>
        <v/>
      </c>
      <c r="O644" s="56"/>
      <c r="P644" s="56"/>
      <c r="Q644" s="48"/>
      <c r="R644" s="48"/>
      <c r="S644" s="2"/>
    </row>
    <row r="645" spans="1:19" ht="12.75" customHeight="1" x14ac:dyDescent="0.2">
      <c r="A645" s="22"/>
      <c r="B645" s="23" t="str">
        <f>IF(A645="","",VLOOKUP(A645,'6.A'!$A$11:$G$180,2,FALSE))</f>
        <v/>
      </c>
      <c r="C645" s="99"/>
      <c r="D645" s="57" t="str">
        <f>IF(A645="","",VLOOKUP(A645,'6.A'!$A$11:$G$180,4,FALSE))</f>
        <v/>
      </c>
      <c r="E645" s="100" t="str">
        <f>IF(A645="","",VLOOKUP(A645,'6.A'!$A$11:$G$180,5,FALSE))</f>
        <v/>
      </c>
      <c r="F645" s="24" t="str">
        <f t="shared" si="289"/>
        <v>0,00</v>
      </c>
      <c r="G645" s="52"/>
      <c r="H645" s="52" t="str">
        <f>IF(A645="","",VLOOKUP(A645,'6.A'!$A$11:$E$7984,5,FALSE))</f>
        <v/>
      </c>
      <c r="I645" s="52" t="str">
        <f t="shared" ref="I645" si="296">IF(H645="","",IF(E645=H645,"SIM","NÃO"))</f>
        <v/>
      </c>
      <c r="J645" s="52" t="str">
        <f>IF(H645="","",VLOOKUP(A645,'6.A'!$A$11:$E$564,4,FALSE))</f>
        <v/>
      </c>
      <c r="K645" s="52" t="str">
        <f t="shared" ref="K645" si="297">IF(H645="","",IF(J645=D645,"SIM","NÃO"))</f>
        <v/>
      </c>
      <c r="L645" s="52" t="str">
        <f>IF(H645="","",IF(C645="","",G636*C645))</f>
        <v/>
      </c>
      <c r="M645" s="117" t="str">
        <f>IF(A645="","",VLOOKUP(A645,'6.A'!$A$11:$C$564,2,FALSE))</f>
        <v/>
      </c>
      <c r="N645" s="57" t="str">
        <f t="shared" ref="N645" si="298">IF(A645="","",IF(M645=B645,"si","no"))</f>
        <v/>
      </c>
      <c r="O645" s="56"/>
      <c r="P645" s="56"/>
      <c r="Q645" s="48"/>
      <c r="R645" s="48"/>
      <c r="S645" s="2"/>
    </row>
    <row r="646" spans="1:19" ht="12.75" customHeight="1" x14ac:dyDescent="0.2">
      <c r="A646" s="22"/>
      <c r="B646" s="23" t="str">
        <f>IF(A646="","",VLOOKUP(A646,'6.A'!$A$11:$G$180,2,FALSE))</f>
        <v/>
      </c>
      <c r="C646" s="99"/>
      <c r="D646" s="73" t="str">
        <f>IF(A646="","",VLOOKUP(A646,'6.A'!$A$11:$G$180,4,FALSE))</f>
        <v/>
      </c>
      <c r="E646" s="101" t="str">
        <f>IF(A646="","",VLOOKUP(A646,'6.A'!$A$11:$G$180,5,FALSE))</f>
        <v/>
      </c>
      <c r="F646" s="24" t="str">
        <f t="shared" si="289"/>
        <v>0,00</v>
      </c>
      <c r="G646" s="52"/>
      <c r="H646" s="52" t="str">
        <f>IF(A646="","",VLOOKUP(A646,'6.A'!$A$11:$E$7984,5,FALSE))</f>
        <v/>
      </c>
      <c r="I646" s="52" t="str">
        <f>IF(H646="","",IF(E646=H646,"SIM","NÃO"))</f>
        <v/>
      </c>
      <c r="J646" s="52" t="str">
        <f>IF(H646="","",VLOOKUP(A646,'6.A'!$A$11:$E$564,4,FALSE))</f>
        <v/>
      </c>
      <c r="K646" s="52" t="str">
        <f>IF(H646="","",IF(J646=D646,"SIM","NÃO"))</f>
        <v/>
      </c>
      <c r="L646" s="52" t="str">
        <f>IF(H646="","",IF(C646="","",G636*C646))</f>
        <v/>
      </c>
      <c r="M646" s="117" t="str">
        <f>IF(A646="","",VLOOKUP(A646,'6.A'!$A$11:$C$564,2,FALSE))</f>
        <v/>
      </c>
      <c r="N646" s="57" t="str">
        <f>IF(A646="","",IF(M646=B646,"si","no"))</f>
        <v/>
      </c>
      <c r="O646" s="56"/>
      <c r="P646" s="56"/>
      <c r="Q646" s="48"/>
      <c r="R646" s="48"/>
      <c r="S646" s="2"/>
    </row>
    <row r="647" spans="1:19" ht="12.75" customHeight="1" x14ac:dyDescent="0.2">
      <c r="A647" s="22"/>
      <c r="B647" s="23" t="str">
        <f>IF(A647="","",VLOOKUP(A647,'6.A'!$A$11:$G$180,2,FALSE))</f>
        <v/>
      </c>
      <c r="C647" s="99"/>
      <c r="D647" s="25" t="str">
        <f>IF(A647="","",VLOOKUP(A647,'6.A'!$A$11:$G$180,4,FALSE))</f>
        <v/>
      </c>
      <c r="E647" s="101" t="str">
        <f>IF(A647="","",VLOOKUP(A647,'6.A'!$A$11:$G$180,5,FALSE))</f>
        <v/>
      </c>
      <c r="F647" s="24" t="str">
        <f t="shared" si="289"/>
        <v>0,00</v>
      </c>
      <c r="G647" s="52"/>
      <c r="H647" s="52" t="str">
        <f>IF(A647="","",VLOOKUP(A647,'6.A'!$A$11:$E$7984,5,FALSE))</f>
        <v/>
      </c>
      <c r="I647" s="52" t="str">
        <f t="shared" ref="I647" si="299">IF(H647="","",IF(E647=H647,"SIM","NÃO"))</f>
        <v/>
      </c>
      <c r="J647" s="52" t="str">
        <f>IF(H647="","",VLOOKUP(A647,'6.A'!$A$11:$E$564,4,FALSE))</f>
        <v/>
      </c>
      <c r="K647" s="52" t="str">
        <f t="shared" ref="K647" si="300">IF(H647="","",IF(J647=D647,"SIM","NÃO"))</f>
        <v/>
      </c>
      <c r="L647" s="52" t="str">
        <f>IF(H647="","",IF(C647="","",G636*C647))</f>
        <v/>
      </c>
      <c r="M647" s="117" t="str">
        <f>IF(A647="","",VLOOKUP(A647,'6.A'!$A$11:$C$564,2,FALSE))</f>
        <v/>
      </c>
      <c r="N647" s="57" t="str">
        <f t="shared" ref="N647" si="301">IF(A647="","",IF(M647=B647,"si","no"))</f>
        <v/>
      </c>
      <c r="O647" s="56"/>
      <c r="P647" s="56"/>
      <c r="Q647" s="48"/>
      <c r="R647" s="48"/>
      <c r="S647" s="2"/>
    </row>
    <row r="648" spans="1:19" ht="12.75" customHeight="1" x14ac:dyDescent="0.2">
      <c r="A648" s="17"/>
      <c r="B648" s="26" t="str">
        <f>$A$8</f>
        <v>LEIS SOCIAIS HORISTA - JORNADA NORMAL</v>
      </c>
      <c r="C648" s="27">
        <f>$C$8</f>
        <v>0</v>
      </c>
      <c r="D648" s="57"/>
      <c r="F648" s="28">
        <f>ROUND(SUM(F638:F647)*C648,2)</f>
        <v>0</v>
      </c>
      <c r="G648" s="63"/>
      <c r="M648" s="62"/>
      <c r="N648" s="57"/>
      <c r="O648" s="56"/>
      <c r="P648" s="56"/>
      <c r="Q648" s="48"/>
      <c r="R648" s="48"/>
      <c r="S648" s="2"/>
    </row>
    <row r="649" spans="1:19" ht="12.75" customHeight="1" x14ac:dyDescent="0.2">
      <c r="A649" s="22"/>
      <c r="B649" s="26" t="str">
        <f>$A$9</f>
        <v>BDI</v>
      </c>
      <c r="C649" s="27">
        <f>$C$9</f>
        <v>0</v>
      </c>
      <c r="D649" s="29"/>
      <c r="F649" s="28">
        <f>ROUND(SUM(F638:F648)*C649,2)</f>
        <v>0</v>
      </c>
      <c r="G649" s="63"/>
      <c r="M649" s="62"/>
      <c r="N649" s="57"/>
      <c r="O649" s="56"/>
      <c r="P649" s="56"/>
      <c r="Q649" s="48"/>
      <c r="R649" s="48"/>
      <c r="S649" s="2"/>
    </row>
    <row r="650" spans="1:19" ht="12.75" customHeight="1" x14ac:dyDescent="0.2">
      <c r="A650" s="30"/>
      <c r="B650" s="31" t="s">
        <v>56</v>
      </c>
      <c r="C650" s="32"/>
      <c r="D650" s="33"/>
      <c r="E650" s="34"/>
      <c r="F650" s="35">
        <f>ROUND(SUM(F638:F649),2)</f>
        <v>0</v>
      </c>
      <c r="G650" s="63"/>
      <c r="M650" s="62"/>
      <c r="N650" s="57"/>
      <c r="O650" s="56"/>
      <c r="P650" s="56"/>
      <c r="Q650" s="48"/>
      <c r="R650" s="48"/>
      <c r="S650" s="2"/>
    </row>
    <row r="651" spans="1:19" ht="12.75" customHeight="1" x14ac:dyDescent="0.2">
      <c r="A651" s="17" t="s">
        <v>5</v>
      </c>
      <c r="B651" s="153" t="s">
        <v>130</v>
      </c>
      <c r="C651" s="56" t="s">
        <v>59</v>
      </c>
      <c r="D651" s="56" t="s">
        <v>16</v>
      </c>
      <c r="E651" s="19" t="s">
        <v>60</v>
      </c>
      <c r="F651" s="20" t="s">
        <v>61</v>
      </c>
      <c r="G651" s="21"/>
      <c r="M651" s="62"/>
      <c r="N651" s="57"/>
      <c r="O651" s="56"/>
      <c r="P651" s="56"/>
      <c r="Q651" s="48"/>
      <c r="R651" s="48"/>
      <c r="S651" s="2"/>
    </row>
    <row r="652" spans="1:19" ht="12.75" customHeight="1" x14ac:dyDescent="0.2">
      <c r="A652" s="22">
        <f>'6.A'!$A$32</f>
        <v>88830</v>
      </c>
      <c r="B652" s="23" t="str">
        <f>IF(A652="","",VLOOKUP(A652,'6.A'!$A$11:$G$180,2,FALSE))</f>
        <v>BETONEIRA CAPACIDADE 400 L, CAPACIDADE DE MISTURA 280 L, MOTOR ELÉTRICO POTÊNCIA 2 CV - CHP</v>
      </c>
      <c r="C652" s="99">
        <f>(0.0173*1.08)+(0.0748*0.87)+(0.07*1.2*0.6382)</f>
        <v>0.13736880000000001</v>
      </c>
      <c r="D652" s="57" t="str">
        <f>IF(A652="","",VLOOKUP(A652,'6.A'!$A$11:$G$180,4,FALSE))</f>
        <v>CHP</v>
      </c>
      <c r="E652" s="100">
        <f>IF(A652="","",VLOOKUP(A652,'6.A'!$A$11:$G$180,5,FALSE))</f>
        <v>0</v>
      </c>
      <c r="F652" s="24">
        <f t="shared" ref="F652:F661" si="302">IF(A652="","0,00",ROUND(C652*E652,2))</f>
        <v>0</v>
      </c>
      <c r="G652" s="52"/>
      <c r="H652" s="52">
        <f>IF(A652="","",VLOOKUP(A652,'6.A'!$A$11:$E$7984,5,FALSE))</f>
        <v>0</v>
      </c>
      <c r="I652" s="52" t="str">
        <f t="shared" ref="I652:I661" si="303">IF(H652="","",IF(E652=H652,"SIM","NÃO"))</f>
        <v>SIM</v>
      </c>
      <c r="J652" s="52" t="str">
        <f>IF(H652="","",VLOOKUP(A652,'6.A'!$A$11:$E$564,4,FALSE))</f>
        <v>CHP</v>
      </c>
      <c r="K652" s="52" t="str">
        <f t="shared" ref="K652:K661" si="304">IF(H652="","",IF(J652=D652,"SIM","NÃO"))</f>
        <v>SIM</v>
      </c>
      <c r="L652" s="52">
        <f>IF(H652="","",IF(C652="","",G636*C652))</f>
        <v>0.27473760000000003</v>
      </c>
      <c r="M652" s="117" t="str">
        <f>IF(A652="","",VLOOKUP(A652,'6.A'!$A$11:$C$564,2,FALSE))</f>
        <v>BETONEIRA CAPACIDADE 400 L, CAPACIDADE DE MISTURA 280 L, MOTOR ELÉTRICO POTÊNCIA 2 CV - CHP</v>
      </c>
      <c r="N652" s="57" t="str">
        <f t="shared" ref="N652:N653" si="305">IF(A652="","",IF(M652=B652,"si","no"))</f>
        <v>si</v>
      </c>
      <c r="O652" s="56"/>
      <c r="P652" s="56"/>
      <c r="Q652" s="48"/>
      <c r="R652" s="48"/>
      <c r="S652" s="2"/>
    </row>
    <row r="653" spans="1:19" ht="12.75" customHeight="1" x14ac:dyDescent="0.2">
      <c r="A653" s="22">
        <f>'6.A'!$A$33</f>
        <v>88831</v>
      </c>
      <c r="B653" s="23" t="str">
        <f>IF(A653="","",VLOOKUP(A653,'6.A'!$A$11:$G$180,2,FALSE))</f>
        <v>BETONEIRA CAPACIDADE 400 L, CAPACIDADE DE MISTURA 280 L, MOTOR ELÉTRICO POTÊNCIA 2 CV - CHI</v>
      </c>
      <c r="C653" s="99">
        <f>(0.0173*3.56)+(0.0748*2.88)+(0.07*1.2*0.6018)</f>
        <v>0.3275632</v>
      </c>
      <c r="D653" s="57" t="str">
        <f>IF(A653="","",VLOOKUP(A653,'6.A'!$A$11:$G$180,4,FALSE))</f>
        <v>CHI</v>
      </c>
      <c r="E653" s="100">
        <f>IF(A653="","",VLOOKUP(A653,'6.A'!$A$11:$G$180,5,FALSE))</f>
        <v>0</v>
      </c>
      <c r="F653" s="24">
        <f t="shared" si="302"/>
        <v>0</v>
      </c>
      <c r="G653" s="52"/>
      <c r="H653" s="52">
        <f>IF(A653="","",VLOOKUP(A653,'6.A'!$A$11:$E$7984,5,FALSE))</f>
        <v>0</v>
      </c>
      <c r="I653" s="52" t="str">
        <f t="shared" si="303"/>
        <v>SIM</v>
      </c>
      <c r="J653" s="52" t="str">
        <f>IF(H653="","",VLOOKUP(A653,'6.A'!$A$11:$E$564,4,FALSE))</f>
        <v>CHI</v>
      </c>
      <c r="K653" s="52" t="str">
        <f t="shared" si="304"/>
        <v>SIM</v>
      </c>
      <c r="L653" s="52">
        <f>IF(H653="","",IF(C653="","",G636*C653))</f>
        <v>0.6551264</v>
      </c>
      <c r="M653" s="117" t="str">
        <f>IF(A653="","",VLOOKUP(A653,'6.A'!$A$11:$C$564,2,FALSE))</f>
        <v>BETONEIRA CAPACIDADE 400 L, CAPACIDADE DE MISTURA 280 L, MOTOR ELÉTRICO POTÊNCIA 2 CV - CHI</v>
      </c>
      <c r="N653" s="57" t="str">
        <f t="shared" si="305"/>
        <v>si</v>
      </c>
      <c r="O653" s="56"/>
      <c r="P653" s="56"/>
      <c r="Q653" s="48"/>
      <c r="R653" s="48"/>
      <c r="S653" s="2"/>
    </row>
    <row r="654" spans="1:19" ht="12.75" customHeight="1" x14ac:dyDescent="0.2">
      <c r="A654" s="22">
        <f>'6.A'!$A$36</f>
        <v>91533</v>
      </c>
      <c r="B654" s="23" t="str">
        <f>IF(A654="","",VLOOKUP(A654,'6.A'!$A$11:$G$180,2,FALSE))</f>
        <v>COMPACTADOR DE SOLOS DE PERCUSSÃO COM MOTOR A GASOLINA 4 TEMPOS, POTÊNCIA 4 CV - CHP</v>
      </c>
      <c r="C654" s="99">
        <v>7.1800000000000003E-2</v>
      </c>
      <c r="D654" s="57" t="str">
        <f>IF(A654="","",VLOOKUP(A654,'6.A'!$A$11:$G$180,4,FALSE))</f>
        <v>CHP</v>
      </c>
      <c r="E654" s="100">
        <f>IF(A654="","",VLOOKUP(A654,'6.A'!$A$11:$G$180,5,FALSE))</f>
        <v>0</v>
      </c>
      <c r="F654" s="24">
        <f t="shared" si="302"/>
        <v>0</v>
      </c>
      <c r="G654" s="52"/>
      <c r="H654" s="52">
        <f>IF(A654="","",VLOOKUP(A654,'6.A'!$A$11:$E$7984,5,FALSE))</f>
        <v>0</v>
      </c>
      <c r="I654" s="52" t="str">
        <f t="shared" si="303"/>
        <v>SIM</v>
      </c>
      <c r="J654" s="52" t="str">
        <f>IF(H654="","",VLOOKUP(A654,'6.A'!$A$11:$E$564,4,FALSE))</f>
        <v>CHP</v>
      </c>
      <c r="K654" s="52" t="str">
        <f t="shared" si="304"/>
        <v>SIM</v>
      </c>
      <c r="L654" s="52">
        <f>IF(H654="","",IF(C654="","",G636*C654))</f>
        <v>0.14360000000000001</v>
      </c>
      <c r="M654" s="117" t="str">
        <f>IF(A654="","",VLOOKUP(A654,'6.A'!$A$11:$C$564,2,FALSE))</f>
        <v>COMPACTADOR DE SOLOS DE PERCUSSÃO COM MOTOR A GASOLINA 4 TEMPOS, POTÊNCIA 4 CV - CHP</v>
      </c>
      <c r="N654" s="57" t="str">
        <f t="shared" ref="N654:N659" si="306">IF(A654="","",IF(M654=B654,"si","no"))</f>
        <v>si</v>
      </c>
      <c r="O654" s="56"/>
      <c r="P654" s="56"/>
      <c r="Q654" s="48"/>
      <c r="R654" s="48"/>
      <c r="S654" s="2"/>
    </row>
    <row r="655" spans="1:19" ht="12.75" customHeight="1" x14ac:dyDescent="0.2">
      <c r="A655" s="22">
        <f>'6.A'!$A$37</f>
        <v>91534</v>
      </c>
      <c r="B655" s="23" t="str">
        <f>IF(A655="","",VLOOKUP(A655,'6.A'!$A$11:$G$180,2,FALSE))</f>
        <v>COMPACTADOR DE SOLOS DE PERCUSSÃO COM MOTOR A GASOLINA 4 TEMPOS, POTÊNCIA 4 CV - CHI</v>
      </c>
      <c r="C655" s="99">
        <v>6.6600000000000006E-2</v>
      </c>
      <c r="D655" s="57" t="str">
        <f>IF(A655="","",VLOOKUP(A655,'6.A'!$A$11:$G$180,4,FALSE))</f>
        <v>CHI</v>
      </c>
      <c r="E655" s="100">
        <f>IF(A655="","",VLOOKUP(A655,'6.A'!$A$11:$G$180,5,FALSE))</f>
        <v>0</v>
      </c>
      <c r="F655" s="24">
        <f t="shared" si="302"/>
        <v>0</v>
      </c>
      <c r="G655" s="52"/>
      <c r="H655" s="52">
        <f>IF(A655="","",VLOOKUP(A655,'6.A'!$A$11:$E$7984,5,FALSE))</f>
        <v>0</v>
      </c>
      <c r="I655" s="52" t="str">
        <f t="shared" si="303"/>
        <v>SIM</v>
      </c>
      <c r="J655" s="52" t="str">
        <f>IF(H655="","",VLOOKUP(A655,'6.A'!$A$11:$E$564,4,FALSE))</f>
        <v>CHI</v>
      </c>
      <c r="K655" s="52" t="str">
        <f t="shared" si="304"/>
        <v>SIM</v>
      </c>
      <c r="L655" s="52">
        <f>IF(H655="","",IF(C655="","",G636*C655))</f>
        <v>0.13320000000000001</v>
      </c>
      <c r="M655" s="117" t="str">
        <f>IF(A655="","",VLOOKUP(A655,'6.A'!$A$11:$C$564,2,FALSE))</f>
        <v>COMPACTADOR DE SOLOS DE PERCUSSÃO COM MOTOR A GASOLINA 4 TEMPOS, POTÊNCIA 4 CV - CHI</v>
      </c>
      <c r="N655" s="57" t="str">
        <f t="shared" si="306"/>
        <v>si</v>
      </c>
      <c r="O655" s="56"/>
      <c r="P655" s="56"/>
      <c r="Q655" s="48"/>
      <c r="R655" s="48"/>
      <c r="S655" s="2"/>
    </row>
    <row r="656" spans="1:19" ht="12.75" customHeight="1" x14ac:dyDescent="0.2">
      <c r="A656" s="22"/>
      <c r="B656" s="23"/>
      <c r="C656" s="99"/>
      <c r="D656" s="57"/>
      <c r="E656" s="100"/>
      <c r="F656" s="24" t="str">
        <f>IF(A656="","0,00",ROUND(C656*E656,2))</f>
        <v>0,00</v>
      </c>
      <c r="G656" s="52"/>
      <c r="H656" s="52" t="str">
        <f>IF(A656="","",VLOOKUP(A656,'6.A'!$A$11:$E$7984,5,FALSE))</f>
        <v/>
      </c>
      <c r="I656" s="52" t="str">
        <f>IF(H656="","",IF(E656=H656,"SIM","NÃO"))</f>
        <v/>
      </c>
      <c r="J656" s="52" t="str">
        <f>IF(H656="","",VLOOKUP(A656,'6.A'!$A$11:$E$564,4,FALSE))</f>
        <v/>
      </c>
      <c r="K656" s="52" t="str">
        <f>IF(H656="","",IF(J656=D656,"SIM","NÃO"))</f>
        <v/>
      </c>
      <c r="L656" s="52" t="str">
        <f>IF(H656="","",IF(C656="","",G636*C656))</f>
        <v/>
      </c>
      <c r="M656" s="117" t="str">
        <f>IF(A656="","",VLOOKUP(A656,'6.A'!$A$11:$C$564,2,FALSE))</f>
        <v/>
      </c>
      <c r="N656" s="57" t="str">
        <f t="shared" si="306"/>
        <v/>
      </c>
      <c r="O656" s="56"/>
      <c r="P656" s="56"/>
      <c r="Q656" s="48"/>
      <c r="R656" s="48"/>
      <c r="S656" s="2"/>
    </row>
    <row r="657" spans="1:22" ht="12.75" customHeight="1" x14ac:dyDescent="0.2">
      <c r="A657" s="22"/>
      <c r="B657" s="55"/>
      <c r="C657" s="134"/>
      <c r="D657" s="57"/>
      <c r="E657" s="100"/>
      <c r="F657" s="24" t="str">
        <f>IF(A657="","0,00",ROUND(C657*E657,2))</f>
        <v>0,00</v>
      </c>
      <c r="G657" s="52"/>
      <c r="H657" s="52" t="str">
        <f>IF(A657="","",VLOOKUP(A657,'6.A'!$A$11:$E$7984,5,FALSE))</f>
        <v/>
      </c>
      <c r="I657" s="52" t="str">
        <f>IF(H657="","",IF(E657=H657,"SIM","NÃO"))</f>
        <v/>
      </c>
      <c r="J657" s="52" t="str">
        <f>IF(H657="","",VLOOKUP(A657,'6.A'!$A$11:$E$564,4,FALSE))</f>
        <v/>
      </c>
      <c r="K657" s="52" t="str">
        <f>IF(H657="","",IF(J657=D657,"SIM","NÃO"))</f>
        <v/>
      </c>
      <c r="L657" s="52" t="str">
        <f>IF(H657="","",IF(C657="","",G636*C657))</f>
        <v/>
      </c>
      <c r="M657" s="117" t="str">
        <f>IF(A657="","",VLOOKUP(A657,'6.A'!$A$11:$C$564,2,FALSE))</f>
        <v/>
      </c>
      <c r="N657" s="57" t="str">
        <f t="shared" si="306"/>
        <v/>
      </c>
      <c r="O657" s="56"/>
      <c r="P657" s="56"/>
      <c r="Q657" s="48"/>
      <c r="R657" s="48"/>
      <c r="S657" s="2"/>
    </row>
    <row r="658" spans="1:22" ht="12.75" customHeight="1" x14ac:dyDescent="0.2">
      <c r="A658" s="155"/>
      <c r="B658" s="138"/>
      <c r="C658" s="156"/>
      <c r="D658" s="157"/>
      <c r="E658" s="158"/>
      <c r="F658" s="24" t="str">
        <f>IF(A658="","0,00",ROUND(C658*E658,2))</f>
        <v>0,00</v>
      </c>
      <c r="G658" s="52"/>
      <c r="H658" s="52" t="str">
        <f>IF(A658="","",VLOOKUP(A658,'6.A'!$A$11:$E$7984,5,FALSE))</f>
        <v/>
      </c>
      <c r="I658" s="52" t="str">
        <f>IF(H658="","",IF(E658=H658,"SIM","NÃO"))</f>
        <v/>
      </c>
      <c r="J658" s="52" t="str">
        <f>IF(H658="","",VLOOKUP(A658,'6.A'!$A$11:$E$564,4,FALSE))</f>
        <v/>
      </c>
      <c r="K658" s="52" t="str">
        <f>IF(H658="","",IF(J658=D658,"SIM","NÃO"))</f>
        <v/>
      </c>
      <c r="L658" s="52" t="str">
        <f>IF(H658="","",IF(C658="","",G636*C658))</f>
        <v/>
      </c>
      <c r="M658" s="117" t="str">
        <f>IF(A658="","",VLOOKUP(A658,'6.A'!$A$11:$C$564,2,FALSE))</f>
        <v/>
      </c>
      <c r="N658" s="57" t="str">
        <f t="shared" si="306"/>
        <v/>
      </c>
      <c r="O658" s="56"/>
      <c r="P658" s="56"/>
      <c r="Q658" s="48"/>
      <c r="R658" s="48"/>
      <c r="S658" s="2"/>
    </row>
    <row r="659" spans="1:22" ht="12.75" customHeight="1" x14ac:dyDescent="0.2">
      <c r="A659" s="155"/>
      <c r="B659" s="138"/>
      <c r="C659" s="156"/>
      <c r="D659" s="157"/>
      <c r="E659" s="158"/>
      <c r="F659" s="24" t="str">
        <f>IF(A659="","0,00",ROUND(C659*E659,2))</f>
        <v>0,00</v>
      </c>
      <c r="G659" s="52"/>
      <c r="H659" s="52" t="str">
        <f>IF(A659="","",VLOOKUP(A659,'6.A'!$A$11:$E$7984,5,FALSE))</f>
        <v/>
      </c>
      <c r="I659" s="52" t="str">
        <f>IF(H659="","",IF(E659=H659,"SIM","NÃO"))</f>
        <v/>
      </c>
      <c r="J659" s="52" t="str">
        <f>IF(H659="","",VLOOKUP(A659,'6.A'!$A$11:$E$564,4,FALSE))</f>
        <v/>
      </c>
      <c r="K659" s="52" t="str">
        <f>IF(H659="","",IF(J659=D659,"SIM","NÃO"))</f>
        <v/>
      </c>
      <c r="L659" s="52" t="str">
        <f>IF(H659="","",IF(C659="","",G636*C659))</f>
        <v/>
      </c>
      <c r="M659" s="117" t="str">
        <f>IF(A659="","",VLOOKUP(A659,'6.A'!$A$11:$C$564,2,FALSE))</f>
        <v/>
      </c>
      <c r="N659" s="57" t="str">
        <f t="shared" si="306"/>
        <v/>
      </c>
      <c r="O659" s="56"/>
      <c r="P659" s="56"/>
      <c r="Q659" s="48"/>
      <c r="R659" s="48"/>
      <c r="S659" s="2"/>
    </row>
    <row r="660" spans="1:22" ht="12.75" customHeight="1" x14ac:dyDescent="0.2">
      <c r="A660" s="22"/>
      <c r="B660" s="23"/>
      <c r="C660" s="99"/>
      <c r="D660" s="57"/>
      <c r="E660" s="100"/>
      <c r="F660" s="24" t="str">
        <f t="shared" si="302"/>
        <v>0,00</v>
      </c>
      <c r="G660" s="52"/>
      <c r="H660" s="52" t="str">
        <f>IF(A660="","",VLOOKUP(A660,'6.A'!$A$11:$E$7984,5,FALSE))</f>
        <v/>
      </c>
      <c r="I660" s="52" t="str">
        <f t="shared" si="303"/>
        <v/>
      </c>
      <c r="J660" s="52" t="str">
        <f>IF(H660="","",VLOOKUP(A660,'6.A'!$A$11:$E$564,4,FALSE))</f>
        <v/>
      </c>
      <c r="K660" s="52" t="str">
        <f t="shared" si="304"/>
        <v/>
      </c>
      <c r="L660" s="52" t="str">
        <f>IF(H660="","",IF(C660="","",G636*C660))</f>
        <v/>
      </c>
      <c r="M660" s="117" t="str">
        <f>IF(A660="","",VLOOKUP(A660,'6.A'!$A$11:$C$564,2,FALSE))</f>
        <v/>
      </c>
      <c r="N660" s="57" t="str">
        <f t="shared" ref="N660:N661" si="307">IF(A660="","",IF(M660=B660,"si","no"))</f>
        <v/>
      </c>
      <c r="O660" s="56"/>
      <c r="P660" s="56"/>
      <c r="Q660" s="48"/>
      <c r="R660" s="48"/>
      <c r="S660" s="2"/>
    </row>
    <row r="661" spans="1:22" ht="12.75" customHeight="1" x14ac:dyDescent="0.2">
      <c r="A661" s="22"/>
      <c r="B661" s="23"/>
      <c r="C661" s="99"/>
      <c r="D661" s="57"/>
      <c r="E661" s="100"/>
      <c r="F661" s="24" t="str">
        <f t="shared" si="302"/>
        <v>0,00</v>
      </c>
      <c r="G661" s="52"/>
      <c r="H661" s="52" t="str">
        <f>IF(A661="","",VLOOKUP(A661,'6.A'!$A$11:$E$7984,5,FALSE))</f>
        <v/>
      </c>
      <c r="I661" s="52" t="str">
        <f t="shared" si="303"/>
        <v/>
      </c>
      <c r="J661" s="52" t="str">
        <f>IF(H661="","",VLOOKUP(A661,'6.A'!$A$11:$E$564,4,FALSE))</f>
        <v/>
      </c>
      <c r="K661" s="52" t="str">
        <f t="shared" si="304"/>
        <v/>
      </c>
      <c r="L661" s="52" t="str">
        <f>IF(H661="","",IF(C661="","",G636*C661))</f>
        <v/>
      </c>
      <c r="M661" s="117" t="str">
        <f>IF(A661="","",VLOOKUP(A661,'6.A'!$A$11:$C$564,2,FALSE))</f>
        <v/>
      </c>
      <c r="N661" s="57" t="str">
        <f t="shared" si="307"/>
        <v/>
      </c>
      <c r="O661" s="56"/>
      <c r="P661" s="56"/>
      <c r="Q661" s="48"/>
      <c r="R661" s="48"/>
      <c r="S661" s="2"/>
    </row>
    <row r="662" spans="1:22" ht="12.75" customHeight="1" x14ac:dyDescent="0.2">
      <c r="A662" s="22"/>
      <c r="B662" s="26" t="str">
        <f>$A$9</f>
        <v>BDI</v>
      </c>
      <c r="C662" s="27">
        <f>$C$9</f>
        <v>0</v>
      </c>
      <c r="D662" s="57"/>
      <c r="F662" s="28">
        <f>ROUND(SUM(F652:F661)*C662,2)</f>
        <v>0</v>
      </c>
      <c r="G662" s="63"/>
      <c r="M662" s="62"/>
      <c r="N662" s="57"/>
      <c r="O662" s="56"/>
      <c r="P662" s="56"/>
      <c r="Q662" s="48"/>
      <c r="R662" s="48"/>
      <c r="S662" s="2"/>
    </row>
    <row r="663" spans="1:22" ht="12.75" customHeight="1" x14ac:dyDescent="0.2">
      <c r="A663" s="30"/>
      <c r="B663" s="31" t="s">
        <v>117</v>
      </c>
      <c r="C663" s="36"/>
      <c r="D663" s="37"/>
      <c r="E663" s="38"/>
      <c r="F663" s="35">
        <f>ROUND(SUM(F652:F662),2)</f>
        <v>0</v>
      </c>
      <c r="G663" s="63"/>
      <c r="M663" s="62"/>
      <c r="N663" s="57"/>
      <c r="O663" s="56"/>
      <c r="P663" s="56"/>
      <c r="Q663" s="48"/>
      <c r="R663" s="48"/>
      <c r="S663" s="2"/>
    </row>
    <row r="664" spans="1:22" ht="12.75" customHeight="1" x14ac:dyDescent="0.2">
      <c r="A664" s="17" t="s">
        <v>6</v>
      </c>
      <c r="B664" s="18" t="s">
        <v>17</v>
      </c>
      <c r="C664" s="56" t="s">
        <v>59</v>
      </c>
      <c r="D664" s="56" t="s">
        <v>16</v>
      </c>
      <c r="E664" s="19" t="s">
        <v>60</v>
      </c>
      <c r="F664" s="20" t="s">
        <v>61</v>
      </c>
      <c r="G664" s="21"/>
      <c r="M664" s="62"/>
      <c r="N664" s="57"/>
      <c r="O664" s="56"/>
      <c r="P664" s="56"/>
      <c r="Q664" s="48"/>
      <c r="R664" s="48"/>
      <c r="S664" s="2"/>
    </row>
    <row r="665" spans="1:22" ht="12.75" customHeight="1" x14ac:dyDescent="0.2">
      <c r="A665" s="22" t="str">
        <f>'6.A'!$A$51</f>
        <v>CV00181</v>
      </c>
      <c r="B665" s="23" t="str">
        <f>IF(A665="","",VLOOKUP(A665,'6.A'!$A$11:$G$180,2,FALSE))</f>
        <v>AREIA GROSSA GRANULOMETRIA ENTRE (1,2 E 2,00 MM) LAVADA</v>
      </c>
      <c r="C665" s="99">
        <f>(0.0173*1.02)</f>
        <v>1.7645999999999998E-2</v>
      </c>
      <c r="D665" s="57" t="str">
        <f>IF(A665="","",VLOOKUP(A665,'6.A'!$A$11:$G$180,4,FALSE))</f>
        <v>M3</v>
      </c>
      <c r="E665" s="100">
        <f>IF(A665="","",VLOOKUP(A665,'6.A'!$A$11:$G$180,5,FALSE))</f>
        <v>0</v>
      </c>
      <c r="F665" s="24">
        <f t="shared" ref="F665:F673" si="308">IF(A665="","0,00",ROUND(C665*E665,2))</f>
        <v>0</v>
      </c>
      <c r="G665" s="52"/>
      <c r="H665" s="52">
        <f>IF(A665="","",VLOOKUP(A665,'6.A'!$A$11:$E$7984,5,FALSE))</f>
        <v>0</v>
      </c>
      <c r="I665" s="52" t="str">
        <f t="shared" ref="I665:I673" si="309">IF(H665="","",IF(E665=H665,"SIM","NÃO"))</f>
        <v>SIM</v>
      </c>
      <c r="J665" s="52" t="str">
        <f>IF(H665="","",VLOOKUP(A665,'6.A'!$A$11:$E$564,4,FALSE))</f>
        <v>M3</v>
      </c>
      <c r="K665" s="52" t="str">
        <f t="shared" ref="K665:K673" si="310">IF(H665="","",IF(J665=D665,"SIM","NÃO"))</f>
        <v>SIM</v>
      </c>
      <c r="L665" s="52">
        <f>IF(H665="","",IF(C665="","",G636*C665))</f>
        <v>3.5291999999999997E-2</v>
      </c>
      <c r="M665" s="117" t="str">
        <f>IF(A665="","",VLOOKUP(A665,'6.A'!$A$11:$C$564,2,FALSE))</f>
        <v>AREIA GROSSA GRANULOMETRIA ENTRE (1,2 E 2,00 MM) LAVADA</v>
      </c>
      <c r="N665" s="57" t="str">
        <f t="shared" ref="N665:N673" si="311">IF(A665="","",IF(M665=B665,"si","no"))</f>
        <v>si</v>
      </c>
      <c r="O665" s="56"/>
      <c r="P665" s="56"/>
      <c r="Q665" s="48"/>
      <c r="R665" s="48"/>
      <c r="S665" s="2"/>
    </row>
    <row r="666" spans="1:22" ht="12.75" customHeight="1" x14ac:dyDescent="0.2">
      <c r="A666" s="22" t="str">
        <f>'6.A'!$A$52</f>
        <v>CV00182</v>
      </c>
      <c r="B666" s="23" t="str">
        <f>IF(A666="","",VLOOKUP(A666,'6.A'!$A$11:$G$180,2,FALSE))</f>
        <v>AREIA MÉDIA GRANULOMETRIA ENTRE (0,42 E 1,2 MM) LAVADA</v>
      </c>
      <c r="C666" s="99">
        <f>(0.0748*1.08)+(0.07*1.2*0.7119)</f>
        <v>0.1405836</v>
      </c>
      <c r="D666" s="57" t="str">
        <f>IF(A666="","",VLOOKUP(A666,'6.A'!$A$11:$G$180,4,FALSE))</f>
        <v>M3</v>
      </c>
      <c r="E666" s="100">
        <f>IF(A666="","",VLOOKUP(A666,'6.A'!$A$11:$G$180,5,FALSE))</f>
        <v>0</v>
      </c>
      <c r="F666" s="24">
        <f t="shared" si="308"/>
        <v>0</v>
      </c>
      <c r="G666" s="52"/>
      <c r="H666" s="52">
        <f>IF(A666="","",VLOOKUP(A666,'6.A'!$A$11:$E$7984,5,FALSE))</f>
        <v>0</v>
      </c>
      <c r="I666" s="52" t="str">
        <f t="shared" si="309"/>
        <v>SIM</v>
      </c>
      <c r="J666" s="52" t="str">
        <f>IF(H666="","",VLOOKUP(A666,'6.A'!$A$11:$E$564,4,FALSE))</f>
        <v>M3</v>
      </c>
      <c r="K666" s="52" t="str">
        <f t="shared" si="310"/>
        <v>SIM</v>
      </c>
      <c r="L666" s="52">
        <f>IF(H666="","",IF(C666="","",G636*C666))</f>
        <v>0.28116720000000001</v>
      </c>
      <c r="M666" s="117" t="str">
        <f>IF(A666="","",VLOOKUP(A666,'6.A'!$A$11:$C$564,2,FALSE))</f>
        <v>AREIA MÉDIA GRANULOMETRIA ENTRE (0,42 E 1,2 MM) LAVADA</v>
      </c>
      <c r="N666" s="57" t="str">
        <f t="shared" si="311"/>
        <v>si</v>
      </c>
      <c r="O666" s="56"/>
      <c r="P666" s="56"/>
      <c r="Q666" s="48"/>
      <c r="R666" s="48"/>
      <c r="S666" s="2"/>
    </row>
    <row r="667" spans="1:22" ht="12.75" customHeight="1" x14ac:dyDescent="0.2">
      <c r="A667" s="22" t="str">
        <f>'6.A'!$A$54</f>
        <v>CV00208</v>
      </c>
      <c r="B667" s="23" t="str">
        <f>IF(A667="","",VLOOKUP(A667,'6.A'!$A$11:$G$180,2,FALSE))</f>
        <v xml:space="preserve">PEDRA BRITADA Nº 1 GRANULOMETRIA ENTRE (9,5 E 25,00 MM) </v>
      </c>
      <c r="C667" s="99">
        <f>(0.07*1.2*0.5927)</f>
        <v>4.9786800000000006E-2</v>
      </c>
      <c r="D667" s="57" t="str">
        <f>IF(A667="","",VLOOKUP(A667,'6.A'!$A$11:$G$180,4,FALSE))</f>
        <v>M3</v>
      </c>
      <c r="E667" s="100">
        <f>IF(A667="","",VLOOKUP(A667,'6.A'!$A$11:$G$180,5,FALSE))</f>
        <v>0</v>
      </c>
      <c r="F667" s="24">
        <f t="shared" si="308"/>
        <v>0</v>
      </c>
      <c r="G667" s="52"/>
      <c r="H667" s="52">
        <f>IF(A667="","",VLOOKUP(A667,'6.A'!$A$11:$E$7984,5,FALSE))</f>
        <v>0</v>
      </c>
      <c r="I667" s="52" t="str">
        <f t="shared" si="309"/>
        <v>SIM</v>
      </c>
      <c r="J667" s="52" t="str">
        <f>IF(H667="","",VLOOKUP(A667,'6.A'!$A$11:$E$564,4,FALSE))</f>
        <v>M3</v>
      </c>
      <c r="K667" s="52" t="str">
        <f t="shared" si="310"/>
        <v>SIM</v>
      </c>
      <c r="L667" s="52">
        <f>IF(H667="","",IF(C667="","",G636*C667))</f>
        <v>9.9573600000000012E-2</v>
      </c>
      <c r="M667" s="117" t="str">
        <f>IF(A667="","",VLOOKUP(A667,'6.A'!$A$11:$C$564,2,FALSE))</f>
        <v xml:space="preserve">PEDRA BRITADA Nº 1 GRANULOMETRIA ENTRE (9,5 E 25,00 MM) </v>
      </c>
      <c r="N667" s="57" t="str">
        <f t="shared" si="311"/>
        <v>si</v>
      </c>
      <c r="O667" s="56"/>
      <c r="P667" s="56"/>
      <c r="Q667" s="48"/>
      <c r="R667" s="48"/>
    </row>
    <row r="668" spans="1:22" ht="12.75" customHeight="1" x14ac:dyDescent="0.2">
      <c r="A668" s="22" t="str">
        <f>'6.A'!$A$56</f>
        <v>CV00217</v>
      </c>
      <c r="B668" s="23" t="str">
        <f>IF(A668="","",VLOOKUP(A668,'6.A'!$A$11:$G$180,2,FALSE))</f>
        <v>PEDRISCO GRANULOMETRIA ENTRE (0,075 E 4,8 MM) NBR 7225</v>
      </c>
      <c r="C668" s="99">
        <f>0.121*1.1</f>
        <v>0.1331</v>
      </c>
      <c r="D668" s="57" t="str">
        <f>IF(A668="","",VLOOKUP(A668,'6.A'!$A$11:$G$180,4,FALSE))</f>
        <v>M3</v>
      </c>
      <c r="E668" s="100">
        <f>IF(A668="","",VLOOKUP(A668,'6.A'!$A$11:$G$180,5,FALSE))</f>
        <v>0</v>
      </c>
      <c r="F668" s="24">
        <f t="shared" si="308"/>
        <v>0</v>
      </c>
      <c r="G668" s="52"/>
      <c r="H668" s="52">
        <f>IF(A668="","",VLOOKUP(A668,'6.A'!$A$11:$E$7984,5,FALSE))</f>
        <v>0</v>
      </c>
      <c r="I668" s="52" t="str">
        <f t="shared" si="309"/>
        <v>SIM</v>
      </c>
      <c r="J668" s="52" t="str">
        <f>IF(H668="","",VLOOKUP(A668,'6.A'!$A$11:$E$564,4,FALSE))</f>
        <v>M3</v>
      </c>
      <c r="K668" s="52" t="str">
        <f t="shared" si="310"/>
        <v>SIM</v>
      </c>
      <c r="L668" s="52">
        <f>IF(H668="","",IF(C668="","",G636*C668))</f>
        <v>0.26619999999999999</v>
      </c>
      <c r="M668" s="117" t="str">
        <f>IF(A668="","",VLOOKUP(A668,'6.A'!$A$11:$C$564,2,FALSE))</f>
        <v>PEDRISCO GRANULOMETRIA ENTRE (0,075 E 4,8 MM) NBR 7225</v>
      </c>
      <c r="N668" s="57" t="str">
        <f t="shared" si="311"/>
        <v>si</v>
      </c>
      <c r="O668" s="56"/>
      <c r="P668" s="56"/>
      <c r="Q668" s="48"/>
      <c r="R668" s="48"/>
      <c r="S668" s="2"/>
    </row>
    <row r="669" spans="1:22" ht="12.75" customHeight="1" x14ac:dyDescent="0.2">
      <c r="A669" s="22" t="str">
        <f>'6.A'!$A$57</f>
        <v>CV00238</v>
      </c>
      <c r="B669" s="23" t="str">
        <f>IF(A669="","",VLOOKUP(A669,'6.A'!$A$11:$G$180,2,FALSE))</f>
        <v>VERGALHÃO (AÇO-CA-50) - (MÉDIA DAS BITOLAS ENTRE 6,3 A 25,0MM)</v>
      </c>
      <c r="C669" s="99">
        <f>(0.07*28.9369*1*1.07)</f>
        <v>2.1673738100000004</v>
      </c>
      <c r="D669" s="57" t="str">
        <f>IF(A669="","",VLOOKUP(A669,'6.A'!$A$11:$G$180,4,FALSE))</f>
        <v>KG</v>
      </c>
      <c r="E669" s="100">
        <f>IF(A669="","",VLOOKUP(A669,'6.A'!$A$11:$G$180,5,FALSE))</f>
        <v>0</v>
      </c>
      <c r="F669" s="24">
        <f>IF(A669="","0,00",ROUND(C669*E669,2))</f>
        <v>0</v>
      </c>
      <c r="G669" s="52"/>
      <c r="H669" s="52">
        <f>IF(A669="","",VLOOKUP(A669,'6.A'!$A$11:$E$7984,5,FALSE))</f>
        <v>0</v>
      </c>
      <c r="I669" s="52" t="str">
        <f>IF(H669="","",IF(E669=H669,"SIM","NÃO"))</f>
        <v>SIM</v>
      </c>
      <c r="J669" s="52" t="str">
        <f>IF(H669="","",VLOOKUP(A669,'6.A'!$A$11:$E$564,4,FALSE))</f>
        <v>KG</v>
      </c>
      <c r="K669" s="52" t="str">
        <f>IF(H669="","",IF(J669=D669,"SIM","NÃO"))</f>
        <v>SIM</v>
      </c>
      <c r="L669" s="52">
        <f>IF(H669="","",IF(C669="","",G636*C669))</f>
        <v>4.3347476200000008</v>
      </c>
      <c r="M669" s="117" t="str">
        <f>IF(A669="","",VLOOKUP(A669,'6.A'!$A$11:$C$564,2,FALSE))</f>
        <v>VERGALHÃO (AÇO-CA-50) - (MÉDIA DAS BITOLAS ENTRE 6,3 A 25,0MM)</v>
      </c>
      <c r="N669" s="57" t="str">
        <f>IF(A669="","",IF(M669=B669,"si","no"))</f>
        <v>si</v>
      </c>
      <c r="O669" s="56"/>
      <c r="P669" s="56"/>
      <c r="Q669" s="48"/>
      <c r="R669" s="48"/>
    </row>
    <row r="670" spans="1:22" s="65" customFormat="1" ht="12.75" customHeight="1" x14ac:dyDescent="0.2">
      <c r="A670" s="22" t="str">
        <f>'6.A'!$A$59</f>
        <v>CV00521</v>
      </c>
      <c r="B670" s="23" t="str">
        <f>IF(A670="","",VLOOKUP(A670,'6.A'!$A$11:$G$180,2,FALSE))</f>
        <v>PREGO COM CABEÇA AÇO GALV (MÉDIA DAS BITOLAS)</v>
      </c>
      <c r="C670" s="99">
        <f>(0.07*0.2619)</f>
        <v>1.8333000000000002E-2</v>
      </c>
      <c r="D670" s="57" t="str">
        <f>IF(A670="","",VLOOKUP(A670,'6.A'!$A$11:$G$180,4,FALSE))</f>
        <v>KG</v>
      </c>
      <c r="E670" s="100">
        <f>IF(A670="","",VLOOKUP(A670,'6.A'!$A$11:$G$180,5,FALSE))</f>
        <v>0</v>
      </c>
      <c r="F670" s="24">
        <f t="shared" si="308"/>
        <v>0</v>
      </c>
      <c r="G670" s="52"/>
      <c r="H670" s="52">
        <f>IF(A670="","",VLOOKUP(A670,'6.A'!$A$11:$E$7984,5,FALSE))</f>
        <v>0</v>
      </c>
      <c r="I670" s="52" t="str">
        <f t="shared" si="309"/>
        <v>SIM</v>
      </c>
      <c r="J670" s="52" t="str">
        <f>IF(H670="","",VLOOKUP(A670,'6.A'!$A$11:$E$564,4,FALSE))</f>
        <v>KG</v>
      </c>
      <c r="K670" s="52" t="str">
        <f t="shared" si="310"/>
        <v>SIM</v>
      </c>
      <c r="L670" s="52">
        <f>IF(H670="","",IF(C670="","",G636*C670))</f>
        <v>3.6666000000000004E-2</v>
      </c>
      <c r="M670" s="117" t="str">
        <f>IF(A670="","",VLOOKUP(A670,'6.A'!$A$11:$C$564,2,FALSE))</f>
        <v>PREGO COM CABEÇA AÇO GALV (MÉDIA DAS BITOLAS)</v>
      </c>
      <c r="N670" s="57" t="str">
        <f t="shared" si="311"/>
        <v>si</v>
      </c>
      <c r="O670" s="56"/>
      <c r="P670" s="56"/>
      <c r="Q670" s="48"/>
      <c r="R670" s="48"/>
      <c r="T670" s="2"/>
      <c r="U670" s="2"/>
      <c r="V670" s="2"/>
    </row>
    <row r="671" spans="1:22" ht="12.75" customHeight="1" x14ac:dyDescent="0.2">
      <c r="A671" s="22">
        <f>'6.A'!$A$63</f>
        <v>123</v>
      </c>
      <c r="B671" s="23" t="str">
        <f>IF(A671="","",VLOOKUP(A671,'6.A'!$A$11:$G$180,2,FALSE))</f>
        <v>ADITIVO IMPERMEABILIZANTE PEGA NORMAL PARA ARGAMASSAS E CONCRETOS, ISENTO DE CLORETOS</v>
      </c>
      <c r="C671" s="99">
        <f>(0.0748*19.44)</f>
        <v>1.4541120000000003</v>
      </c>
      <c r="D671" s="57" t="str">
        <f>IF(A671="","",VLOOKUP(A671,'6.A'!$A$11:$G$180,4,FALSE))</f>
        <v>L</v>
      </c>
      <c r="E671" s="100">
        <f>IF(A671="","",VLOOKUP(A671,'6.A'!$A$11:$G$180,5,FALSE))</f>
        <v>0</v>
      </c>
      <c r="F671" s="24">
        <f t="shared" si="308"/>
        <v>0</v>
      </c>
      <c r="G671" s="52"/>
      <c r="H671" s="52">
        <f>IF(A671="","",VLOOKUP(A671,'6.A'!$A$11:$E$7984,5,FALSE))</f>
        <v>0</v>
      </c>
      <c r="I671" s="52" t="str">
        <f t="shared" si="309"/>
        <v>SIM</v>
      </c>
      <c r="J671" s="52" t="str">
        <f>IF(H671="","",VLOOKUP(A671,'6.A'!$A$11:$E$564,4,FALSE))</f>
        <v>L</v>
      </c>
      <c r="K671" s="52" t="str">
        <f t="shared" si="310"/>
        <v>SIM</v>
      </c>
      <c r="L671" s="52">
        <f>IF(H671="","",IF(C671="","",G636*C671))</f>
        <v>2.9082240000000006</v>
      </c>
      <c r="M671" s="117" t="str">
        <f>IF(A671="","",VLOOKUP(A671,'6.A'!$A$11:$C$564,2,FALSE))</f>
        <v>ADITIVO IMPERMEABILIZANTE PEGA NORMAL PARA ARGAMASSAS E CONCRETOS, ISENTO DE CLORETOS</v>
      </c>
      <c r="N671" s="57" t="str">
        <f t="shared" si="311"/>
        <v>si</v>
      </c>
      <c r="O671" s="56"/>
      <c r="P671" s="56"/>
      <c r="Q671" s="48"/>
      <c r="R671" s="48"/>
      <c r="S671" s="2"/>
    </row>
    <row r="672" spans="1:22" ht="12.75" customHeight="1" x14ac:dyDescent="0.2">
      <c r="A672" s="155">
        <f>'6.A'!$A$68</f>
        <v>650</v>
      </c>
      <c r="B672" s="138" t="str">
        <f>IF(A672="","",VLOOKUP(A672,'6.A'!$A$11:$G$180,2,FALSE))</f>
        <v>BLOCO DE VEDACAO DE CONCRETO, 9 X 19 X 39 CM (CLASSE C - NBR 6136)</v>
      </c>
      <c r="C672" s="156">
        <v>27.061499999999999</v>
      </c>
      <c r="D672" s="157" t="str">
        <f>IF(A672="","",VLOOKUP(A672,'6.A'!$A$11:$G$180,4,FALSE))</f>
        <v>UN</v>
      </c>
      <c r="E672" s="158">
        <f>IF(A672="","",VLOOKUP(A672,'6.A'!$A$11:$G$180,5,FALSE))</f>
        <v>0</v>
      </c>
      <c r="F672" s="24">
        <f t="shared" si="308"/>
        <v>0</v>
      </c>
      <c r="G672" s="52"/>
      <c r="H672" s="52">
        <f>IF(A672="","",VLOOKUP(A672,'6.A'!$A$11:$E$7984,5,FALSE))</f>
        <v>0</v>
      </c>
      <c r="I672" s="52" t="str">
        <f t="shared" si="309"/>
        <v>SIM</v>
      </c>
      <c r="J672" s="52" t="str">
        <f>IF(H672="","",VLOOKUP(A672,'6.A'!$A$11:$E$564,4,FALSE))</f>
        <v>UN</v>
      </c>
      <c r="K672" s="52" t="str">
        <f t="shared" si="310"/>
        <v>SIM</v>
      </c>
      <c r="L672" s="52">
        <f>IF(H672="","",IF(C672="","",G636*C672))</f>
        <v>54.122999999999998</v>
      </c>
      <c r="M672" s="117" t="str">
        <f>IF(A672="","",VLOOKUP(A672,'6.A'!$A$11:$C$564,2,FALSE))</f>
        <v>BLOCO DE VEDACAO DE CONCRETO, 9 X 19 X 39 CM (CLASSE C - NBR 6136)</v>
      </c>
      <c r="N672" s="57" t="str">
        <f t="shared" si="311"/>
        <v>si</v>
      </c>
      <c r="O672" s="56"/>
      <c r="P672" s="56"/>
      <c r="Q672" s="48"/>
      <c r="R672" s="48"/>
      <c r="S672" s="2"/>
    </row>
    <row r="673" spans="1:23" ht="12.75" customHeight="1" x14ac:dyDescent="0.2">
      <c r="A673" s="22">
        <f>'6.A'!$A$85</f>
        <v>1379</v>
      </c>
      <c r="B673" s="23" t="str">
        <f>IF(A673="","",VLOOKUP(A673,'6.A'!$A$11:$G$180,2,FALSE))</f>
        <v>CIMENTO PORTLAND COMPOSTO CP II-32</v>
      </c>
      <c r="C673" s="99">
        <f>(0.0173*343.52)+(0.0748*486)+(0.07*1.2*391.1663)</f>
        <v>75.153665200000006</v>
      </c>
      <c r="D673" s="57" t="str">
        <f>IF(A673="","",VLOOKUP(A673,'6.A'!$A$11:$G$180,4,FALSE))</f>
        <v>KG</v>
      </c>
      <c r="E673" s="100">
        <f>IF(A673="","",VLOOKUP(A673,'6.A'!$A$11:$G$180,5,FALSE))</f>
        <v>0</v>
      </c>
      <c r="F673" s="24">
        <f t="shared" si="308"/>
        <v>0</v>
      </c>
      <c r="G673" s="52"/>
      <c r="H673" s="52">
        <f>IF(A673="","",VLOOKUP(A673,'6.A'!$A$11:$E$7984,5,FALSE))</f>
        <v>0</v>
      </c>
      <c r="I673" s="52" t="str">
        <f t="shared" si="309"/>
        <v>SIM</v>
      </c>
      <c r="J673" s="52" t="str">
        <f>IF(H673="","",VLOOKUP(A673,'6.A'!$A$11:$E$564,4,FALSE))</f>
        <v>KG</v>
      </c>
      <c r="K673" s="52" t="str">
        <f t="shared" si="310"/>
        <v>SIM</v>
      </c>
      <c r="L673" s="52">
        <f>IF(H673="","",IF(C673="","",G636*C673))</f>
        <v>150.30733040000001</v>
      </c>
      <c r="M673" s="117" t="str">
        <f>IF(A673="","",VLOOKUP(A673,'6.A'!$A$11:$C$564,2,FALSE))</f>
        <v>CIMENTO PORTLAND COMPOSTO CP II-32</v>
      </c>
      <c r="N673" s="57" t="str">
        <f t="shared" si="311"/>
        <v>si</v>
      </c>
      <c r="O673" s="56"/>
      <c r="P673" s="56"/>
      <c r="Q673" s="48"/>
      <c r="R673" s="48"/>
      <c r="S673" s="2"/>
    </row>
    <row r="674" spans="1:23" ht="12.75" customHeight="1" x14ac:dyDescent="0.2">
      <c r="A674" s="22">
        <f>'6.A'!$A$84</f>
        <v>1358</v>
      </c>
      <c r="B674" s="23" t="str">
        <f>IF(A674="","",VLOOKUP(A674,'6.A'!$A$11:$G$180,2,FALSE))</f>
        <v>CHAPA/PAINEL DE MADEIRA COMPENSADA RESINADA PARA FORMA DE CONCRETO, DE 2200 X 1100 MM, E = 17 MM</v>
      </c>
      <c r="C674" s="99">
        <f>(0.07*1.3112)</f>
        <v>9.1784000000000004E-2</v>
      </c>
      <c r="D674" s="57" t="str">
        <f>IF(A674="","",VLOOKUP(A674,'6.A'!$A$11:$G$180,4,FALSE))</f>
        <v>M2</v>
      </c>
      <c r="E674" s="100">
        <f>IF(A674="","",VLOOKUP(A674,'6.A'!$A$11:$G$180,5,FALSE))</f>
        <v>0</v>
      </c>
      <c r="F674" s="24">
        <f t="shared" ref="F674:F684" si="312">IF(A674="","0,00",ROUND(C674*E674,2))</f>
        <v>0</v>
      </c>
      <c r="G674" s="52"/>
      <c r="H674" s="52">
        <f>IF(A674="","",VLOOKUP(A674,'6.A'!$A$11:$E$7984,5,FALSE))</f>
        <v>0</v>
      </c>
      <c r="I674" s="52" t="str">
        <f t="shared" ref="I674:I684" si="313">IF(H674="","",IF(E674=H674,"SIM","NÃO"))</f>
        <v>SIM</v>
      </c>
      <c r="J674" s="52" t="str">
        <f>IF(H674="","",VLOOKUP(A674,'6.A'!$A$11:$E$564,4,FALSE))</f>
        <v>M2</v>
      </c>
      <c r="K674" s="52" t="str">
        <f t="shared" ref="K674:K684" si="314">IF(H674="","",IF(J674=D674,"SIM","NÃO"))</f>
        <v>SIM</v>
      </c>
      <c r="L674" s="52">
        <f>IF(H674="","",IF(C674="","",G636*C674))</f>
        <v>0.18356800000000001</v>
      </c>
      <c r="M674" s="117" t="str">
        <f>IF(A674="","",VLOOKUP(A674,'6.A'!$A$11:$C$564,2,FALSE))</f>
        <v>CHAPA/PAINEL DE MADEIRA COMPENSADA RESINADA PARA FORMA DE CONCRETO, DE 2200 X 1100 MM, E = 17 MM</v>
      </c>
      <c r="N674" s="57" t="str">
        <f t="shared" ref="N674:N684" si="315">IF(A674="","",IF(M674=B674,"si","no"))</f>
        <v>si</v>
      </c>
      <c r="O674" s="56"/>
      <c r="P674" s="56"/>
      <c r="Q674" s="48"/>
      <c r="R674" s="48"/>
      <c r="S674" s="2"/>
    </row>
    <row r="675" spans="1:23" s="65" customFormat="1" ht="12.75" customHeight="1" x14ac:dyDescent="0.2">
      <c r="A675" s="22">
        <f>'6.A'!$A$103</f>
        <v>2692</v>
      </c>
      <c r="B675" s="23" t="str">
        <f>IF(A675="","",VLOOKUP(A675,'6.A'!$A$11:$G$180,2,FALSE))</f>
        <v>DESMOLDANTE PROTETOR PARA FORMAS DE MADEIRA, DE BASE OLEOSA EMULSIONADA EM ÁGUA</v>
      </c>
      <c r="C675" s="99">
        <f>(0.07*0.0567)</f>
        <v>3.9690000000000003E-3</v>
      </c>
      <c r="D675" s="57" t="str">
        <f>IF(A675="","",VLOOKUP(A675,'6.A'!$A$11:$G$180,4,FALSE))</f>
        <v>L</v>
      </c>
      <c r="E675" s="100">
        <f>IF(A675="","",VLOOKUP(A675,'6.A'!$A$11:$G$180,5,FALSE))</f>
        <v>0</v>
      </c>
      <c r="F675" s="24">
        <f t="shared" si="312"/>
        <v>0</v>
      </c>
      <c r="G675" s="52"/>
      <c r="H675" s="52">
        <f>IF(A675="","",VLOOKUP(A675,'6.A'!$A$11:$E$7984,5,FALSE))</f>
        <v>0</v>
      </c>
      <c r="I675" s="52" t="str">
        <f t="shared" si="313"/>
        <v>SIM</v>
      </c>
      <c r="J675" s="52" t="str">
        <f>IF(H675="","",VLOOKUP(A675,'6.A'!$A$11:$E$564,4,FALSE))</f>
        <v>L</v>
      </c>
      <c r="K675" s="52" t="str">
        <f t="shared" si="314"/>
        <v>SIM</v>
      </c>
      <c r="L675" s="52">
        <f>IF(H675="","",IF(C675="","",G636*C675))</f>
        <v>7.9380000000000006E-3</v>
      </c>
      <c r="M675" s="117" t="str">
        <f>IF(A675="","",VLOOKUP(A675,'6.A'!$A$11:$C$564,2,FALSE))</f>
        <v>DESMOLDANTE PROTETOR PARA FORMAS DE MADEIRA, DE BASE OLEOSA EMULSIONADA EM ÁGUA</v>
      </c>
      <c r="N675" s="57" t="str">
        <f t="shared" si="315"/>
        <v>si</v>
      </c>
      <c r="O675" s="56"/>
      <c r="P675" s="56"/>
      <c r="Q675" s="48"/>
      <c r="R675" s="48"/>
      <c r="T675" s="2"/>
      <c r="U675" s="2"/>
      <c r="V675" s="2"/>
    </row>
    <row r="676" spans="1:23" s="65" customFormat="1" ht="12.75" customHeight="1" x14ac:dyDescent="0.2">
      <c r="A676" s="22">
        <f>'6.A'!$A$110</f>
        <v>4517</v>
      </c>
      <c r="B676" s="23" t="str">
        <f>IF(A676="","",VLOOKUP(A676,'6.A'!$A$11:$G$180,2,FALSE))</f>
        <v>SARRAFO 2,5 X 7,5 CM EM PINUS, MISTA OU EQUIVALENTE DA REGIAO - BRUTA</v>
      </c>
      <c r="C676" s="99">
        <f>(0.07*4.477)</f>
        <v>0.31339000000000006</v>
      </c>
      <c r="D676" s="57" t="str">
        <f>IF(A676="","",VLOOKUP(A676,'6.A'!$A$11:$G$180,4,FALSE))</f>
        <v>M</v>
      </c>
      <c r="E676" s="100">
        <f>IF(A676="","",VLOOKUP(A676,'6.A'!$A$11:$G$180,5,FALSE))</f>
        <v>0</v>
      </c>
      <c r="F676" s="24">
        <f t="shared" si="312"/>
        <v>0</v>
      </c>
      <c r="G676" s="52"/>
      <c r="H676" s="52">
        <f>IF(A676="","",VLOOKUP(A676,'6.A'!$A$11:$E$7984,5,FALSE))</f>
        <v>0</v>
      </c>
      <c r="I676" s="52" t="str">
        <f t="shared" si="313"/>
        <v>SIM</v>
      </c>
      <c r="J676" s="52" t="str">
        <f>IF(H676="","",VLOOKUP(A676,'6.A'!$A$11:$E$564,4,FALSE))</f>
        <v>M</v>
      </c>
      <c r="K676" s="52" t="str">
        <f t="shared" si="314"/>
        <v>SIM</v>
      </c>
      <c r="L676" s="52">
        <f>IF(H676="","",IF(C676="","",G636*C676))</f>
        <v>0.62678000000000011</v>
      </c>
      <c r="M676" s="117" t="str">
        <f>IF(A676="","",VLOOKUP(A676,'6.A'!$A$11:$C$564,2,FALSE))</f>
        <v>SARRAFO 2,5 X 7,5 CM EM PINUS, MISTA OU EQUIVALENTE DA REGIAO - BRUTA</v>
      </c>
      <c r="N676" s="57" t="str">
        <f t="shared" si="315"/>
        <v>si</v>
      </c>
      <c r="O676" s="56"/>
      <c r="P676" s="56"/>
      <c r="Q676" s="48"/>
      <c r="R676" s="48"/>
      <c r="T676" s="2"/>
      <c r="U676" s="2"/>
      <c r="V676" s="2"/>
    </row>
    <row r="677" spans="1:23" s="65" customFormat="1" ht="12.75" customHeight="1" x14ac:dyDescent="0.2">
      <c r="A677" s="22">
        <f>'6.A'!$A$135</f>
        <v>39017</v>
      </c>
      <c r="B677" s="23" t="str">
        <f>IF(A677="","",VLOOKUP(A677,'6.A'!$A$11:$G$180,2,FALSE))</f>
        <v>ESPACADOR / DISTANCIADOR CIRCULAR, EM PLASTICO, PARA VERGALHAO 4,2 A 12,5 MM, COBRIMENTO 20 MM</v>
      </c>
      <c r="C677" s="99">
        <f>(0.07*28.9369*2.816)</f>
        <v>5.704041728</v>
      </c>
      <c r="D677" s="57" t="str">
        <f>IF(A677="","",VLOOKUP(A677,'6.A'!$A$11:$G$180,4,FALSE))</f>
        <v>UN</v>
      </c>
      <c r="E677" s="100">
        <f>IF(A677="","",VLOOKUP(A677,'6.A'!$A$11:$G$180,5,FALSE))</f>
        <v>0</v>
      </c>
      <c r="F677" s="24">
        <f t="shared" si="312"/>
        <v>0</v>
      </c>
      <c r="G677" s="52"/>
      <c r="H677" s="52">
        <f>IF(A677="","",VLOOKUP(A677,'6.A'!$A$11:$E$7984,5,FALSE))</f>
        <v>0</v>
      </c>
      <c r="I677" s="52" t="str">
        <f t="shared" si="313"/>
        <v>SIM</v>
      </c>
      <c r="J677" s="52" t="str">
        <f>IF(H677="","",VLOOKUP(A677,'6.A'!$A$11:$E$564,4,FALSE))</f>
        <v>UN</v>
      </c>
      <c r="K677" s="52" t="str">
        <f t="shared" si="314"/>
        <v>SIM</v>
      </c>
      <c r="L677" s="52">
        <f>IF(H677="","",IF(C677="","",G636*C677))</f>
        <v>11.408083456</v>
      </c>
      <c r="M677" s="117" t="str">
        <f>IF(A677="","",VLOOKUP(A677,'6.A'!$A$11:$C$564,2,FALSE))</f>
        <v>ESPACADOR / DISTANCIADOR CIRCULAR, EM PLASTICO, PARA VERGALHAO 4,2 A 12,5 MM, COBRIMENTO 20 MM</v>
      </c>
      <c r="N677" s="57" t="str">
        <f t="shared" si="315"/>
        <v>si</v>
      </c>
      <c r="O677" s="56"/>
      <c r="P677" s="56"/>
      <c r="Q677" s="48"/>
      <c r="R677" s="48"/>
      <c r="T677" s="2"/>
      <c r="U677" s="2"/>
      <c r="V677" s="2"/>
    </row>
    <row r="678" spans="1:23" ht="12.75" customHeight="1" x14ac:dyDescent="0.2">
      <c r="A678" s="22">
        <f>'6.A'!$A$157</f>
        <v>43132</v>
      </c>
      <c r="B678" s="23" t="str">
        <f>IF(A678="","",VLOOKUP(A678,'6.A'!$A$11:$G$180,2,FALSE))</f>
        <v>ARAME RECOZIDO 16 BWG, D = 1,65 MM (0,016 KG/M) OU 18 BWG, D = 1,25 MM (0,01 KG/M)</v>
      </c>
      <c r="C678" s="99">
        <f>(0.07*28.9369*0.025)</f>
        <v>5.0639575000000006E-2</v>
      </c>
      <c r="D678" s="57" t="str">
        <f>IF(A678="","",VLOOKUP(A678,'6.A'!$A$11:$G$180,4,FALSE))</f>
        <v>KG</v>
      </c>
      <c r="E678" s="100">
        <f>IF(A678="","",VLOOKUP(A678,'6.A'!$A$11:$G$180,5,FALSE))</f>
        <v>0</v>
      </c>
      <c r="F678" s="24">
        <f t="shared" si="312"/>
        <v>0</v>
      </c>
      <c r="G678" s="52"/>
      <c r="H678" s="52">
        <f>IF(A678="","",VLOOKUP(A678,'6.A'!$A$11:$E$7984,5,FALSE))</f>
        <v>0</v>
      </c>
      <c r="I678" s="52" t="str">
        <f t="shared" si="313"/>
        <v>SIM</v>
      </c>
      <c r="J678" s="52" t="str">
        <f>IF(H678="","",VLOOKUP(A678,'6.A'!$A$11:$E$564,4,FALSE))</f>
        <v>KG</v>
      </c>
      <c r="K678" s="52" t="str">
        <f t="shared" si="314"/>
        <v>SIM</v>
      </c>
      <c r="L678" s="52">
        <f>IF(H678="","",IF(C678="","",G636*C678))</f>
        <v>0.10127915000000001</v>
      </c>
      <c r="M678" s="117" t="str">
        <f>IF(A678="","",VLOOKUP(A678,'6.A'!$A$11:$C$564,2,FALSE))</f>
        <v>ARAME RECOZIDO 16 BWG, D = 1,65 MM (0,016 KG/M) OU 18 BWG, D = 1,25 MM (0,01 KG/M)</v>
      </c>
      <c r="N678" s="57" t="str">
        <f t="shared" si="315"/>
        <v>si</v>
      </c>
      <c r="O678" s="56"/>
      <c r="P678" s="56"/>
      <c r="Q678" s="48"/>
      <c r="R678" s="48"/>
    </row>
    <row r="679" spans="1:23" ht="12.75" customHeight="1" x14ac:dyDescent="0.2">
      <c r="A679" s="22"/>
      <c r="B679" s="23" t="str">
        <f>IF(A679="","",VLOOKUP(A679,'6.A'!$A$11:$G$180,2,FALSE))</f>
        <v/>
      </c>
      <c r="C679" s="99"/>
      <c r="D679" s="57" t="str">
        <f>IF(A679="","",VLOOKUP(A679,'6.A'!$A$11:$G$180,4,FALSE))</f>
        <v/>
      </c>
      <c r="E679" s="100" t="str">
        <f>IF(A679="","",VLOOKUP(A679,'6.A'!$A$11:$G$180,5,FALSE))</f>
        <v/>
      </c>
      <c r="F679" s="24" t="str">
        <f t="shared" si="312"/>
        <v>0,00</v>
      </c>
      <c r="G679" s="52"/>
      <c r="H679" s="52" t="str">
        <f>IF(A679="","",VLOOKUP(A679,'6.A'!$A$11:$E$7984,5,FALSE))</f>
        <v/>
      </c>
      <c r="I679" s="52" t="str">
        <f t="shared" si="313"/>
        <v/>
      </c>
      <c r="J679" s="52" t="str">
        <f>IF(H679="","",VLOOKUP(A679,'6.A'!$A$11:$E$564,4,FALSE))</f>
        <v/>
      </c>
      <c r="K679" s="52" t="str">
        <f t="shared" si="314"/>
        <v/>
      </c>
      <c r="L679" s="52" t="str">
        <f>IF(H679="","",IF(C679="","",G636*C679))</f>
        <v/>
      </c>
      <c r="M679" s="117" t="str">
        <f>IF(A679="","",VLOOKUP(A679,'6.A'!$A$11:$C$564,2,FALSE))</f>
        <v/>
      </c>
      <c r="N679" s="57" t="str">
        <f t="shared" si="315"/>
        <v/>
      </c>
      <c r="O679" s="56"/>
      <c r="P679" s="56"/>
      <c r="Q679" s="48"/>
      <c r="R679" s="48"/>
    </row>
    <row r="680" spans="1:23" ht="12.75" customHeight="1" x14ac:dyDescent="0.2">
      <c r="A680" s="22"/>
      <c r="B680" s="23" t="str">
        <f>IF(A680="","",VLOOKUP(A680,'6.A'!$A$11:$G$180,2,FALSE))</f>
        <v/>
      </c>
      <c r="C680" s="99"/>
      <c r="D680" s="57" t="str">
        <f>IF(A680="","",VLOOKUP(A680,'6.A'!$A$11:$G$180,4,FALSE))</f>
        <v/>
      </c>
      <c r="E680" s="100" t="str">
        <f>IF(A680="","",VLOOKUP(A680,'6.A'!$A$11:$G$180,5,FALSE))</f>
        <v/>
      </c>
      <c r="F680" s="24" t="str">
        <f t="shared" si="312"/>
        <v>0,00</v>
      </c>
      <c r="G680" s="52"/>
      <c r="H680" s="52" t="str">
        <f>IF(A680="","",VLOOKUP(A680,'6.A'!$A$11:$E$7984,5,FALSE))</f>
        <v/>
      </c>
      <c r="I680" s="52" t="str">
        <f t="shared" si="313"/>
        <v/>
      </c>
      <c r="J680" s="52" t="str">
        <f>IF(H680="","",VLOOKUP(A680,'6.A'!$A$11:$E$564,4,FALSE))</f>
        <v/>
      </c>
      <c r="K680" s="52" t="str">
        <f t="shared" si="314"/>
        <v/>
      </c>
      <c r="L680" s="52" t="str">
        <f>IF(H680="","",IF(C680="","",G636*C680))</f>
        <v/>
      </c>
      <c r="M680" s="117" t="str">
        <f>IF(A680="","",VLOOKUP(A680,'6.A'!$A$11:$C$564,2,FALSE))</f>
        <v/>
      </c>
      <c r="N680" s="57" t="str">
        <f t="shared" si="315"/>
        <v/>
      </c>
      <c r="O680" s="56"/>
      <c r="P680" s="56"/>
      <c r="Q680" s="48"/>
      <c r="R680" s="48"/>
    </row>
    <row r="681" spans="1:23" ht="12.75" customHeight="1" x14ac:dyDescent="0.2">
      <c r="A681" s="22"/>
      <c r="B681" s="23" t="str">
        <f>IF(A681="","",VLOOKUP(A681,'6.A'!$A$11:$G$180,2,FALSE))</f>
        <v/>
      </c>
      <c r="C681" s="99"/>
      <c r="D681" s="57" t="str">
        <f>IF(A681="","",VLOOKUP(A681,'6.A'!$A$11:$G$180,4,FALSE))</f>
        <v/>
      </c>
      <c r="E681" s="100" t="str">
        <f>IF(A681="","",VLOOKUP(A681,'6.A'!$A$11:$G$180,5,FALSE))</f>
        <v/>
      </c>
      <c r="F681" s="24" t="str">
        <f t="shared" si="312"/>
        <v>0,00</v>
      </c>
      <c r="G681" s="52"/>
      <c r="H681" s="52" t="str">
        <f>IF(A681="","",VLOOKUP(A681,'6.A'!$A$11:$E$7984,5,FALSE))</f>
        <v/>
      </c>
      <c r="I681" s="52" t="str">
        <f t="shared" si="313"/>
        <v/>
      </c>
      <c r="J681" s="52" t="str">
        <f>IF(H681="","",VLOOKUP(A681,'6.A'!$A$11:$E$564,4,FALSE))</f>
        <v/>
      </c>
      <c r="K681" s="52" t="str">
        <f t="shared" si="314"/>
        <v/>
      </c>
      <c r="L681" s="52" t="str">
        <f>IF(H681="","",IF(C681="","",G636*C681))</f>
        <v/>
      </c>
      <c r="M681" s="117" t="str">
        <f>IF(A681="","",VLOOKUP(A681,'6.A'!$A$11:$C$564,2,FALSE))</f>
        <v/>
      </c>
      <c r="N681" s="57" t="str">
        <f t="shared" si="315"/>
        <v/>
      </c>
      <c r="O681" s="56"/>
      <c r="P681" s="56"/>
      <c r="Q681" s="48"/>
      <c r="R681" s="48"/>
    </row>
    <row r="682" spans="1:23" ht="12.75" customHeight="1" x14ac:dyDescent="0.2">
      <c r="A682" s="22"/>
      <c r="B682" s="39" t="str">
        <f>IF(A682="","",VLOOKUP(A682,'6.A'!$A$11:$G$180,2,FALSE))</f>
        <v/>
      </c>
      <c r="C682" s="99"/>
      <c r="D682" s="57" t="str">
        <f>IF(A682="","",VLOOKUP(A682,'6.A'!$A$11:$G$180,4,FALSE))</f>
        <v/>
      </c>
      <c r="E682" s="100" t="str">
        <f>IF(A682="","",VLOOKUP(A682,'6.A'!$A$11:$G$180,5,FALSE))</f>
        <v/>
      </c>
      <c r="F682" s="24" t="str">
        <f t="shared" si="312"/>
        <v>0,00</v>
      </c>
      <c r="G682" s="52"/>
      <c r="H682" s="52" t="str">
        <f>IF(A682="","",VLOOKUP(A682,'6.A'!$A$11:$E$7984,5,FALSE))</f>
        <v/>
      </c>
      <c r="I682" s="52" t="str">
        <f t="shared" si="313"/>
        <v/>
      </c>
      <c r="J682" s="52" t="str">
        <f>IF(H682="","",VLOOKUP(A682,'6.A'!$A$11:$E$564,4,FALSE))</f>
        <v/>
      </c>
      <c r="K682" s="52" t="str">
        <f t="shared" si="314"/>
        <v/>
      </c>
      <c r="L682" s="52" t="str">
        <f>IF(H682="","",IF(C682="","",G636*C682))</f>
        <v/>
      </c>
      <c r="M682" s="117" t="str">
        <f>IF(A682="","",VLOOKUP(A682,'6.A'!$A$11:$C$564,2,FALSE))</f>
        <v/>
      </c>
      <c r="N682" s="57" t="str">
        <f t="shared" si="315"/>
        <v/>
      </c>
      <c r="O682" s="56"/>
      <c r="P682" s="56"/>
      <c r="Q682" s="48"/>
      <c r="R682" s="48"/>
    </row>
    <row r="683" spans="1:23" ht="12.75" customHeight="1" x14ac:dyDescent="0.2">
      <c r="A683" s="22"/>
      <c r="B683" s="39" t="str">
        <f>IF(A683="","",VLOOKUP(A683,'6.A'!$A$11:$G$180,2,FALSE))</f>
        <v/>
      </c>
      <c r="C683" s="99"/>
      <c r="D683" s="57" t="str">
        <f>IF(A683="","",VLOOKUP(A683,'6.A'!$A$11:$G$180,4,FALSE))</f>
        <v/>
      </c>
      <c r="E683" s="100" t="str">
        <f>IF(A683="","",VLOOKUP(A683,'6.A'!$A$11:$G$180,5,FALSE))</f>
        <v/>
      </c>
      <c r="F683" s="24" t="str">
        <f t="shared" si="312"/>
        <v>0,00</v>
      </c>
      <c r="G683" s="52"/>
      <c r="H683" s="52" t="str">
        <f>IF(A683="","",VLOOKUP(A683,'6.A'!$A$11:$E$7984,5,FALSE))</f>
        <v/>
      </c>
      <c r="I683" s="52" t="str">
        <f t="shared" si="313"/>
        <v/>
      </c>
      <c r="J683" s="52" t="str">
        <f>IF(H683="","",VLOOKUP(A683,'6.A'!$A$11:$E$564,4,FALSE))</f>
        <v/>
      </c>
      <c r="K683" s="52" t="str">
        <f t="shared" si="314"/>
        <v/>
      </c>
      <c r="L683" s="52" t="str">
        <f>IF(H683="","",IF(C683="","",G636*C683))</f>
        <v/>
      </c>
      <c r="M683" s="117" t="str">
        <f>IF(A683="","",VLOOKUP(A683,'6.A'!$A$11:$C$564,2,FALSE))</f>
        <v/>
      </c>
      <c r="N683" s="57" t="str">
        <f t="shared" si="315"/>
        <v/>
      </c>
      <c r="O683" s="56"/>
      <c r="P683" s="56"/>
      <c r="Q683" s="48"/>
      <c r="R683" s="48"/>
    </row>
    <row r="684" spans="1:23" ht="12.75" customHeight="1" x14ac:dyDescent="0.2">
      <c r="A684" s="22"/>
      <c r="B684" s="39" t="str">
        <f>IF(A684="","",VLOOKUP(A684,'6.A'!$A$11:$G$180,2,FALSE))</f>
        <v/>
      </c>
      <c r="C684" s="99"/>
      <c r="D684" s="57" t="str">
        <f>IF(A684="","",VLOOKUP(A684,'6.A'!$A$11:$G$180,4,FALSE))</f>
        <v/>
      </c>
      <c r="E684" s="100" t="str">
        <f>IF(A684="","",VLOOKUP(A684,'6.A'!$A$11:$G$180,5,FALSE))</f>
        <v/>
      </c>
      <c r="F684" s="24" t="str">
        <f t="shared" si="312"/>
        <v>0,00</v>
      </c>
      <c r="G684" s="52"/>
      <c r="H684" s="52" t="str">
        <f>IF(A684="","",VLOOKUP(A684,'6.A'!$A$11:$E$7984,5,FALSE))</f>
        <v/>
      </c>
      <c r="I684" s="52" t="str">
        <f t="shared" si="313"/>
        <v/>
      </c>
      <c r="J684" s="52" t="str">
        <f>IF(H684="","",VLOOKUP(A684,'6.A'!$A$11:$E$564,4,FALSE))</f>
        <v/>
      </c>
      <c r="K684" s="52" t="str">
        <f t="shared" si="314"/>
        <v/>
      </c>
      <c r="L684" s="52" t="str">
        <f>IF(H684="","",IF(C684="","",G636*C684))</f>
        <v/>
      </c>
      <c r="M684" s="117" t="str">
        <f>IF(A684="","",VLOOKUP(A684,'6.A'!$A$11:$C$564,2,FALSE))</f>
        <v/>
      </c>
      <c r="N684" s="57" t="str">
        <f t="shared" si="315"/>
        <v/>
      </c>
      <c r="O684" s="56"/>
      <c r="P684" s="56"/>
      <c r="Q684" s="48"/>
      <c r="R684" s="48"/>
    </row>
    <row r="685" spans="1:23" ht="12.75" customHeight="1" x14ac:dyDescent="0.2">
      <c r="A685" s="22"/>
      <c r="B685" s="26" t="str">
        <f>$A$9</f>
        <v>BDI</v>
      </c>
      <c r="C685" s="40">
        <f>$C$9</f>
        <v>0</v>
      </c>
      <c r="D685" s="57"/>
      <c r="F685" s="28">
        <f>ROUND(SUM(F665:F684)*C685,2)</f>
        <v>0</v>
      </c>
      <c r="G685" s="63"/>
      <c r="M685" s="57"/>
      <c r="N685" s="57"/>
      <c r="O685" s="56"/>
      <c r="P685" s="56"/>
      <c r="Q685" s="48"/>
      <c r="R685" s="48"/>
    </row>
    <row r="686" spans="1:23" ht="12.75" customHeight="1" thickBot="1" x14ac:dyDescent="0.25">
      <c r="A686" s="41"/>
      <c r="B686" s="42" t="s">
        <v>57</v>
      </c>
      <c r="C686" s="43"/>
      <c r="D686" s="44"/>
      <c r="E686" s="45"/>
      <c r="F686" s="46">
        <f>ROUND(SUM(F665:F685),2)</f>
        <v>0</v>
      </c>
      <c r="G686" s="63"/>
      <c r="M686" s="57"/>
      <c r="N686" s="57"/>
      <c r="O686" s="56"/>
      <c r="P686" s="56"/>
      <c r="Q686" s="48"/>
      <c r="R686" s="48"/>
    </row>
    <row r="687" spans="1:23" ht="12" customHeight="1" thickBot="1" x14ac:dyDescent="0.25">
      <c r="A687" s="8"/>
      <c r="B687" s="9"/>
      <c r="C687" s="10"/>
      <c r="D687" s="57"/>
      <c r="F687" s="12"/>
      <c r="M687" s="57"/>
      <c r="N687" s="57"/>
      <c r="O687" s="56"/>
      <c r="P687" s="56"/>
    </row>
    <row r="688" spans="1:23" ht="50.1" customHeight="1" x14ac:dyDescent="0.2">
      <c r="A688" s="13" t="str">
        <f>'3.A'!$A$35</f>
        <v>3.1.2</v>
      </c>
      <c r="B688" s="14" t="str">
        <f>IF(A688="","",VLOOKUP(A688,'3.A'!$A$17:$M$279,2,FALSE))</f>
        <v>ELETRODUTO FLEXÍVEL CORRUGADO, PEAD, DN 100 (4"), PARA REDE ENTERRADA DE DISTRIBUIÇÃO DE ENERGIA ELÉTRICA</v>
      </c>
      <c r="C688" s="413" t="s">
        <v>62</v>
      </c>
      <c r="D688" s="413"/>
      <c r="E688" s="15" t="str">
        <f>IF(A688="","",VLOOKUP(A688,'3.A'!$A$17:$M$279,3,FALSE))</f>
        <v>M</v>
      </c>
      <c r="F688" s="16">
        <f>ROUND(F702+F715+F738,2)</f>
        <v>0</v>
      </c>
      <c r="G688" s="118">
        <f>VLOOKUP(A688,'3.A'!$A$19:$I$279,4,FALSE)</f>
        <v>50</v>
      </c>
      <c r="H688" s="47">
        <f>SUM(F690:F701)</f>
        <v>0</v>
      </c>
      <c r="I688" s="47">
        <f>SUM(F704:F714)</f>
        <v>0</v>
      </c>
      <c r="J688" s="47">
        <f>SUM(F717:F737)</f>
        <v>0</v>
      </c>
      <c r="K688" s="47">
        <f>SUM(H688:J688)</f>
        <v>0</v>
      </c>
      <c r="L688" s="47" t="str">
        <f>IF(K688=F688,"SIM","NÃO")</f>
        <v>SIM</v>
      </c>
      <c r="M688" s="58">
        <f>ROUND(SUM(F690:F699)*C700,2)+ROUND(SUM(F690:F700)*C701,2)+ROUND(SUM(F690:F699),2)+ROUND(SUM(F704:F713)*C714,2)+ROUND(SUM(F704:F713),2)+ROUND(SUM(F717:F736)*C737,2)+ROUND(SUM(F717:F736),2)</f>
        <v>0</v>
      </c>
      <c r="N688" s="50" t="str">
        <f>IF(M688=F688,"SIM","NÃO")</f>
        <v>SIM</v>
      </c>
      <c r="O688" s="51" t="str">
        <f>VLOOKUP(A688,'3.A'!$A$8:$E$279,3,FALSE)</f>
        <v>M</v>
      </c>
      <c r="P688" s="51" t="str">
        <f>IF(O688=E688,"SIM","NÃO")</f>
        <v>SIM</v>
      </c>
      <c r="Q688" s="53">
        <f>ROUND(G688*F702,2)+ROUND(G688*F715,2)+ROUND(G688*F738,2)</f>
        <v>0</v>
      </c>
      <c r="R688" s="59">
        <f>VLOOKUP(A688,'3.A'!$A$17:$L$279,12,FALSE)</f>
        <v>0</v>
      </c>
      <c r="S688" s="60" t="str">
        <f>IF(Q688=R688,"si","no")</f>
        <v>si</v>
      </c>
      <c r="T688" s="61">
        <f>SUM(L690:L699)+SUM(L704:L713)+SUM(L717:L736)</f>
        <v>72.210000000000008</v>
      </c>
      <c r="U688" s="52">
        <f>G688*C696+G688*C698+G688*C691+G688*C692+G688*C694+G688*C697+G688*C695+G688*C690+G688*C693+G688*C699+G688*C710+G688*C704+G688*C712+G688*C711+G688*C709+G688*C706+G688*C705+G688*C707+G688*C713+G688*C708+G688*C717+G688*C718+G688*C719+G688*C727+G688*C728+G688*C729+G688*C730+G688*C731+G688*C732+G688*C733+G688*C734+G688*C735+G688*C736+G688*C725+G688*C726+G688*C720+G688*C721+G688*C722+G688*C723+G688*C724</f>
        <v>72.210000000000008</v>
      </c>
      <c r="V688" s="54" t="str">
        <f>IF(T688=U688,"si","no")</f>
        <v>si</v>
      </c>
      <c r="W688" s="137"/>
    </row>
    <row r="689" spans="1:19" ht="12.75" customHeight="1" x14ac:dyDescent="0.2">
      <c r="A689" s="17" t="s">
        <v>3</v>
      </c>
      <c r="B689" s="18" t="s">
        <v>58</v>
      </c>
      <c r="C689" s="56" t="s">
        <v>59</v>
      </c>
      <c r="D689" s="56" t="s">
        <v>16</v>
      </c>
      <c r="E689" s="19" t="s">
        <v>60</v>
      </c>
      <c r="F689" s="20" t="s">
        <v>61</v>
      </c>
      <c r="G689" s="21"/>
      <c r="M689" s="57"/>
      <c r="N689" s="57"/>
      <c r="O689" s="56"/>
      <c r="P689" s="56"/>
      <c r="Q689" s="48"/>
      <c r="R689" s="48"/>
    </row>
    <row r="690" spans="1:19" ht="12.75" customHeight="1" x14ac:dyDescent="0.2">
      <c r="A690" s="22">
        <f>'6.A'!$A$15</f>
        <v>88247</v>
      </c>
      <c r="B690" s="23" t="str">
        <f>IF(A690="","",VLOOKUP(A690,'6.A'!$A$11:$G$180,2,FALSE))</f>
        <v>AUXILIAR DE ELETRICISTA COM ENCARGOS COMPLEMENTARES</v>
      </c>
      <c r="C690" s="99">
        <v>0.1721</v>
      </c>
      <c r="D690" s="57" t="str">
        <f>IF(A690="","",VLOOKUP(A690,'6.A'!$A$11:$G$180,4,FALSE))</f>
        <v>H</v>
      </c>
      <c r="E690" s="100">
        <f>IF(A690="","",VLOOKUP(A690,'6.A'!$A$11:$G$180,5,FALSE))</f>
        <v>0</v>
      </c>
      <c r="F690" s="24">
        <f t="shared" ref="F690:F699" si="316">IF(A690="","0,00",ROUND(C690*E690,2))</f>
        <v>0</v>
      </c>
      <c r="G690" s="52"/>
      <c r="H690" s="52">
        <f>IF(A690="","",VLOOKUP(A690,'6.A'!$A$11:$E$7984,5,FALSE))</f>
        <v>0</v>
      </c>
      <c r="I690" s="52" t="str">
        <f>IF(H690="","",IF(E690=H690,"SIM","NÃO"))</f>
        <v>SIM</v>
      </c>
      <c r="J690" s="52" t="str">
        <f>IF(H690="","",VLOOKUP(A690,'6.A'!$A$11:$E$564,4,FALSE))</f>
        <v>H</v>
      </c>
      <c r="K690" s="52" t="str">
        <f>IF(H690="","",IF(J690=D690,"SIM","NÃO"))</f>
        <v>SIM</v>
      </c>
      <c r="L690" s="52">
        <f>IF(H690="","",IF(C690="","",G688*C690))</f>
        <v>8.6050000000000004</v>
      </c>
      <c r="M690" s="117" t="str">
        <f>IF(A690="","",VLOOKUP(A690,'6.A'!$A$11:$C$564,2,FALSE))</f>
        <v>AUXILIAR DE ELETRICISTA COM ENCARGOS COMPLEMENTARES</v>
      </c>
      <c r="N690" s="57" t="str">
        <f>IF(A690="","",IF(M690=B690,"si","no"))</f>
        <v>si</v>
      </c>
      <c r="O690" s="56"/>
      <c r="P690" s="56"/>
      <c r="Q690" s="48"/>
      <c r="R690" s="48"/>
    </row>
    <row r="691" spans="1:19" ht="12.75" customHeight="1" x14ac:dyDescent="0.2">
      <c r="A691" s="22">
        <f>'6.A'!$A$18</f>
        <v>88264</v>
      </c>
      <c r="B691" s="23" t="str">
        <f>IF(A691="","",VLOOKUP(A691,'6.A'!$A$11:$G$180,2,FALSE))</f>
        <v>ELETRICISTA COM ENCARGOS COMPLEMENTARES</v>
      </c>
      <c r="C691" s="99">
        <v>0.1721</v>
      </c>
      <c r="D691" s="57" t="str">
        <f>IF(A691="","",VLOOKUP(A691,'6.A'!$A$11:$G$180,4,FALSE))</f>
        <v>H</v>
      </c>
      <c r="E691" s="100">
        <f>IF(A691="","",VLOOKUP(A691,'6.A'!$A$11:$G$180,5,FALSE))</f>
        <v>0</v>
      </c>
      <c r="F691" s="24">
        <f t="shared" si="316"/>
        <v>0</v>
      </c>
      <c r="G691" s="52"/>
      <c r="H691" s="52">
        <f>IF(A691="","",VLOOKUP(A691,'6.A'!$A$11:$E$7984,5,FALSE))</f>
        <v>0</v>
      </c>
      <c r="I691" s="52" t="str">
        <f>IF(H691="","",IF(E691=H691,"SIM","NÃO"))</f>
        <v>SIM</v>
      </c>
      <c r="J691" s="52" t="str">
        <f>IF(H691="","",VLOOKUP(A691,'6.A'!$A$11:$E$564,4,FALSE))</f>
        <v>H</v>
      </c>
      <c r="K691" s="52" t="str">
        <f>IF(H691="","",IF(J691=D691,"SIM","NÃO"))</f>
        <v>SIM</v>
      </c>
      <c r="L691" s="52">
        <f>IF(H691="","",IF(C691="","",G688*C691))</f>
        <v>8.6050000000000004</v>
      </c>
      <c r="M691" s="117" t="str">
        <f>IF(A691="","",VLOOKUP(A691,'6.A'!$A$11:$C$564,2,FALSE))</f>
        <v>ELETRICISTA COM ENCARGOS COMPLEMENTARES</v>
      </c>
      <c r="N691" s="57" t="str">
        <f>IF(A691="","",IF(M691=B691,"si","no"))</f>
        <v>si</v>
      </c>
      <c r="O691" s="56"/>
      <c r="P691" s="56"/>
      <c r="Q691" s="48"/>
      <c r="R691" s="48"/>
    </row>
    <row r="692" spans="1:19" ht="12.75" customHeight="1" x14ac:dyDescent="0.2">
      <c r="A692" s="22"/>
      <c r="B692" s="23" t="str">
        <f>IF(A692="","",VLOOKUP(A692,'6.A'!$A$11:$G$180,2,FALSE))</f>
        <v/>
      </c>
      <c r="C692" s="99"/>
      <c r="D692" s="57" t="str">
        <f>IF(A692="","",VLOOKUP(A692,'6.A'!$A$11:$G$180,4,FALSE))</f>
        <v/>
      </c>
      <c r="E692" s="100" t="str">
        <f>IF(A692="","",VLOOKUP(A692,'6.A'!$A$11:$G$180,5,FALSE))</f>
        <v/>
      </c>
      <c r="F692" s="24" t="str">
        <f t="shared" si="316"/>
        <v>0,00</v>
      </c>
      <c r="G692" s="52"/>
      <c r="H692" s="52" t="str">
        <f>IF(A692="","",VLOOKUP(A692,'6.A'!$A$11:$E$7984,5,FALSE))</f>
        <v/>
      </c>
      <c r="I692" s="52" t="str">
        <f>IF(H692="","",IF(E692=H692,"SIM","NÃO"))</f>
        <v/>
      </c>
      <c r="J692" s="52" t="str">
        <f>IF(H692="","",VLOOKUP(A692,'6.A'!$A$11:$E$564,4,FALSE))</f>
        <v/>
      </c>
      <c r="K692" s="52" t="str">
        <f t="shared" ref="K692" si="317">IF(H692="","",IF(J692=D692,"SIM","NÃO"))</f>
        <v/>
      </c>
      <c r="L692" s="52" t="str">
        <f>IF(H692="","",IF(C692="","",G688*C692))</f>
        <v/>
      </c>
      <c r="M692" s="117" t="str">
        <f>IF(A692="","",VLOOKUP(A692,'6.A'!$A$11:$C$564,2,FALSE))</f>
        <v/>
      </c>
      <c r="N692" s="57" t="str">
        <f t="shared" ref="N692" si="318">IF(A692="","",IF(M692=B692,"si","no"))</f>
        <v/>
      </c>
      <c r="O692" s="56"/>
      <c r="P692" s="56"/>
      <c r="Q692" s="48"/>
      <c r="R692" s="48"/>
      <c r="S692" s="2"/>
    </row>
    <row r="693" spans="1:19" ht="12.75" customHeight="1" x14ac:dyDescent="0.2">
      <c r="A693" s="22"/>
      <c r="B693" s="23" t="str">
        <f>IF(A693="","",VLOOKUP(A693,'6.A'!$A$11:$G$180,2,FALSE))</f>
        <v/>
      </c>
      <c r="C693" s="99"/>
      <c r="D693" s="57" t="str">
        <f>IF(A693="","",VLOOKUP(A693,'6.A'!$A$11:$G$180,4,FALSE))</f>
        <v/>
      </c>
      <c r="E693" s="100" t="str">
        <f>IF(A693="","",VLOOKUP(A693,'6.A'!$A$11:$G$180,5,FALSE))</f>
        <v/>
      </c>
      <c r="F693" s="24" t="str">
        <f t="shared" si="316"/>
        <v>0,00</v>
      </c>
      <c r="G693" s="52"/>
      <c r="H693" s="52" t="str">
        <f>IF(A693="","",VLOOKUP(A693,'6.A'!$A$11:$E$7984,5,FALSE))</f>
        <v/>
      </c>
      <c r="I693" s="52" t="str">
        <f>IF(H693="","",IF(E693=H693,"SIM","NÃO"))</f>
        <v/>
      </c>
      <c r="J693" s="52" t="str">
        <f>IF(H693="","",VLOOKUP(A693,'6.A'!$A$11:$E$564,4,FALSE))</f>
        <v/>
      </c>
      <c r="K693" s="52" t="str">
        <f>IF(H693="","",IF(J693=D693,"SIM","NÃO"))</f>
        <v/>
      </c>
      <c r="L693" s="52" t="str">
        <f>IF(H693="","",IF(C693="","",G688*C693))</f>
        <v/>
      </c>
      <c r="M693" s="117" t="str">
        <f>IF(A693="","",VLOOKUP(A693,'6.A'!$A$11:$C$564,2,FALSE))</f>
        <v/>
      </c>
      <c r="N693" s="57" t="str">
        <f>IF(A693="","",IF(M693=B693,"si","no"))</f>
        <v/>
      </c>
      <c r="O693" s="56"/>
      <c r="P693" s="56"/>
      <c r="Q693" s="48"/>
      <c r="R693" s="48"/>
      <c r="S693" s="2"/>
    </row>
    <row r="694" spans="1:19" ht="12.75" customHeight="1" x14ac:dyDescent="0.2">
      <c r="A694" s="22"/>
      <c r="B694" s="23" t="str">
        <f>IF(A694="","",VLOOKUP(A694,'6.A'!$A$11:$G$180,2,FALSE))</f>
        <v/>
      </c>
      <c r="C694" s="99"/>
      <c r="D694" s="57" t="str">
        <f>IF(A694="","",VLOOKUP(A694,'6.A'!$A$11:$G$180,4,FALSE))</f>
        <v/>
      </c>
      <c r="E694" s="101" t="str">
        <f>IF(A694="","",VLOOKUP(A694,'6.A'!$A$11:$G$180,5,FALSE))</f>
        <v/>
      </c>
      <c r="F694" s="24" t="str">
        <f t="shared" si="316"/>
        <v>0,00</v>
      </c>
      <c r="G694" s="52"/>
      <c r="H694" s="52" t="str">
        <f>IF(A694="","",VLOOKUP(A694,'6.A'!$A$11:$E$7984,5,FALSE))</f>
        <v/>
      </c>
      <c r="I694" s="52" t="str">
        <f t="shared" ref="I694" si="319">IF(H694="","",IF(E694=H694,"SIM","NÃO"))</f>
        <v/>
      </c>
      <c r="J694" s="52" t="str">
        <f>IF(H694="","",VLOOKUP(A694,'6.A'!$A$11:$E$564,4,FALSE))</f>
        <v/>
      </c>
      <c r="K694" s="52" t="str">
        <f t="shared" ref="K694" si="320">IF(H694="","",IF(J694=D694,"SIM","NÃO"))</f>
        <v/>
      </c>
      <c r="L694" s="52" t="str">
        <f>IF(H694="","",IF(C694="","",G688*C694))</f>
        <v/>
      </c>
      <c r="M694" s="117" t="str">
        <f>IF(A694="","",VLOOKUP(A694,'6.A'!$A$11:$C$564,2,FALSE))</f>
        <v/>
      </c>
      <c r="N694" s="57" t="str">
        <f t="shared" ref="N694" si="321">IF(A694="","",IF(M694=B694,"si","no"))</f>
        <v/>
      </c>
      <c r="O694" s="56"/>
      <c r="P694" s="56"/>
      <c r="Q694" s="48"/>
      <c r="R694" s="48"/>
      <c r="S694" s="2"/>
    </row>
    <row r="695" spans="1:19" ht="12.75" customHeight="1" x14ac:dyDescent="0.2">
      <c r="A695" s="22"/>
      <c r="B695" s="23" t="str">
        <f>IF(A695="","",VLOOKUP(A695,'6.A'!$A$11:$G$180,2,FALSE))</f>
        <v/>
      </c>
      <c r="C695" s="99"/>
      <c r="D695" s="57" t="str">
        <f>IF(A695="","",VLOOKUP(A695,'6.A'!$A$11:$G$180,4,FALSE))</f>
        <v/>
      </c>
      <c r="E695" s="101" t="str">
        <f>IF(A695="","",VLOOKUP(A695,'6.A'!$A$11:$G$180,5,FALSE))</f>
        <v/>
      </c>
      <c r="F695" s="24" t="str">
        <f t="shared" si="316"/>
        <v>0,00</v>
      </c>
      <c r="G695" s="52"/>
      <c r="H695" s="52" t="str">
        <f>IF(A695="","",VLOOKUP(A695,'6.A'!$A$11:$E$7984,5,FALSE))</f>
        <v/>
      </c>
      <c r="I695" s="52" t="str">
        <f>IF(H695="","",IF(E695=H695,"SIM","NÃO"))</f>
        <v/>
      </c>
      <c r="J695" s="52" t="str">
        <f>IF(H695="","",VLOOKUP(A695,'6.A'!$A$11:$E$564,4,FALSE))</f>
        <v/>
      </c>
      <c r="K695" s="52" t="str">
        <f>IF(H695="","",IF(J695=D695,"SIM","NÃO"))</f>
        <v/>
      </c>
      <c r="L695" s="52" t="str">
        <f>IF(H695="","",IF(C695="","",G688*C695))</f>
        <v/>
      </c>
      <c r="M695" s="117" t="str">
        <f>IF(A695="","",VLOOKUP(A695,'6.A'!$A$11:$C$564,2,FALSE))</f>
        <v/>
      </c>
      <c r="N695" s="57" t="str">
        <f>IF(A695="","",IF(M695=B695,"si","no"))</f>
        <v/>
      </c>
      <c r="O695" s="56"/>
      <c r="P695" s="56"/>
      <c r="Q695" s="48"/>
      <c r="R695" s="48"/>
      <c r="S695" s="2"/>
    </row>
    <row r="696" spans="1:19" ht="12.75" customHeight="1" x14ac:dyDescent="0.2">
      <c r="A696" s="22"/>
      <c r="B696" s="23" t="str">
        <f>IF(A696="","",VLOOKUP(A696,'6.A'!$A$11:$G$180,2,FALSE))</f>
        <v/>
      </c>
      <c r="C696" s="99"/>
      <c r="D696" s="57" t="str">
        <f>IF(A696="","",VLOOKUP(A696,'6.A'!$A$11:$G$180,4,FALSE))</f>
        <v/>
      </c>
      <c r="E696" s="100" t="str">
        <f>IF(A696="","",VLOOKUP(A696,'6.A'!$A$11:$G$180,5,FALSE))</f>
        <v/>
      </c>
      <c r="F696" s="24" t="str">
        <f t="shared" si="316"/>
        <v>0,00</v>
      </c>
      <c r="G696" s="52"/>
      <c r="H696" s="52" t="str">
        <f>IF(A696="","",VLOOKUP(A696,'6.A'!$A$11:$E$7984,5,FALSE))</f>
        <v/>
      </c>
      <c r="I696" s="52" t="str">
        <f>IF(H696="","",IF(E696=H696,"SIM","NÃO"))</f>
        <v/>
      </c>
      <c r="J696" s="52" t="str">
        <f>IF(H696="","",VLOOKUP(A696,'6.A'!$A$11:$E$564,4,FALSE))</f>
        <v/>
      </c>
      <c r="K696" s="52" t="str">
        <f>IF(H696="","",IF(J696=D696,"SIM","NÃO"))</f>
        <v/>
      </c>
      <c r="L696" s="52" t="str">
        <f>IF(H696="","",IF(C696="","",G688*C696))</f>
        <v/>
      </c>
      <c r="M696" s="117" t="str">
        <f>IF(A696="","",VLOOKUP(A696,'6.A'!$A$11:$C$564,2,FALSE))</f>
        <v/>
      </c>
      <c r="N696" s="57" t="str">
        <f>IF(A696="","",IF(M696=B696,"si","no"))</f>
        <v/>
      </c>
      <c r="O696" s="56"/>
      <c r="P696" s="56"/>
      <c r="Q696" s="48"/>
      <c r="R696" s="48"/>
      <c r="S696" s="2"/>
    </row>
    <row r="697" spans="1:19" ht="12.75" customHeight="1" x14ac:dyDescent="0.2">
      <c r="A697" s="22"/>
      <c r="B697" s="23" t="str">
        <f>IF(A697="","",VLOOKUP(A697,'6.A'!$A$11:$G$180,2,FALSE))</f>
        <v/>
      </c>
      <c r="C697" s="99"/>
      <c r="D697" s="57" t="str">
        <f>IF(A697="","",VLOOKUP(A697,'6.A'!$A$11:$G$180,4,FALSE))</f>
        <v/>
      </c>
      <c r="E697" s="100" t="str">
        <f>IF(A697="","",VLOOKUP(A697,'6.A'!$A$11:$G$180,5,FALSE))</f>
        <v/>
      </c>
      <c r="F697" s="24" t="str">
        <f t="shared" si="316"/>
        <v>0,00</v>
      </c>
      <c r="G697" s="52"/>
      <c r="H697" s="52" t="str">
        <f>IF(A697="","",VLOOKUP(A697,'6.A'!$A$11:$E$7984,5,FALSE))</f>
        <v/>
      </c>
      <c r="I697" s="52" t="str">
        <f t="shared" ref="I697" si="322">IF(H697="","",IF(E697=H697,"SIM","NÃO"))</f>
        <v/>
      </c>
      <c r="J697" s="52" t="str">
        <f>IF(H697="","",VLOOKUP(A697,'6.A'!$A$11:$E$564,4,FALSE))</f>
        <v/>
      </c>
      <c r="K697" s="52" t="str">
        <f t="shared" ref="K697" si="323">IF(H697="","",IF(J697=D697,"SIM","NÃO"))</f>
        <v/>
      </c>
      <c r="L697" s="52" t="str">
        <f>IF(H697="","",IF(C697="","",G688*C697))</f>
        <v/>
      </c>
      <c r="M697" s="117" t="str">
        <f>IF(A697="","",VLOOKUP(A697,'6.A'!$A$11:$C$564,2,FALSE))</f>
        <v/>
      </c>
      <c r="N697" s="57" t="str">
        <f t="shared" ref="N697" si="324">IF(A697="","",IF(M697=B697,"si","no"))</f>
        <v/>
      </c>
      <c r="O697" s="56"/>
      <c r="P697" s="56"/>
      <c r="Q697" s="48"/>
      <c r="R697" s="48"/>
      <c r="S697" s="2"/>
    </row>
    <row r="698" spans="1:19" ht="12.75" customHeight="1" x14ac:dyDescent="0.2">
      <c r="A698" s="22"/>
      <c r="B698" s="23" t="str">
        <f>IF(A698="","",VLOOKUP(A698,'6.A'!$A$11:$G$180,2,FALSE))</f>
        <v/>
      </c>
      <c r="C698" s="99"/>
      <c r="D698" s="73" t="str">
        <f>IF(A698="","",VLOOKUP(A698,'6.A'!$A$11:$G$180,4,FALSE))</f>
        <v/>
      </c>
      <c r="E698" s="101" t="str">
        <f>IF(A698="","",VLOOKUP(A698,'6.A'!$A$11:$G$180,5,FALSE))</f>
        <v/>
      </c>
      <c r="F698" s="24" t="str">
        <f t="shared" si="316"/>
        <v>0,00</v>
      </c>
      <c r="G698" s="52"/>
      <c r="H698" s="52" t="str">
        <f>IF(A698="","",VLOOKUP(A698,'6.A'!$A$11:$E$7984,5,FALSE))</f>
        <v/>
      </c>
      <c r="I698" s="52" t="str">
        <f>IF(H698="","",IF(E698=H698,"SIM","NÃO"))</f>
        <v/>
      </c>
      <c r="J698" s="52" t="str">
        <f>IF(H698="","",VLOOKUP(A698,'6.A'!$A$11:$E$564,4,FALSE))</f>
        <v/>
      </c>
      <c r="K698" s="52" t="str">
        <f>IF(H698="","",IF(J698=D698,"SIM","NÃO"))</f>
        <v/>
      </c>
      <c r="L698" s="52" t="str">
        <f>IF(H698="","",IF(C698="","",G688*C698))</f>
        <v/>
      </c>
      <c r="M698" s="117" t="str">
        <f>IF(A698="","",VLOOKUP(A698,'6.A'!$A$11:$C$564,2,FALSE))</f>
        <v/>
      </c>
      <c r="N698" s="57" t="str">
        <f>IF(A698="","",IF(M698=B698,"si","no"))</f>
        <v/>
      </c>
      <c r="O698" s="56"/>
      <c r="P698" s="56"/>
      <c r="Q698" s="48"/>
      <c r="R698" s="48"/>
      <c r="S698" s="2"/>
    </row>
    <row r="699" spans="1:19" ht="12.75" customHeight="1" x14ac:dyDescent="0.2">
      <c r="A699" s="22"/>
      <c r="B699" s="23" t="str">
        <f>IF(A699="","",VLOOKUP(A699,'6.A'!$A$11:$G$180,2,FALSE))</f>
        <v/>
      </c>
      <c r="C699" s="99"/>
      <c r="D699" s="25" t="str">
        <f>IF(A699="","",VLOOKUP(A699,'6.A'!$A$11:$G$180,4,FALSE))</f>
        <v/>
      </c>
      <c r="E699" s="101" t="str">
        <f>IF(A699="","",VLOOKUP(A699,'6.A'!$A$11:$G$180,5,FALSE))</f>
        <v/>
      </c>
      <c r="F699" s="24" t="str">
        <f t="shared" si="316"/>
        <v>0,00</v>
      </c>
      <c r="G699" s="52"/>
      <c r="H699" s="52" t="str">
        <f>IF(A699="","",VLOOKUP(A699,'6.A'!$A$11:$E$7984,5,FALSE))</f>
        <v/>
      </c>
      <c r="I699" s="52" t="str">
        <f t="shared" ref="I699" si="325">IF(H699="","",IF(E699=H699,"SIM","NÃO"))</f>
        <v/>
      </c>
      <c r="J699" s="52" t="str">
        <f>IF(H699="","",VLOOKUP(A699,'6.A'!$A$11:$E$564,4,FALSE))</f>
        <v/>
      </c>
      <c r="K699" s="52" t="str">
        <f t="shared" ref="K699" si="326">IF(H699="","",IF(J699=D699,"SIM","NÃO"))</f>
        <v/>
      </c>
      <c r="L699" s="52" t="str">
        <f>IF(H699="","",IF(C699="","",G688*C699))</f>
        <v/>
      </c>
      <c r="M699" s="117" t="str">
        <f>IF(A699="","",VLOOKUP(A699,'6.A'!$A$11:$C$564,2,FALSE))</f>
        <v/>
      </c>
      <c r="N699" s="57" t="str">
        <f t="shared" ref="N699" si="327">IF(A699="","",IF(M699=B699,"si","no"))</f>
        <v/>
      </c>
      <c r="O699" s="56"/>
      <c r="P699" s="56"/>
      <c r="Q699" s="48"/>
      <c r="R699" s="48"/>
      <c r="S699" s="2"/>
    </row>
    <row r="700" spans="1:19" ht="12.75" customHeight="1" x14ac:dyDescent="0.2">
      <c r="A700" s="17"/>
      <c r="B700" s="26" t="str">
        <f>$A$8</f>
        <v>LEIS SOCIAIS HORISTA - JORNADA NORMAL</v>
      </c>
      <c r="C700" s="27">
        <f>$C$8</f>
        <v>0</v>
      </c>
      <c r="D700" s="57"/>
      <c r="F700" s="28">
        <f>ROUND(SUM(F690:F699)*C700,2)</f>
        <v>0</v>
      </c>
      <c r="G700" s="63"/>
      <c r="M700" s="62"/>
      <c r="N700" s="57"/>
      <c r="O700" s="56"/>
      <c r="P700" s="56"/>
      <c r="Q700" s="48"/>
      <c r="R700" s="48"/>
      <c r="S700" s="2"/>
    </row>
    <row r="701" spans="1:19" ht="12.75" customHeight="1" x14ac:dyDescent="0.2">
      <c r="A701" s="22"/>
      <c r="B701" s="26" t="str">
        <f>$A$9</f>
        <v>BDI</v>
      </c>
      <c r="C701" s="27">
        <f>$C$9</f>
        <v>0</v>
      </c>
      <c r="D701" s="29"/>
      <c r="F701" s="28">
        <f>ROUND(SUM(F690:F700)*C701,2)</f>
        <v>0</v>
      </c>
      <c r="G701" s="63"/>
      <c r="M701" s="62"/>
      <c r="N701" s="57"/>
      <c r="O701" s="56"/>
      <c r="P701" s="56"/>
      <c r="Q701" s="48"/>
      <c r="R701" s="48"/>
      <c r="S701" s="2"/>
    </row>
    <row r="702" spans="1:19" ht="12.75" customHeight="1" x14ac:dyDescent="0.2">
      <c r="A702" s="30"/>
      <c r="B702" s="31" t="s">
        <v>56</v>
      </c>
      <c r="C702" s="32"/>
      <c r="D702" s="33"/>
      <c r="E702" s="34"/>
      <c r="F702" s="35">
        <f>ROUND(SUM(F690:F701),2)</f>
        <v>0</v>
      </c>
      <c r="G702" s="63"/>
      <c r="M702" s="62"/>
      <c r="N702" s="57"/>
      <c r="O702" s="56"/>
      <c r="P702" s="56"/>
      <c r="Q702" s="48"/>
      <c r="R702" s="48"/>
      <c r="S702" s="2"/>
    </row>
    <row r="703" spans="1:19" ht="12.75" customHeight="1" x14ac:dyDescent="0.2">
      <c r="A703" s="17" t="s">
        <v>5</v>
      </c>
      <c r="B703" s="153" t="s">
        <v>130</v>
      </c>
      <c r="C703" s="56" t="s">
        <v>59</v>
      </c>
      <c r="D703" s="56" t="s">
        <v>16</v>
      </c>
      <c r="E703" s="19" t="s">
        <v>60</v>
      </c>
      <c r="F703" s="20" t="s">
        <v>61</v>
      </c>
      <c r="G703" s="21"/>
      <c r="M703" s="62"/>
      <c r="N703" s="57"/>
      <c r="O703" s="56"/>
      <c r="P703" s="56"/>
      <c r="Q703" s="48"/>
      <c r="R703" s="48"/>
      <c r="S703" s="2"/>
    </row>
    <row r="704" spans="1:19" ht="12.75" customHeight="1" x14ac:dyDescent="0.2">
      <c r="A704" s="22"/>
      <c r="B704" s="23" t="str">
        <f>IF(A704="","",VLOOKUP(A704,'6.A'!$A$11:$G$180,2,FALSE))</f>
        <v/>
      </c>
      <c r="C704" s="99"/>
      <c r="D704" s="57" t="str">
        <f>IF(A704="","",VLOOKUP(A704,'6.A'!$A$11:$G$180,4,FALSE))</f>
        <v/>
      </c>
      <c r="E704" s="100" t="str">
        <f>IF(A704="","",VLOOKUP(A704,'6.A'!$A$11:$G$180,5,FALSE))</f>
        <v/>
      </c>
      <c r="F704" s="24" t="str">
        <f t="shared" ref="F704:F713" si="328">IF(A704="","0,00",ROUND(C704*E704,2))</f>
        <v>0,00</v>
      </c>
      <c r="G704" s="52"/>
      <c r="H704" s="52" t="str">
        <f>IF(A704="","",VLOOKUP(A704,'6.A'!$A$11:$E$7984,5,FALSE))</f>
        <v/>
      </c>
      <c r="I704" s="52" t="str">
        <f t="shared" ref="I704:I713" si="329">IF(H704="","",IF(E704=H704,"SIM","NÃO"))</f>
        <v/>
      </c>
      <c r="J704" s="52" t="str">
        <f>IF(H704="","",VLOOKUP(A704,'6.A'!$A$11:$E$564,4,FALSE))</f>
        <v/>
      </c>
      <c r="K704" s="52" t="str">
        <f t="shared" ref="K704:K713" si="330">IF(H704="","",IF(J704=D704,"SIM","NÃO"))</f>
        <v/>
      </c>
      <c r="L704" s="52" t="str">
        <f>IF(H704="","",IF(C704="","",G688*C704))</f>
        <v/>
      </c>
      <c r="M704" s="117" t="str">
        <f>IF(A704="","",VLOOKUP(A704,'6.A'!$A$11:$C$564,2,FALSE))</f>
        <v/>
      </c>
      <c r="N704" s="57" t="str">
        <f t="shared" ref="N704:N709" si="331">IF(A704="","",IF(M704=B704,"si","no"))</f>
        <v/>
      </c>
      <c r="O704" s="56"/>
      <c r="P704" s="56"/>
      <c r="Q704" s="48"/>
      <c r="R704" s="48"/>
      <c r="S704" s="2"/>
    </row>
    <row r="705" spans="1:19" ht="12.75" customHeight="1" x14ac:dyDescent="0.2">
      <c r="A705" s="22"/>
      <c r="B705" s="23" t="str">
        <f>IF(A705="","",VLOOKUP(A705,'6.A'!$A$11:$G$180,2,FALSE))</f>
        <v/>
      </c>
      <c r="C705" s="99"/>
      <c r="D705" s="57" t="str">
        <f>IF(A705="","",VLOOKUP(A705,'6.A'!$A$11:$G$180,4,FALSE))</f>
        <v/>
      </c>
      <c r="E705" s="100" t="str">
        <f>IF(A705="","",VLOOKUP(A705,'6.A'!$A$11:$G$180,5,FALSE))</f>
        <v/>
      </c>
      <c r="F705" s="24" t="str">
        <f t="shared" si="328"/>
        <v>0,00</v>
      </c>
      <c r="G705" s="52"/>
      <c r="H705" s="52" t="str">
        <f>IF(A705="","",VLOOKUP(A705,'6.A'!$A$11:$E$7984,5,FALSE))</f>
        <v/>
      </c>
      <c r="I705" s="52" t="str">
        <f t="shared" si="329"/>
        <v/>
      </c>
      <c r="J705" s="52" t="str">
        <f>IF(H705="","",VLOOKUP(A705,'6.A'!$A$11:$E$564,4,FALSE))</f>
        <v/>
      </c>
      <c r="K705" s="52" t="str">
        <f t="shared" si="330"/>
        <v/>
      </c>
      <c r="L705" s="52" t="str">
        <f>IF(H705="","",IF(C705="","",G688*C705))</f>
        <v/>
      </c>
      <c r="M705" s="117" t="str">
        <f>IF(A705="","",VLOOKUP(A705,'6.A'!$A$11:$C$564,2,FALSE))</f>
        <v/>
      </c>
      <c r="N705" s="57" t="str">
        <f t="shared" si="331"/>
        <v/>
      </c>
      <c r="O705" s="56"/>
      <c r="P705" s="56"/>
      <c r="Q705" s="48"/>
      <c r="R705" s="48"/>
      <c r="S705" s="2"/>
    </row>
    <row r="706" spans="1:19" ht="12.75" customHeight="1" x14ac:dyDescent="0.2">
      <c r="A706" s="22"/>
      <c r="B706" s="23" t="str">
        <f>IF(A706="","",VLOOKUP(A706,'6.A'!$A$11:$G$180,2,FALSE))</f>
        <v/>
      </c>
      <c r="C706" s="99"/>
      <c r="D706" s="57" t="str">
        <f>IF(A706="","",VLOOKUP(A706,'6.A'!$A$11:$G$180,4,FALSE))</f>
        <v/>
      </c>
      <c r="E706" s="100" t="str">
        <f>IF(A706="","",VLOOKUP(A706,'6.A'!$A$11:$G$180,5,FALSE))</f>
        <v/>
      </c>
      <c r="F706" s="24" t="str">
        <f t="shared" si="328"/>
        <v>0,00</v>
      </c>
      <c r="G706" s="52"/>
      <c r="H706" s="52" t="str">
        <f>IF(A706="","",VLOOKUP(A706,'6.A'!$A$11:$E$7984,5,FALSE))</f>
        <v/>
      </c>
      <c r="I706" s="52" t="str">
        <f t="shared" si="329"/>
        <v/>
      </c>
      <c r="J706" s="52" t="str">
        <f>IF(H706="","",VLOOKUP(A706,'6.A'!$A$11:$E$564,4,FALSE))</f>
        <v/>
      </c>
      <c r="K706" s="52" t="str">
        <f t="shared" si="330"/>
        <v/>
      </c>
      <c r="L706" s="52" t="str">
        <f>IF(H706="","",IF(C706="","",G688*C706))</f>
        <v/>
      </c>
      <c r="M706" s="117" t="str">
        <f>IF(A706="","",VLOOKUP(A706,'6.A'!$A$11:$C$564,2,FALSE))</f>
        <v/>
      </c>
      <c r="N706" s="57" t="str">
        <f t="shared" si="331"/>
        <v/>
      </c>
      <c r="O706" s="56"/>
      <c r="P706" s="56"/>
      <c r="Q706" s="48"/>
      <c r="R706" s="48"/>
      <c r="S706" s="2"/>
    </row>
    <row r="707" spans="1:19" ht="12.75" customHeight="1" x14ac:dyDescent="0.2">
      <c r="A707" s="22"/>
      <c r="B707" s="55" t="str">
        <f>IF(A707="","",VLOOKUP(A707,'6.A'!$A$11:$G$180,2,FALSE))</f>
        <v/>
      </c>
      <c r="C707" s="134"/>
      <c r="D707" s="57" t="str">
        <f>IF(A707="","",VLOOKUP(A707,'6.A'!$A$11:$G$180,4,FALSE))</f>
        <v/>
      </c>
      <c r="E707" s="100" t="str">
        <f>IF(A707="","",VLOOKUP(A707,'6.A'!$A$11:$G$180,5,FALSE))</f>
        <v/>
      </c>
      <c r="F707" s="24" t="str">
        <f t="shared" si="328"/>
        <v>0,00</v>
      </c>
      <c r="G707" s="52"/>
      <c r="H707" s="52" t="str">
        <f>IF(A707="","",VLOOKUP(A707,'6.A'!$A$11:$E$7984,5,FALSE))</f>
        <v/>
      </c>
      <c r="I707" s="52" t="str">
        <f t="shared" si="329"/>
        <v/>
      </c>
      <c r="J707" s="52" t="str">
        <f>IF(H707="","",VLOOKUP(A707,'6.A'!$A$11:$E$564,4,FALSE))</f>
        <v/>
      </c>
      <c r="K707" s="52" t="str">
        <f t="shared" si="330"/>
        <v/>
      </c>
      <c r="L707" s="52" t="str">
        <f>IF(H707="","",IF(C707="","",G688*C707))</f>
        <v/>
      </c>
      <c r="M707" s="117" t="str">
        <f>IF(A707="","",VLOOKUP(A707,'6.A'!$A$11:$C$564,2,FALSE))</f>
        <v/>
      </c>
      <c r="N707" s="57" t="str">
        <f t="shared" si="331"/>
        <v/>
      </c>
      <c r="O707" s="56"/>
      <c r="P707" s="56"/>
      <c r="Q707" s="48"/>
      <c r="R707" s="48"/>
      <c r="S707" s="2"/>
    </row>
    <row r="708" spans="1:19" ht="12.75" customHeight="1" x14ac:dyDescent="0.2">
      <c r="A708" s="22"/>
      <c r="B708" s="23" t="str">
        <f>IF(A708="","",VLOOKUP(A708,'6.A'!$A$11:$G$180,2,FALSE))</f>
        <v/>
      </c>
      <c r="C708" s="99"/>
      <c r="D708" s="57" t="str">
        <f>IF(A708="","",VLOOKUP(A708,'6.A'!$A$11:$G$180,4,FALSE))</f>
        <v/>
      </c>
      <c r="E708" s="100" t="str">
        <f>IF(A708="","",VLOOKUP(A708,'6.A'!$A$11:$G$180,5,FALSE))</f>
        <v/>
      </c>
      <c r="F708" s="24" t="str">
        <f t="shared" si="328"/>
        <v>0,00</v>
      </c>
      <c r="G708" s="52"/>
      <c r="H708" s="52" t="str">
        <f>IF(A708="","",VLOOKUP(A708,'6.A'!$A$11:$E$7984,5,FALSE))</f>
        <v/>
      </c>
      <c r="I708" s="52" t="str">
        <f t="shared" si="329"/>
        <v/>
      </c>
      <c r="J708" s="52" t="str">
        <f>IF(H708="","",VLOOKUP(A708,'6.A'!$A$11:$E$564,4,FALSE))</f>
        <v/>
      </c>
      <c r="K708" s="52" t="str">
        <f t="shared" si="330"/>
        <v/>
      </c>
      <c r="L708" s="52" t="str">
        <f>IF(H708="","",IF(C708="","",G688*C708))</f>
        <v/>
      </c>
      <c r="M708" s="117" t="str">
        <f>IF(A708="","",VLOOKUP(A708,'6.A'!$A$11:$C$564,2,FALSE))</f>
        <v/>
      </c>
      <c r="N708" s="57" t="str">
        <f t="shared" si="331"/>
        <v/>
      </c>
      <c r="O708" s="56"/>
      <c r="P708" s="56"/>
      <c r="Q708" s="48"/>
      <c r="R708" s="48"/>
      <c r="S708" s="2"/>
    </row>
    <row r="709" spans="1:19" ht="12.75" customHeight="1" x14ac:dyDescent="0.2">
      <c r="A709" s="22"/>
      <c r="B709" s="23" t="str">
        <f>IF(A709="","",VLOOKUP(A709,'6.A'!$A$11:$G$180,2,FALSE))</f>
        <v/>
      </c>
      <c r="C709" s="99"/>
      <c r="D709" s="57" t="str">
        <f>IF(A709="","",VLOOKUP(A709,'6.A'!$A$11:$G$180,4,FALSE))</f>
        <v/>
      </c>
      <c r="E709" s="100" t="str">
        <f>IF(A709="","",VLOOKUP(A709,'6.A'!$A$11:$G$180,5,FALSE))</f>
        <v/>
      </c>
      <c r="F709" s="24" t="str">
        <f t="shared" si="328"/>
        <v>0,00</v>
      </c>
      <c r="G709" s="52"/>
      <c r="H709" s="52" t="str">
        <f>IF(A709="","",VLOOKUP(A709,'6.A'!$A$11:$E$7984,5,FALSE))</f>
        <v/>
      </c>
      <c r="I709" s="52" t="str">
        <f t="shared" si="329"/>
        <v/>
      </c>
      <c r="J709" s="52" t="str">
        <f>IF(H709="","",VLOOKUP(A709,'6.A'!$A$11:$E$564,4,FALSE))</f>
        <v/>
      </c>
      <c r="K709" s="52" t="str">
        <f t="shared" si="330"/>
        <v/>
      </c>
      <c r="L709" s="52" t="str">
        <f>IF(H709="","",IF(C709="","",G688*C709))</f>
        <v/>
      </c>
      <c r="M709" s="117" t="str">
        <f>IF(A709="","",VLOOKUP(A709,'6.A'!$A$11:$C$564,2,FALSE))</f>
        <v/>
      </c>
      <c r="N709" s="57" t="str">
        <f t="shared" si="331"/>
        <v/>
      </c>
      <c r="O709" s="56"/>
      <c r="P709" s="56"/>
      <c r="Q709" s="48"/>
      <c r="R709" s="48"/>
      <c r="S709" s="2"/>
    </row>
    <row r="710" spans="1:19" ht="12.75" customHeight="1" x14ac:dyDescent="0.2">
      <c r="A710" s="22"/>
      <c r="B710" s="23" t="str">
        <f>IF(A710="","",VLOOKUP(A710,'6.A'!$A$11:$G$180,2,FALSE))</f>
        <v/>
      </c>
      <c r="C710" s="99"/>
      <c r="D710" s="57" t="str">
        <f>IF(A710="","",VLOOKUP(A710,'6.A'!$A$11:$G$180,4,FALSE))</f>
        <v/>
      </c>
      <c r="E710" s="100" t="str">
        <f>IF(A710="","",VLOOKUP(A710,'6.A'!$A$11:$G$180,5,FALSE))</f>
        <v/>
      </c>
      <c r="F710" s="24" t="str">
        <f t="shared" si="328"/>
        <v>0,00</v>
      </c>
      <c r="G710" s="52"/>
      <c r="H710" s="52" t="str">
        <f>IF(A710="","",VLOOKUP(A710,'6.A'!$A$11:$E$7984,5,FALSE))</f>
        <v/>
      </c>
      <c r="I710" s="52" t="str">
        <f t="shared" si="329"/>
        <v/>
      </c>
      <c r="J710" s="52" t="str">
        <f>IF(H710="","",VLOOKUP(A710,'6.A'!$A$11:$E$564,4,FALSE))</f>
        <v/>
      </c>
      <c r="K710" s="52" t="str">
        <f t="shared" si="330"/>
        <v/>
      </c>
      <c r="L710" s="52" t="str">
        <f>IF(H710="","",IF(C710="","",G688*C710))</f>
        <v/>
      </c>
      <c r="M710" s="117" t="str">
        <f>IF(A710="","",VLOOKUP(A710,'6.A'!$A$11:$C$564,2,FALSE))</f>
        <v/>
      </c>
      <c r="N710" s="57" t="str">
        <f>IF(A710="","",IF(M710=B710,"si","no"))</f>
        <v/>
      </c>
      <c r="O710" s="56"/>
      <c r="P710" s="56"/>
      <c r="Q710" s="48"/>
      <c r="R710" s="48"/>
      <c r="S710" s="2"/>
    </row>
    <row r="711" spans="1:19" ht="12.75" customHeight="1" x14ac:dyDescent="0.2">
      <c r="A711" s="22"/>
      <c r="B711" s="23" t="str">
        <f>IF(A711="","",VLOOKUP(A711,'6.A'!$A$11:$G$180,2,FALSE))</f>
        <v/>
      </c>
      <c r="C711" s="99"/>
      <c r="D711" s="57" t="str">
        <f>IF(A711="","",VLOOKUP(A711,'6.A'!$A$11:$G$180,4,FALSE))</f>
        <v/>
      </c>
      <c r="E711" s="100" t="str">
        <f>IF(A711="","",VLOOKUP(A711,'6.A'!$A$11:$G$180,5,FALSE))</f>
        <v/>
      </c>
      <c r="F711" s="24" t="str">
        <f t="shared" si="328"/>
        <v>0,00</v>
      </c>
      <c r="G711" s="52"/>
      <c r="H711" s="52" t="str">
        <f>IF(A711="","",VLOOKUP(A711,'6.A'!$A$11:$E$7984,5,FALSE))</f>
        <v/>
      </c>
      <c r="I711" s="52" t="str">
        <f t="shared" si="329"/>
        <v/>
      </c>
      <c r="J711" s="52" t="str">
        <f>IF(H711="","",VLOOKUP(A711,'6.A'!$A$11:$E$564,4,FALSE))</f>
        <v/>
      </c>
      <c r="K711" s="52" t="str">
        <f t="shared" si="330"/>
        <v/>
      </c>
      <c r="L711" s="52" t="str">
        <f>IF(H711="","",IF(C711="","",G688*C711))</f>
        <v/>
      </c>
      <c r="M711" s="117" t="str">
        <f>IF(A711="","",VLOOKUP(A711,'6.A'!$A$11:$C$564,2,FALSE))</f>
        <v/>
      </c>
      <c r="N711" s="57" t="str">
        <f>IF(A711="","",IF(M711=B711,"si","no"))</f>
        <v/>
      </c>
      <c r="O711" s="56"/>
      <c r="P711" s="56"/>
      <c r="Q711" s="48"/>
      <c r="R711" s="48"/>
      <c r="S711" s="2"/>
    </row>
    <row r="712" spans="1:19" ht="12.75" customHeight="1" x14ac:dyDescent="0.2">
      <c r="A712" s="22"/>
      <c r="B712" s="23" t="str">
        <f>IF(A712="","",VLOOKUP(A712,'6.A'!$A$11:$G$180,2,FALSE))</f>
        <v/>
      </c>
      <c r="C712" s="99"/>
      <c r="D712" s="57" t="str">
        <f>IF(A712="","",VLOOKUP(A712,'6.A'!$A$11:$G$180,4,FALSE))</f>
        <v/>
      </c>
      <c r="E712" s="100" t="str">
        <f>IF(A712="","",VLOOKUP(A712,'6.A'!$A$11:$G$180,5,FALSE))</f>
        <v/>
      </c>
      <c r="F712" s="24" t="str">
        <f t="shared" si="328"/>
        <v>0,00</v>
      </c>
      <c r="G712" s="52"/>
      <c r="H712" s="52" t="str">
        <f>IF(A712="","",VLOOKUP(A712,'6.A'!$A$11:$E$7984,5,FALSE))</f>
        <v/>
      </c>
      <c r="I712" s="52" t="str">
        <f t="shared" si="329"/>
        <v/>
      </c>
      <c r="J712" s="52" t="str">
        <f>IF(H712="","",VLOOKUP(A712,'6.A'!$A$11:$E$564,4,FALSE))</f>
        <v/>
      </c>
      <c r="K712" s="52" t="str">
        <f t="shared" si="330"/>
        <v/>
      </c>
      <c r="L712" s="52" t="str">
        <f>IF(H712="","",IF(C712="","",G688*C712))</f>
        <v/>
      </c>
      <c r="M712" s="117" t="str">
        <f>IF(A712="","",VLOOKUP(A712,'6.A'!$A$11:$C$564,2,FALSE))</f>
        <v/>
      </c>
      <c r="N712" s="57" t="str">
        <f t="shared" ref="N712:N713" si="332">IF(A712="","",IF(M712=B712,"si","no"))</f>
        <v/>
      </c>
      <c r="O712" s="56"/>
      <c r="P712" s="56"/>
      <c r="Q712" s="48"/>
      <c r="R712" s="48"/>
      <c r="S712" s="2"/>
    </row>
    <row r="713" spans="1:19" ht="12.75" customHeight="1" x14ac:dyDescent="0.2">
      <c r="A713" s="22"/>
      <c r="B713" s="23" t="str">
        <f>IF(A713="","",VLOOKUP(A713,'6.A'!$A$11:$G$180,2,FALSE))</f>
        <v/>
      </c>
      <c r="C713" s="99"/>
      <c r="D713" s="57" t="str">
        <f>IF(A713="","",VLOOKUP(A713,'6.A'!$A$11:$G$180,4,FALSE))</f>
        <v/>
      </c>
      <c r="E713" s="100" t="str">
        <f>IF(A713="","",VLOOKUP(A713,'6.A'!$A$11:$G$180,5,FALSE))</f>
        <v/>
      </c>
      <c r="F713" s="24" t="str">
        <f t="shared" si="328"/>
        <v>0,00</v>
      </c>
      <c r="G713" s="52"/>
      <c r="H713" s="52" t="str">
        <f>IF(A713="","",VLOOKUP(A713,'6.A'!$A$11:$E$7984,5,FALSE))</f>
        <v/>
      </c>
      <c r="I713" s="52" t="str">
        <f t="shared" si="329"/>
        <v/>
      </c>
      <c r="J713" s="52" t="str">
        <f>IF(H713="","",VLOOKUP(A713,'6.A'!$A$11:$E$564,4,FALSE))</f>
        <v/>
      </c>
      <c r="K713" s="52" t="str">
        <f t="shared" si="330"/>
        <v/>
      </c>
      <c r="L713" s="52" t="str">
        <f>IF(H713="","",IF(C713="","",G688*C713))</f>
        <v/>
      </c>
      <c r="M713" s="117" t="str">
        <f>IF(A713="","",VLOOKUP(A713,'6.A'!$A$11:$C$564,2,FALSE))</f>
        <v/>
      </c>
      <c r="N713" s="57" t="str">
        <f t="shared" si="332"/>
        <v/>
      </c>
      <c r="O713" s="56"/>
      <c r="P713" s="56"/>
      <c r="Q713" s="48"/>
      <c r="R713" s="48"/>
      <c r="S713" s="2"/>
    </row>
    <row r="714" spans="1:19" ht="12.75" customHeight="1" x14ac:dyDescent="0.2">
      <c r="A714" s="22"/>
      <c r="B714" s="26" t="str">
        <f>$A$9</f>
        <v>BDI</v>
      </c>
      <c r="C714" s="27">
        <f>$C$9</f>
        <v>0</v>
      </c>
      <c r="D714" s="57"/>
      <c r="F714" s="28">
        <f>ROUND(SUM(F704:F713)*C714,2)</f>
        <v>0</v>
      </c>
      <c r="G714" s="63"/>
      <c r="M714" s="62"/>
      <c r="N714" s="57"/>
      <c r="O714" s="56"/>
      <c r="P714" s="56"/>
      <c r="Q714" s="48"/>
      <c r="R714" s="48"/>
      <c r="S714" s="2"/>
    </row>
    <row r="715" spans="1:19" ht="12.75" customHeight="1" x14ac:dyDescent="0.2">
      <c r="A715" s="30"/>
      <c r="B715" s="31" t="s">
        <v>117</v>
      </c>
      <c r="C715" s="36"/>
      <c r="D715" s="37"/>
      <c r="E715" s="38"/>
      <c r="F715" s="35">
        <f>ROUND(SUM(F704:F714),2)</f>
        <v>0</v>
      </c>
      <c r="G715" s="63"/>
      <c r="M715" s="62"/>
      <c r="N715" s="57"/>
      <c r="O715" s="56"/>
      <c r="P715" s="56"/>
      <c r="Q715" s="48"/>
      <c r="R715" s="48"/>
      <c r="S715" s="2"/>
    </row>
    <row r="716" spans="1:19" ht="12.75" customHeight="1" x14ac:dyDescent="0.2">
      <c r="A716" s="17" t="s">
        <v>6</v>
      </c>
      <c r="B716" s="18" t="s">
        <v>17</v>
      </c>
      <c r="C716" s="56" t="s">
        <v>59</v>
      </c>
      <c r="D716" s="56" t="s">
        <v>16</v>
      </c>
      <c r="E716" s="19" t="s">
        <v>60</v>
      </c>
      <c r="F716" s="20" t="s">
        <v>61</v>
      </c>
      <c r="G716" s="21"/>
      <c r="M716" s="62"/>
      <c r="N716" s="57"/>
      <c r="O716" s="56"/>
      <c r="P716" s="56"/>
      <c r="Q716" s="48"/>
      <c r="R716" s="48"/>
      <c r="S716" s="2"/>
    </row>
    <row r="717" spans="1:19" ht="12.75" customHeight="1" x14ac:dyDescent="0.2">
      <c r="A717" s="22">
        <f>'6.A'!$A$141</f>
        <v>39248</v>
      </c>
      <c r="B717" s="23" t="str">
        <f>IF(A717="","",VLOOKUP(A717,'6.A'!$A$11:$G$180,2,FALSE))</f>
        <v>ELETRODUTO PEAD FLEXIVEL PAREDE SIMPLES, CORRUGACAO HELICOIDAL, COR PRETA, SEM ROSCA, DE 4", CRC 680 N</v>
      </c>
      <c r="C717" s="99">
        <v>1.1000000000000001</v>
      </c>
      <c r="D717" s="57" t="str">
        <f>IF(A717="","",VLOOKUP(A717,'6.A'!$A$11:$G$180,4,FALSE))</f>
        <v>M</v>
      </c>
      <c r="E717" s="100">
        <f>IF(A717="","",VLOOKUP(A717,'6.A'!$A$11:$G$180,5,FALSE))</f>
        <v>0</v>
      </c>
      <c r="F717" s="24">
        <f t="shared" ref="F717:F736" si="333">IF(A717="","0,00",ROUND(C717*E717,2))</f>
        <v>0</v>
      </c>
      <c r="G717" s="52"/>
      <c r="H717" s="52">
        <f>IF(A717="","",VLOOKUP(A717,'6.A'!$A$11:$E$7984,5,FALSE))</f>
        <v>0</v>
      </c>
      <c r="I717" s="52" t="str">
        <f t="shared" ref="I717:I736" si="334">IF(H717="","",IF(E717=H717,"SIM","NÃO"))</f>
        <v>SIM</v>
      </c>
      <c r="J717" s="52" t="str">
        <f>IF(H717="","",VLOOKUP(A717,'6.A'!$A$11:$E$564,4,FALSE))</f>
        <v>M</v>
      </c>
      <c r="K717" s="52" t="str">
        <f t="shared" ref="K717:K736" si="335">IF(H717="","",IF(J717=D717,"SIM","NÃO"))</f>
        <v>SIM</v>
      </c>
      <c r="L717" s="52">
        <f>IF(H717="","",IF(C717="","",G688*C717))</f>
        <v>55.000000000000007</v>
      </c>
      <c r="M717" s="117" t="str">
        <f>IF(A717="","",VLOOKUP(A717,'6.A'!$A$11:$C$564,2,FALSE))</f>
        <v>ELETRODUTO PEAD FLEXIVEL PAREDE SIMPLES, CORRUGACAO HELICOIDAL, COR PRETA, SEM ROSCA, DE 4", CRC 680 N</v>
      </c>
      <c r="N717" s="57" t="str">
        <f t="shared" ref="N717:N736" si="336">IF(A717="","",IF(M717=B717,"si","no"))</f>
        <v>si</v>
      </c>
      <c r="O717" s="56"/>
      <c r="P717" s="56"/>
      <c r="Q717" s="48"/>
      <c r="R717" s="48"/>
      <c r="S717" s="2"/>
    </row>
    <row r="718" spans="1:19" ht="12.75" customHeight="1" x14ac:dyDescent="0.2">
      <c r="A718" s="22"/>
      <c r="B718" s="23" t="str">
        <f>IF(A718="","",VLOOKUP(A718,'6.A'!$A$11:$G$180,2,FALSE))</f>
        <v/>
      </c>
      <c r="C718" s="99"/>
      <c r="D718" s="57" t="str">
        <f>IF(A718="","",VLOOKUP(A718,'6.A'!$A$11:$G$180,4,FALSE))</f>
        <v/>
      </c>
      <c r="E718" s="100" t="str">
        <f>IF(A718="","",VLOOKUP(A718,'6.A'!$A$11:$G$180,5,FALSE))</f>
        <v/>
      </c>
      <c r="F718" s="24" t="str">
        <f t="shared" si="333"/>
        <v>0,00</v>
      </c>
      <c r="G718" s="52"/>
      <c r="H718" s="52" t="str">
        <f>IF(A718="","",VLOOKUP(A718,'6.A'!$A$11:$E$7984,5,FALSE))</f>
        <v/>
      </c>
      <c r="I718" s="52" t="str">
        <f t="shared" si="334"/>
        <v/>
      </c>
      <c r="J718" s="52" t="str">
        <f>IF(H718="","",VLOOKUP(A718,'6.A'!$A$11:$E$564,4,FALSE))</f>
        <v/>
      </c>
      <c r="K718" s="52" t="str">
        <f t="shared" si="335"/>
        <v/>
      </c>
      <c r="L718" s="52" t="str">
        <f>IF(H718="","",IF(C718="","",G688*C718))</f>
        <v/>
      </c>
      <c r="M718" s="117" t="str">
        <f>IF(A718="","",VLOOKUP(A718,'6.A'!$A$11:$C$564,2,FALSE))</f>
        <v/>
      </c>
      <c r="N718" s="57" t="str">
        <f t="shared" si="336"/>
        <v/>
      </c>
      <c r="O718" s="56"/>
      <c r="P718" s="56"/>
      <c r="Q718" s="48"/>
      <c r="R718" s="48"/>
      <c r="S718" s="2"/>
    </row>
    <row r="719" spans="1:19" ht="12.75" customHeight="1" x14ac:dyDescent="0.2">
      <c r="A719" s="22"/>
      <c r="B719" s="23" t="str">
        <f>IF(A719="","",VLOOKUP(A719,'6.A'!$A$11:$G$180,2,FALSE))</f>
        <v/>
      </c>
      <c r="C719" s="99"/>
      <c r="D719" s="57" t="str">
        <f>IF(A719="","",VLOOKUP(A719,'6.A'!$A$11:$G$180,4,FALSE))</f>
        <v/>
      </c>
      <c r="E719" s="100" t="str">
        <f>IF(A719="","",VLOOKUP(A719,'6.A'!$A$11:$G$180,5,FALSE))</f>
        <v/>
      </c>
      <c r="F719" s="24" t="str">
        <f t="shared" si="333"/>
        <v>0,00</v>
      </c>
      <c r="G719" s="52"/>
      <c r="H719" s="52" t="str">
        <f>IF(A719="","",VLOOKUP(A719,'6.A'!$A$11:$E$7984,5,FALSE))</f>
        <v/>
      </c>
      <c r="I719" s="52" t="str">
        <f t="shared" si="334"/>
        <v/>
      </c>
      <c r="J719" s="52" t="str">
        <f>IF(H719="","",VLOOKUP(A719,'6.A'!$A$11:$E$564,4,FALSE))</f>
        <v/>
      </c>
      <c r="K719" s="52" t="str">
        <f t="shared" si="335"/>
        <v/>
      </c>
      <c r="L719" s="52" t="str">
        <f>IF(H719="","",IF(C719="","",G688*C719))</f>
        <v/>
      </c>
      <c r="M719" s="117" t="str">
        <f>IF(A719="","",VLOOKUP(A719,'6.A'!$A$11:$C$564,2,FALSE))</f>
        <v/>
      </c>
      <c r="N719" s="57" t="str">
        <f t="shared" si="336"/>
        <v/>
      </c>
      <c r="O719" s="56"/>
      <c r="P719" s="56"/>
      <c r="Q719" s="48"/>
      <c r="R719" s="48"/>
      <c r="S719" s="2"/>
    </row>
    <row r="720" spans="1:19" ht="12.75" customHeight="1" x14ac:dyDescent="0.2">
      <c r="A720" s="22"/>
      <c r="B720" s="23" t="str">
        <f>IF(A720="","",VLOOKUP(A720,'6.A'!$A$11:$G$180,2,FALSE))</f>
        <v/>
      </c>
      <c r="C720" s="99"/>
      <c r="D720" s="57" t="str">
        <f>IF(A720="","",VLOOKUP(A720,'6.A'!$A$11:$G$180,4,FALSE))</f>
        <v/>
      </c>
      <c r="E720" s="100" t="str">
        <f>IF(A720="","",VLOOKUP(A720,'6.A'!$A$11:$G$180,5,FALSE))</f>
        <v/>
      </c>
      <c r="F720" s="24" t="str">
        <f t="shared" si="333"/>
        <v>0,00</v>
      </c>
      <c r="G720" s="52"/>
      <c r="H720" s="52" t="str">
        <f>IF(A720="","",VLOOKUP(A720,'6.A'!$A$11:$E$7984,5,FALSE))</f>
        <v/>
      </c>
      <c r="I720" s="52" t="str">
        <f t="shared" si="334"/>
        <v/>
      </c>
      <c r="J720" s="52" t="str">
        <f>IF(H720="","",VLOOKUP(A720,'6.A'!$A$11:$E$564,4,FALSE))</f>
        <v/>
      </c>
      <c r="K720" s="52" t="str">
        <f t="shared" si="335"/>
        <v/>
      </c>
      <c r="L720" s="52" t="str">
        <f>IF(H720="","",IF(C720="","",G688*C720))</f>
        <v/>
      </c>
      <c r="M720" s="117" t="str">
        <f>IF(A720="","",VLOOKUP(A720,'6.A'!$A$11:$C$564,2,FALSE))</f>
        <v/>
      </c>
      <c r="N720" s="57" t="str">
        <f t="shared" si="336"/>
        <v/>
      </c>
      <c r="O720" s="56"/>
      <c r="P720" s="56"/>
      <c r="Q720" s="48"/>
      <c r="R720" s="48"/>
      <c r="S720" s="2"/>
    </row>
    <row r="721" spans="1:22" ht="12.75" customHeight="1" x14ac:dyDescent="0.2">
      <c r="A721" s="22"/>
      <c r="B721" s="23" t="str">
        <f>IF(A721="","",VLOOKUP(A721,'6.A'!$A$11:$G$180,2,FALSE))</f>
        <v/>
      </c>
      <c r="C721" s="99"/>
      <c r="D721" s="57" t="str">
        <f>IF(A721="","",VLOOKUP(A721,'6.A'!$A$11:$G$180,4,FALSE))</f>
        <v/>
      </c>
      <c r="E721" s="100" t="str">
        <f>IF(A721="","",VLOOKUP(A721,'6.A'!$A$11:$G$180,5,FALSE))</f>
        <v/>
      </c>
      <c r="F721" s="24" t="str">
        <f t="shared" si="333"/>
        <v>0,00</v>
      </c>
      <c r="G721" s="52"/>
      <c r="H721" s="52" t="str">
        <f>IF(A721="","",VLOOKUP(A721,'6.A'!$A$11:$E$7984,5,FALSE))</f>
        <v/>
      </c>
      <c r="I721" s="52" t="str">
        <f t="shared" si="334"/>
        <v/>
      </c>
      <c r="J721" s="52" t="str">
        <f>IF(H721="","",VLOOKUP(A721,'6.A'!$A$11:$E$564,4,FALSE))</f>
        <v/>
      </c>
      <c r="K721" s="52" t="str">
        <f t="shared" si="335"/>
        <v/>
      </c>
      <c r="L721" s="52" t="str">
        <f>IF(H721="","",IF(C721="","",G688*C721))</f>
        <v/>
      </c>
      <c r="M721" s="117" t="str">
        <f>IF(A721="","",VLOOKUP(A721,'6.A'!$A$11:$C$564,2,FALSE))</f>
        <v/>
      </c>
      <c r="N721" s="57" t="str">
        <f t="shared" si="336"/>
        <v/>
      </c>
      <c r="O721" s="56"/>
      <c r="P721" s="56"/>
      <c r="Q721" s="48"/>
      <c r="R721" s="48"/>
      <c r="S721" s="2"/>
    </row>
    <row r="722" spans="1:22" ht="12.75" customHeight="1" x14ac:dyDescent="0.2">
      <c r="A722" s="22"/>
      <c r="B722" s="23" t="str">
        <f>IF(A722="","",VLOOKUP(A722,'6.A'!$A$11:$G$180,2,FALSE))</f>
        <v/>
      </c>
      <c r="C722" s="99"/>
      <c r="D722" s="57" t="str">
        <f>IF(A722="","",VLOOKUP(A722,'6.A'!$A$11:$G$180,4,FALSE))</f>
        <v/>
      </c>
      <c r="E722" s="100" t="str">
        <f>IF(A722="","",VLOOKUP(A722,'6.A'!$A$11:$G$180,5,FALSE))</f>
        <v/>
      </c>
      <c r="F722" s="24" t="str">
        <f t="shared" si="333"/>
        <v>0,00</v>
      </c>
      <c r="G722" s="52"/>
      <c r="H722" s="52" t="str">
        <f>IF(A722="","",VLOOKUP(A722,'6.A'!$A$11:$E$7984,5,FALSE))</f>
        <v/>
      </c>
      <c r="I722" s="52" t="str">
        <f t="shared" si="334"/>
        <v/>
      </c>
      <c r="J722" s="52" t="str">
        <f>IF(H722="","",VLOOKUP(A722,'6.A'!$A$11:$E$564,4,FALSE))</f>
        <v/>
      </c>
      <c r="K722" s="52" t="str">
        <f t="shared" si="335"/>
        <v/>
      </c>
      <c r="L722" s="52" t="str">
        <f>IF(H722="","",IF(C722="","",G688*C722))</f>
        <v/>
      </c>
      <c r="M722" s="117" t="str">
        <f>IF(A722="","",VLOOKUP(A722,'6.A'!$A$11:$C$564,2,FALSE))</f>
        <v/>
      </c>
      <c r="N722" s="57" t="str">
        <f t="shared" si="336"/>
        <v/>
      </c>
      <c r="O722" s="56"/>
      <c r="P722" s="56"/>
      <c r="Q722" s="48"/>
      <c r="R722" s="48"/>
      <c r="S722" s="2"/>
    </row>
    <row r="723" spans="1:22" ht="12.75" customHeight="1" x14ac:dyDescent="0.2">
      <c r="A723" s="22"/>
      <c r="B723" s="23" t="str">
        <f>IF(A723="","",VLOOKUP(A723,'6.A'!$A$11:$G$180,2,FALSE))</f>
        <v/>
      </c>
      <c r="C723" s="99"/>
      <c r="D723" s="57" t="str">
        <f>IF(A723="","",VLOOKUP(A723,'6.A'!$A$11:$G$180,4,FALSE))</f>
        <v/>
      </c>
      <c r="E723" s="100" t="str">
        <f>IF(A723="","",VLOOKUP(A723,'6.A'!$A$11:$G$180,5,FALSE))</f>
        <v/>
      </c>
      <c r="F723" s="24" t="str">
        <f t="shared" si="333"/>
        <v>0,00</v>
      </c>
      <c r="G723" s="52"/>
      <c r="H723" s="52" t="str">
        <f>IF(A723="","",VLOOKUP(A723,'6.A'!$A$11:$E$7984,5,FALSE))</f>
        <v/>
      </c>
      <c r="I723" s="52" t="str">
        <f t="shared" si="334"/>
        <v/>
      </c>
      <c r="J723" s="52" t="str">
        <f>IF(H723="","",VLOOKUP(A723,'6.A'!$A$11:$E$564,4,FALSE))</f>
        <v/>
      </c>
      <c r="K723" s="52" t="str">
        <f t="shared" si="335"/>
        <v/>
      </c>
      <c r="L723" s="52" t="str">
        <f>IF(H723="","",IF(C723="","",G688*C723))</f>
        <v/>
      </c>
      <c r="M723" s="117" t="str">
        <f>IF(A723="","",VLOOKUP(A723,'6.A'!$A$11:$C$564,2,FALSE))</f>
        <v/>
      </c>
      <c r="N723" s="57" t="str">
        <f t="shared" si="336"/>
        <v/>
      </c>
      <c r="O723" s="56"/>
      <c r="P723" s="56"/>
      <c r="Q723" s="48"/>
      <c r="R723" s="48"/>
      <c r="S723" s="2"/>
    </row>
    <row r="724" spans="1:22" s="65" customFormat="1" ht="12.75" customHeight="1" x14ac:dyDescent="0.2">
      <c r="A724" s="22"/>
      <c r="B724" s="23" t="str">
        <f>IF(A724="","",VLOOKUP(A724,'6.A'!$A$11:$G$180,2,FALSE))</f>
        <v/>
      </c>
      <c r="C724" s="99"/>
      <c r="D724" s="57" t="str">
        <f>IF(A724="","",VLOOKUP(A724,'6.A'!$A$11:$G$180,4,FALSE))</f>
        <v/>
      </c>
      <c r="E724" s="100" t="str">
        <f>IF(A724="","",VLOOKUP(A724,'6.A'!$A$11:$G$180,5,FALSE))</f>
        <v/>
      </c>
      <c r="F724" s="24" t="str">
        <f t="shared" si="333"/>
        <v>0,00</v>
      </c>
      <c r="G724" s="52"/>
      <c r="H724" s="52" t="str">
        <f>IF(A724="","",VLOOKUP(A724,'6.A'!$A$11:$E$7984,5,FALSE))</f>
        <v/>
      </c>
      <c r="I724" s="52" t="str">
        <f t="shared" si="334"/>
        <v/>
      </c>
      <c r="J724" s="52" t="str">
        <f>IF(H724="","",VLOOKUP(A724,'6.A'!$A$11:$E$564,4,FALSE))</f>
        <v/>
      </c>
      <c r="K724" s="52" t="str">
        <f t="shared" si="335"/>
        <v/>
      </c>
      <c r="L724" s="52" t="str">
        <f>IF(H724="","",IF(C724="","",G688*C724))</f>
        <v/>
      </c>
      <c r="M724" s="117" t="str">
        <f>IF(A724="","",VLOOKUP(A724,'6.A'!$A$11:$C$564,2,FALSE))</f>
        <v/>
      </c>
      <c r="N724" s="57" t="str">
        <f t="shared" si="336"/>
        <v/>
      </c>
      <c r="O724" s="56"/>
      <c r="P724" s="56"/>
      <c r="Q724" s="48"/>
      <c r="R724" s="48"/>
      <c r="T724" s="2"/>
      <c r="U724" s="2"/>
      <c r="V724" s="2"/>
    </row>
    <row r="725" spans="1:22" s="65" customFormat="1" ht="12.75" customHeight="1" x14ac:dyDescent="0.2">
      <c r="A725" s="22"/>
      <c r="B725" s="23" t="str">
        <f>IF(A725="","",VLOOKUP(A725,'6.A'!$A$11:$G$180,2,FALSE))</f>
        <v/>
      </c>
      <c r="C725" s="99"/>
      <c r="D725" s="57" t="str">
        <f>IF(A725="","",VLOOKUP(A725,'6.A'!$A$11:$G$180,4,FALSE))</f>
        <v/>
      </c>
      <c r="E725" s="100" t="str">
        <f>IF(A725="","",VLOOKUP(A725,'6.A'!$A$11:$G$180,5,FALSE))</f>
        <v/>
      </c>
      <c r="F725" s="24" t="str">
        <f t="shared" si="333"/>
        <v>0,00</v>
      </c>
      <c r="G725" s="52"/>
      <c r="H725" s="52" t="str">
        <f>IF(A725="","",VLOOKUP(A725,'6.A'!$A$11:$E$7984,5,FALSE))</f>
        <v/>
      </c>
      <c r="I725" s="52" t="str">
        <f t="shared" si="334"/>
        <v/>
      </c>
      <c r="J725" s="52" t="str">
        <f>IF(H725="","",VLOOKUP(A725,'6.A'!$A$11:$E$564,4,FALSE))</f>
        <v/>
      </c>
      <c r="K725" s="52" t="str">
        <f t="shared" si="335"/>
        <v/>
      </c>
      <c r="L725" s="52" t="str">
        <f>IF(H725="","",IF(C725="","",G688*C725))</f>
        <v/>
      </c>
      <c r="M725" s="117" t="str">
        <f>IF(A725="","",VLOOKUP(A725,'6.A'!$A$11:$C$564,2,FALSE))</f>
        <v/>
      </c>
      <c r="N725" s="57" t="str">
        <f t="shared" si="336"/>
        <v/>
      </c>
      <c r="O725" s="56"/>
      <c r="P725" s="56"/>
      <c r="Q725" s="48"/>
      <c r="R725" s="48"/>
      <c r="T725" s="2"/>
      <c r="U725" s="2"/>
      <c r="V725" s="2"/>
    </row>
    <row r="726" spans="1:22" s="65" customFormat="1" ht="12.75" customHeight="1" x14ac:dyDescent="0.2">
      <c r="A726" s="22"/>
      <c r="B726" s="23" t="str">
        <f>IF(A726="","",VLOOKUP(A726,'6.A'!$A$11:$G$180,2,FALSE))</f>
        <v/>
      </c>
      <c r="C726" s="99"/>
      <c r="D726" s="57" t="str">
        <f>IF(A726="","",VLOOKUP(A726,'6.A'!$A$11:$G$180,4,FALSE))</f>
        <v/>
      </c>
      <c r="E726" s="100" t="str">
        <f>IF(A726="","",VLOOKUP(A726,'6.A'!$A$11:$G$180,5,FALSE))</f>
        <v/>
      </c>
      <c r="F726" s="24" t="str">
        <f t="shared" si="333"/>
        <v>0,00</v>
      </c>
      <c r="G726" s="52"/>
      <c r="H726" s="52" t="str">
        <f>IF(A726="","",VLOOKUP(A726,'6.A'!$A$11:$E$7984,5,FALSE))</f>
        <v/>
      </c>
      <c r="I726" s="52" t="str">
        <f t="shared" si="334"/>
        <v/>
      </c>
      <c r="J726" s="52" t="str">
        <f>IF(H726="","",VLOOKUP(A726,'6.A'!$A$11:$E$564,4,FALSE))</f>
        <v/>
      </c>
      <c r="K726" s="52" t="str">
        <f t="shared" si="335"/>
        <v/>
      </c>
      <c r="L726" s="52" t="str">
        <f>IF(H726="","",IF(C726="","",G688*C726))</f>
        <v/>
      </c>
      <c r="M726" s="117" t="str">
        <f>IF(A726="","",VLOOKUP(A726,'6.A'!$A$11:$C$564,2,FALSE))</f>
        <v/>
      </c>
      <c r="N726" s="57" t="str">
        <f t="shared" si="336"/>
        <v/>
      </c>
      <c r="O726" s="56"/>
      <c r="P726" s="56"/>
      <c r="Q726" s="48"/>
      <c r="R726" s="48"/>
      <c r="T726" s="2"/>
      <c r="U726" s="2"/>
      <c r="V726" s="2"/>
    </row>
    <row r="727" spans="1:22" s="65" customFormat="1" ht="12.75" customHeight="1" x14ac:dyDescent="0.2">
      <c r="A727" s="22"/>
      <c r="B727" s="23" t="str">
        <f>IF(A727="","",VLOOKUP(A727,'6.A'!$A$11:$G$180,2,FALSE))</f>
        <v/>
      </c>
      <c r="C727" s="99"/>
      <c r="D727" s="57" t="str">
        <f>IF(A727="","",VLOOKUP(A727,'6.A'!$A$11:$G$180,4,FALSE))</f>
        <v/>
      </c>
      <c r="E727" s="100" t="str">
        <f>IF(A727="","",VLOOKUP(A727,'6.A'!$A$11:$G$180,5,FALSE))</f>
        <v/>
      </c>
      <c r="F727" s="24" t="str">
        <f t="shared" si="333"/>
        <v>0,00</v>
      </c>
      <c r="G727" s="52"/>
      <c r="H727" s="52" t="str">
        <f>IF(A727="","",VLOOKUP(A727,'6.A'!$A$11:$E$7984,5,FALSE))</f>
        <v/>
      </c>
      <c r="I727" s="52" t="str">
        <f t="shared" si="334"/>
        <v/>
      </c>
      <c r="J727" s="52" t="str">
        <f>IF(H727="","",VLOOKUP(A727,'6.A'!$A$11:$E$564,4,FALSE))</f>
        <v/>
      </c>
      <c r="K727" s="52" t="str">
        <f t="shared" si="335"/>
        <v/>
      </c>
      <c r="L727" s="52" t="str">
        <f>IF(H727="","",IF(C727="","",G688*C727))</f>
        <v/>
      </c>
      <c r="M727" s="117" t="str">
        <f>IF(A727="","",VLOOKUP(A727,'6.A'!$A$11:$C$564,2,FALSE))</f>
        <v/>
      </c>
      <c r="N727" s="57" t="str">
        <f t="shared" si="336"/>
        <v/>
      </c>
      <c r="O727" s="56"/>
      <c r="P727" s="56"/>
      <c r="Q727" s="48"/>
      <c r="R727" s="48"/>
      <c r="T727" s="2"/>
      <c r="U727" s="2"/>
      <c r="V727" s="2"/>
    </row>
    <row r="728" spans="1:22" ht="12.75" customHeight="1" x14ac:dyDescent="0.2">
      <c r="A728" s="22"/>
      <c r="B728" s="23" t="str">
        <f>IF(A728="","",VLOOKUP(A728,'6.A'!$A$11:$G$180,2,FALSE))</f>
        <v/>
      </c>
      <c r="C728" s="99"/>
      <c r="D728" s="57" t="str">
        <f>IF(A728="","",VLOOKUP(A728,'6.A'!$A$11:$G$180,4,FALSE))</f>
        <v/>
      </c>
      <c r="E728" s="100" t="str">
        <f>IF(A728="","",VLOOKUP(A728,'6.A'!$A$11:$G$180,5,FALSE))</f>
        <v/>
      </c>
      <c r="F728" s="24" t="str">
        <f t="shared" si="333"/>
        <v>0,00</v>
      </c>
      <c r="G728" s="52"/>
      <c r="H728" s="52" t="str">
        <f>IF(A728="","",VLOOKUP(A728,'6.A'!$A$11:$E$7984,5,FALSE))</f>
        <v/>
      </c>
      <c r="I728" s="52" t="str">
        <f t="shared" si="334"/>
        <v/>
      </c>
      <c r="J728" s="52" t="str">
        <f>IF(H728="","",VLOOKUP(A728,'6.A'!$A$11:$E$564,4,FALSE))</f>
        <v/>
      </c>
      <c r="K728" s="52" t="str">
        <f t="shared" si="335"/>
        <v/>
      </c>
      <c r="L728" s="52" t="str">
        <f>IF(H728="","",IF(C728="","",G688*C728))</f>
        <v/>
      </c>
      <c r="M728" s="117" t="str">
        <f>IF(A728="","",VLOOKUP(A728,'6.A'!$A$11:$C$564,2,FALSE))</f>
        <v/>
      </c>
      <c r="N728" s="57" t="str">
        <f t="shared" si="336"/>
        <v/>
      </c>
      <c r="O728" s="56"/>
      <c r="P728" s="56"/>
      <c r="Q728" s="48"/>
      <c r="R728" s="48"/>
    </row>
    <row r="729" spans="1:22" ht="12.75" customHeight="1" x14ac:dyDescent="0.2">
      <c r="A729" s="22"/>
      <c r="B729" s="23" t="str">
        <f>IF(A729="","",VLOOKUP(A729,'6.A'!$A$11:$G$180,2,FALSE))</f>
        <v/>
      </c>
      <c r="C729" s="99"/>
      <c r="D729" s="57" t="str">
        <f>IF(A729="","",VLOOKUP(A729,'6.A'!$A$11:$G$180,4,FALSE))</f>
        <v/>
      </c>
      <c r="E729" s="100" t="str">
        <f>IF(A729="","",VLOOKUP(A729,'6.A'!$A$11:$G$180,5,FALSE))</f>
        <v/>
      </c>
      <c r="F729" s="24" t="str">
        <f t="shared" si="333"/>
        <v>0,00</v>
      </c>
      <c r="G729" s="52"/>
      <c r="H729" s="52" t="str">
        <f>IF(A729="","",VLOOKUP(A729,'6.A'!$A$11:$E$7984,5,FALSE))</f>
        <v/>
      </c>
      <c r="I729" s="52" t="str">
        <f t="shared" si="334"/>
        <v/>
      </c>
      <c r="J729" s="52" t="str">
        <f>IF(H729="","",VLOOKUP(A729,'6.A'!$A$11:$E$564,4,FALSE))</f>
        <v/>
      </c>
      <c r="K729" s="52" t="str">
        <f t="shared" si="335"/>
        <v/>
      </c>
      <c r="L729" s="52" t="str">
        <f>IF(H729="","",IF(C729="","",G688*C729))</f>
        <v/>
      </c>
      <c r="M729" s="117" t="str">
        <f>IF(A729="","",VLOOKUP(A729,'6.A'!$A$11:$C$564,2,FALSE))</f>
        <v/>
      </c>
      <c r="N729" s="57" t="str">
        <f t="shared" si="336"/>
        <v/>
      </c>
      <c r="O729" s="56"/>
      <c r="P729" s="56"/>
      <c r="Q729" s="48"/>
      <c r="R729" s="48"/>
    </row>
    <row r="730" spans="1:22" ht="12.75" customHeight="1" x14ac:dyDescent="0.2">
      <c r="A730" s="22"/>
      <c r="B730" s="23" t="str">
        <f>IF(A730="","",VLOOKUP(A730,'6.A'!$A$11:$G$180,2,FALSE))</f>
        <v/>
      </c>
      <c r="C730" s="99"/>
      <c r="D730" s="57" t="str">
        <f>IF(A730="","",VLOOKUP(A730,'6.A'!$A$11:$G$180,4,FALSE))</f>
        <v/>
      </c>
      <c r="E730" s="100" t="str">
        <f>IF(A730="","",VLOOKUP(A730,'6.A'!$A$11:$G$180,5,FALSE))</f>
        <v/>
      </c>
      <c r="F730" s="24" t="str">
        <f t="shared" si="333"/>
        <v>0,00</v>
      </c>
      <c r="G730" s="52"/>
      <c r="H730" s="52" t="str">
        <f>IF(A730="","",VLOOKUP(A730,'6.A'!$A$11:$E$7984,5,FALSE))</f>
        <v/>
      </c>
      <c r="I730" s="52" t="str">
        <f t="shared" si="334"/>
        <v/>
      </c>
      <c r="J730" s="52" t="str">
        <f>IF(H730="","",VLOOKUP(A730,'6.A'!$A$11:$E$564,4,FALSE))</f>
        <v/>
      </c>
      <c r="K730" s="52" t="str">
        <f t="shared" si="335"/>
        <v/>
      </c>
      <c r="L730" s="52" t="str">
        <f>IF(H730="","",IF(C730="","",G688*C730))</f>
        <v/>
      </c>
      <c r="M730" s="117" t="str">
        <f>IF(A730="","",VLOOKUP(A730,'6.A'!$A$11:$C$564,2,FALSE))</f>
        <v/>
      </c>
      <c r="N730" s="57" t="str">
        <f t="shared" si="336"/>
        <v/>
      </c>
      <c r="O730" s="56"/>
      <c r="P730" s="56"/>
      <c r="Q730" s="48"/>
      <c r="R730" s="48"/>
    </row>
    <row r="731" spans="1:22" ht="12.75" customHeight="1" x14ac:dyDescent="0.2">
      <c r="A731" s="22"/>
      <c r="B731" s="23" t="str">
        <f>IF(A731="","",VLOOKUP(A731,'6.A'!$A$11:$G$180,2,FALSE))</f>
        <v/>
      </c>
      <c r="C731" s="99"/>
      <c r="D731" s="57" t="str">
        <f>IF(A731="","",VLOOKUP(A731,'6.A'!$A$11:$G$180,4,FALSE))</f>
        <v/>
      </c>
      <c r="E731" s="100" t="str">
        <f>IF(A731="","",VLOOKUP(A731,'6.A'!$A$11:$G$180,5,FALSE))</f>
        <v/>
      </c>
      <c r="F731" s="24" t="str">
        <f t="shared" si="333"/>
        <v>0,00</v>
      </c>
      <c r="G731" s="52"/>
      <c r="H731" s="52" t="str">
        <f>IF(A731="","",VLOOKUP(A731,'6.A'!$A$11:$E$7984,5,FALSE))</f>
        <v/>
      </c>
      <c r="I731" s="52" t="str">
        <f t="shared" si="334"/>
        <v/>
      </c>
      <c r="J731" s="52" t="str">
        <f>IF(H731="","",VLOOKUP(A731,'6.A'!$A$11:$E$564,4,FALSE))</f>
        <v/>
      </c>
      <c r="K731" s="52" t="str">
        <f t="shared" si="335"/>
        <v/>
      </c>
      <c r="L731" s="52" t="str">
        <f>IF(H731="","",IF(C731="","",G688*C731))</f>
        <v/>
      </c>
      <c r="M731" s="117" t="str">
        <f>IF(A731="","",VLOOKUP(A731,'6.A'!$A$11:$C$564,2,FALSE))</f>
        <v/>
      </c>
      <c r="N731" s="57" t="str">
        <f t="shared" si="336"/>
        <v/>
      </c>
      <c r="O731" s="56"/>
      <c r="P731" s="56"/>
      <c r="Q731" s="48"/>
      <c r="R731" s="48"/>
    </row>
    <row r="732" spans="1:22" ht="12.75" customHeight="1" x14ac:dyDescent="0.2">
      <c r="A732" s="22"/>
      <c r="B732" s="23" t="str">
        <f>IF(A732="","",VLOOKUP(A732,'6.A'!$A$11:$G$180,2,FALSE))</f>
        <v/>
      </c>
      <c r="C732" s="99"/>
      <c r="D732" s="57" t="str">
        <f>IF(A732="","",VLOOKUP(A732,'6.A'!$A$11:$G$180,4,FALSE))</f>
        <v/>
      </c>
      <c r="E732" s="100" t="str">
        <f>IF(A732="","",VLOOKUP(A732,'6.A'!$A$11:$G$180,5,FALSE))</f>
        <v/>
      </c>
      <c r="F732" s="24" t="str">
        <f t="shared" si="333"/>
        <v>0,00</v>
      </c>
      <c r="G732" s="52"/>
      <c r="H732" s="52" t="str">
        <f>IF(A732="","",VLOOKUP(A732,'6.A'!$A$11:$E$7984,5,FALSE))</f>
        <v/>
      </c>
      <c r="I732" s="52" t="str">
        <f t="shared" si="334"/>
        <v/>
      </c>
      <c r="J732" s="52" t="str">
        <f>IF(H732="","",VLOOKUP(A732,'6.A'!$A$11:$E$564,4,FALSE))</f>
        <v/>
      </c>
      <c r="K732" s="52" t="str">
        <f t="shared" si="335"/>
        <v/>
      </c>
      <c r="L732" s="52" t="str">
        <f>IF(H732="","",IF(C732="","",G688*C732))</f>
        <v/>
      </c>
      <c r="M732" s="117" t="str">
        <f>IF(A732="","",VLOOKUP(A732,'6.A'!$A$11:$C$564,2,FALSE))</f>
        <v/>
      </c>
      <c r="N732" s="57" t="str">
        <f t="shared" si="336"/>
        <v/>
      </c>
      <c r="O732" s="56"/>
      <c r="P732" s="56"/>
      <c r="Q732" s="48"/>
      <c r="R732" s="48"/>
    </row>
    <row r="733" spans="1:22" ht="12.75" customHeight="1" x14ac:dyDescent="0.2">
      <c r="A733" s="22"/>
      <c r="B733" s="23" t="str">
        <f>IF(A733="","",VLOOKUP(A733,'6.A'!$A$11:$G$180,2,FALSE))</f>
        <v/>
      </c>
      <c r="C733" s="99"/>
      <c r="D733" s="57" t="str">
        <f>IF(A733="","",VLOOKUP(A733,'6.A'!$A$11:$G$180,4,FALSE))</f>
        <v/>
      </c>
      <c r="E733" s="100" t="str">
        <f>IF(A733="","",VLOOKUP(A733,'6.A'!$A$11:$G$180,5,FALSE))</f>
        <v/>
      </c>
      <c r="F733" s="24" t="str">
        <f t="shared" si="333"/>
        <v>0,00</v>
      </c>
      <c r="G733" s="52"/>
      <c r="H733" s="52" t="str">
        <f>IF(A733="","",VLOOKUP(A733,'6.A'!$A$11:$E$7984,5,FALSE))</f>
        <v/>
      </c>
      <c r="I733" s="52" t="str">
        <f t="shared" si="334"/>
        <v/>
      </c>
      <c r="J733" s="52" t="str">
        <f>IF(H733="","",VLOOKUP(A733,'6.A'!$A$11:$E$564,4,FALSE))</f>
        <v/>
      </c>
      <c r="K733" s="52" t="str">
        <f t="shared" si="335"/>
        <v/>
      </c>
      <c r="L733" s="52" t="str">
        <f>IF(H733="","",IF(C733="","",G688*C733))</f>
        <v/>
      </c>
      <c r="M733" s="117" t="str">
        <f>IF(A733="","",VLOOKUP(A733,'6.A'!$A$11:$C$564,2,FALSE))</f>
        <v/>
      </c>
      <c r="N733" s="57" t="str">
        <f t="shared" si="336"/>
        <v/>
      </c>
      <c r="O733" s="56"/>
      <c r="P733" s="56"/>
      <c r="Q733" s="48"/>
      <c r="R733" s="48"/>
    </row>
    <row r="734" spans="1:22" ht="12.75" customHeight="1" x14ac:dyDescent="0.2">
      <c r="A734" s="22"/>
      <c r="B734" s="39" t="str">
        <f>IF(A734="","",VLOOKUP(A734,'6.A'!$A$11:$G$180,2,FALSE))</f>
        <v/>
      </c>
      <c r="C734" s="99"/>
      <c r="D734" s="57" t="str">
        <f>IF(A734="","",VLOOKUP(A734,'6.A'!$A$11:$G$180,4,FALSE))</f>
        <v/>
      </c>
      <c r="E734" s="100" t="str">
        <f>IF(A734="","",VLOOKUP(A734,'6.A'!$A$11:$G$180,5,FALSE))</f>
        <v/>
      </c>
      <c r="F734" s="24" t="str">
        <f t="shared" si="333"/>
        <v>0,00</v>
      </c>
      <c r="G734" s="52"/>
      <c r="H734" s="52" t="str">
        <f>IF(A734="","",VLOOKUP(A734,'6.A'!$A$11:$E$7984,5,FALSE))</f>
        <v/>
      </c>
      <c r="I734" s="52" t="str">
        <f t="shared" si="334"/>
        <v/>
      </c>
      <c r="J734" s="52" t="str">
        <f>IF(H734="","",VLOOKUP(A734,'6.A'!$A$11:$E$564,4,FALSE))</f>
        <v/>
      </c>
      <c r="K734" s="52" t="str">
        <f t="shared" si="335"/>
        <v/>
      </c>
      <c r="L734" s="52" t="str">
        <f>IF(H734="","",IF(C734="","",G688*C734))</f>
        <v/>
      </c>
      <c r="M734" s="117" t="str">
        <f>IF(A734="","",VLOOKUP(A734,'6.A'!$A$11:$C$564,2,FALSE))</f>
        <v/>
      </c>
      <c r="N734" s="57" t="str">
        <f t="shared" si="336"/>
        <v/>
      </c>
      <c r="O734" s="56"/>
      <c r="P734" s="56"/>
      <c r="Q734" s="48"/>
      <c r="R734" s="48"/>
    </row>
    <row r="735" spans="1:22" ht="12.75" customHeight="1" x14ac:dyDescent="0.2">
      <c r="A735" s="22"/>
      <c r="B735" s="39" t="str">
        <f>IF(A735="","",VLOOKUP(A735,'6.A'!$A$11:$G$180,2,FALSE))</f>
        <v/>
      </c>
      <c r="C735" s="99"/>
      <c r="D735" s="57" t="str">
        <f>IF(A735="","",VLOOKUP(A735,'6.A'!$A$11:$G$180,4,FALSE))</f>
        <v/>
      </c>
      <c r="E735" s="100" t="str">
        <f>IF(A735="","",VLOOKUP(A735,'6.A'!$A$11:$G$180,5,FALSE))</f>
        <v/>
      </c>
      <c r="F735" s="24" t="str">
        <f t="shared" si="333"/>
        <v>0,00</v>
      </c>
      <c r="G735" s="52"/>
      <c r="H735" s="52" t="str">
        <f>IF(A735="","",VLOOKUP(A735,'6.A'!$A$11:$E$7984,5,FALSE))</f>
        <v/>
      </c>
      <c r="I735" s="52" t="str">
        <f t="shared" si="334"/>
        <v/>
      </c>
      <c r="J735" s="52" t="str">
        <f>IF(H735="","",VLOOKUP(A735,'6.A'!$A$11:$E$564,4,FALSE))</f>
        <v/>
      </c>
      <c r="K735" s="52" t="str">
        <f t="shared" si="335"/>
        <v/>
      </c>
      <c r="L735" s="52" t="str">
        <f>IF(H735="","",IF(C735="","",G688*C735))</f>
        <v/>
      </c>
      <c r="M735" s="117" t="str">
        <f>IF(A735="","",VLOOKUP(A735,'6.A'!$A$11:$C$564,2,FALSE))</f>
        <v/>
      </c>
      <c r="N735" s="57" t="str">
        <f t="shared" si="336"/>
        <v/>
      </c>
      <c r="O735" s="56"/>
      <c r="P735" s="56"/>
      <c r="Q735" s="48"/>
      <c r="R735" s="48"/>
    </row>
    <row r="736" spans="1:22" ht="12.75" customHeight="1" x14ac:dyDescent="0.2">
      <c r="A736" s="22"/>
      <c r="B736" s="39" t="str">
        <f>IF(A736="","",VLOOKUP(A736,'6.A'!$A$11:$G$180,2,FALSE))</f>
        <v/>
      </c>
      <c r="C736" s="99"/>
      <c r="D736" s="57" t="str">
        <f>IF(A736="","",VLOOKUP(A736,'6.A'!$A$11:$G$180,4,FALSE))</f>
        <v/>
      </c>
      <c r="E736" s="100" t="str">
        <f>IF(A736="","",VLOOKUP(A736,'6.A'!$A$11:$G$180,5,FALSE))</f>
        <v/>
      </c>
      <c r="F736" s="24" t="str">
        <f t="shared" si="333"/>
        <v>0,00</v>
      </c>
      <c r="G736" s="52"/>
      <c r="H736" s="52" t="str">
        <f>IF(A736="","",VLOOKUP(A736,'6.A'!$A$11:$E$7984,5,FALSE))</f>
        <v/>
      </c>
      <c r="I736" s="52" t="str">
        <f t="shared" si="334"/>
        <v/>
      </c>
      <c r="J736" s="52" t="str">
        <f>IF(H736="","",VLOOKUP(A736,'6.A'!$A$11:$E$564,4,FALSE))</f>
        <v/>
      </c>
      <c r="K736" s="52" t="str">
        <f t="shared" si="335"/>
        <v/>
      </c>
      <c r="L736" s="52" t="str">
        <f>IF(H736="","",IF(C736="","",G688*C736))</f>
        <v/>
      </c>
      <c r="M736" s="117" t="str">
        <f>IF(A736="","",VLOOKUP(A736,'6.A'!$A$11:$C$564,2,FALSE))</f>
        <v/>
      </c>
      <c r="N736" s="57" t="str">
        <f t="shared" si="336"/>
        <v/>
      </c>
      <c r="O736" s="56"/>
      <c r="P736" s="56"/>
      <c r="Q736" s="48"/>
      <c r="R736" s="48"/>
    </row>
    <row r="737" spans="1:23" ht="12.75" customHeight="1" x14ac:dyDescent="0.2">
      <c r="A737" s="22"/>
      <c r="B737" s="26" t="str">
        <f>$A$9</f>
        <v>BDI</v>
      </c>
      <c r="C737" s="40">
        <f>$C$9</f>
        <v>0</v>
      </c>
      <c r="D737" s="57"/>
      <c r="F737" s="28">
        <f>ROUND(SUM(F717:F736)*C737,2)</f>
        <v>0</v>
      </c>
      <c r="G737" s="63"/>
      <c r="M737" s="57"/>
      <c r="N737" s="57"/>
      <c r="O737" s="56"/>
      <c r="P737" s="56"/>
      <c r="Q737" s="48"/>
      <c r="R737" s="48"/>
    </row>
    <row r="738" spans="1:23" ht="12.75" customHeight="1" thickBot="1" x14ac:dyDescent="0.25">
      <c r="A738" s="41"/>
      <c r="B738" s="42" t="s">
        <v>57</v>
      </c>
      <c r="C738" s="43"/>
      <c r="D738" s="44"/>
      <c r="E738" s="45"/>
      <c r="F738" s="46">
        <f>ROUND(SUM(F717:F737),2)</f>
        <v>0</v>
      </c>
      <c r="G738" s="63"/>
      <c r="M738" s="57"/>
      <c r="N738" s="57"/>
      <c r="O738" s="56"/>
      <c r="P738" s="56"/>
      <c r="Q738" s="48"/>
      <c r="R738" s="48"/>
    </row>
    <row r="739" spans="1:23" ht="12" customHeight="1" thickBot="1" x14ac:dyDescent="0.25">
      <c r="A739" s="8"/>
      <c r="B739" s="9"/>
      <c r="C739" s="10"/>
      <c r="D739" s="57"/>
      <c r="F739" s="12"/>
      <c r="M739" s="57"/>
      <c r="N739" s="57"/>
      <c r="O739" s="56"/>
      <c r="P739" s="56"/>
    </row>
    <row r="740" spans="1:23" ht="50.1" customHeight="1" x14ac:dyDescent="0.2">
      <c r="A740" s="13" t="str">
        <f>'3.A'!$A$36</f>
        <v>3.1.3</v>
      </c>
      <c r="B740" s="14" t="str">
        <f>IF(A740="","",VLOOKUP(A740,'3.A'!$A$17:$M$279,2,FALSE))</f>
        <v>ELETRODUTO RÍGIDO ROSCÁVEL, PVC, DN 110 MM (4"), PARA REDE ENTERRADA DE DISTRIBUIÇÃO DE ENERGIA ELÉTRICA</v>
      </c>
      <c r="C740" s="413" t="s">
        <v>62</v>
      </c>
      <c r="D740" s="413"/>
      <c r="E740" s="15" t="str">
        <f>IF(A740="","",VLOOKUP(A740,'3.A'!$A$17:$M$279,3,FALSE))</f>
        <v>M</v>
      </c>
      <c r="F740" s="16">
        <f>ROUND(F754+F767+F790,2)</f>
        <v>0</v>
      </c>
      <c r="G740" s="118">
        <f>VLOOKUP(A740,'3.A'!$A$19:$I$279,4,FALSE)</f>
        <v>6</v>
      </c>
      <c r="H740" s="47">
        <f>SUM(F742:F753)</f>
        <v>0</v>
      </c>
      <c r="I740" s="47">
        <f>SUM(F756:F766)</f>
        <v>0</v>
      </c>
      <c r="J740" s="47">
        <f>SUM(F769:F789)</f>
        <v>0</v>
      </c>
      <c r="K740" s="47">
        <f>SUM(H740:J740)</f>
        <v>0</v>
      </c>
      <c r="L740" s="47" t="str">
        <f>IF(K740=F740,"SIM","NÃO")</f>
        <v>SIM</v>
      </c>
      <c r="M740" s="58">
        <f>ROUND(SUM(F742:F751)*C752,2)+ROUND(SUM(F742:F752)*C753,2)+ROUND(SUM(F742:F751),2)+ROUND(SUM(F756:F765)*C766,2)+ROUND(SUM(F756:F765),2)+ROUND(SUM(F769:F788)*C789,2)+ROUND(SUM(F769:F788),2)</f>
        <v>0</v>
      </c>
      <c r="N740" s="50" t="str">
        <f>IF(M740=F740,"SIM","NÃO")</f>
        <v>SIM</v>
      </c>
      <c r="O740" s="51" t="str">
        <f>VLOOKUP(A740,'3.A'!$A$8:$E$279,3,FALSE)</f>
        <v>M</v>
      </c>
      <c r="P740" s="51" t="str">
        <f>IF(O740=E740,"SIM","NÃO")</f>
        <v>SIM</v>
      </c>
      <c r="Q740" s="53">
        <f>ROUND(G740*F754,2)+ROUND(G740*F767,2)+ROUND(G740*F790,2)</f>
        <v>0</v>
      </c>
      <c r="R740" s="59">
        <f>VLOOKUP(A740,'3.A'!$A$17:$L$279,12,FALSE)</f>
        <v>0</v>
      </c>
      <c r="S740" s="60" t="str">
        <f>IF(Q740=R740,"si","no")</f>
        <v>si</v>
      </c>
      <c r="T740" s="61">
        <f>SUM(L742:L751)+SUM(L756:L765)+SUM(L769:L788)</f>
        <v>9.1560000000000006</v>
      </c>
      <c r="U740" s="52">
        <f>G740*C748+G740*C750+G740*C743+G740*C744+G740*C746+G740*C749+G740*C747+G740*C742+G740*C745+G740*C751+G740*C762+G740*C756+G740*C764+G740*C763+G740*C761+G740*C758+G740*C757+G740*C759+G740*C765+G740*C760+G740*C769+G740*C770+G740*C771+G740*C779+G740*C780+G740*C781+G740*C782+G740*C783+G740*C784+G740*C785+G740*C786+G740*C787+G740*C788+G740*C777+G740*C778+G740*C772+G740*C773+G740*C774+G740*C775+G740*C776</f>
        <v>9.1560000000000006</v>
      </c>
      <c r="V740" s="54" t="str">
        <f>IF(T740=U740,"si","no")</f>
        <v>si</v>
      </c>
      <c r="W740" s="137"/>
    </row>
    <row r="741" spans="1:23" ht="12.75" customHeight="1" x14ac:dyDescent="0.2">
      <c r="A741" s="17" t="s">
        <v>3</v>
      </c>
      <c r="B741" s="18" t="s">
        <v>58</v>
      </c>
      <c r="C741" s="56" t="s">
        <v>59</v>
      </c>
      <c r="D741" s="56" t="s">
        <v>16</v>
      </c>
      <c r="E741" s="19" t="s">
        <v>60</v>
      </c>
      <c r="F741" s="20" t="s">
        <v>61</v>
      </c>
      <c r="G741" s="21"/>
      <c r="M741" s="57"/>
      <c r="N741" s="57"/>
      <c r="O741" s="56"/>
      <c r="P741" s="56"/>
      <c r="Q741" s="48"/>
      <c r="R741" s="48"/>
    </row>
    <row r="742" spans="1:23" ht="12.75" customHeight="1" x14ac:dyDescent="0.2">
      <c r="A742" s="22">
        <f>'6.A'!$A$15</f>
        <v>88247</v>
      </c>
      <c r="B742" s="23" t="str">
        <f>IF(A742="","",VLOOKUP(A742,'6.A'!$A$11:$G$180,2,FALSE))</f>
        <v>AUXILIAR DE ELETRICISTA COM ENCARGOS COMPLEMENTARES</v>
      </c>
      <c r="C742" s="99">
        <v>0.21299999999999999</v>
      </c>
      <c r="D742" s="57" t="str">
        <f>IF(A742="","",VLOOKUP(A742,'6.A'!$A$11:$G$180,4,FALSE))</f>
        <v>H</v>
      </c>
      <c r="E742" s="100">
        <f>IF(A742="","",VLOOKUP(A742,'6.A'!$A$11:$G$180,5,FALSE))</f>
        <v>0</v>
      </c>
      <c r="F742" s="24">
        <f t="shared" ref="F742:F751" si="337">IF(A742="","0,00",ROUND(C742*E742,2))</f>
        <v>0</v>
      </c>
      <c r="G742" s="52"/>
      <c r="H742" s="52">
        <f>IF(A742="","",VLOOKUP(A742,'6.A'!$A$11:$E$7984,5,FALSE))</f>
        <v>0</v>
      </c>
      <c r="I742" s="52" t="str">
        <f>IF(H742="","",IF(E742=H742,"SIM","NÃO"))</f>
        <v>SIM</v>
      </c>
      <c r="J742" s="52" t="str">
        <f>IF(H742="","",VLOOKUP(A742,'6.A'!$A$11:$E$564,4,FALSE))</f>
        <v>H</v>
      </c>
      <c r="K742" s="52" t="str">
        <f>IF(H742="","",IF(J742=D742,"SIM","NÃO"))</f>
        <v>SIM</v>
      </c>
      <c r="L742" s="52">
        <f>IF(H742="","",IF(C742="","",G740*C742))</f>
        <v>1.278</v>
      </c>
      <c r="M742" s="117" t="str">
        <f>IF(A742="","",VLOOKUP(A742,'6.A'!$A$11:$C$564,2,FALSE))</f>
        <v>AUXILIAR DE ELETRICISTA COM ENCARGOS COMPLEMENTARES</v>
      </c>
      <c r="N742" s="57" t="str">
        <f>IF(A742="","",IF(M742=B742,"si","no"))</f>
        <v>si</v>
      </c>
      <c r="O742" s="56"/>
      <c r="P742" s="56"/>
      <c r="Q742" s="48"/>
      <c r="R742" s="48"/>
    </row>
    <row r="743" spans="1:23" ht="12.75" customHeight="1" x14ac:dyDescent="0.2">
      <c r="A743" s="22">
        <f>'6.A'!$A$18</f>
        <v>88264</v>
      </c>
      <c r="B743" s="23" t="str">
        <f>IF(A743="","",VLOOKUP(A743,'6.A'!$A$11:$G$180,2,FALSE))</f>
        <v>ELETRICISTA COM ENCARGOS COMPLEMENTARES</v>
      </c>
      <c r="C743" s="99">
        <v>0.21299999999999999</v>
      </c>
      <c r="D743" s="57" t="str">
        <f>IF(A743="","",VLOOKUP(A743,'6.A'!$A$11:$G$180,4,FALSE))</f>
        <v>H</v>
      </c>
      <c r="E743" s="100">
        <f>IF(A743="","",VLOOKUP(A743,'6.A'!$A$11:$G$180,5,FALSE))</f>
        <v>0</v>
      </c>
      <c r="F743" s="24">
        <f t="shared" si="337"/>
        <v>0</v>
      </c>
      <c r="G743" s="52"/>
      <c r="H743" s="52">
        <f>IF(A743="","",VLOOKUP(A743,'6.A'!$A$11:$E$7984,5,FALSE))</f>
        <v>0</v>
      </c>
      <c r="I743" s="52" t="str">
        <f>IF(H743="","",IF(E743=H743,"SIM","NÃO"))</f>
        <v>SIM</v>
      </c>
      <c r="J743" s="52" t="str">
        <f>IF(H743="","",VLOOKUP(A743,'6.A'!$A$11:$E$564,4,FALSE))</f>
        <v>H</v>
      </c>
      <c r="K743" s="52" t="str">
        <f>IF(H743="","",IF(J743=D743,"SIM","NÃO"))</f>
        <v>SIM</v>
      </c>
      <c r="L743" s="52">
        <f>IF(H743="","",IF(C743="","",G740*C743))</f>
        <v>1.278</v>
      </c>
      <c r="M743" s="117" t="str">
        <f>IF(A743="","",VLOOKUP(A743,'6.A'!$A$11:$C$564,2,FALSE))</f>
        <v>ELETRICISTA COM ENCARGOS COMPLEMENTARES</v>
      </c>
      <c r="N743" s="57" t="str">
        <f>IF(A743="","",IF(M743=B743,"si","no"))</f>
        <v>si</v>
      </c>
      <c r="O743" s="56"/>
      <c r="P743" s="56"/>
      <c r="Q743" s="48"/>
      <c r="R743" s="48"/>
    </row>
    <row r="744" spans="1:23" ht="12.75" customHeight="1" x14ac:dyDescent="0.2">
      <c r="A744" s="22"/>
      <c r="B744" s="23" t="str">
        <f>IF(A744="","",VLOOKUP(A744,'6.A'!$A$11:$G$180,2,FALSE))</f>
        <v/>
      </c>
      <c r="C744" s="99"/>
      <c r="D744" s="57" t="str">
        <f>IF(A744="","",VLOOKUP(A744,'6.A'!$A$11:$G$180,4,FALSE))</f>
        <v/>
      </c>
      <c r="E744" s="100" t="str">
        <f>IF(A744="","",VLOOKUP(A744,'6.A'!$A$11:$G$180,5,FALSE))</f>
        <v/>
      </c>
      <c r="F744" s="24" t="str">
        <f t="shared" si="337"/>
        <v>0,00</v>
      </c>
      <c r="G744" s="52"/>
      <c r="H744" s="52" t="str">
        <f>IF(A744="","",VLOOKUP(A744,'6.A'!$A$11:$E$7984,5,FALSE))</f>
        <v/>
      </c>
      <c r="I744" s="52" t="str">
        <f>IF(H744="","",IF(E744=H744,"SIM","NÃO"))</f>
        <v/>
      </c>
      <c r="J744" s="52" t="str">
        <f>IF(H744="","",VLOOKUP(A744,'6.A'!$A$11:$E$564,4,FALSE))</f>
        <v/>
      </c>
      <c r="K744" s="52" t="str">
        <f t="shared" ref="K744" si="338">IF(H744="","",IF(J744=D744,"SIM","NÃO"))</f>
        <v/>
      </c>
      <c r="L744" s="52" t="str">
        <f>IF(H744="","",IF(C744="","",G740*C744))</f>
        <v/>
      </c>
      <c r="M744" s="117" t="str">
        <f>IF(A744="","",VLOOKUP(A744,'6.A'!$A$11:$C$564,2,FALSE))</f>
        <v/>
      </c>
      <c r="N744" s="57" t="str">
        <f t="shared" ref="N744" si="339">IF(A744="","",IF(M744=B744,"si","no"))</f>
        <v/>
      </c>
      <c r="O744" s="56"/>
      <c r="P744" s="56"/>
      <c r="Q744" s="48"/>
      <c r="R744" s="48"/>
      <c r="S744" s="2"/>
    </row>
    <row r="745" spans="1:23" ht="12.75" customHeight="1" x14ac:dyDescent="0.2">
      <c r="A745" s="22"/>
      <c r="B745" s="23" t="str">
        <f>IF(A745="","",VLOOKUP(A745,'6.A'!$A$11:$G$180,2,FALSE))</f>
        <v/>
      </c>
      <c r="C745" s="99"/>
      <c r="D745" s="57" t="str">
        <f>IF(A745="","",VLOOKUP(A745,'6.A'!$A$11:$G$180,4,FALSE))</f>
        <v/>
      </c>
      <c r="E745" s="100" t="str">
        <f>IF(A745="","",VLOOKUP(A745,'6.A'!$A$11:$G$180,5,FALSE))</f>
        <v/>
      </c>
      <c r="F745" s="24" t="str">
        <f t="shared" si="337"/>
        <v>0,00</v>
      </c>
      <c r="G745" s="52"/>
      <c r="H745" s="52" t="str">
        <f>IF(A745="","",VLOOKUP(A745,'6.A'!$A$11:$E$7984,5,FALSE))</f>
        <v/>
      </c>
      <c r="I745" s="52" t="str">
        <f>IF(H745="","",IF(E745=H745,"SIM","NÃO"))</f>
        <v/>
      </c>
      <c r="J745" s="52" t="str">
        <f>IF(H745="","",VLOOKUP(A745,'6.A'!$A$11:$E$564,4,FALSE))</f>
        <v/>
      </c>
      <c r="K745" s="52" t="str">
        <f>IF(H745="","",IF(J745=D745,"SIM","NÃO"))</f>
        <v/>
      </c>
      <c r="L745" s="52" t="str">
        <f>IF(H745="","",IF(C745="","",G740*C745))</f>
        <v/>
      </c>
      <c r="M745" s="117" t="str">
        <f>IF(A745="","",VLOOKUP(A745,'6.A'!$A$11:$C$564,2,FALSE))</f>
        <v/>
      </c>
      <c r="N745" s="57" t="str">
        <f>IF(A745="","",IF(M745=B745,"si","no"))</f>
        <v/>
      </c>
      <c r="O745" s="56"/>
      <c r="P745" s="56"/>
      <c r="Q745" s="48"/>
      <c r="R745" s="48"/>
      <c r="S745" s="2"/>
    </row>
    <row r="746" spans="1:23" ht="12.75" customHeight="1" x14ac:dyDescent="0.2">
      <c r="A746" s="22"/>
      <c r="B746" s="23" t="str">
        <f>IF(A746="","",VLOOKUP(A746,'6.A'!$A$11:$G$180,2,FALSE))</f>
        <v/>
      </c>
      <c r="C746" s="99"/>
      <c r="D746" s="57" t="str">
        <f>IF(A746="","",VLOOKUP(A746,'6.A'!$A$11:$G$180,4,FALSE))</f>
        <v/>
      </c>
      <c r="E746" s="101" t="str">
        <f>IF(A746="","",VLOOKUP(A746,'6.A'!$A$11:$G$180,5,FALSE))</f>
        <v/>
      </c>
      <c r="F746" s="24" t="str">
        <f t="shared" si="337"/>
        <v>0,00</v>
      </c>
      <c r="G746" s="52"/>
      <c r="H746" s="52" t="str">
        <f>IF(A746="","",VLOOKUP(A746,'6.A'!$A$11:$E$7984,5,FALSE))</f>
        <v/>
      </c>
      <c r="I746" s="52" t="str">
        <f t="shared" ref="I746" si="340">IF(H746="","",IF(E746=H746,"SIM","NÃO"))</f>
        <v/>
      </c>
      <c r="J746" s="52" t="str">
        <f>IF(H746="","",VLOOKUP(A746,'6.A'!$A$11:$E$564,4,FALSE))</f>
        <v/>
      </c>
      <c r="K746" s="52" t="str">
        <f t="shared" ref="K746" si="341">IF(H746="","",IF(J746=D746,"SIM","NÃO"))</f>
        <v/>
      </c>
      <c r="L746" s="52" t="str">
        <f>IF(H746="","",IF(C746="","",G740*C746))</f>
        <v/>
      </c>
      <c r="M746" s="117" t="str">
        <f>IF(A746="","",VLOOKUP(A746,'6.A'!$A$11:$C$564,2,FALSE))</f>
        <v/>
      </c>
      <c r="N746" s="57" t="str">
        <f t="shared" ref="N746" si="342">IF(A746="","",IF(M746=B746,"si","no"))</f>
        <v/>
      </c>
      <c r="O746" s="56"/>
      <c r="P746" s="56"/>
      <c r="Q746" s="48"/>
      <c r="R746" s="48"/>
      <c r="S746" s="2"/>
    </row>
    <row r="747" spans="1:23" ht="12.75" customHeight="1" x14ac:dyDescent="0.2">
      <c r="A747" s="22"/>
      <c r="B747" s="23" t="str">
        <f>IF(A747="","",VLOOKUP(A747,'6.A'!$A$11:$G$180,2,FALSE))</f>
        <v/>
      </c>
      <c r="C747" s="99"/>
      <c r="D747" s="57" t="str">
        <f>IF(A747="","",VLOOKUP(A747,'6.A'!$A$11:$G$180,4,FALSE))</f>
        <v/>
      </c>
      <c r="E747" s="101" t="str">
        <f>IF(A747="","",VLOOKUP(A747,'6.A'!$A$11:$G$180,5,FALSE))</f>
        <v/>
      </c>
      <c r="F747" s="24" t="str">
        <f t="shared" si="337"/>
        <v>0,00</v>
      </c>
      <c r="G747" s="52"/>
      <c r="H747" s="52" t="str">
        <f>IF(A747="","",VLOOKUP(A747,'6.A'!$A$11:$E$7984,5,FALSE))</f>
        <v/>
      </c>
      <c r="I747" s="52" t="str">
        <f>IF(H747="","",IF(E747=H747,"SIM","NÃO"))</f>
        <v/>
      </c>
      <c r="J747" s="52" t="str">
        <f>IF(H747="","",VLOOKUP(A747,'6.A'!$A$11:$E$564,4,FALSE))</f>
        <v/>
      </c>
      <c r="K747" s="52" t="str">
        <f>IF(H747="","",IF(J747=D747,"SIM","NÃO"))</f>
        <v/>
      </c>
      <c r="L747" s="52" t="str">
        <f>IF(H747="","",IF(C747="","",G740*C747))</f>
        <v/>
      </c>
      <c r="M747" s="117" t="str">
        <f>IF(A747="","",VLOOKUP(A747,'6.A'!$A$11:$C$564,2,FALSE))</f>
        <v/>
      </c>
      <c r="N747" s="57" t="str">
        <f>IF(A747="","",IF(M747=B747,"si","no"))</f>
        <v/>
      </c>
      <c r="O747" s="56"/>
      <c r="P747" s="56"/>
      <c r="Q747" s="48"/>
      <c r="R747" s="48"/>
      <c r="S747" s="2"/>
    </row>
    <row r="748" spans="1:23" ht="12.75" customHeight="1" x14ac:dyDescent="0.2">
      <c r="A748" s="22"/>
      <c r="B748" s="23" t="str">
        <f>IF(A748="","",VLOOKUP(A748,'6.A'!$A$11:$G$180,2,FALSE))</f>
        <v/>
      </c>
      <c r="C748" s="99"/>
      <c r="D748" s="57" t="str">
        <f>IF(A748="","",VLOOKUP(A748,'6.A'!$A$11:$G$180,4,FALSE))</f>
        <v/>
      </c>
      <c r="E748" s="100" t="str">
        <f>IF(A748="","",VLOOKUP(A748,'6.A'!$A$11:$G$180,5,FALSE))</f>
        <v/>
      </c>
      <c r="F748" s="24" t="str">
        <f t="shared" si="337"/>
        <v>0,00</v>
      </c>
      <c r="G748" s="52"/>
      <c r="H748" s="52" t="str">
        <f>IF(A748="","",VLOOKUP(A748,'6.A'!$A$11:$E$7984,5,FALSE))</f>
        <v/>
      </c>
      <c r="I748" s="52" t="str">
        <f>IF(H748="","",IF(E748=H748,"SIM","NÃO"))</f>
        <v/>
      </c>
      <c r="J748" s="52" t="str">
        <f>IF(H748="","",VLOOKUP(A748,'6.A'!$A$11:$E$564,4,FALSE))</f>
        <v/>
      </c>
      <c r="K748" s="52" t="str">
        <f>IF(H748="","",IF(J748=D748,"SIM","NÃO"))</f>
        <v/>
      </c>
      <c r="L748" s="52" t="str">
        <f>IF(H748="","",IF(C748="","",G740*C748))</f>
        <v/>
      </c>
      <c r="M748" s="117" t="str">
        <f>IF(A748="","",VLOOKUP(A748,'6.A'!$A$11:$C$564,2,FALSE))</f>
        <v/>
      </c>
      <c r="N748" s="57" t="str">
        <f>IF(A748="","",IF(M748=B748,"si","no"))</f>
        <v/>
      </c>
      <c r="O748" s="56"/>
      <c r="P748" s="56"/>
      <c r="Q748" s="48"/>
      <c r="R748" s="48"/>
      <c r="S748" s="2"/>
    </row>
    <row r="749" spans="1:23" ht="12.75" customHeight="1" x14ac:dyDescent="0.2">
      <c r="A749" s="22"/>
      <c r="B749" s="23" t="str">
        <f>IF(A749="","",VLOOKUP(A749,'6.A'!$A$11:$G$180,2,FALSE))</f>
        <v/>
      </c>
      <c r="C749" s="99"/>
      <c r="D749" s="57" t="str">
        <f>IF(A749="","",VLOOKUP(A749,'6.A'!$A$11:$G$180,4,FALSE))</f>
        <v/>
      </c>
      <c r="E749" s="100" t="str">
        <f>IF(A749="","",VLOOKUP(A749,'6.A'!$A$11:$G$180,5,FALSE))</f>
        <v/>
      </c>
      <c r="F749" s="24" t="str">
        <f t="shared" si="337"/>
        <v>0,00</v>
      </c>
      <c r="G749" s="52"/>
      <c r="H749" s="52" t="str">
        <f>IF(A749="","",VLOOKUP(A749,'6.A'!$A$11:$E$7984,5,FALSE))</f>
        <v/>
      </c>
      <c r="I749" s="52" t="str">
        <f t="shared" ref="I749" si="343">IF(H749="","",IF(E749=H749,"SIM","NÃO"))</f>
        <v/>
      </c>
      <c r="J749" s="52" t="str">
        <f>IF(H749="","",VLOOKUP(A749,'6.A'!$A$11:$E$564,4,FALSE))</f>
        <v/>
      </c>
      <c r="K749" s="52" t="str">
        <f t="shared" ref="K749" si="344">IF(H749="","",IF(J749=D749,"SIM","NÃO"))</f>
        <v/>
      </c>
      <c r="L749" s="52" t="str">
        <f>IF(H749="","",IF(C749="","",G740*C749))</f>
        <v/>
      </c>
      <c r="M749" s="117" t="str">
        <f>IF(A749="","",VLOOKUP(A749,'6.A'!$A$11:$C$564,2,FALSE))</f>
        <v/>
      </c>
      <c r="N749" s="57" t="str">
        <f t="shared" ref="N749" si="345">IF(A749="","",IF(M749=B749,"si","no"))</f>
        <v/>
      </c>
      <c r="O749" s="56"/>
      <c r="P749" s="56"/>
      <c r="Q749" s="48"/>
      <c r="R749" s="48"/>
      <c r="S749" s="2"/>
    </row>
    <row r="750" spans="1:23" ht="12.75" customHeight="1" x14ac:dyDescent="0.2">
      <c r="A750" s="22"/>
      <c r="B750" s="23" t="str">
        <f>IF(A750="","",VLOOKUP(A750,'6.A'!$A$11:$G$180,2,FALSE))</f>
        <v/>
      </c>
      <c r="C750" s="99"/>
      <c r="D750" s="73" t="str">
        <f>IF(A750="","",VLOOKUP(A750,'6.A'!$A$11:$G$180,4,FALSE))</f>
        <v/>
      </c>
      <c r="E750" s="101" t="str">
        <f>IF(A750="","",VLOOKUP(A750,'6.A'!$A$11:$G$180,5,FALSE))</f>
        <v/>
      </c>
      <c r="F750" s="24" t="str">
        <f t="shared" si="337"/>
        <v>0,00</v>
      </c>
      <c r="G750" s="52"/>
      <c r="H750" s="52" t="str">
        <f>IF(A750="","",VLOOKUP(A750,'6.A'!$A$11:$E$7984,5,FALSE))</f>
        <v/>
      </c>
      <c r="I750" s="52" t="str">
        <f>IF(H750="","",IF(E750=H750,"SIM","NÃO"))</f>
        <v/>
      </c>
      <c r="J750" s="52" t="str">
        <f>IF(H750="","",VLOOKUP(A750,'6.A'!$A$11:$E$564,4,FALSE))</f>
        <v/>
      </c>
      <c r="K750" s="52" t="str">
        <f>IF(H750="","",IF(J750=D750,"SIM","NÃO"))</f>
        <v/>
      </c>
      <c r="L750" s="52" t="str">
        <f>IF(H750="","",IF(C750="","",G740*C750))</f>
        <v/>
      </c>
      <c r="M750" s="117" t="str">
        <f>IF(A750="","",VLOOKUP(A750,'6.A'!$A$11:$C$564,2,FALSE))</f>
        <v/>
      </c>
      <c r="N750" s="57" t="str">
        <f>IF(A750="","",IF(M750=B750,"si","no"))</f>
        <v/>
      </c>
      <c r="O750" s="56"/>
      <c r="P750" s="56"/>
      <c r="Q750" s="48"/>
      <c r="R750" s="48"/>
      <c r="S750" s="2"/>
    </row>
    <row r="751" spans="1:23" ht="12.75" customHeight="1" x14ac:dyDescent="0.2">
      <c r="A751" s="22"/>
      <c r="B751" s="23" t="str">
        <f>IF(A751="","",VLOOKUP(A751,'6.A'!$A$11:$G$180,2,FALSE))</f>
        <v/>
      </c>
      <c r="C751" s="99"/>
      <c r="D751" s="25" t="str">
        <f>IF(A751="","",VLOOKUP(A751,'6.A'!$A$11:$G$180,4,FALSE))</f>
        <v/>
      </c>
      <c r="E751" s="101" t="str">
        <f>IF(A751="","",VLOOKUP(A751,'6.A'!$A$11:$G$180,5,FALSE))</f>
        <v/>
      </c>
      <c r="F751" s="24" t="str">
        <f t="shared" si="337"/>
        <v>0,00</v>
      </c>
      <c r="G751" s="52"/>
      <c r="H751" s="52" t="str">
        <f>IF(A751="","",VLOOKUP(A751,'6.A'!$A$11:$E$7984,5,FALSE))</f>
        <v/>
      </c>
      <c r="I751" s="52" t="str">
        <f t="shared" ref="I751" si="346">IF(H751="","",IF(E751=H751,"SIM","NÃO"))</f>
        <v/>
      </c>
      <c r="J751" s="52" t="str">
        <f>IF(H751="","",VLOOKUP(A751,'6.A'!$A$11:$E$564,4,FALSE))</f>
        <v/>
      </c>
      <c r="K751" s="52" t="str">
        <f t="shared" ref="K751" si="347">IF(H751="","",IF(J751=D751,"SIM","NÃO"))</f>
        <v/>
      </c>
      <c r="L751" s="52" t="str">
        <f>IF(H751="","",IF(C751="","",G740*C751))</f>
        <v/>
      </c>
      <c r="M751" s="117" t="str">
        <f>IF(A751="","",VLOOKUP(A751,'6.A'!$A$11:$C$564,2,FALSE))</f>
        <v/>
      </c>
      <c r="N751" s="57" t="str">
        <f t="shared" ref="N751" si="348">IF(A751="","",IF(M751=B751,"si","no"))</f>
        <v/>
      </c>
      <c r="O751" s="56"/>
      <c r="P751" s="56"/>
      <c r="Q751" s="48"/>
      <c r="R751" s="48"/>
      <c r="S751" s="2"/>
    </row>
    <row r="752" spans="1:23" ht="12.75" customHeight="1" x14ac:dyDescent="0.2">
      <c r="A752" s="17"/>
      <c r="B752" s="26" t="str">
        <f>$A$8</f>
        <v>LEIS SOCIAIS HORISTA - JORNADA NORMAL</v>
      </c>
      <c r="C752" s="27">
        <f>$C$8</f>
        <v>0</v>
      </c>
      <c r="D752" s="57"/>
      <c r="F752" s="28">
        <f>ROUND(SUM(F742:F751)*C752,2)</f>
        <v>0</v>
      </c>
      <c r="G752" s="63"/>
      <c r="M752" s="62"/>
      <c r="N752" s="57"/>
      <c r="O752" s="56"/>
      <c r="P752" s="56"/>
      <c r="Q752" s="48"/>
      <c r="R752" s="48"/>
      <c r="S752" s="2"/>
    </row>
    <row r="753" spans="1:19" ht="12.75" customHeight="1" x14ac:dyDescent="0.2">
      <c r="A753" s="22"/>
      <c r="B753" s="26" t="str">
        <f>$A$9</f>
        <v>BDI</v>
      </c>
      <c r="C753" s="27">
        <f>$C$9</f>
        <v>0</v>
      </c>
      <c r="D753" s="29"/>
      <c r="F753" s="28">
        <f>ROUND(SUM(F742:F752)*C753,2)</f>
        <v>0</v>
      </c>
      <c r="G753" s="63"/>
      <c r="M753" s="62"/>
      <c r="N753" s="57"/>
      <c r="O753" s="56"/>
      <c r="P753" s="56"/>
      <c r="Q753" s="48"/>
      <c r="R753" s="48"/>
      <c r="S753" s="2"/>
    </row>
    <row r="754" spans="1:19" ht="12.75" customHeight="1" x14ac:dyDescent="0.2">
      <c r="A754" s="30"/>
      <c r="B754" s="31" t="s">
        <v>56</v>
      </c>
      <c r="C754" s="32"/>
      <c r="D754" s="33"/>
      <c r="E754" s="34"/>
      <c r="F754" s="35">
        <f>ROUND(SUM(F742:F753),2)</f>
        <v>0</v>
      </c>
      <c r="G754" s="63"/>
      <c r="M754" s="62"/>
      <c r="N754" s="57"/>
      <c r="O754" s="56"/>
      <c r="P754" s="56"/>
      <c r="Q754" s="48"/>
      <c r="R754" s="48"/>
      <c r="S754" s="2"/>
    </row>
    <row r="755" spans="1:19" ht="12.75" customHeight="1" x14ac:dyDescent="0.2">
      <c r="A755" s="17" t="s">
        <v>5</v>
      </c>
      <c r="B755" s="153" t="s">
        <v>130</v>
      </c>
      <c r="C755" s="56" t="s">
        <v>59</v>
      </c>
      <c r="D755" s="56" t="s">
        <v>16</v>
      </c>
      <c r="E755" s="19" t="s">
        <v>60</v>
      </c>
      <c r="F755" s="20" t="s">
        <v>61</v>
      </c>
      <c r="G755" s="21"/>
      <c r="M755" s="62"/>
      <c r="N755" s="57"/>
      <c r="O755" s="56"/>
      <c r="P755" s="56"/>
      <c r="Q755" s="48"/>
      <c r="R755" s="48"/>
      <c r="S755" s="2"/>
    </row>
    <row r="756" spans="1:19" ht="12.75" customHeight="1" x14ac:dyDescent="0.2">
      <c r="A756" s="22"/>
      <c r="B756" s="23" t="str">
        <f>IF(A756="","",VLOOKUP(A756,'6.A'!$A$11:$G$180,2,FALSE))</f>
        <v/>
      </c>
      <c r="C756" s="99"/>
      <c r="D756" s="57" t="str">
        <f>IF(A756="","",VLOOKUP(A756,'6.A'!$A$11:$G$180,4,FALSE))</f>
        <v/>
      </c>
      <c r="E756" s="100" t="str">
        <f>IF(A756="","",VLOOKUP(A756,'6.A'!$A$11:$G$180,5,FALSE))</f>
        <v/>
      </c>
      <c r="F756" s="24" t="str">
        <f t="shared" ref="F756:F765" si="349">IF(A756="","0,00",ROUND(C756*E756,2))</f>
        <v>0,00</v>
      </c>
      <c r="G756" s="52"/>
      <c r="H756" s="52" t="str">
        <f>IF(A756="","",VLOOKUP(A756,'6.A'!$A$11:$E$7984,5,FALSE))</f>
        <v/>
      </c>
      <c r="I756" s="52" t="str">
        <f t="shared" ref="I756:I765" si="350">IF(H756="","",IF(E756=H756,"SIM","NÃO"))</f>
        <v/>
      </c>
      <c r="J756" s="52" t="str">
        <f>IF(H756="","",VLOOKUP(A756,'6.A'!$A$11:$E$564,4,FALSE))</f>
        <v/>
      </c>
      <c r="K756" s="52" t="str">
        <f t="shared" ref="K756:K765" si="351">IF(H756="","",IF(J756=D756,"SIM","NÃO"))</f>
        <v/>
      </c>
      <c r="L756" s="52" t="str">
        <f>IF(H756="","",IF(C756="","",G740*C756))</f>
        <v/>
      </c>
      <c r="M756" s="117" t="str">
        <f>IF(A756="","",VLOOKUP(A756,'6.A'!$A$11:$C$564,2,FALSE))</f>
        <v/>
      </c>
      <c r="N756" s="57" t="str">
        <f t="shared" ref="N756:N761" si="352">IF(A756="","",IF(M756=B756,"si","no"))</f>
        <v/>
      </c>
      <c r="O756" s="56"/>
      <c r="P756" s="56"/>
      <c r="Q756" s="48"/>
      <c r="R756" s="48"/>
      <c r="S756" s="2"/>
    </row>
    <row r="757" spans="1:19" ht="12.75" customHeight="1" x14ac:dyDescent="0.2">
      <c r="A757" s="22"/>
      <c r="B757" s="23" t="str">
        <f>IF(A757="","",VLOOKUP(A757,'6.A'!$A$11:$G$180,2,FALSE))</f>
        <v/>
      </c>
      <c r="C757" s="99"/>
      <c r="D757" s="57" t="str">
        <f>IF(A757="","",VLOOKUP(A757,'6.A'!$A$11:$G$180,4,FALSE))</f>
        <v/>
      </c>
      <c r="E757" s="100" t="str">
        <f>IF(A757="","",VLOOKUP(A757,'6.A'!$A$11:$G$180,5,FALSE))</f>
        <v/>
      </c>
      <c r="F757" s="24" t="str">
        <f t="shared" si="349"/>
        <v>0,00</v>
      </c>
      <c r="G757" s="52"/>
      <c r="H757" s="52" t="str">
        <f>IF(A757="","",VLOOKUP(A757,'6.A'!$A$11:$E$7984,5,FALSE))</f>
        <v/>
      </c>
      <c r="I757" s="52" t="str">
        <f t="shared" si="350"/>
        <v/>
      </c>
      <c r="J757" s="52" t="str">
        <f>IF(H757="","",VLOOKUP(A757,'6.A'!$A$11:$E$564,4,FALSE))</f>
        <v/>
      </c>
      <c r="K757" s="52" t="str">
        <f t="shared" si="351"/>
        <v/>
      </c>
      <c r="L757" s="52" t="str">
        <f>IF(H757="","",IF(C757="","",G740*C757))</f>
        <v/>
      </c>
      <c r="M757" s="117" t="str">
        <f>IF(A757="","",VLOOKUP(A757,'6.A'!$A$11:$C$564,2,FALSE))</f>
        <v/>
      </c>
      <c r="N757" s="57" t="str">
        <f t="shared" si="352"/>
        <v/>
      </c>
      <c r="O757" s="56"/>
      <c r="P757" s="56"/>
      <c r="Q757" s="48"/>
      <c r="R757" s="48"/>
      <c r="S757" s="2"/>
    </row>
    <row r="758" spans="1:19" ht="12.75" customHeight="1" x14ac:dyDescent="0.2">
      <c r="A758" s="22"/>
      <c r="B758" s="23" t="str">
        <f>IF(A758="","",VLOOKUP(A758,'6.A'!$A$11:$G$180,2,FALSE))</f>
        <v/>
      </c>
      <c r="C758" s="99"/>
      <c r="D758" s="57" t="str">
        <f>IF(A758="","",VLOOKUP(A758,'6.A'!$A$11:$G$180,4,FALSE))</f>
        <v/>
      </c>
      <c r="E758" s="100" t="str">
        <f>IF(A758="","",VLOOKUP(A758,'6.A'!$A$11:$G$180,5,FALSE))</f>
        <v/>
      </c>
      <c r="F758" s="24" t="str">
        <f t="shared" si="349"/>
        <v>0,00</v>
      </c>
      <c r="G758" s="52"/>
      <c r="H758" s="52" t="str">
        <f>IF(A758="","",VLOOKUP(A758,'6.A'!$A$11:$E$7984,5,FALSE))</f>
        <v/>
      </c>
      <c r="I758" s="52" t="str">
        <f t="shared" si="350"/>
        <v/>
      </c>
      <c r="J758" s="52" t="str">
        <f>IF(H758="","",VLOOKUP(A758,'6.A'!$A$11:$E$564,4,FALSE))</f>
        <v/>
      </c>
      <c r="K758" s="52" t="str">
        <f t="shared" si="351"/>
        <v/>
      </c>
      <c r="L758" s="52" t="str">
        <f>IF(H758="","",IF(C758="","",G740*C758))</f>
        <v/>
      </c>
      <c r="M758" s="117" t="str">
        <f>IF(A758="","",VLOOKUP(A758,'6.A'!$A$11:$C$564,2,FALSE))</f>
        <v/>
      </c>
      <c r="N758" s="57" t="str">
        <f t="shared" si="352"/>
        <v/>
      </c>
      <c r="O758" s="56"/>
      <c r="P758" s="56"/>
      <c r="Q758" s="48"/>
      <c r="R758" s="48"/>
      <c r="S758" s="2"/>
    </row>
    <row r="759" spans="1:19" ht="12.75" customHeight="1" x14ac:dyDescent="0.2">
      <c r="A759" s="22"/>
      <c r="B759" s="55" t="str">
        <f>IF(A759="","",VLOOKUP(A759,'6.A'!$A$11:$G$180,2,FALSE))</f>
        <v/>
      </c>
      <c r="C759" s="134"/>
      <c r="D759" s="57" t="str">
        <f>IF(A759="","",VLOOKUP(A759,'6.A'!$A$11:$G$180,4,FALSE))</f>
        <v/>
      </c>
      <c r="E759" s="100" t="str">
        <f>IF(A759="","",VLOOKUP(A759,'6.A'!$A$11:$G$180,5,FALSE))</f>
        <v/>
      </c>
      <c r="F759" s="24" t="str">
        <f t="shared" si="349"/>
        <v>0,00</v>
      </c>
      <c r="G759" s="52"/>
      <c r="H759" s="52" t="str">
        <f>IF(A759="","",VLOOKUP(A759,'6.A'!$A$11:$E$7984,5,FALSE))</f>
        <v/>
      </c>
      <c r="I759" s="52" t="str">
        <f t="shared" si="350"/>
        <v/>
      </c>
      <c r="J759" s="52" t="str">
        <f>IF(H759="","",VLOOKUP(A759,'6.A'!$A$11:$E$564,4,FALSE))</f>
        <v/>
      </c>
      <c r="K759" s="52" t="str">
        <f t="shared" si="351"/>
        <v/>
      </c>
      <c r="L759" s="52" t="str">
        <f>IF(H759="","",IF(C759="","",G740*C759))</f>
        <v/>
      </c>
      <c r="M759" s="117" t="str">
        <f>IF(A759="","",VLOOKUP(A759,'6.A'!$A$11:$C$564,2,FALSE))</f>
        <v/>
      </c>
      <c r="N759" s="57" t="str">
        <f t="shared" si="352"/>
        <v/>
      </c>
      <c r="O759" s="56"/>
      <c r="P759" s="56"/>
      <c r="Q759" s="48"/>
      <c r="R759" s="48"/>
      <c r="S759" s="2"/>
    </row>
    <row r="760" spans="1:19" ht="12.75" customHeight="1" x14ac:dyDescent="0.2">
      <c r="A760" s="22"/>
      <c r="B760" s="23" t="str">
        <f>IF(A760="","",VLOOKUP(A760,'6.A'!$A$11:$G$180,2,FALSE))</f>
        <v/>
      </c>
      <c r="C760" s="99"/>
      <c r="D760" s="57" t="str">
        <f>IF(A760="","",VLOOKUP(A760,'6.A'!$A$11:$G$180,4,FALSE))</f>
        <v/>
      </c>
      <c r="E760" s="100" t="str">
        <f>IF(A760="","",VLOOKUP(A760,'6.A'!$A$11:$G$180,5,FALSE))</f>
        <v/>
      </c>
      <c r="F760" s="24" t="str">
        <f t="shared" si="349"/>
        <v>0,00</v>
      </c>
      <c r="G760" s="52"/>
      <c r="H760" s="52" t="str">
        <f>IF(A760="","",VLOOKUP(A760,'6.A'!$A$11:$E$7984,5,FALSE))</f>
        <v/>
      </c>
      <c r="I760" s="52" t="str">
        <f t="shared" si="350"/>
        <v/>
      </c>
      <c r="J760" s="52" t="str">
        <f>IF(H760="","",VLOOKUP(A760,'6.A'!$A$11:$E$564,4,FALSE))</f>
        <v/>
      </c>
      <c r="K760" s="52" t="str">
        <f t="shared" si="351"/>
        <v/>
      </c>
      <c r="L760" s="52" t="str">
        <f>IF(H760="","",IF(C760="","",G740*C760))</f>
        <v/>
      </c>
      <c r="M760" s="117" t="str">
        <f>IF(A760="","",VLOOKUP(A760,'6.A'!$A$11:$C$564,2,FALSE))</f>
        <v/>
      </c>
      <c r="N760" s="57" t="str">
        <f t="shared" si="352"/>
        <v/>
      </c>
      <c r="O760" s="56"/>
      <c r="P760" s="56"/>
      <c r="Q760" s="48"/>
      <c r="R760" s="48"/>
      <c r="S760" s="2"/>
    </row>
    <row r="761" spans="1:19" ht="12.75" customHeight="1" x14ac:dyDescent="0.2">
      <c r="A761" s="22"/>
      <c r="B761" s="23" t="str">
        <f>IF(A761="","",VLOOKUP(A761,'6.A'!$A$11:$G$180,2,FALSE))</f>
        <v/>
      </c>
      <c r="C761" s="99"/>
      <c r="D761" s="57" t="str">
        <f>IF(A761="","",VLOOKUP(A761,'6.A'!$A$11:$G$180,4,FALSE))</f>
        <v/>
      </c>
      <c r="E761" s="100" t="str">
        <f>IF(A761="","",VLOOKUP(A761,'6.A'!$A$11:$G$180,5,FALSE))</f>
        <v/>
      </c>
      <c r="F761" s="24" t="str">
        <f t="shared" si="349"/>
        <v>0,00</v>
      </c>
      <c r="G761" s="52"/>
      <c r="H761" s="52" t="str">
        <f>IF(A761="","",VLOOKUP(A761,'6.A'!$A$11:$E$7984,5,FALSE))</f>
        <v/>
      </c>
      <c r="I761" s="52" t="str">
        <f t="shared" si="350"/>
        <v/>
      </c>
      <c r="J761" s="52" t="str">
        <f>IF(H761="","",VLOOKUP(A761,'6.A'!$A$11:$E$564,4,FALSE))</f>
        <v/>
      </c>
      <c r="K761" s="52" t="str">
        <f t="shared" si="351"/>
        <v/>
      </c>
      <c r="L761" s="52" t="str">
        <f>IF(H761="","",IF(C761="","",G740*C761))</f>
        <v/>
      </c>
      <c r="M761" s="117" t="str">
        <f>IF(A761="","",VLOOKUP(A761,'6.A'!$A$11:$C$564,2,FALSE))</f>
        <v/>
      </c>
      <c r="N761" s="57" t="str">
        <f t="shared" si="352"/>
        <v/>
      </c>
      <c r="O761" s="56"/>
      <c r="P761" s="56"/>
      <c r="Q761" s="48"/>
      <c r="R761" s="48"/>
      <c r="S761" s="2"/>
    </row>
    <row r="762" spans="1:19" ht="12.75" customHeight="1" x14ac:dyDescent="0.2">
      <c r="A762" s="22"/>
      <c r="B762" s="23" t="str">
        <f>IF(A762="","",VLOOKUP(A762,'6.A'!$A$11:$G$180,2,FALSE))</f>
        <v/>
      </c>
      <c r="C762" s="99"/>
      <c r="D762" s="57" t="str">
        <f>IF(A762="","",VLOOKUP(A762,'6.A'!$A$11:$G$180,4,FALSE))</f>
        <v/>
      </c>
      <c r="E762" s="100" t="str">
        <f>IF(A762="","",VLOOKUP(A762,'6.A'!$A$11:$G$180,5,FALSE))</f>
        <v/>
      </c>
      <c r="F762" s="24" t="str">
        <f t="shared" si="349"/>
        <v>0,00</v>
      </c>
      <c r="G762" s="52"/>
      <c r="H762" s="52" t="str">
        <f>IF(A762="","",VLOOKUP(A762,'6.A'!$A$11:$E$7984,5,FALSE))</f>
        <v/>
      </c>
      <c r="I762" s="52" t="str">
        <f t="shared" si="350"/>
        <v/>
      </c>
      <c r="J762" s="52" t="str">
        <f>IF(H762="","",VLOOKUP(A762,'6.A'!$A$11:$E$564,4,FALSE))</f>
        <v/>
      </c>
      <c r="K762" s="52" t="str">
        <f t="shared" si="351"/>
        <v/>
      </c>
      <c r="L762" s="52" t="str">
        <f>IF(H762="","",IF(C762="","",G740*C762))</f>
        <v/>
      </c>
      <c r="M762" s="117" t="str">
        <f>IF(A762="","",VLOOKUP(A762,'6.A'!$A$11:$C$564,2,FALSE))</f>
        <v/>
      </c>
      <c r="N762" s="57" t="str">
        <f>IF(A762="","",IF(M762=B762,"si","no"))</f>
        <v/>
      </c>
      <c r="O762" s="56"/>
      <c r="P762" s="56"/>
      <c r="Q762" s="48"/>
      <c r="R762" s="48"/>
      <c r="S762" s="2"/>
    </row>
    <row r="763" spans="1:19" ht="12.75" customHeight="1" x14ac:dyDescent="0.2">
      <c r="A763" s="22"/>
      <c r="B763" s="23" t="str">
        <f>IF(A763="","",VLOOKUP(A763,'6.A'!$A$11:$G$180,2,FALSE))</f>
        <v/>
      </c>
      <c r="C763" s="99"/>
      <c r="D763" s="57" t="str">
        <f>IF(A763="","",VLOOKUP(A763,'6.A'!$A$11:$G$180,4,FALSE))</f>
        <v/>
      </c>
      <c r="E763" s="100" t="str">
        <f>IF(A763="","",VLOOKUP(A763,'6.A'!$A$11:$G$180,5,FALSE))</f>
        <v/>
      </c>
      <c r="F763" s="24" t="str">
        <f t="shared" si="349"/>
        <v>0,00</v>
      </c>
      <c r="G763" s="52"/>
      <c r="H763" s="52" t="str">
        <f>IF(A763="","",VLOOKUP(A763,'6.A'!$A$11:$E$7984,5,FALSE))</f>
        <v/>
      </c>
      <c r="I763" s="52" t="str">
        <f t="shared" si="350"/>
        <v/>
      </c>
      <c r="J763" s="52" t="str">
        <f>IF(H763="","",VLOOKUP(A763,'6.A'!$A$11:$E$564,4,FALSE))</f>
        <v/>
      </c>
      <c r="K763" s="52" t="str">
        <f t="shared" si="351"/>
        <v/>
      </c>
      <c r="L763" s="52" t="str">
        <f>IF(H763="","",IF(C763="","",G740*C763))</f>
        <v/>
      </c>
      <c r="M763" s="117" t="str">
        <f>IF(A763="","",VLOOKUP(A763,'6.A'!$A$11:$C$564,2,FALSE))</f>
        <v/>
      </c>
      <c r="N763" s="57" t="str">
        <f>IF(A763="","",IF(M763=B763,"si","no"))</f>
        <v/>
      </c>
      <c r="O763" s="56"/>
      <c r="P763" s="56"/>
      <c r="Q763" s="48"/>
      <c r="R763" s="48"/>
      <c r="S763" s="2"/>
    </row>
    <row r="764" spans="1:19" ht="12.75" customHeight="1" x14ac:dyDescent="0.2">
      <c r="A764" s="22"/>
      <c r="B764" s="23" t="str">
        <f>IF(A764="","",VLOOKUP(A764,'6.A'!$A$11:$G$180,2,FALSE))</f>
        <v/>
      </c>
      <c r="C764" s="99"/>
      <c r="D764" s="57" t="str">
        <f>IF(A764="","",VLOOKUP(A764,'6.A'!$A$11:$G$180,4,FALSE))</f>
        <v/>
      </c>
      <c r="E764" s="100" t="str">
        <f>IF(A764="","",VLOOKUP(A764,'6.A'!$A$11:$G$180,5,FALSE))</f>
        <v/>
      </c>
      <c r="F764" s="24" t="str">
        <f t="shared" si="349"/>
        <v>0,00</v>
      </c>
      <c r="G764" s="52"/>
      <c r="H764" s="52" t="str">
        <f>IF(A764="","",VLOOKUP(A764,'6.A'!$A$11:$E$7984,5,FALSE))</f>
        <v/>
      </c>
      <c r="I764" s="52" t="str">
        <f t="shared" si="350"/>
        <v/>
      </c>
      <c r="J764" s="52" t="str">
        <f>IF(H764="","",VLOOKUP(A764,'6.A'!$A$11:$E$564,4,FALSE))</f>
        <v/>
      </c>
      <c r="K764" s="52" t="str">
        <f t="shared" si="351"/>
        <v/>
      </c>
      <c r="L764" s="52" t="str">
        <f>IF(H764="","",IF(C764="","",G740*C764))</f>
        <v/>
      </c>
      <c r="M764" s="117" t="str">
        <f>IF(A764="","",VLOOKUP(A764,'6.A'!$A$11:$C$564,2,FALSE))</f>
        <v/>
      </c>
      <c r="N764" s="57" t="str">
        <f t="shared" ref="N764:N765" si="353">IF(A764="","",IF(M764=B764,"si","no"))</f>
        <v/>
      </c>
      <c r="O764" s="56"/>
      <c r="P764" s="56"/>
      <c r="Q764" s="48"/>
      <c r="R764" s="48"/>
      <c r="S764" s="2"/>
    </row>
    <row r="765" spans="1:19" ht="12.75" customHeight="1" x14ac:dyDescent="0.2">
      <c r="A765" s="22"/>
      <c r="B765" s="23" t="str">
        <f>IF(A765="","",VLOOKUP(A765,'6.A'!$A$11:$G$180,2,FALSE))</f>
        <v/>
      </c>
      <c r="C765" s="99"/>
      <c r="D765" s="57" t="str">
        <f>IF(A765="","",VLOOKUP(A765,'6.A'!$A$11:$G$180,4,FALSE))</f>
        <v/>
      </c>
      <c r="E765" s="100" t="str">
        <f>IF(A765="","",VLOOKUP(A765,'6.A'!$A$11:$G$180,5,FALSE))</f>
        <v/>
      </c>
      <c r="F765" s="24" t="str">
        <f t="shared" si="349"/>
        <v>0,00</v>
      </c>
      <c r="G765" s="52"/>
      <c r="H765" s="52" t="str">
        <f>IF(A765="","",VLOOKUP(A765,'6.A'!$A$11:$E$7984,5,FALSE))</f>
        <v/>
      </c>
      <c r="I765" s="52" t="str">
        <f t="shared" si="350"/>
        <v/>
      </c>
      <c r="J765" s="52" t="str">
        <f>IF(H765="","",VLOOKUP(A765,'6.A'!$A$11:$E$564,4,FALSE))</f>
        <v/>
      </c>
      <c r="K765" s="52" t="str">
        <f t="shared" si="351"/>
        <v/>
      </c>
      <c r="L765" s="52" t="str">
        <f>IF(H765="","",IF(C765="","",G740*C765))</f>
        <v/>
      </c>
      <c r="M765" s="117" t="str">
        <f>IF(A765="","",VLOOKUP(A765,'6.A'!$A$11:$C$564,2,FALSE))</f>
        <v/>
      </c>
      <c r="N765" s="57" t="str">
        <f t="shared" si="353"/>
        <v/>
      </c>
      <c r="O765" s="56"/>
      <c r="P765" s="56"/>
      <c r="Q765" s="48"/>
      <c r="R765" s="48"/>
      <c r="S765" s="2"/>
    </row>
    <row r="766" spans="1:19" ht="12.75" customHeight="1" x14ac:dyDescent="0.2">
      <c r="A766" s="22"/>
      <c r="B766" s="26" t="str">
        <f>$A$9</f>
        <v>BDI</v>
      </c>
      <c r="C766" s="27">
        <f>$C$9</f>
        <v>0</v>
      </c>
      <c r="D766" s="57"/>
      <c r="F766" s="28">
        <f>ROUND(SUM(F756:F765)*C766,2)</f>
        <v>0</v>
      </c>
      <c r="G766" s="63"/>
      <c r="M766" s="62"/>
      <c r="N766" s="57"/>
      <c r="O766" s="56"/>
      <c r="P766" s="56"/>
      <c r="Q766" s="48"/>
      <c r="R766" s="48"/>
      <c r="S766" s="2"/>
    </row>
    <row r="767" spans="1:19" ht="12.75" customHeight="1" x14ac:dyDescent="0.2">
      <c r="A767" s="30"/>
      <c r="B767" s="31" t="s">
        <v>117</v>
      </c>
      <c r="C767" s="36"/>
      <c r="D767" s="37"/>
      <c r="E767" s="38"/>
      <c r="F767" s="35">
        <f>ROUND(SUM(F756:F766),2)</f>
        <v>0</v>
      </c>
      <c r="G767" s="63"/>
      <c r="M767" s="62"/>
      <c r="N767" s="57"/>
      <c r="O767" s="56"/>
      <c r="P767" s="56"/>
      <c r="Q767" s="48"/>
      <c r="R767" s="48"/>
      <c r="S767" s="2"/>
    </row>
    <row r="768" spans="1:19" ht="12.75" customHeight="1" x14ac:dyDescent="0.2">
      <c r="A768" s="17" t="s">
        <v>6</v>
      </c>
      <c r="B768" s="18" t="s">
        <v>17</v>
      </c>
      <c r="C768" s="56" t="s">
        <v>59</v>
      </c>
      <c r="D768" s="56" t="s">
        <v>16</v>
      </c>
      <c r="E768" s="19" t="s">
        <v>60</v>
      </c>
      <c r="F768" s="20" t="s">
        <v>61</v>
      </c>
      <c r="G768" s="21"/>
      <c r="M768" s="62"/>
      <c r="N768" s="57"/>
      <c r="O768" s="56"/>
      <c r="P768" s="56"/>
      <c r="Q768" s="48"/>
      <c r="R768" s="48"/>
      <c r="S768" s="2"/>
    </row>
    <row r="769" spans="1:22" ht="12.75" customHeight="1" x14ac:dyDescent="0.2">
      <c r="A769" s="22">
        <f>'6.A'!$A$102</f>
        <v>2683</v>
      </c>
      <c r="B769" s="23" t="str">
        <f>IF(A769="","",VLOOKUP(A769,'6.A'!$A$11:$G$180,2,FALSE))</f>
        <v>ELETRODUTO DE PVC RIGIDO ROSCAVEL DE 4", SEM LUVA</v>
      </c>
      <c r="C769" s="99">
        <v>1.1000000000000001</v>
      </c>
      <c r="D769" s="57" t="str">
        <f>IF(A769="","",VLOOKUP(A769,'6.A'!$A$11:$G$180,4,FALSE))</f>
        <v>M</v>
      </c>
      <c r="E769" s="100">
        <f>IF(A769="","",VLOOKUP(A769,'6.A'!$A$11:$G$180,5,FALSE))</f>
        <v>0</v>
      </c>
      <c r="F769" s="24">
        <f t="shared" ref="F769:F788" si="354">IF(A769="","0,00",ROUND(C769*E769,2))</f>
        <v>0</v>
      </c>
      <c r="G769" s="52"/>
      <c r="H769" s="52">
        <f>IF(A769="","",VLOOKUP(A769,'6.A'!$A$11:$E$7984,5,FALSE))</f>
        <v>0</v>
      </c>
      <c r="I769" s="52" t="str">
        <f t="shared" ref="I769:I788" si="355">IF(H769="","",IF(E769=H769,"SIM","NÃO"))</f>
        <v>SIM</v>
      </c>
      <c r="J769" s="52" t="str">
        <f>IF(H769="","",VLOOKUP(A769,'6.A'!$A$11:$E$564,4,FALSE))</f>
        <v>M</v>
      </c>
      <c r="K769" s="52" t="str">
        <f t="shared" ref="K769:K788" si="356">IF(H769="","",IF(J769=D769,"SIM","NÃO"))</f>
        <v>SIM</v>
      </c>
      <c r="L769" s="52">
        <f>IF(H769="","",IF(C769="","",G740*C769))</f>
        <v>6.6000000000000005</v>
      </c>
      <c r="M769" s="117" t="str">
        <f>IF(A769="","",VLOOKUP(A769,'6.A'!$A$11:$C$564,2,FALSE))</f>
        <v>ELETRODUTO DE PVC RIGIDO ROSCAVEL DE 4", SEM LUVA</v>
      </c>
      <c r="N769" s="57" t="str">
        <f t="shared" ref="N769:N788" si="357">IF(A769="","",IF(M769=B769,"si","no"))</f>
        <v>si</v>
      </c>
      <c r="O769" s="56"/>
      <c r="P769" s="56"/>
      <c r="Q769" s="48"/>
      <c r="R769" s="48"/>
      <c r="S769" s="2"/>
    </row>
    <row r="770" spans="1:22" ht="12.75" customHeight="1" x14ac:dyDescent="0.2">
      <c r="A770" s="22"/>
      <c r="B770" s="23" t="str">
        <f>IF(A770="","",VLOOKUP(A770,'6.A'!$A$11:$G$180,2,FALSE))</f>
        <v/>
      </c>
      <c r="C770" s="99"/>
      <c r="D770" s="57" t="str">
        <f>IF(A770="","",VLOOKUP(A770,'6.A'!$A$11:$G$180,4,FALSE))</f>
        <v/>
      </c>
      <c r="E770" s="100" t="str">
        <f>IF(A770="","",VLOOKUP(A770,'6.A'!$A$11:$G$180,5,FALSE))</f>
        <v/>
      </c>
      <c r="F770" s="24" t="str">
        <f t="shared" si="354"/>
        <v>0,00</v>
      </c>
      <c r="G770" s="52"/>
      <c r="H770" s="52" t="str">
        <f>IF(A770="","",VLOOKUP(A770,'6.A'!$A$11:$E$7984,5,FALSE))</f>
        <v/>
      </c>
      <c r="I770" s="52" t="str">
        <f t="shared" si="355"/>
        <v/>
      </c>
      <c r="J770" s="52" t="str">
        <f>IF(H770="","",VLOOKUP(A770,'6.A'!$A$11:$E$564,4,FALSE))</f>
        <v/>
      </c>
      <c r="K770" s="52" t="str">
        <f t="shared" si="356"/>
        <v/>
      </c>
      <c r="L770" s="52" t="str">
        <f>IF(H770="","",IF(C770="","",G740*C770))</f>
        <v/>
      </c>
      <c r="M770" s="117" t="str">
        <f>IF(A770="","",VLOOKUP(A770,'6.A'!$A$11:$C$564,2,FALSE))</f>
        <v/>
      </c>
      <c r="N770" s="57" t="str">
        <f t="shared" si="357"/>
        <v/>
      </c>
      <c r="O770" s="56"/>
      <c r="P770" s="56"/>
      <c r="Q770" s="48"/>
      <c r="R770" s="48"/>
      <c r="S770" s="2"/>
    </row>
    <row r="771" spans="1:22" ht="12.75" customHeight="1" x14ac:dyDescent="0.2">
      <c r="A771" s="22"/>
      <c r="B771" s="23" t="str">
        <f>IF(A771="","",VLOOKUP(A771,'6.A'!$A$11:$G$180,2,FALSE))</f>
        <v/>
      </c>
      <c r="C771" s="99"/>
      <c r="D771" s="57" t="str">
        <f>IF(A771="","",VLOOKUP(A771,'6.A'!$A$11:$G$180,4,FALSE))</f>
        <v/>
      </c>
      <c r="E771" s="100" t="str">
        <f>IF(A771="","",VLOOKUP(A771,'6.A'!$A$11:$G$180,5,FALSE))</f>
        <v/>
      </c>
      <c r="F771" s="24" t="str">
        <f t="shared" si="354"/>
        <v>0,00</v>
      </c>
      <c r="G771" s="52"/>
      <c r="H771" s="52" t="str">
        <f>IF(A771="","",VLOOKUP(A771,'6.A'!$A$11:$E$7984,5,FALSE))</f>
        <v/>
      </c>
      <c r="I771" s="52" t="str">
        <f t="shared" si="355"/>
        <v/>
      </c>
      <c r="J771" s="52" t="str">
        <f>IF(H771="","",VLOOKUP(A771,'6.A'!$A$11:$E$564,4,FALSE))</f>
        <v/>
      </c>
      <c r="K771" s="52" t="str">
        <f t="shared" si="356"/>
        <v/>
      </c>
      <c r="L771" s="52" t="str">
        <f>IF(H771="","",IF(C771="","",G740*C771))</f>
        <v/>
      </c>
      <c r="M771" s="117" t="str">
        <f>IF(A771="","",VLOOKUP(A771,'6.A'!$A$11:$C$564,2,FALSE))</f>
        <v/>
      </c>
      <c r="N771" s="57" t="str">
        <f t="shared" si="357"/>
        <v/>
      </c>
      <c r="O771" s="56"/>
      <c r="P771" s="56"/>
      <c r="Q771" s="48"/>
      <c r="R771" s="48"/>
      <c r="S771" s="2"/>
    </row>
    <row r="772" spans="1:22" ht="12.75" customHeight="1" x14ac:dyDescent="0.2">
      <c r="A772" s="22"/>
      <c r="B772" s="23" t="str">
        <f>IF(A772="","",VLOOKUP(A772,'6.A'!$A$11:$G$180,2,FALSE))</f>
        <v/>
      </c>
      <c r="C772" s="99"/>
      <c r="D772" s="57" t="str">
        <f>IF(A772="","",VLOOKUP(A772,'6.A'!$A$11:$G$180,4,FALSE))</f>
        <v/>
      </c>
      <c r="E772" s="100" t="str">
        <f>IF(A772="","",VLOOKUP(A772,'6.A'!$A$11:$G$180,5,FALSE))</f>
        <v/>
      </c>
      <c r="F772" s="24" t="str">
        <f t="shared" si="354"/>
        <v>0,00</v>
      </c>
      <c r="G772" s="52"/>
      <c r="H772" s="52" t="str">
        <f>IF(A772="","",VLOOKUP(A772,'6.A'!$A$11:$E$7984,5,FALSE))</f>
        <v/>
      </c>
      <c r="I772" s="52" t="str">
        <f t="shared" si="355"/>
        <v/>
      </c>
      <c r="J772" s="52" t="str">
        <f>IF(H772="","",VLOOKUP(A772,'6.A'!$A$11:$E$564,4,FALSE))</f>
        <v/>
      </c>
      <c r="K772" s="52" t="str">
        <f t="shared" si="356"/>
        <v/>
      </c>
      <c r="L772" s="52" t="str">
        <f>IF(H772="","",IF(C772="","",G740*C772))</f>
        <v/>
      </c>
      <c r="M772" s="117" t="str">
        <f>IF(A772="","",VLOOKUP(A772,'6.A'!$A$11:$C$564,2,FALSE))</f>
        <v/>
      </c>
      <c r="N772" s="57" t="str">
        <f t="shared" si="357"/>
        <v/>
      </c>
      <c r="O772" s="56"/>
      <c r="P772" s="56"/>
      <c r="Q772" s="48"/>
      <c r="R772" s="48"/>
      <c r="S772" s="2"/>
    </row>
    <row r="773" spans="1:22" ht="12.75" customHeight="1" x14ac:dyDescent="0.2">
      <c r="A773" s="22"/>
      <c r="B773" s="23" t="str">
        <f>IF(A773="","",VLOOKUP(A773,'6.A'!$A$11:$G$180,2,FALSE))</f>
        <v/>
      </c>
      <c r="C773" s="99"/>
      <c r="D773" s="57" t="str">
        <f>IF(A773="","",VLOOKUP(A773,'6.A'!$A$11:$G$180,4,FALSE))</f>
        <v/>
      </c>
      <c r="E773" s="100" t="str">
        <f>IF(A773="","",VLOOKUP(A773,'6.A'!$A$11:$G$180,5,FALSE))</f>
        <v/>
      </c>
      <c r="F773" s="24" t="str">
        <f t="shared" si="354"/>
        <v>0,00</v>
      </c>
      <c r="G773" s="52"/>
      <c r="H773" s="52" t="str">
        <f>IF(A773="","",VLOOKUP(A773,'6.A'!$A$11:$E$7984,5,FALSE))</f>
        <v/>
      </c>
      <c r="I773" s="52" t="str">
        <f t="shared" si="355"/>
        <v/>
      </c>
      <c r="J773" s="52" t="str">
        <f>IF(H773="","",VLOOKUP(A773,'6.A'!$A$11:$E$564,4,FALSE))</f>
        <v/>
      </c>
      <c r="K773" s="52" t="str">
        <f t="shared" si="356"/>
        <v/>
      </c>
      <c r="L773" s="52" t="str">
        <f>IF(H773="","",IF(C773="","",G740*C773))</f>
        <v/>
      </c>
      <c r="M773" s="117" t="str">
        <f>IF(A773="","",VLOOKUP(A773,'6.A'!$A$11:$C$564,2,FALSE))</f>
        <v/>
      </c>
      <c r="N773" s="57" t="str">
        <f t="shared" si="357"/>
        <v/>
      </c>
      <c r="O773" s="56"/>
      <c r="P773" s="56"/>
      <c r="Q773" s="48"/>
      <c r="R773" s="48"/>
      <c r="S773" s="2"/>
    </row>
    <row r="774" spans="1:22" ht="12.75" customHeight="1" x14ac:dyDescent="0.2">
      <c r="A774" s="22"/>
      <c r="B774" s="23" t="str">
        <f>IF(A774="","",VLOOKUP(A774,'6.A'!$A$11:$G$180,2,FALSE))</f>
        <v/>
      </c>
      <c r="C774" s="99"/>
      <c r="D774" s="57" t="str">
        <f>IF(A774="","",VLOOKUP(A774,'6.A'!$A$11:$G$180,4,FALSE))</f>
        <v/>
      </c>
      <c r="E774" s="100" t="str">
        <f>IF(A774="","",VLOOKUP(A774,'6.A'!$A$11:$G$180,5,FALSE))</f>
        <v/>
      </c>
      <c r="F774" s="24" t="str">
        <f t="shared" si="354"/>
        <v>0,00</v>
      </c>
      <c r="G774" s="52"/>
      <c r="H774" s="52" t="str">
        <f>IF(A774="","",VLOOKUP(A774,'6.A'!$A$11:$E$7984,5,FALSE))</f>
        <v/>
      </c>
      <c r="I774" s="52" t="str">
        <f t="shared" si="355"/>
        <v/>
      </c>
      <c r="J774" s="52" t="str">
        <f>IF(H774="","",VLOOKUP(A774,'6.A'!$A$11:$E$564,4,FALSE))</f>
        <v/>
      </c>
      <c r="K774" s="52" t="str">
        <f t="shared" si="356"/>
        <v/>
      </c>
      <c r="L774" s="52" t="str">
        <f>IF(H774="","",IF(C774="","",G740*C774))</f>
        <v/>
      </c>
      <c r="M774" s="117" t="str">
        <f>IF(A774="","",VLOOKUP(A774,'6.A'!$A$11:$C$564,2,FALSE))</f>
        <v/>
      </c>
      <c r="N774" s="57" t="str">
        <f t="shared" si="357"/>
        <v/>
      </c>
      <c r="O774" s="56"/>
      <c r="P774" s="56"/>
      <c r="Q774" s="48"/>
      <c r="R774" s="48"/>
      <c r="S774" s="2"/>
    </row>
    <row r="775" spans="1:22" ht="12.75" customHeight="1" x14ac:dyDescent="0.2">
      <c r="A775" s="22"/>
      <c r="B775" s="23" t="str">
        <f>IF(A775="","",VLOOKUP(A775,'6.A'!$A$11:$G$180,2,FALSE))</f>
        <v/>
      </c>
      <c r="C775" s="99"/>
      <c r="D775" s="57" t="str">
        <f>IF(A775="","",VLOOKUP(A775,'6.A'!$A$11:$G$180,4,FALSE))</f>
        <v/>
      </c>
      <c r="E775" s="100" t="str">
        <f>IF(A775="","",VLOOKUP(A775,'6.A'!$A$11:$G$180,5,FALSE))</f>
        <v/>
      </c>
      <c r="F775" s="24" t="str">
        <f t="shared" si="354"/>
        <v>0,00</v>
      </c>
      <c r="G775" s="52"/>
      <c r="H775" s="52" t="str">
        <f>IF(A775="","",VLOOKUP(A775,'6.A'!$A$11:$E$7984,5,FALSE))</f>
        <v/>
      </c>
      <c r="I775" s="52" t="str">
        <f t="shared" si="355"/>
        <v/>
      </c>
      <c r="J775" s="52" t="str">
        <f>IF(H775="","",VLOOKUP(A775,'6.A'!$A$11:$E$564,4,FALSE))</f>
        <v/>
      </c>
      <c r="K775" s="52" t="str">
        <f t="shared" si="356"/>
        <v/>
      </c>
      <c r="L775" s="52" t="str">
        <f>IF(H775="","",IF(C775="","",G740*C775))</f>
        <v/>
      </c>
      <c r="M775" s="117" t="str">
        <f>IF(A775="","",VLOOKUP(A775,'6.A'!$A$11:$C$564,2,FALSE))</f>
        <v/>
      </c>
      <c r="N775" s="57" t="str">
        <f t="shared" si="357"/>
        <v/>
      </c>
      <c r="O775" s="56"/>
      <c r="P775" s="56"/>
      <c r="Q775" s="48"/>
      <c r="R775" s="48"/>
      <c r="S775" s="2"/>
    </row>
    <row r="776" spans="1:22" s="65" customFormat="1" ht="12.75" customHeight="1" x14ac:dyDescent="0.2">
      <c r="A776" s="22"/>
      <c r="B776" s="23" t="str">
        <f>IF(A776="","",VLOOKUP(A776,'6.A'!$A$11:$G$180,2,FALSE))</f>
        <v/>
      </c>
      <c r="C776" s="99"/>
      <c r="D776" s="57" t="str">
        <f>IF(A776="","",VLOOKUP(A776,'6.A'!$A$11:$G$180,4,FALSE))</f>
        <v/>
      </c>
      <c r="E776" s="100" t="str">
        <f>IF(A776="","",VLOOKUP(A776,'6.A'!$A$11:$G$180,5,FALSE))</f>
        <v/>
      </c>
      <c r="F776" s="24" t="str">
        <f t="shared" si="354"/>
        <v>0,00</v>
      </c>
      <c r="G776" s="52"/>
      <c r="H776" s="52" t="str">
        <f>IF(A776="","",VLOOKUP(A776,'6.A'!$A$11:$E$7984,5,FALSE))</f>
        <v/>
      </c>
      <c r="I776" s="52" t="str">
        <f t="shared" si="355"/>
        <v/>
      </c>
      <c r="J776" s="52" t="str">
        <f>IF(H776="","",VLOOKUP(A776,'6.A'!$A$11:$E$564,4,FALSE))</f>
        <v/>
      </c>
      <c r="K776" s="52" t="str">
        <f t="shared" si="356"/>
        <v/>
      </c>
      <c r="L776" s="52" t="str">
        <f>IF(H776="","",IF(C776="","",G740*C776))</f>
        <v/>
      </c>
      <c r="M776" s="117" t="str">
        <f>IF(A776="","",VLOOKUP(A776,'6.A'!$A$11:$C$564,2,FALSE))</f>
        <v/>
      </c>
      <c r="N776" s="57" t="str">
        <f t="shared" si="357"/>
        <v/>
      </c>
      <c r="O776" s="56"/>
      <c r="P776" s="56"/>
      <c r="Q776" s="48"/>
      <c r="R776" s="48"/>
      <c r="T776" s="2"/>
      <c r="U776" s="2"/>
      <c r="V776" s="2"/>
    </row>
    <row r="777" spans="1:22" s="65" customFormat="1" ht="12.75" customHeight="1" x14ac:dyDescent="0.2">
      <c r="A777" s="22"/>
      <c r="B777" s="23" t="str">
        <f>IF(A777="","",VLOOKUP(A777,'6.A'!$A$11:$G$180,2,FALSE))</f>
        <v/>
      </c>
      <c r="C777" s="99"/>
      <c r="D777" s="57" t="str">
        <f>IF(A777="","",VLOOKUP(A777,'6.A'!$A$11:$G$180,4,FALSE))</f>
        <v/>
      </c>
      <c r="E777" s="100" t="str">
        <f>IF(A777="","",VLOOKUP(A777,'6.A'!$A$11:$G$180,5,FALSE))</f>
        <v/>
      </c>
      <c r="F777" s="24" t="str">
        <f t="shared" si="354"/>
        <v>0,00</v>
      </c>
      <c r="G777" s="52"/>
      <c r="H777" s="52" t="str">
        <f>IF(A777="","",VLOOKUP(A777,'6.A'!$A$11:$E$7984,5,FALSE))</f>
        <v/>
      </c>
      <c r="I777" s="52" t="str">
        <f t="shared" si="355"/>
        <v/>
      </c>
      <c r="J777" s="52" t="str">
        <f>IF(H777="","",VLOOKUP(A777,'6.A'!$A$11:$E$564,4,FALSE))</f>
        <v/>
      </c>
      <c r="K777" s="52" t="str">
        <f t="shared" si="356"/>
        <v/>
      </c>
      <c r="L777" s="52" t="str">
        <f>IF(H777="","",IF(C777="","",G740*C777))</f>
        <v/>
      </c>
      <c r="M777" s="117" t="str">
        <f>IF(A777="","",VLOOKUP(A777,'6.A'!$A$11:$C$564,2,FALSE))</f>
        <v/>
      </c>
      <c r="N777" s="57" t="str">
        <f t="shared" si="357"/>
        <v/>
      </c>
      <c r="O777" s="56"/>
      <c r="P777" s="56"/>
      <c r="Q777" s="48"/>
      <c r="R777" s="48"/>
      <c r="T777" s="2"/>
      <c r="U777" s="2"/>
      <c r="V777" s="2"/>
    </row>
    <row r="778" spans="1:22" s="65" customFormat="1" ht="12.75" customHeight="1" x14ac:dyDescent="0.2">
      <c r="A778" s="22"/>
      <c r="B778" s="23" t="str">
        <f>IF(A778="","",VLOOKUP(A778,'6.A'!$A$11:$G$180,2,FALSE))</f>
        <v/>
      </c>
      <c r="C778" s="99"/>
      <c r="D778" s="57" t="str">
        <f>IF(A778="","",VLOOKUP(A778,'6.A'!$A$11:$G$180,4,FALSE))</f>
        <v/>
      </c>
      <c r="E778" s="100" t="str">
        <f>IF(A778="","",VLOOKUP(A778,'6.A'!$A$11:$G$180,5,FALSE))</f>
        <v/>
      </c>
      <c r="F778" s="24" t="str">
        <f t="shared" si="354"/>
        <v>0,00</v>
      </c>
      <c r="G778" s="52"/>
      <c r="H778" s="52" t="str">
        <f>IF(A778="","",VLOOKUP(A778,'6.A'!$A$11:$E$7984,5,FALSE))</f>
        <v/>
      </c>
      <c r="I778" s="52" t="str">
        <f t="shared" si="355"/>
        <v/>
      </c>
      <c r="J778" s="52" t="str">
        <f>IF(H778="","",VLOOKUP(A778,'6.A'!$A$11:$E$564,4,FALSE))</f>
        <v/>
      </c>
      <c r="K778" s="52" t="str">
        <f t="shared" si="356"/>
        <v/>
      </c>
      <c r="L778" s="52" t="str">
        <f>IF(H778="","",IF(C778="","",G740*C778))</f>
        <v/>
      </c>
      <c r="M778" s="117" t="str">
        <f>IF(A778="","",VLOOKUP(A778,'6.A'!$A$11:$C$564,2,FALSE))</f>
        <v/>
      </c>
      <c r="N778" s="57" t="str">
        <f t="shared" si="357"/>
        <v/>
      </c>
      <c r="O778" s="56"/>
      <c r="P778" s="56"/>
      <c r="Q778" s="48"/>
      <c r="R778" s="48"/>
      <c r="T778" s="2"/>
      <c r="U778" s="2"/>
      <c r="V778" s="2"/>
    </row>
    <row r="779" spans="1:22" s="65" customFormat="1" ht="12.75" customHeight="1" x14ac:dyDescent="0.2">
      <c r="A779" s="22"/>
      <c r="B779" s="23" t="str">
        <f>IF(A779="","",VLOOKUP(A779,'6.A'!$A$11:$G$180,2,FALSE))</f>
        <v/>
      </c>
      <c r="C779" s="99"/>
      <c r="D779" s="57" t="str">
        <f>IF(A779="","",VLOOKUP(A779,'6.A'!$A$11:$G$180,4,FALSE))</f>
        <v/>
      </c>
      <c r="E779" s="100" t="str">
        <f>IF(A779="","",VLOOKUP(A779,'6.A'!$A$11:$G$180,5,FALSE))</f>
        <v/>
      </c>
      <c r="F779" s="24" t="str">
        <f t="shared" si="354"/>
        <v>0,00</v>
      </c>
      <c r="G779" s="52"/>
      <c r="H779" s="52" t="str">
        <f>IF(A779="","",VLOOKUP(A779,'6.A'!$A$11:$E$7984,5,FALSE))</f>
        <v/>
      </c>
      <c r="I779" s="52" t="str">
        <f t="shared" si="355"/>
        <v/>
      </c>
      <c r="J779" s="52" t="str">
        <f>IF(H779="","",VLOOKUP(A779,'6.A'!$A$11:$E$564,4,FALSE))</f>
        <v/>
      </c>
      <c r="K779" s="52" t="str">
        <f t="shared" si="356"/>
        <v/>
      </c>
      <c r="L779" s="52" t="str">
        <f>IF(H779="","",IF(C779="","",G740*C779))</f>
        <v/>
      </c>
      <c r="M779" s="117" t="str">
        <f>IF(A779="","",VLOOKUP(A779,'6.A'!$A$11:$C$564,2,FALSE))</f>
        <v/>
      </c>
      <c r="N779" s="57" t="str">
        <f t="shared" si="357"/>
        <v/>
      </c>
      <c r="O779" s="56"/>
      <c r="P779" s="56"/>
      <c r="Q779" s="48"/>
      <c r="R779" s="48"/>
      <c r="T779" s="2"/>
      <c r="U779" s="2"/>
      <c r="V779" s="2"/>
    </row>
    <row r="780" spans="1:22" ht="12.75" customHeight="1" x14ac:dyDescent="0.2">
      <c r="A780" s="22"/>
      <c r="B780" s="23" t="str">
        <f>IF(A780="","",VLOOKUP(A780,'6.A'!$A$11:$G$180,2,FALSE))</f>
        <v/>
      </c>
      <c r="C780" s="99"/>
      <c r="D780" s="57" t="str">
        <f>IF(A780="","",VLOOKUP(A780,'6.A'!$A$11:$G$180,4,FALSE))</f>
        <v/>
      </c>
      <c r="E780" s="100" t="str">
        <f>IF(A780="","",VLOOKUP(A780,'6.A'!$A$11:$G$180,5,FALSE))</f>
        <v/>
      </c>
      <c r="F780" s="24" t="str">
        <f t="shared" si="354"/>
        <v>0,00</v>
      </c>
      <c r="G780" s="52"/>
      <c r="H780" s="52" t="str">
        <f>IF(A780="","",VLOOKUP(A780,'6.A'!$A$11:$E$7984,5,FALSE))</f>
        <v/>
      </c>
      <c r="I780" s="52" t="str">
        <f t="shared" si="355"/>
        <v/>
      </c>
      <c r="J780" s="52" t="str">
        <f>IF(H780="","",VLOOKUP(A780,'6.A'!$A$11:$E$564,4,FALSE))</f>
        <v/>
      </c>
      <c r="K780" s="52" t="str">
        <f t="shared" si="356"/>
        <v/>
      </c>
      <c r="L780" s="52" t="str">
        <f>IF(H780="","",IF(C780="","",G740*C780))</f>
        <v/>
      </c>
      <c r="M780" s="117" t="str">
        <f>IF(A780="","",VLOOKUP(A780,'6.A'!$A$11:$C$564,2,FALSE))</f>
        <v/>
      </c>
      <c r="N780" s="57" t="str">
        <f t="shared" si="357"/>
        <v/>
      </c>
      <c r="O780" s="56"/>
      <c r="P780" s="56"/>
      <c r="Q780" s="48"/>
      <c r="R780" s="48"/>
    </row>
    <row r="781" spans="1:22" ht="12.75" customHeight="1" x14ac:dyDescent="0.2">
      <c r="A781" s="22"/>
      <c r="B781" s="23" t="str">
        <f>IF(A781="","",VLOOKUP(A781,'6.A'!$A$11:$G$180,2,FALSE))</f>
        <v/>
      </c>
      <c r="C781" s="99"/>
      <c r="D781" s="57" t="str">
        <f>IF(A781="","",VLOOKUP(A781,'6.A'!$A$11:$G$180,4,FALSE))</f>
        <v/>
      </c>
      <c r="E781" s="100" t="str">
        <f>IF(A781="","",VLOOKUP(A781,'6.A'!$A$11:$G$180,5,FALSE))</f>
        <v/>
      </c>
      <c r="F781" s="24" t="str">
        <f t="shared" si="354"/>
        <v>0,00</v>
      </c>
      <c r="G781" s="52"/>
      <c r="H781" s="52" t="str">
        <f>IF(A781="","",VLOOKUP(A781,'6.A'!$A$11:$E$7984,5,FALSE))</f>
        <v/>
      </c>
      <c r="I781" s="52" t="str">
        <f t="shared" si="355"/>
        <v/>
      </c>
      <c r="J781" s="52" t="str">
        <f>IF(H781="","",VLOOKUP(A781,'6.A'!$A$11:$E$564,4,FALSE))</f>
        <v/>
      </c>
      <c r="K781" s="52" t="str">
        <f t="shared" si="356"/>
        <v/>
      </c>
      <c r="L781" s="52" t="str">
        <f>IF(H781="","",IF(C781="","",G740*C781))</f>
        <v/>
      </c>
      <c r="M781" s="117" t="str">
        <f>IF(A781="","",VLOOKUP(A781,'6.A'!$A$11:$C$564,2,FALSE))</f>
        <v/>
      </c>
      <c r="N781" s="57" t="str">
        <f t="shared" si="357"/>
        <v/>
      </c>
      <c r="O781" s="56"/>
      <c r="P781" s="56"/>
      <c r="Q781" s="48"/>
      <c r="R781" s="48"/>
    </row>
    <row r="782" spans="1:22" ht="12.75" customHeight="1" x14ac:dyDescent="0.2">
      <c r="A782" s="22"/>
      <c r="B782" s="23" t="str">
        <f>IF(A782="","",VLOOKUP(A782,'6.A'!$A$11:$G$180,2,FALSE))</f>
        <v/>
      </c>
      <c r="C782" s="99"/>
      <c r="D782" s="57" t="str">
        <f>IF(A782="","",VLOOKUP(A782,'6.A'!$A$11:$G$180,4,FALSE))</f>
        <v/>
      </c>
      <c r="E782" s="100" t="str">
        <f>IF(A782="","",VLOOKUP(A782,'6.A'!$A$11:$G$180,5,FALSE))</f>
        <v/>
      </c>
      <c r="F782" s="24" t="str">
        <f t="shared" si="354"/>
        <v>0,00</v>
      </c>
      <c r="G782" s="52"/>
      <c r="H782" s="52" t="str">
        <f>IF(A782="","",VLOOKUP(A782,'6.A'!$A$11:$E$7984,5,FALSE))</f>
        <v/>
      </c>
      <c r="I782" s="52" t="str">
        <f t="shared" si="355"/>
        <v/>
      </c>
      <c r="J782" s="52" t="str">
        <f>IF(H782="","",VLOOKUP(A782,'6.A'!$A$11:$E$564,4,FALSE))</f>
        <v/>
      </c>
      <c r="K782" s="52" t="str">
        <f t="shared" si="356"/>
        <v/>
      </c>
      <c r="L782" s="52" t="str">
        <f>IF(H782="","",IF(C782="","",G740*C782))</f>
        <v/>
      </c>
      <c r="M782" s="117" t="str">
        <f>IF(A782="","",VLOOKUP(A782,'6.A'!$A$11:$C$564,2,FALSE))</f>
        <v/>
      </c>
      <c r="N782" s="57" t="str">
        <f t="shared" si="357"/>
        <v/>
      </c>
      <c r="O782" s="56"/>
      <c r="P782" s="56"/>
      <c r="Q782" s="48"/>
      <c r="R782" s="48"/>
    </row>
    <row r="783" spans="1:22" ht="12.75" customHeight="1" x14ac:dyDescent="0.2">
      <c r="A783" s="22"/>
      <c r="B783" s="23" t="str">
        <f>IF(A783="","",VLOOKUP(A783,'6.A'!$A$11:$G$180,2,FALSE))</f>
        <v/>
      </c>
      <c r="C783" s="99"/>
      <c r="D783" s="57" t="str">
        <f>IF(A783="","",VLOOKUP(A783,'6.A'!$A$11:$G$180,4,FALSE))</f>
        <v/>
      </c>
      <c r="E783" s="100" t="str">
        <f>IF(A783="","",VLOOKUP(A783,'6.A'!$A$11:$G$180,5,FALSE))</f>
        <v/>
      </c>
      <c r="F783" s="24" t="str">
        <f t="shared" si="354"/>
        <v>0,00</v>
      </c>
      <c r="G783" s="52"/>
      <c r="H783" s="52" t="str">
        <f>IF(A783="","",VLOOKUP(A783,'6.A'!$A$11:$E$7984,5,FALSE))</f>
        <v/>
      </c>
      <c r="I783" s="52" t="str">
        <f t="shared" si="355"/>
        <v/>
      </c>
      <c r="J783" s="52" t="str">
        <f>IF(H783="","",VLOOKUP(A783,'6.A'!$A$11:$E$564,4,FALSE))</f>
        <v/>
      </c>
      <c r="K783" s="52" t="str">
        <f t="shared" si="356"/>
        <v/>
      </c>
      <c r="L783" s="52" t="str">
        <f>IF(H783="","",IF(C783="","",G740*C783))</f>
        <v/>
      </c>
      <c r="M783" s="117" t="str">
        <f>IF(A783="","",VLOOKUP(A783,'6.A'!$A$11:$C$564,2,FALSE))</f>
        <v/>
      </c>
      <c r="N783" s="57" t="str">
        <f t="shared" si="357"/>
        <v/>
      </c>
      <c r="O783" s="56"/>
      <c r="P783" s="56"/>
      <c r="Q783" s="48"/>
      <c r="R783" s="48"/>
    </row>
    <row r="784" spans="1:22" ht="12.75" customHeight="1" x14ac:dyDescent="0.2">
      <c r="A784" s="22"/>
      <c r="B784" s="23" t="str">
        <f>IF(A784="","",VLOOKUP(A784,'6.A'!$A$11:$G$180,2,FALSE))</f>
        <v/>
      </c>
      <c r="C784" s="99"/>
      <c r="D784" s="57" t="str">
        <f>IF(A784="","",VLOOKUP(A784,'6.A'!$A$11:$G$180,4,FALSE))</f>
        <v/>
      </c>
      <c r="E784" s="100" t="str">
        <f>IF(A784="","",VLOOKUP(A784,'6.A'!$A$11:$G$180,5,FALSE))</f>
        <v/>
      </c>
      <c r="F784" s="24" t="str">
        <f t="shared" si="354"/>
        <v>0,00</v>
      </c>
      <c r="G784" s="52"/>
      <c r="H784" s="52" t="str">
        <f>IF(A784="","",VLOOKUP(A784,'6.A'!$A$11:$E$7984,5,FALSE))</f>
        <v/>
      </c>
      <c r="I784" s="52" t="str">
        <f t="shared" si="355"/>
        <v/>
      </c>
      <c r="J784" s="52" t="str">
        <f>IF(H784="","",VLOOKUP(A784,'6.A'!$A$11:$E$564,4,FALSE))</f>
        <v/>
      </c>
      <c r="K784" s="52" t="str">
        <f t="shared" si="356"/>
        <v/>
      </c>
      <c r="L784" s="52" t="str">
        <f>IF(H784="","",IF(C784="","",G740*C784))</f>
        <v/>
      </c>
      <c r="M784" s="117" t="str">
        <f>IF(A784="","",VLOOKUP(A784,'6.A'!$A$11:$C$564,2,FALSE))</f>
        <v/>
      </c>
      <c r="N784" s="57" t="str">
        <f t="shared" si="357"/>
        <v/>
      </c>
      <c r="O784" s="56"/>
      <c r="P784" s="56"/>
      <c r="Q784" s="48"/>
      <c r="R784" s="48"/>
    </row>
    <row r="785" spans="1:23" ht="12.75" customHeight="1" x14ac:dyDescent="0.2">
      <c r="A785" s="22"/>
      <c r="B785" s="23" t="str">
        <f>IF(A785="","",VLOOKUP(A785,'6.A'!$A$11:$G$180,2,FALSE))</f>
        <v/>
      </c>
      <c r="C785" s="99"/>
      <c r="D785" s="57" t="str">
        <f>IF(A785="","",VLOOKUP(A785,'6.A'!$A$11:$G$180,4,FALSE))</f>
        <v/>
      </c>
      <c r="E785" s="100" t="str">
        <f>IF(A785="","",VLOOKUP(A785,'6.A'!$A$11:$G$180,5,FALSE))</f>
        <v/>
      </c>
      <c r="F785" s="24" t="str">
        <f t="shared" si="354"/>
        <v>0,00</v>
      </c>
      <c r="G785" s="52"/>
      <c r="H785" s="52" t="str">
        <f>IF(A785="","",VLOOKUP(A785,'6.A'!$A$11:$E$7984,5,FALSE))</f>
        <v/>
      </c>
      <c r="I785" s="52" t="str">
        <f t="shared" si="355"/>
        <v/>
      </c>
      <c r="J785" s="52" t="str">
        <f>IF(H785="","",VLOOKUP(A785,'6.A'!$A$11:$E$564,4,FALSE))</f>
        <v/>
      </c>
      <c r="K785" s="52" t="str">
        <f t="shared" si="356"/>
        <v/>
      </c>
      <c r="L785" s="52" t="str">
        <f>IF(H785="","",IF(C785="","",G740*C785))</f>
        <v/>
      </c>
      <c r="M785" s="117" t="str">
        <f>IF(A785="","",VLOOKUP(A785,'6.A'!$A$11:$C$564,2,FALSE))</f>
        <v/>
      </c>
      <c r="N785" s="57" t="str">
        <f t="shared" si="357"/>
        <v/>
      </c>
      <c r="O785" s="56"/>
      <c r="P785" s="56"/>
      <c r="Q785" s="48"/>
      <c r="R785" s="48"/>
    </row>
    <row r="786" spans="1:23" ht="12.75" customHeight="1" x14ac:dyDescent="0.2">
      <c r="A786" s="22"/>
      <c r="B786" s="39" t="str">
        <f>IF(A786="","",VLOOKUP(A786,'6.A'!$A$11:$G$180,2,FALSE))</f>
        <v/>
      </c>
      <c r="C786" s="99"/>
      <c r="D786" s="57" t="str">
        <f>IF(A786="","",VLOOKUP(A786,'6.A'!$A$11:$G$180,4,FALSE))</f>
        <v/>
      </c>
      <c r="E786" s="100" t="str">
        <f>IF(A786="","",VLOOKUP(A786,'6.A'!$A$11:$G$180,5,FALSE))</f>
        <v/>
      </c>
      <c r="F786" s="24" t="str">
        <f t="shared" si="354"/>
        <v>0,00</v>
      </c>
      <c r="G786" s="52"/>
      <c r="H786" s="52" t="str">
        <f>IF(A786="","",VLOOKUP(A786,'6.A'!$A$11:$E$7984,5,FALSE))</f>
        <v/>
      </c>
      <c r="I786" s="52" t="str">
        <f t="shared" si="355"/>
        <v/>
      </c>
      <c r="J786" s="52" t="str">
        <f>IF(H786="","",VLOOKUP(A786,'6.A'!$A$11:$E$564,4,FALSE))</f>
        <v/>
      </c>
      <c r="K786" s="52" t="str">
        <f t="shared" si="356"/>
        <v/>
      </c>
      <c r="L786" s="52" t="str">
        <f>IF(H786="","",IF(C786="","",G740*C786))</f>
        <v/>
      </c>
      <c r="M786" s="117" t="str">
        <f>IF(A786="","",VLOOKUP(A786,'6.A'!$A$11:$C$564,2,FALSE))</f>
        <v/>
      </c>
      <c r="N786" s="57" t="str">
        <f t="shared" si="357"/>
        <v/>
      </c>
      <c r="O786" s="56"/>
      <c r="P786" s="56"/>
      <c r="Q786" s="48"/>
      <c r="R786" s="48"/>
    </row>
    <row r="787" spans="1:23" ht="12.75" customHeight="1" x14ac:dyDescent="0.2">
      <c r="A787" s="22"/>
      <c r="B787" s="39" t="str">
        <f>IF(A787="","",VLOOKUP(A787,'6.A'!$A$11:$G$180,2,FALSE))</f>
        <v/>
      </c>
      <c r="C787" s="99"/>
      <c r="D787" s="57" t="str">
        <f>IF(A787="","",VLOOKUP(A787,'6.A'!$A$11:$G$180,4,FALSE))</f>
        <v/>
      </c>
      <c r="E787" s="100" t="str">
        <f>IF(A787="","",VLOOKUP(A787,'6.A'!$A$11:$G$180,5,FALSE))</f>
        <v/>
      </c>
      <c r="F787" s="24" t="str">
        <f t="shared" si="354"/>
        <v>0,00</v>
      </c>
      <c r="G787" s="52"/>
      <c r="H787" s="52" t="str">
        <f>IF(A787="","",VLOOKUP(A787,'6.A'!$A$11:$E$7984,5,FALSE))</f>
        <v/>
      </c>
      <c r="I787" s="52" t="str">
        <f t="shared" si="355"/>
        <v/>
      </c>
      <c r="J787" s="52" t="str">
        <f>IF(H787="","",VLOOKUP(A787,'6.A'!$A$11:$E$564,4,FALSE))</f>
        <v/>
      </c>
      <c r="K787" s="52" t="str">
        <f t="shared" si="356"/>
        <v/>
      </c>
      <c r="L787" s="52" t="str">
        <f>IF(H787="","",IF(C787="","",G740*C787))</f>
        <v/>
      </c>
      <c r="M787" s="117" t="str">
        <f>IF(A787="","",VLOOKUP(A787,'6.A'!$A$11:$C$564,2,FALSE))</f>
        <v/>
      </c>
      <c r="N787" s="57" t="str">
        <f t="shared" si="357"/>
        <v/>
      </c>
      <c r="O787" s="56"/>
      <c r="P787" s="56"/>
      <c r="Q787" s="48"/>
      <c r="R787" s="48"/>
    </row>
    <row r="788" spans="1:23" ht="12.75" customHeight="1" x14ac:dyDescent="0.2">
      <c r="A788" s="22"/>
      <c r="B788" s="39" t="str">
        <f>IF(A788="","",VLOOKUP(A788,'6.A'!$A$11:$G$180,2,FALSE))</f>
        <v/>
      </c>
      <c r="C788" s="99"/>
      <c r="D788" s="57" t="str">
        <f>IF(A788="","",VLOOKUP(A788,'6.A'!$A$11:$G$180,4,FALSE))</f>
        <v/>
      </c>
      <c r="E788" s="100" t="str">
        <f>IF(A788="","",VLOOKUP(A788,'6.A'!$A$11:$G$180,5,FALSE))</f>
        <v/>
      </c>
      <c r="F788" s="24" t="str">
        <f t="shared" si="354"/>
        <v>0,00</v>
      </c>
      <c r="G788" s="52"/>
      <c r="H788" s="52" t="str">
        <f>IF(A788="","",VLOOKUP(A788,'6.A'!$A$11:$E$7984,5,FALSE))</f>
        <v/>
      </c>
      <c r="I788" s="52" t="str">
        <f t="shared" si="355"/>
        <v/>
      </c>
      <c r="J788" s="52" t="str">
        <f>IF(H788="","",VLOOKUP(A788,'6.A'!$A$11:$E$564,4,FALSE))</f>
        <v/>
      </c>
      <c r="K788" s="52" t="str">
        <f t="shared" si="356"/>
        <v/>
      </c>
      <c r="L788" s="52" t="str">
        <f>IF(H788="","",IF(C788="","",G740*C788))</f>
        <v/>
      </c>
      <c r="M788" s="117" t="str">
        <f>IF(A788="","",VLOOKUP(A788,'6.A'!$A$11:$C$564,2,FALSE))</f>
        <v/>
      </c>
      <c r="N788" s="57" t="str">
        <f t="shared" si="357"/>
        <v/>
      </c>
      <c r="O788" s="56"/>
      <c r="P788" s="56"/>
      <c r="Q788" s="48"/>
      <c r="R788" s="48"/>
    </row>
    <row r="789" spans="1:23" ht="12.75" customHeight="1" x14ac:dyDescent="0.2">
      <c r="A789" s="22"/>
      <c r="B789" s="26" t="str">
        <f>$A$9</f>
        <v>BDI</v>
      </c>
      <c r="C789" s="40">
        <f>$C$9</f>
        <v>0</v>
      </c>
      <c r="D789" s="57"/>
      <c r="F789" s="28">
        <f>ROUND(SUM(F769:F788)*C789,2)</f>
        <v>0</v>
      </c>
      <c r="G789" s="63"/>
      <c r="M789" s="57"/>
      <c r="N789" s="57"/>
      <c r="O789" s="56"/>
      <c r="P789" s="56"/>
      <c r="Q789" s="48"/>
      <c r="R789" s="48"/>
    </row>
    <row r="790" spans="1:23" ht="12.75" customHeight="1" thickBot="1" x14ac:dyDescent="0.25">
      <c r="A790" s="41"/>
      <c r="B790" s="42" t="s">
        <v>57</v>
      </c>
      <c r="C790" s="43"/>
      <c r="D790" s="44"/>
      <c r="E790" s="45"/>
      <c r="F790" s="46">
        <f>ROUND(SUM(F769:F789),2)</f>
        <v>0</v>
      </c>
      <c r="G790" s="63"/>
      <c r="M790" s="57"/>
      <c r="N790" s="57"/>
      <c r="O790" s="56"/>
      <c r="P790" s="56"/>
      <c r="Q790" s="48"/>
      <c r="R790" s="48"/>
    </row>
    <row r="791" spans="1:23" ht="12" customHeight="1" thickBot="1" x14ac:dyDescent="0.25">
      <c r="A791" s="8"/>
      <c r="B791" s="9"/>
      <c r="C791" s="10"/>
      <c r="D791" s="57"/>
      <c r="F791" s="12"/>
      <c r="M791" s="57"/>
      <c r="N791" s="57"/>
      <c r="O791" s="56"/>
      <c r="P791" s="56"/>
    </row>
    <row r="792" spans="1:23" ht="50.1" customHeight="1" x14ac:dyDescent="0.2">
      <c r="A792" s="13" t="str">
        <f>'3.A'!$A$123</f>
        <v>3.1.4</v>
      </c>
      <c r="B792" s="14" t="str">
        <f>IF(A792="","",VLOOKUP(A792,'3.A'!$A$17:$M$279,2,FALSE))</f>
        <v>ELETRODUTO RÍGIDO ROSCÁVEL, PVC, DN 60 MM (2"), PARA REDE ENTERRADA DE DISTRIBUIÇÃO DE ENERGIA ELÉTRICA</v>
      </c>
      <c r="C792" s="413" t="s">
        <v>62</v>
      </c>
      <c r="D792" s="413"/>
      <c r="E792" s="15" t="str">
        <f>IF(A792="","",VLOOKUP(A792,'3.A'!$A$17:$M$279,3,FALSE))</f>
        <v>M</v>
      </c>
      <c r="F792" s="16">
        <f>ROUND(F806+F819+F842,2)</f>
        <v>0</v>
      </c>
      <c r="G792" s="118">
        <f>VLOOKUP(A792,'3.A'!$A$19:$I$279,4,FALSE)</f>
        <v>6</v>
      </c>
      <c r="H792" s="47">
        <f>SUM(F794:F805)</f>
        <v>0</v>
      </c>
      <c r="I792" s="47">
        <f>SUM(F808:F818)</f>
        <v>0</v>
      </c>
      <c r="J792" s="47">
        <f>SUM(F821:F841)</f>
        <v>0</v>
      </c>
      <c r="K792" s="47">
        <f>SUM(H792:J792)</f>
        <v>0</v>
      </c>
      <c r="L792" s="47" t="str">
        <f>IF(K792=F792,"SIM","NÃO")</f>
        <v>SIM</v>
      </c>
      <c r="M792" s="58">
        <f>ROUND(SUM(F794:F803)*C804,2)+ROUND(SUM(F794:F804)*C805,2)+ROUND(SUM(F794:F803),2)+ROUND(SUM(F808:F817)*C818,2)+ROUND(SUM(F808:F817),2)+ROUND(SUM(F821:F840)*C841,2)+ROUND(SUM(F821:F840),2)</f>
        <v>0</v>
      </c>
      <c r="N792" s="50" t="str">
        <f>IF(M792=F792,"SIM","NÃO")</f>
        <v>SIM</v>
      </c>
      <c r="O792" s="51" t="str">
        <f>VLOOKUP(A792,'3.A'!$A$8:$E$279,3,FALSE)</f>
        <v>M</v>
      </c>
      <c r="P792" s="51" t="str">
        <f>IF(O792=E792,"SIM","NÃO")</f>
        <v>SIM</v>
      </c>
      <c r="Q792" s="53">
        <f>ROUND(G792*F806,2)+ROUND(G792*F819,2)+ROUND(G792*F842,2)</f>
        <v>0</v>
      </c>
      <c r="R792" s="59">
        <f>VLOOKUP(A792,'3.A'!$A$17:$L$279,12,FALSE)</f>
        <v>0</v>
      </c>
      <c r="S792" s="60" t="str">
        <f>IF(Q792=R792,"si","no")</f>
        <v>si</v>
      </c>
      <c r="T792" s="61">
        <f>SUM(L794:L803)+SUM(L808:L817)+SUM(L821:L840)</f>
        <v>8.1479999999999997</v>
      </c>
      <c r="U792" s="52">
        <f>G792*C800+G792*C802+G792*C795+G792*C796+G792*C798+G792*C801+G792*C799+G792*C794+G792*C797+G792*C803+G792*C814+G792*C808+G792*C816+G792*C815+G792*C813+G792*C810+G792*C809+G792*C811+G792*C817+G792*C812+G792*C821+G792*C822+G792*C823+G792*C831+G792*C832+G792*C833+G792*C834+G792*C835+G792*C836+G792*C837+G792*C838+G792*C839+G792*C840+G792*C829+G792*C830+G792*C824+G792*C825+G792*C826+G792*C827+G792*C828</f>
        <v>8.1479999999999997</v>
      </c>
      <c r="V792" s="54" t="str">
        <f>IF(T792=U792,"si","no")</f>
        <v>si</v>
      </c>
      <c r="W792" s="137"/>
    </row>
    <row r="793" spans="1:23" ht="12.75" customHeight="1" x14ac:dyDescent="0.2">
      <c r="A793" s="17" t="s">
        <v>3</v>
      </c>
      <c r="B793" s="18" t="s">
        <v>58</v>
      </c>
      <c r="C793" s="56" t="s">
        <v>59</v>
      </c>
      <c r="D793" s="56" t="s">
        <v>16</v>
      </c>
      <c r="E793" s="19" t="s">
        <v>60</v>
      </c>
      <c r="F793" s="20" t="s">
        <v>61</v>
      </c>
      <c r="G793" s="21"/>
      <c r="M793" s="57"/>
      <c r="N793" s="57"/>
      <c r="O793" s="56"/>
      <c r="P793" s="56"/>
      <c r="Q793" s="48"/>
      <c r="R793" s="48"/>
    </row>
    <row r="794" spans="1:23" ht="12.75" customHeight="1" x14ac:dyDescent="0.2">
      <c r="A794" s="22">
        <f>'6.A'!$A$15</f>
        <v>88247</v>
      </c>
      <c r="B794" s="23" t="str">
        <f>IF(A794="","",VLOOKUP(A794,'6.A'!$A$11:$G$180,2,FALSE))</f>
        <v>AUXILIAR DE ELETRICISTA COM ENCARGOS COMPLEMENTARES</v>
      </c>
      <c r="C794" s="99">
        <v>0.129</v>
      </c>
      <c r="D794" s="57" t="str">
        <f>IF(A794="","",VLOOKUP(A794,'6.A'!$A$11:$G$180,4,FALSE))</f>
        <v>H</v>
      </c>
      <c r="E794" s="100">
        <f>IF(A794="","",VLOOKUP(A794,'6.A'!$A$11:$G$180,5,FALSE))</f>
        <v>0</v>
      </c>
      <c r="F794" s="24">
        <f t="shared" ref="F794:F803" si="358">IF(A794="","0,00",ROUND(C794*E794,2))</f>
        <v>0</v>
      </c>
      <c r="G794" s="52"/>
      <c r="H794" s="52">
        <f>IF(A794="","",VLOOKUP(A794,'6.A'!$A$11:$E$7984,5,FALSE))</f>
        <v>0</v>
      </c>
      <c r="I794" s="52" t="str">
        <f>IF(H794="","",IF(E794=H794,"SIM","NÃO"))</f>
        <v>SIM</v>
      </c>
      <c r="J794" s="52" t="str">
        <f>IF(H794="","",VLOOKUP(A794,'6.A'!$A$11:$E$564,4,FALSE))</f>
        <v>H</v>
      </c>
      <c r="K794" s="52" t="str">
        <f>IF(H794="","",IF(J794=D794,"SIM","NÃO"))</f>
        <v>SIM</v>
      </c>
      <c r="L794" s="52">
        <f>IF(H794="","",IF(C794="","",G792*C794))</f>
        <v>0.77400000000000002</v>
      </c>
      <c r="M794" s="117" t="str">
        <f>IF(A794="","",VLOOKUP(A794,'6.A'!$A$11:$C$564,2,FALSE))</f>
        <v>AUXILIAR DE ELETRICISTA COM ENCARGOS COMPLEMENTARES</v>
      </c>
      <c r="N794" s="57" t="str">
        <f>IF(A794="","",IF(M794=B794,"si","no"))</f>
        <v>si</v>
      </c>
      <c r="O794" s="56"/>
      <c r="P794" s="56"/>
      <c r="Q794" s="48"/>
      <c r="R794" s="48"/>
    </row>
    <row r="795" spans="1:23" ht="12.75" customHeight="1" x14ac:dyDescent="0.2">
      <c r="A795" s="22">
        <f>'6.A'!$A$18</f>
        <v>88264</v>
      </c>
      <c r="B795" s="23" t="str">
        <f>IF(A795="","",VLOOKUP(A795,'6.A'!$A$11:$G$180,2,FALSE))</f>
        <v>ELETRICISTA COM ENCARGOS COMPLEMENTARES</v>
      </c>
      <c r="C795" s="99">
        <v>0.129</v>
      </c>
      <c r="D795" s="57" t="str">
        <f>IF(A795="","",VLOOKUP(A795,'6.A'!$A$11:$G$180,4,FALSE))</f>
        <v>H</v>
      </c>
      <c r="E795" s="100">
        <f>IF(A795="","",VLOOKUP(A795,'6.A'!$A$11:$G$180,5,FALSE))</f>
        <v>0</v>
      </c>
      <c r="F795" s="24">
        <f t="shared" si="358"/>
        <v>0</v>
      </c>
      <c r="G795" s="52"/>
      <c r="H795" s="52">
        <f>IF(A795="","",VLOOKUP(A795,'6.A'!$A$11:$E$7984,5,FALSE))</f>
        <v>0</v>
      </c>
      <c r="I795" s="52" t="str">
        <f>IF(H795="","",IF(E795=H795,"SIM","NÃO"))</f>
        <v>SIM</v>
      </c>
      <c r="J795" s="52" t="str">
        <f>IF(H795="","",VLOOKUP(A795,'6.A'!$A$11:$E$564,4,FALSE))</f>
        <v>H</v>
      </c>
      <c r="K795" s="52" t="str">
        <f>IF(H795="","",IF(J795=D795,"SIM","NÃO"))</f>
        <v>SIM</v>
      </c>
      <c r="L795" s="52">
        <f>IF(H795="","",IF(C795="","",G792*C795))</f>
        <v>0.77400000000000002</v>
      </c>
      <c r="M795" s="117" t="str">
        <f>IF(A795="","",VLOOKUP(A795,'6.A'!$A$11:$C$564,2,FALSE))</f>
        <v>ELETRICISTA COM ENCARGOS COMPLEMENTARES</v>
      </c>
      <c r="N795" s="57" t="str">
        <f>IF(A795="","",IF(M795=B795,"si","no"))</f>
        <v>si</v>
      </c>
      <c r="O795" s="56"/>
      <c r="P795" s="56"/>
      <c r="Q795" s="48"/>
      <c r="R795" s="48"/>
    </row>
    <row r="796" spans="1:23" ht="12.75" customHeight="1" x14ac:dyDescent="0.2">
      <c r="A796" s="22"/>
      <c r="B796" s="23" t="str">
        <f>IF(A796="","",VLOOKUP(A796,'6.A'!$A$11:$G$180,2,FALSE))</f>
        <v/>
      </c>
      <c r="C796" s="99"/>
      <c r="D796" s="57" t="str">
        <f>IF(A796="","",VLOOKUP(A796,'6.A'!$A$11:$G$180,4,FALSE))</f>
        <v/>
      </c>
      <c r="E796" s="100" t="str">
        <f>IF(A796="","",VLOOKUP(A796,'6.A'!$A$11:$G$180,5,FALSE))</f>
        <v/>
      </c>
      <c r="F796" s="24" t="str">
        <f t="shared" si="358"/>
        <v>0,00</v>
      </c>
      <c r="G796" s="52"/>
      <c r="H796" s="52" t="str">
        <f>IF(A796="","",VLOOKUP(A796,'6.A'!$A$11:$E$7984,5,FALSE))</f>
        <v/>
      </c>
      <c r="I796" s="52" t="str">
        <f>IF(H796="","",IF(E796=H796,"SIM","NÃO"))</f>
        <v/>
      </c>
      <c r="J796" s="52" t="str">
        <f>IF(H796="","",VLOOKUP(A796,'6.A'!$A$11:$E$564,4,FALSE))</f>
        <v/>
      </c>
      <c r="K796" s="52" t="str">
        <f t="shared" ref="K796" si="359">IF(H796="","",IF(J796=D796,"SIM","NÃO"))</f>
        <v/>
      </c>
      <c r="L796" s="52" t="str">
        <f>IF(H796="","",IF(C796="","",G792*C796))</f>
        <v/>
      </c>
      <c r="M796" s="117" t="str">
        <f>IF(A796="","",VLOOKUP(A796,'6.A'!$A$11:$C$564,2,FALSE))</f>
        <v/>
      </c>
      <c r="N796" s="57" t="str">
        <f t="shared" ref="N796" si="360">IF(A796="","",IF(M796=B796,"si","no"))</f>
        <v/>
      </c>
      <c r="O796" s="56"/>
      <c r="P796" s="56"/>
      <c r="Q796" s="48"/>
      <c r="R796" s="48"/>
      <c r="S796" s="2"/>
    </row>
    <row r="797" spans="1:23" ht="12.75" customHeight="1" x14ac:dyDescent="0.2">
      <c r="A797" s="22"/>
      <c r="B797" s="23" t="str">
        <f>IF(A797="","",VLOOKUP(A797,'6.A'!$A$11:$G$180,2,FALSE))</f>
        <v/>
      </c>
      <c r="C797" s="99"/>
      <c r="D797" s="57" t="str">
        <f>IF(A797="","",VLOOKUP(A797,'6.A'!$A$11:$G$180,4,FALSE))</f>
        <v/>
      </c>
      <c r="E797" s="100" t="str">
        <f>IF(A797="","",VLOOKUP(A797,'6.A'!$A$11:$G$180,5,FALSE))</f>
        <v/>
      </c>
      <c r="F797" s="24" t="str">
        <f t="shared" si="358"/>
        <v>0,00</v>
      </c>
      <c r="G797" s="52"/>
      <c r="H797" s="52" t="str">
        <f>IF(A797="","",VLOOKUP(A797,'6.A'!$A$11:$E$7984,5,FALSE))</f>
        <v/>
      </c>
      <c r="I797" s="52" t="str">
        <f>IF(H797="","",IF(E797=H797,"SIM","NÃO"))</f>
        <v/>
      </c>
      <c r="J797" s="52" t="str">
        <f>IF(H797="","",VLOOKUP(A797,'6.A'!$A$11:$E$564,4,FALSE))</f>
        <v/>
      </c>
      <c r="K797" s="52" t="str">
        <f>IF(H797="","",IF(J797=D797,"SIM","NÃO"))</f>
        <v/>
      </c>
      <c r="L797" s="52" t="str">
        <f>IF(H797="","",IF(C797="","",G792*C797))</f>
        <v/>
      </c>
      <c r="M797" s="117" t="str">
        <f>IF(A797="","",VLOOKUP(A797,'6.A'!$A$11:$C$564,2,FALSE))</f>
        <v/>
      </c>
      <c r="N797" s="57" t="str">
        <f>IF(A797="","",IF(M797=B797,"si","no"))</f>
        <v/>
      </c>
      <c r="O797" s="56"/>
      <c r="P797" s="56"/>
      <c r="Q797" s="48"/>
      <c r="R797" s="48"/>
      <c r="S797" s="2"/>
    </row>
    <row r="798" spans="1:23" ht="12.75" customHeight="1" x14ac:dyDescent="0.2">
      <c r="A798" s="22"/>
      <c r="B798" s="23" t="str">
        <f>IF(A798="","",VLOOKUP(A798,'6.A'!$A$11:$G$180,2,FALSE))</f>
        <v/>
      </c>
      <c r="C798" s="99"/>
      <c r="D798" s="57" t="str">
        <f>IF(A798="","",VLOOKUP(A798,'6.A'!$A$11:$G$180,4,FALSE))</f>
        <v/>
      </c>
      <c r="E798" s="101" t="str">
        <f>IF(A798="","",VLOOKUP(A798,'6.A'!$A$11:$G$180,5,FALSE))</f>
        <v/>
      </c>
      <c r="F798" s="24" t="str">
        <f t="shared" si="358"/>
        <v>0,00</v>
      </c>
      <c r="G798" s="52"/>
      <c r="H798" s="52" t="str">
        <f>IF(A798="","",VLOOKUP(A798,'6.A'!$A$11:$E$7984,5,FALSE))</f>
        <v/>
      </c>
      <c r="I798" s="52" t="str">
        <f t="shared" ref="I798" si="361">IF(H798="","",IF(E798=H798,"SIM","NÃO"))</f>
        <v/>
      </c>
      <c r="J798" s="52" t="str">
        <f>IF(H798="","",VLOOKUP(A798,'6.A'!$A$11:$E$564,4,FALSE))</f>
        <v/>
      </c>
      <c r="K798" s="52" t="str">
        <f t="shared" ref="K798" si="362">IF(H798="","",IF(J798=D798,"SIM","NÃO"))</f>
        <v/>
      </c>
      <c r="L798" s="52" t="str">
        <f>IF(H798="","",IF(C798="","",G792*C798))</f>
        <v/>
      </c>
      <c r="M798" s="117" t="str">
        <f>IF(A798="","",VLOOKUP(A798,'6.A'!$A$11:$C$564,2,FALSE))</f>
        <v/>
      </c>
      <c r="N798" s="57" t="str">
        <f t="shared" ref="N798" si="363">IF(A798="","",IF(M798=B798,"si","no"))</f>
        <v/>
      </c>
      <c r="O798" s="56"/>
      <c r="P798" s="56"/>
      <c r="Q798" s="48"/>
      <c r="R798" s="48"/>
      <c r="S798" s="2"/>
    </row>
    <row r="799" spans="1:23" ht="12.75" customHeight="1" x14ac:dyDescent="0.2">
      <c r="A799" s="22"/>
      <c r="B799" s="23" t="str">
        <f>IF(A799="","",VLOOKUP(A799,'6.A'!$A$11:$G$180,2,FALSE))</f>
        <v/>
      </c>
      <c r="C799" s="99"/>
      <c r="D799" s="57" t="str">
        <f>IF(A799="","",VLOOKUP(A799,'6.A'!$A$11:$G$180,4,FALSE))</f>
        <v/>
      </c>
      <c r="E799" s="101" t="str">
        <f>IF(A799="","",VLOOKUP(A799,'6.A'!$A$11:$G$180,5,FALSE))</f>
        <v/>
      </c>
      <c r="F799" s="24" t="str">
        <f t="shared" si="358"/>
        <v>0,00</v>
      </c>
      <c r="G799" s="52"/>
      <c r="H799" s="52" t="str">
        <f>IF(A799="","",VLOOKUP(A799,'6.A'!$A$11:$E$7984,5,FALSE))</f>
        <v/>
      </c>
      <c r="I799" s="52" t="str">
        <f>IF(H799="","",IF(E799=H799,"SIM","NÃO"))</f>
        <v/>
      </c>
      <c r="J799" s="52" t="str">
        <f>IF(H799="","",VLOOKUP(A799,'6.A'!$A$11:$E$564,4,FALSE))</f>
        <v/>
      </c>
      <c r="K799" s="52" t="str">
        <f>IF(H799="","",IF(J799=D799,"SIM","NÃO"))</f>
        <v/>
      </c>
      <c r="L799" s="52" t="str">
        <f>IF(H799="","",IF(C799="","",G792*C799))</f>
        <v/>
      </c>
      <c r="M799" s="117" t="str">
        <f>IF(A799="","",VLOOKUP(A799,'6.A'!$A$11:$C$564,2,FALSE))</f>
        <v/>
      </c>
      <c r="N799" s="57" t="str">
        <f>IF(A799="","",IF(M799=B799,"si","no"))</f>
        <v/>
      </c>
      <c r="O799" s="56"/>
      <c r="P799" s="56"/>
      <c r="Q799" s="48"/>
      <c r="R799" s="48"/>
      <c r="S799" s="2"/>
    </row>
    <row r="800" spans="1:23" ht="12.75" customHeight="1" x14ac:dyDescent="0.2">
      <c r="A800" s="22"/>
      <c r="B800" s="23" t="str">
        <f>IF(A800="","",VLOOKUP(A800,'6.A'!$A$11:$G$180,2,FALSE))</f>
        <v/>
      </c>
      <c r="C800" s="99"/>
      <c r="D800" s="57" t="str">
        <f>IF(A800="","",VLOOKUP(A800,'6.A'!$A$11:$G$180,4,FALSE))</f>
        <v/>
      </c>
      <c r="E800" s="100" t="str">
        <f>IF(A800="","",VLOOKUP(A800,'6.A'!$A$11:$G$180,5,FALSE))</f>
        <v/>
      </c>
      <c r="F800" s="24" t="str">
        <f t="shared" si="358"/>
        <v>0,00</v>
      </c>
      <c r="G800" s="52"/>
      <c r="H800" s="52" t="str">
        <f>IF(A800="","",VLOOKUP(A800,'6.A'!$A$11:$E$7984,5,FALSE))</f>
        <v/>
      </c>
      <c r="I800" s="52" t="str">
        <f>IF(H800="","",IF(E800=H800,"SIM","NÃO"))</f>
        <v/>
      </c>
      <c r="J800" s="52" t="str">
        <f>IF(H800="","",VLOOKUP(A800,'6.A'!$A$11:$E$564,4,FALSE))</f>
        <v/>
      </c>
      <c r="K800" s="52" t="str">
        <f>IF(H800="","",IF(J800=D800,"SIM","NÃO"))</f>
        <v/>
      </c>
      <c r="L800" s="52" t="str">
        <f>IF(H800="","",IF(C800="","",G792*C800))</f>
        <v/>
      </c>
      <c r="M800" s="117" t="str">
        <f>IF(A800="","",VLOOKUP(A800,'6.A'!$A$11:$C$564,2,FALSE))</f>
        <v/>
      </c>
      <c r="N800" s="57" t="str">
        <f>IF(A800="","",IF(M800=B800,"si","no"))</f>
        <v/>
      </c>
      <c r="O800" s="56"/>
      <c r="P800" s="56"/>
      <c r="Q800" s="48"/>
      <c r="R800" s="48"/>
      <c r="S800" s="2"/>
    </row>
    <row r="801" spans="1:19" ht="12.75" customHeight="1" x14ac:dyDescent="0.2">
      <c r="A801" s="22"/>
      <c r="B801" s="23" t="str">
        <f>IF(A801="","",VLOOKUP(A801,'6.A'!$A$11:$G$180,2,FALSE))</f>
        <v/>
      </c>
      <c r="C801" s="99"/>
      <c r="D801" s="57" t="str">
        <f>IF(A801="","",VLOOKUP(A801,'6.A'!$A$11:$G$180,4,FALSE))</f>
        <v/>
      </c>
      <c r="E801" s="100" t="str">
        <f>IF(A801="","",VLOOKUP(A801,'6.A'!$A$11:$G$180,5,FALSE))</f>
        <v/>
      </c>
      <c r="F801" s="24" t="str">
        <f t="shared" si="358"/>
        <v>0,00</v>
      </c>
      <c r="G801" s="52"/>
      <c r="H801" s="52" t="str">
        <f>IF(A801="","",VLOOKUP(A801,'6.A'!$A$11:$E$7984,5,FALSE))</f>
        <v/>
      </c>
      <c r="I801" s="52" t="str">
        <f t="shared" ref="I801" si="364">IF(H801="","",IF(E801=H801,"SIM","NÃO"))</f>
        <v/>
      </c>
      <c r="J801" s="52" t="str">
        <f>IF(H801="","",VLOOKUP(A801,'6.A'!$A$11:$E$564,4,FALSE))</f>
        <v/>
      </c>
      <c r="K801" s="52" t="str">
        <f t="shared" ref="K801" si="365">IF(H801="","",IF(J801=D801,"SIM","NÃO"))</f>
        <v/>
      </c>
      <c r="L801" s="52" t="str">
        <f>IF(H801="","",IF(C801="","",G792*C801))</f>
        <v/>
      </c>
      <c r="M801" s="117" t="str">
        <f>IF(A801="","",VLOOKUP(A801,'6.A'!$A$11:$C$564,2,FALSE))</f>
        <v/>
      </c>
      <c r="N801" s="57" t="str">
        <f t="shared" ref="N801" si="366">IF(A801="","",IF(M801=B801,"si","no"))</f>
        <v/>
      </c>
      <c r="O801" s="56"/>
      <c r="P801" s="56"/>
      <c r="Q801" s="48"/>
      <c r="R801" s="48"/>
      <c r="S801" s="2"/>
    </row>
    <row r="802" spans="1:19" ht="12.75" customHeight="1" x14ac:dyDescent="0.2">
      <c r="A802" s="22"/>
      <c r="B802" s="23" t="str">
        <f>IF(A802="","",VLOOKUP(A802,'6.A'!$A$11:$G$180,2,FALSE))</f>
        <v/>
      </c>
      <c r="C802" s="99"/>
      <c r="D802" s="73" t="str">
        <f>IF(A802="","",VLOOKUP(A802,'6.A'!$A$11:$G$180,4,FALSE))</f>
        <v/>
      </c>
      <c r="E802" s="101" t="str">
        <f>IF(A802="","",VLOOKUP(A802,'6.A'!$A$11:$G$180,5,FALSE))</f>
        <v/>
      </c>
      <c r="F802" s="24" t="str">
        <f t="shared" si="358"/>
        <v>0,00</v>
      </c>
      <c r="G802" s="52"/>
      <c r="H802" s="52" t="str">
        <f>IF(A802="","",VLOOKUP(A802,'6.A'!$A$11:$E$7984,5,FALSE))</f>
        <v/>
      </c>
      <c r="I802" s="52" t="str">
        <f>IF(H802="","",IF(E802=H802,"SIM","NÃO"))</f>
        <v/>
      </c>
      <c r="J802" s="52" t="str">
        <f>IF(H802="","",VLOOKUP(A802,'6.A'!$A$11:$E$564,4,FALSE))</f>
        <v/>
      </c>
      <c r="K802" s="52" t="str">
        <f>IF(H802="","",IF(J802=D802,"SIM","NÃO"))</f>
        <v/>
      </c>
      <c r="L802" s="52" t="str">
        <f>IF(H802="","",IF(C802="","",G792*C802))</f>
        <v/>
      </c>
      <c r="M802" s="117" t="str">
        <f>IF(A802="","",VLOOKUP(A802,'6.A'!$A$11:$C$564,2,FALSE))</f>
        <v/>
      </c>
      <c r="N802" s="57" t="str">
        <f>IF(A802="","",IF(M802=B802,"si","no"))</f>
        <v/>
      </c>
      <c r="O802" s="56"/>
      <c r="P802" s="56"/>
      <c r="Q802" s="48"/>
      <c r="R802" s="48"/>
      <c r="S802" s="2"/>
    </row>
    <row r="803" spans="1:19" ht="12.75" customHeight="1" x14ac:dyDescent="0.2">
      <c r="A803" s="22"/>
      <c r="B803" s="23" t="str">
        <f>IF(A803="","",VLOOKUP(A803,'6.A'!$A$11:$G$180,2,FALSE))</f>
        <v/>
      </c>
      <c r="C803" s="99"/>
      <c r="D803" s="25" t="str">
        <f>IF(A803="","",VLOOKUP(A803,'6.A'!$A$11:$G$180,4,FALSE))</f>
        <v/>
      </c>
      <c r="E803" s="101" t="str">
        <f>IF(A803="","",VLOOKUP(A803,'6.A'!$A$11:$G$180,5,FALSE))</f>
        <v/>
      </c>
      <c r="F803" s="24" t="str">
        <f t="shared" si="358"/>
        <v>0,00</v>
      </c>
      <c r="G803" s="52"/>
      <c r="H803" s="52" t="str">
        <f>IF(A803="","",VLOOKUP(A803,'6.A'!$A$11:$E$7984,5,FALSE))</f>
        <v/>
      </c>
      <c r="I803" s="52" t="str">
        <f t="shared" ref="I803" si="367">IF(H803="","",IF(E803=H803,"SIM","NÃO"))</f>
        <v/>
      </c>
      <c r="J803" s="52" t="str">
        <f>IF(H803="","",VLOOKUP(A803,'6.A'!$A$11:$E$564,4,FALSE))</f>
        <v/>
      </c>
      <c r="K803" s="52" t="str">
        <f t="shared" ref="K803" si="368">IF(H803="","",IF(J803=D803,"SIM","NÃO"))</f>
        <v/>
      </c>
      <c r="L803" s="52" t="str">
        <f>IF(H803="","",IF(C803="","",G792*C803))</f>
        <v/>
      </c>
      <c r="M803" s="117" t="str">
        <f>IF(A803="","",VLOOKUP(A803,'6.A'!$A$11:$C$564,2,FALSE))</f>
        <v/>
      </c>
      <c r="N803" s="57" t="str">
        <f t="shared" ref="N803" si="369">IF(A803="","",IF(M803=B803,"si","no"))</f>
        <v/>
      </c>
      <c r="O803" s="56"/>
      <c r="P803" s="56"/>
      <c r="Q803" s="48"/>
      <c r="R803" s="48"/>
      <c r="S803" s="2"/>
    </row>
    <row r="804" spans="1:19" ht="12.75" customHeight="1" x14ac:dyDescent="0.2">
      <c r="A804" s="17"/>
      <c r="B804" s="26" t="str">
        <f>$A$8</f>
        <v>LEIS SOCIAIS HORISTA - JORNADA NORMAL</v>
      </c>
      <c r="C804" s="27">
        <f>$C$8</f>
        <v>0</v>
      </c>
      <c r="D804" s="57"/>
      <c r="F804" s="28">
        <f>ROUND(SUM(F794:F803)*C804,2)</f>
        <v>0</v>
      </c>
      <c r="G804" s="63"/>
      <c r="M804" s="62"/>
      <c r="N804" s="57"/>
      <c r="O804" s="56"/>
      <c r="P804" s="56"/>
      <c r="Q804" s="48"/>
      <c r="R804" s="48"/>
      <c r="S804" s="2"/>
    </row>
    <row r="805" spans="1:19" ht="12.75" customHeight="1" x14ac:dyDescent="0.2">
      <c r="A805" s="22"/>
      <c r="B805" s="26" t="str">
        <f>$A$9</f>
        <v>BDI</v>
      </c>
      <c r="C805" s="27">
        <f>$C$9</f>
        <v>0</v>
      </c>
      <c r="D805" s="29"/>
      <c r="F805" s="28">
        <f>ROUND(SUM(F794:F804)*C805,2)</f>
        <v>0</v>
      </c>
      <c r="G805" s="63"/>
      <c r="M805" s="62"/>
      <c r="N805" s="57"/>
      <c r="O805" s="56"/>
      <c r="P805" s="56"/>
      <c r="Q805" s="48"/>
      <c r="R805" s="48"/>
      <c r="S805" s="2"/>
    </row>
    <row r="806" spans="1:19" ht="12.75" customHeight="1" x14ac:dyDescent="0.2">
      <c r="A806" s="30"/>
      <c r="B806" s="31" t="s">
        <v>56</v>
      </c>
      <c r="C806" s="32"/>
      <c r="D806" s="33"/>
      <c r="E806" s="34"/>
      <c r="F806" s="35">
        <f>ROUND(SUM(F794:F805),2)</f>
        <v>0</v>
      </c>
      <c r="G806" s="63"/>
      <c r="M806" s="62"/>
      <c r="N806" s="57"/>
      <c r="O806" s="56"/>
      <c r="P806" s="56"/>
      <c r="Q806" s="48"/>
      <c r="R806" s="48"/>
      <c r="S806" s="2"/>
    </row>
    <row r="807" spans="1:19" ht="12.75" customHeight="1" x14ac:dyDescent="0.2">
      <c r="A807" s="17" t="s">
        <v>5</v>
      </c>
      <c r="B807" s="153" t="s">
        <v>130</v>
      </c>
      <c r="C807" s="56" t="s">
        <v>59</v>
      </c>
      <c r="D807" s="56" t="s">
        <v>16</v>
      </c>
      <c r="E807" s="19" t="s">
        <v>60</v>
      </c>
      <c r="F807" s="20" t="s">
        <v>61</v>
      </c>
      <c r="G807" s="21"/>
      <c r="M807" s="62"/>
      <c r="N807" s="57"/>
      <c r="O807" s="56"/>
      <c r="P807" s="56"/>
      <c r="Q807" s="48"/>
      <c r="R807" s="48"/>
      <c r="S807" s="2"/>
    </row>
    <row r="808" spans="1:19" ht="12.75" customHeight="1" x14ac:dyDescent="0.2">
      <c r="A808" s="22"/>
      <c r="B808" s="23" t="str">
        <f>IF(A808="","",VLOOKUP(A808,'6.A'!$A$11:$G$180,2,FALSE))</f>
        <v/>
      </c>
      <c r="C808" s="99"/>
      <c r="D808" s="57" t="str">
        <f>IF(A808="","",VLOOKUP(A808,'6.A'!$A$11:$G$180,4,FALSE))</f>
        <v/>
      </c>
      <c r="E808" s="100" t="str">
        <f>IF(A808="","",VLOOKUP(A808,'6.A'!$A$11:$G$180,5,FALSE))</f>
        <v/>
      </c>
      <c r="F808" s="24" t="str">
        <f t="shared" ref="F808:F817" si="370">IF(A808="","0,00",ROUND(C808*E808,2))</f>
        <v>0,00</v>
      </c>
      <c r="G808" s="52"/>
      <c r="H808" s="52" t="str">
        <f>IF(A808="","",VLOOKUP(A808,'6.A'!$A$11:$E$7984,5,FALSE))</f>
        <v/>
      </c>
      <c r="I808" s="52" t="str">
        <f t="shared" ref="I808:I817" si="371">IF(H808="","",IF(E808=H808,"SIM","NÃO"))</f>
        <v/>
      </c>
      <c r="J808" s="52" t="str">
        <f>IF(H808="","",VLOOKUP(A808,'6.A'!$A$11:$E$564,4,FALSE))</f>
        <v/>
      </c>
      <c r="K808" s="52" t="str">
        <f t="shared" ref="K808:K817" si="372">IF(H808="","",IF(J808=D808,"SIM","NÃO"))</f>
        <v/>
      </c>
      <c r="L808" s="52" t="str">
        <f>IF(H808="","",IF(C808="","",G792*C808))</f>
        <v/>
      </c>
      <c r="M808" s="117" t="str">
        <f>IF(A808="","",VLOOKUP(A808,'6.A'!$A$11:$C$564,2,FALSE))</f>
        <v/>
      </c>
      <c r="N808" s="57" t="str">
        <f t="shared" ref="N808:N813" si="373">IF(A808="","",IF(M808=B808,"si","no"))</f>
        <v/>
      </c>
      <c r="O808" s="56"/>
      <c r="P808" s="56"/>
      <c r="Q808" s="48"/>
      <c r="R808" s="48"/>
      <c r="S808" s="2"/>
    </row>
    <row r="809" spans="1:19" ht="12.75" customHeight="1" x14ac:dyDescent="0.2">
      <c r="A809" s="22"/>
      <c r="B809" s="23" t="str">
        <f>IF(A809="","",VLOOKUP(A809,'6.A'!$A$11:$G$180,2,FALSE))</f>
        <v/>
      </c>
      <c r="C809" s="99"/>
      <c r="D809" s="57" t="str">
        <f>IF(A809="","",VLOOKUP(A809,'6.A'!$A$11:$G$180,4,FALSE))</f>
        <v/>
      </c>
      <c r="E809" s="100" t="str">
        <f>IF(A809="","",VLOOKUP(A809,'6.A'!$A$11:$G$180,5,FALSE))</f>
        <v/>
      </c>
      <c r="F809" s="24" t="str">
        <f t="shared" si="370"/>
        <v>0,00</v>
      </c>
      <c r="G809" s="52"/>
      <c r="H809" s="52" t="str">
        <f>IF(A809="","",VLOOKUP(A809,'6.A'!$A$11:$E$7984,5,FALSE))</f>
        <v/>
      </c>
      <c r="I809" s="52" t="str">
        <f t="shared" si="371"/>
        <v/>
      </c>
      <c r="J809" s="52" t="str">
        <f>IF(H809="","",VLOOKUP(A809,'6.A'!$A$11:$E$564,4,FALSE))</f>
        <v/>
      </c>
      <c r="K809" s="52" t="str">
        <f t="shared" si="372"/>
        <v/>
      </c>
      <c r="L809" s="52" t="str">
        <f>IF(H809="","",IF(C809="","",G792*C809))</f>
        <v/>
      </c>
      <c r="M809" s="117" t="str">
        <f>IF(A809="","",VLOOKUP(A809,'6.A'!$A$11:$C$564,2,FALSE))</f>
        <v/>
      </c>
      <c r="N809" s="57" t="str">
        <f t="shared" si="373"/>
        <v/>
      </c>
      <c r="O809" s="56"/>
      <c r="P809" s="56"/>
      <c r="Q809" s="48"/>
      <c r="R809" s="48"/>
      <c r="S809" s="2"/>
    </row>
    <row r="810" spans="1:19" ht="12.75" customHeight="1" x14ac:dyDescent="0.2">
      <c r="A810" s="22"/>
      <c r="B810" s="23" t="str">
        <f>IF(A810="","",VLOOKUP(A810,'6.A'!$A$11:$G$180,2,FALSE))</f>
        <v/>
      </c>
      <c r="C810" s="99"/>
      <c r="D810" s="57" t="str">
        <f>IF(A810="","",VLOOKUP(A810,'6.A'!$A$11:$G$180,4,FALSE))</f>
        <v/>
      </c>
      <c r="E810" s="100" t="str">
        <f>IF(A810="","",VLOOKUP(A810,'6.A'!$A$11:$G$180,5,FALSE))</f>
        <v/>
      </c>
      <c r="F810" s="24" t="str">
        <f t="shared" si="370"/>
        <v>0,00</v>
      </c>
      <c r="G810" s="52"/>
      <c r="H810" s="52" t="str">
        <f>IF(A810="","",VLOOKUP(A810,'6.A'!$A$11:$E$7984,5,FALSE))</f>
        <v/>
      </c>
      <c r="I810" s="52" t="str">
        <f t="shared" si="371"/>
        <v/>
      </c>
      <c r="J810" s="52" t="str">
        <f>IF(H810="","",VLOOKUP(A810,'6.A'!$A$11:$E$564,4,FALSE))</f>
        <v/>
      </c>
      <c r="K810" s="52" t="str">
        <f t="shared" si="372"/>
        <v/>
      </c>
      <c r="L810" s="52" t="str">
        <f>IF(H810="","",IF(C810="","",G792*C810))</f>
        <v/>
      </c>
      <c r="M810" s="117" t="str">
        <f>IF(A810="","",VLOOKUP(A810,'6.A'!$A$11:$C$564,2,FALSE))</f>
        <v/>
      </c>
      <c r="N810" s="57" t="str">
        <f t="shared" si="373"/>
        <v/>
      </c>
      <c r="O810" s="56"/>
      <c r="P810" s="56"/>
      <c r="Q810" s="48"/>
      <c r="R810" s="48"/>
      <c r="S810" s="2"/>
    </row>
    <row r="811" spans="1:19" ht="12.75" customHeight="1" x14ac:dyDescent="0.2">
      <c r="A811" s="22"/>
      <c r="B811" s="55" t="str">
        <f>IF(A811="","",VLOOKUP(A811,'6.A'!$A$11:$G$180,2,FALSE))</f>
        <v/>
      </c>
      <c r="C811" s="134"/>
      <c r="D811" s="57" t="str">
        <f>IF(A811="","",VLOOKUP(A811,'6.A'!$A$11:$G$180,4,FALSE))</f>
        <v/>
      </c>
      <c r="E811" s="100" t="str">
        <f>IF(A811="","",VLOOKUP(A811,'6.A'!$A$11:$G$180,5,FALSE))</f>
        <v/>
      </c>
      <c r="F811" s="24" t="str">
        <f t="shared" si="370"/>
        <v>0,00</v>
      </c>
      <c r="G811" s="52"/>
      <c r="H811" s="52" t="str">
        <f>IF(A811="","",VLOOKUP(A811,'6.A'!$A$11:$E$7984,5,FALSE))</f>
        <v/>
      </c>
      <c r="I811" s="52" t="str">
        <f t="shared" si="371"/>
        <v/>
      </c>
      <c r="J811" s="52" t="str">
        <f>IF(H811="","",VLOOKUP(A811,'6.A'!$A$11:$E$564,4,FALSE))</f>
        <v/>
      </c>
      <c r="K811" s="52" t="str">
        <f t="shared" si="372"/>
        <v/>
      </c>
      <c r="L811" s="52" t="str">
        <f>IF(H811="","",IF(C811="","",G792*C811))</f>
        <v/>
      </c>
      <c r="M811" s="117" t="str">
        <f>IF(A811="","",VLOOKUP(A811,'6.A'!$A$11:$C$564,2,FALSE))</f>
        <v/>
      </c>
      <c r="N811" s="57" t="str">
        <f t="shared" si="373"/>
        <v/>
      </c>
      <c r="O811" s="56"/>
      <c r="P811" s="56"/>
      <c r="Q811" s="48"/>
      <c r="R811" s="48"/>
      <c r="S811" s="2"/>
    </row>
    <row r="812" spans="1:19" ht="12.75" customHeight="1" x14ac:dyDescent="0.2">
      <c r="A812" s="22"/>
      <c r="B812" s="23" t="str">
        <f>IF(A812="","",VLOOKUP(A812,'6.A'!$A$11:$G$180,2,FALSE))</f>
        <v/>
      </c>
      <c r="C812" s="99"/>
      <c r="D812" s="57" t="str">
        <f>IF(A812="","",VLOOKUP(A812,'6.A'!$A$11:$G$180,4,FALSE))</f>
        <v/>
      </c>
      <c r="E812" s="100" t="str">
        <f>IF(A812="","",VLOOKUP(A812,'6.A'!$A$11:$G$180,5,FALSE))</f>
        <v/>
      </c>
      <c r="F812" s="24" t="str">
        <f t="shared" si="370"/>
        <v>0,00</v>
      </c>
      <c r="G812" s="52"/>
      <c r="H812" s="52" t="str">
        <f>IF(A812="","",VLOOKUP(A812,'6.A'!$A$11:$E$7984,5,FALSE))</f>
        <v/>
      </c>
      <c r="I812" s="52" t="str">
        <f t="shared" si="371"/>
        <v/>
      </c>
      <c r="J812" s="52" t="str">
        <f>IF(H812="","",VLOOKUP(A812,'6.A'!$A$11:$E$564,4,FALSE))</f>
        <v/>
      </c>
      <c r="K812" s="52" t="str">
        <f t="shared" si="372"/>
        <v/>
      </c>
      <c r="L812" s="52" t="str">
        <f>IF(H812="","",IF(C812="","",G792*C812))</f>
        <v/>
      </c>
      <c r="M812" s="117" t="str">
        <f>IF(A812="","",VLOOKUP(A812,'6.A'!$A$11:$C$564,2,FALSE))</f>
        <v/>
      </c>
      <c r="N812" s="57" t="str">
        <f t="shared" si="373"/>
        <v/>
      </c>
      <c r="O812" s="56"/>
      <c r="P812" s="56"/>
      <c r="Q812" s="48"/>
      <c r="R812" s="48"/>
      <c r="S812" s="2"/>
    </row>
    <row r="813" spans="1:19" ht="12.75" customHeight="1" x14ac:dyDescent="0.2">
      <c r="A813" s="22"/>
      <c r="B813" s="23" t="str">
        <f>IF(A813="","",VLOOKUP(A813,'6.A'!$A$11:$G$180,2,FALSE))</f>
        <v/>
      </c>
      <c r="C813" s="99"/>
      <c r="D813" s="57" t="str">
        <f>IF(A813="","",VLOOKUP(A813,'6.A'!$A$11:$G$180,4,FALSE))</f>
        <v/>
      </c>
      <c r="E813" s="100" t="str">
        <f>IF(A813="","",VLOOKUP(A813,'6.A'!$A$11:$G$180,5,FALSE))</f>
        <v/>
      </c>
      <c r="F813" s="24" t="str">
        <f t="shared" si="370"/>
        <v>0,00</v>
      </c>
      <c r="G813" s="52"/>
      <c r="H813" s="52" t="str">
        <f>IF(A813="","",VLOOKUP(A813,'6.A'!$A$11:$E$7984,5,FALSE))</f>
        <v/>
      </c>
      <c r="I813" s="52" t="str">
        <f t="shared" si="371"/>
        <v/>
      </c>
      <c r="J813" s="52" t="str">
        <f>IF(H813="","",VLOOKUP(A813,'6.A'!$A$11:$E$564,4,FALSE))</f>
        <v/>
      </c>
      <c r="K813" s="52" t="str">
        <f t="shared" si="372"/>
        <v/>
      </c>
      <c r="L813" s="52" t="str">
        <f>IF(H813="","",IF(C813="","",G792*C813))</f>
        <v/>
      </c>
      <c r="M813" s="117" t="str">
        <f>IF(A813="","",VLOOKUP(A813,'6.A'!$A$11:$C$564,2,FALSE))</f>
        <v/>
      </c>
      <c r="N813" s="57" t="str">
        <f t="shared" si="373"/>
        <v/>
      </c>
      <c r="O813" s="56"/>
      <c r="P813" s="56"/>
      <c r="Q813" s="48"/>
      <c r="R813" s="48"/>
      <c r="S813" s="2"/>
    </row>
    <row r="814" spans="1:19" ht="12.75" customHeight="1" x14ac:dyDescent="0.2">
      <c r="A814" s="22"/>
      <c r="B814" s="23" t="str">
        <f>IF(A814="","",VLOOKUP(A814,'6.A'!$A$11:$G$180,2,FALSE))</f>
        <v/>
      </c>
      <c r="C814" s="99"/>
      <c r="D814" s="57" t="str">
        <f>IF(A814="","",VLOOKUP(A814,'6.A'!$A$11:$G$180,4,FALSE))</f>
        <v/>
      </c>
      <c r="E814" s="100" t="str">
        <f>IF(A814="","",VLOOKUP(A814,'6.A'!$A$11:$G$180,5,FALSE))</f>
        <v/>
      </c>
      <c r="F814" s="24" t="str">
        <f t="shared" si="370"/>
        <v>0,00</v>
      </c>
      <c r="G814" s="52"/>
      <c r="H814" s="52" t="str">
        <f>IF(A814="","",VLOOKUP(A814,'6.A'!$A$11:$E$7984,5,FALSE))</f>
        <v/>
      </c>
      <c r="I814" s="52" t="str">
        <f t="shared" si="371"/>
        <v/>
      </c>
      <c r="J814" s="52" t="str">
        <f>IF(H814="","",VLOOKUP(A814,'6.A'!$A$11:$E$564,4,FALSE))</f>
        <v/>
      </c>
      <c r="K814" s="52" t="str">
        <f t="shared" si="372"/>
        <v/>
      </c>
      <c r="L814" s="52" t="str">
        <f>IF(H814="","",IF(C814="","",G792*C814))</f>
        <v/>
      </c>
      <c r="M814" s="117" t="str">
        <f>IF(A814="","",VLOOKUP(A814,'6.A'!$A$11:$C$564,2,FALSE))</f>
        <v/>
      </c>
      <c r="N814" s="57" t="str">
        <f>IF(A814="","",IF(M814=B814,"si","no"))</f>
        <v/>
      </c>
      <c r="O814" s="56"/>
      <c r="P814" s="56"/>
      <c r="Q814" s="48"/>
      <c r="R814" s="48"/>
      <c r="S814" s="2"/>
    </row>
    <row r="815" spans="1:19" ht="12.75" customHeight="1" x14ac:dyDescent="0.2">
      <c r="A815" s="22"/>
      <c r="B815" s="23" t="str">
        <f>IF(A815="","",VLOOKUP(A815,'6.A'!$A$11:$G$180,2,FALSE))</f>
        <v/>
      </c>
      <c r="C815" s="99"/>
      <c r="D815" s="57" t="str">
        <f>IF(A815="","",VLOOKUP(A815,'6.A'!$A$11:$G$180,4,FALSE))</f>
        <v/>
      </c>
      <c r="E815" s="100" t="str">
        <f>IF(A815="","",VLOOKUP(A815,'6.A'!$A$11:$G$180,5,FALSE))</f>
        <v/>
      </c>
      <c r="F815" s="24" t="str">
        <f t="shared" si="370"/>
        <v>0,00</v>
      </c>
      <c r="G815" s="52"/>
      <c r="H815" s="52" t="str">
        <f>IF(A815="","",VLOOKUP(A815,'6.A'!$A$11:$E$7984,5,FALSE))</f>
        <v/>
      </c>
      <c r="I815" s="52" t="str">
        <f t="shared" si="371"/>
        <v/>
      </c>
      <c r="J815" s="52" t="str">
        <f>IF(H815="","",VLOOKUP(A815,'6.A'!$A$11:$E$564,4,FALSE))</f>
        <v/>
      </c>
      <c r="K815" s="52" t="str">
        <f t="shared" si="372"/>
        <v/>
      </c>
      <c r="L815" s="52" t="str">
        <f>IF(H815="","",IF(C815="","",G792*C815))</f>
        <v/>
      </c>
      <c r="M815" s="117" t="str">
        <f>IF(A815="","",VLOOKUP(A815,'6.A'!$A$11:$C$564,2,FALSE))</f>
        <v/>
      </c>
      <c r="N815" s="57" t="str">
        <f>IF(A815="","",IF(M815=B815,"si","no"))</f>
        <v/>
      </c>
      <c r="O815" s="56"/>
      <c r="P815" s="56"/>
      <c r="Q815" s="48"/>
      <c r="R815" s="48"/>
      <c r="S815" s="2"/>
    </row>
    <row r="816" spans="1:19" ht="12.75" customHeight="1" x14ac:dyDescent="0.2">
      <c r="A816" s="22"/>
      <c r="B816" s="23" t="str">
        <f>IF(A816="","",VLOOKUP(A816,'6.A'!$A$11:$G$180,2,FALSE))</f>
        <v/>
      </c>
      <c r="C816" s="99"/>
      <c r="D816" s="57" t="str">
        <f>IF(A816="","",VLOOKUP(A816,'6.A'!$A$11:$G$180,4,FALSE))</f>
        <v/>
      </c>
      <c r="E816" s="100" t="str">
        <f>IF(A816="","",VLOOKUP(A816,'6.A'!$A$11:$G$180,5,FALSE))</f>
        <v/>
      </c>
      <c r="F816" s="24" t="str">
        <f t="shared" si="370"/>
        <v>0,00</v>
      </c>
      <c r="G816" s="52"/>
      <c r="H816" s="52" t="str">
        <f>IF(A816="","",VLOOKUP(A816,'6.A'!$A$11:$E$7984,5,FALSE))</f>
        <v/>
      </c>
      <c r="I816" s="52" t="str">
        <f t="shared" si="371"/>
        <v/>
      </c>
      <c r="J816" s="52" t="str">
        <f>IF(H816="","",VLOOKUP(A816,'6.A'!$A$11:$E$564,4,FALSE))</f>
        <v/>
      </c>
      <c r="K816" s="52" t="str">
        <f t="shared" si="372"/>
        <v/>
      </c>
      <c r="L816" s="52" t="str">
        <f>IF(H816="","",IF(C816="","",G792*C816))</f>
        <v/>
      </c>
      <c r="M816" s="117" t="str">
        <f>IF(A816="","",VLOOKUP(A816,'6.A'!$A$11:$C$564,2,FALSE))</f>
        <v/>
      </c>
      <c r="N816" s="57" t="str">
        <f t="shared" ref="N816:N817" si="374">IF(A816="","",IF(M816=B816,"si","no"))</f>
        <v/>
      </c>
      <c r="O816" s="56"/>
      <c r="P816" s="56"/>
      <c r="Q816" s="48"/>
      <c r="R816" s="48"/>
      <c r="S816" s="2"/>
    </row>
    <row r="817" spans="1:22" ht="12.75" customHeight="1" x14ac:dyDescent="0.2">
      <c r="A817" s="22"/>
      <c r="B817" s="23" t="str">
        <f>IF(A817="","",VLOOKUP(A817,'6.A'!$A$11:$G$180,2,FALSE))</f>
        <v/>
      </c>
      <c r="C817" s="99"/>
      <c r="D817" s="57" t="str">
        <f>IF(A817="","",VLOOKUP(A817,'6.A'!$A$11:$G$180,4,FALSE))</f>
        <v/>
      </c>
      <c r="E817" s="100" t="str">
        <f>IF(A817="","",VLOOKUP(A817,'6.A'!$A$11:$G$180,5,FALSE))</f>
        <v/>
      </c>
      <c r="F817" s="24" t="str">
        <f t="shared" si="370"/>
        <v>0,00</v>
      </c>
      <c r="G817" s="52"/>
      <c r="H817" s="52" t="str">
        <f>IF(A817="","",VLOOKUP(A817,'6.A'!$A$11:$E$7984,5,FALSE))</f>
        <v/>
      </c>
      <c r="I817" s="52" t="str">
        <f t="shared" si="371"/>
        <v/>
      </c>
      <c r="J817" s="52" t="str">
        <f>IF(H817="","",VLOOKUP(A817,'6.A'!$A$11:$E$564,4,FALSE))</f>
        <v/>
      </c>
      <c r="K817" s="52" t="str">
        <f t="shared" si="372"/>
        <v/>
      </c>
      <c r="L817" s="52" t="str">
        <f>IF(H817="","",IF(C817="","",G792*C817))</f>
        <v/>
      </c>
      <c r="M817" s="117" t="str">
        <f>IF(A817="","",VLOOKUP(A817,'6.A'!$A$11:$C$564,2,FALSE))</f>
        <v/>
      </c>
      <c r="N817" s="57" t="str">
        <f t="shared" si="374"/>
        <v/>
      </c>
      <c r="O817" s="56"/>
      <c r="P817" s="56"/>
      <c r="Q817" s="48"/>
      <c r="R817" s="48"/>
      <c r="S817" s="2"/>
    </row>
    <row r="818" spans="1:22" ht="12.75" customHeight="1" x14ac:dyDescent="0.2">
      <c r="A818" s="22"/>
      <c r="B818" s="26" t="str">
        <f>$A$9</f>
        <v>BDI</v>
      </c>
      <c r="C818" s="27">
        <f>$C$9</f>
        <v>0</v>
      </c>
      <c r="D818" s="57"/>
      <c r="F818" s="28">
        <f>ROUND(SUM(F808:F817)*C818,2)</f>
        <v>0</v>
      </c>
      <c r="G818" s="63"/>
      <c r="M818" s="62"/>
      <c r="N818" s="57"/>
      <c r="O818" s="56"/>
      <c r="P818" s="56"/>
      <c r="Q818" s="48"/>
      <c r="R818" s="48"/>
      <c r="S818" s="2"/>
    </row>
    <row r="819" spans="1:22" ht="12.75" customHeight="1" x14ac:dyDescent="0.2">
      <c r="A819" s="30"/>
      <c r="B819" s="31" t="s">
        <v>117</v>
      </c>
      <c r="C819" s="36"/>
      <c r="D819" s="37"/>
      <c r="E819" s="38"/>
      <c r="F819" s="35">
        <f>ROUND(SUM(F808:F818),2)</f>
        <v>0</v>
      </c>
      <c r="G819" s="63"/>
      <c r="M819" s="62"/>
      <c r="N819" s="57"/>
      <c r="O819" s="56"/>
      <c r="P819" s="56"/>
      <c r="Q819" s="48"/>
      <c r="R819" s="48"/>
      <c r="S819" s="2"/>
    </row>
    <row r="820" spans="1:22" ht="12.75" customHeight="1" x14ac:dyDescent="0.2">
      <c r="A820" s="17" t="s">
        <v>6</v>
      </c>
      <c r="B820" s="18" t="s">
        <v>17</v>
      </c>
      <c r="C820" s="56" t="s">
        <v>59</v>
      </c>
      <c r="D820" s="56" t="s">
        <v>16</v>
      </c>
      <c r="E820" s="19" t="s">
        <v>60</v>
      </c>
      <c r="F820" s="20" t="s">
        <v>61</v>
      </c>
      <c r="G820" s="21"/>
      <c r="M820" s="62"/>
      <c r="N820" s="57"/>
      <c r="O820" s="56"/>
      <c r="P820" s="56"/>
      <c r="Q820" s="48"/>
      <c r="R820" s="48"/>
      <c r="S820" s="2"/>
    </row>
    <row r="821" spans="1:22" ht="12.75" customHeight="1" x14ac:dyDescent="0.2">
      <c r="A821" s="22">
        <f>'6.A'!$A$101</f>
        <v>2681</v>
      </c>
      <c r="B821" s="23" t="str">
        <f>IF(A821="","",VLOOKUP(A821,'6.A'!$A$11:$G$180,2,FALSE))</f>
        <v>ELETRODUTO DE PVC RIGIDO ROSCAVEL DE 2", SEM LUVA</v>
      </c>
      <c r="C821" s="99">
        <v>1.1000000000000001</v>
      </c>
      <c r="D821" s="57" t="str">
        <f>IF(A821="","",VLOOKUP(A821,'6.A'!$A$11:$G$180,4,FALSE))</f>
        <v>M</v>
      </c>
      <c r="E821" s="100">
        <f>IF(A821="","",VLOOKUP(A821,'6.A'!$A$11:$G$180,5,FALSE))</f>
        <v>0</v>
      </c>
      <c r="F821" s="24">
        <f t="shared" ref="F821:F840" si="375">IF(A821="","0,00",ROUND(C821*E821,2))</f>
        <v>0</v>
      </c>
      <c r="G821" s="52"/>
      <c r="H821" s="52">
        <f>IF(A821="","",VLOOKUP(A821,'6.A'!$A$11:$E$7984,5,FALSE))</f>
        <v>0</v>
      </c>
      <c r="I821" s="52" t="str">
        <f t="shared" ref="I821:I840" si="376">IF(H821="","",IF(E821=H821,"SIM","NÃO"))</f>
        <v>SIM</v>
      </c>
      <c r="J821" s="52" t="str">
        <f>IF(H821="","",VLOOKUP(A821,'6.A'!$A$11:$E$564,4,FALSE))</f>
        <v>M</v>
      </c>
      <c r="K821" s="52" t="str">
        <f t="shared" ref="K821:K840" si="377">IF(H821="","",IF(J821=D821,"SIM","NÃO"))</f>
        <v>SIM</v>
      </c>
      <c r="L821" s="52">
        <f>IF(H821="","",IF(C821="","",G792*C821))</f>
        <v>6.6000000000000005</v>
      </c>
      <c r="M821" s="117" t="str">
        <f>IF(A821="","",VLOOKUP(A821,'6.A'!$A$11:$C$564,2,FALSE))</f>
        <v>ELETRODUTO DE PVC RIGIDO ROSCAVEL DE 2", SEM LUVA</v>
      </c>
      <c r="N821" s="57" t="str">
        <f t="shared" ref="N821:N840" si="378">IF(A821="","",IF(M821=B821,"si","no"))</f>
        <v>si</v>
      </c>
      <c r="O821" s="56"/>
      <c r="P821" s="56"/>
      <c r="Q821" s="48"/>
      <c r="R821" s="48"/>
      <c r="S821" s="2"/>
    </row>
    <row r="822" spans="1:22" ht="12.75" customHeight="1" x14ac:dyDescent="0.2">
      <c r="A822" s="22"/>
      <c r="B822" s="23" t="str">
        <f>IF(A822="","",VLOOKUP(A822,'6.A'!$A$11:$G$180,2,FALSE))</f>
        <v/>
      </c>
      <c r="C822" s="99"/>
      <c r="D822" s="57" t="str">
        <f>IF(A822="","",VLOOKUP(A822,'6.A'!$A$11:$G$180,4,FALSE))</f>
        <v/>
      </c>
      <c r="E822" s="100" t="str">
        <f>IF(A822="","",VLOOKUP(A822,'6.A'!$A$11:$G$180,5,FALSE))</f>
        <v/>
      </c>
      <c r="F822" s="24" t="str">
        <f t="shared" si="375"/>
        <v>0,00</v>
      </c>
      <c r="G822" s="52"/>
      <c r="H822" s="52" t="str">
        <f>IF(A822="","",VLOOKUP(A822,'6.A'!$A$11:$E$7984,5,FALSE))</f>
        <v/>
      </c>
      <c r="I822" s="52" t="str">
        <f t="shared" si="376"/>
        <v/>
      </c>
      <c r="J822" s="52" t="str">
        <f>IF(H822="","",VLOOKUP(A822,'6.A'!$A$11:$E$564,4,FALSE))</f>
        <v/>
      </c>
      <c r="K822" s="52" t="str">
        <f t="shared" si="377"/>
        <v/>
      </c>
      <c r="L822" s="52" t="str">
        <f>IF(H822="","",IF(C822="","",G792*C822))</f>
        <v/>
      </c>
      <c r="M822" s="117" t="str">
        <f>IF(A822="","",VLOOKUP(A822,'6.A'!$A$11:$C$564,2,FALSE))</f>
        <v/>
      </c>
      <c r="N822" s="57" t="str">
        <f t="shared" si="378"/>
        <v/>
      </c>
      <c r="O822" s="56"/>
      <c r="P822" s="56"/>
      <c r="Q822" s="48"/>
      <c r="R822" s="48"/>
      <c r="S822" s="2"/>
    </row>
    <row r="823" spans="1:22" ht="12.75" customHeight="1" x14ac:dyDescent="0.2">
      <c r="A823" s="22"/>
      <c r="B823" s="23" t="str">
        <f>IF(A823="","",VLOOKUP(A823,'6.A'!$A$11:$G$180,2,FALSE))</f>
        <v/>
      </c>
      <c r="C823" s="99"/>
      <c r="D823" s="57" t="str">
        <f>IF(A823="","",VLOOKUP(A823,'6.A'!$A$11:$G$180,4,FALSE))</f>
        <v/>
      </c>
      <c r="E823" s="100" t="str">
        <f>IF(A823="","",VLOOKUP(A823,'6.A'!$A$11:$G$180,5,FALSE))</f>
        <v/>
      </c>
      <c r="F823" s="24" t="str">
        <f t="shared" si="375"/>
        <v>0,00</v>
      </c>
      <c r="G823" s="52"/>
      <c r="H823" s="52" t="str">
        <f>IF(A823="","",VLOOKUP(A823,'6.A'!$A$11:$E$7984,5,FALSE))</f>
        <v/>
      </c>
      <c r="I823" s="52" t="str">
        <f t="shared" si="376"/>
        <v/>
      </c>
      <c r="J823" s="52" t="str">
        <f>IF(H823="","",VLOOKUP(A823,'6.A'!$A$11:$E$564,4,FALSE))</f>
        <v/>
      </c>
      <c r="K823" s="52" t="str">
        <f t="shared" si="377"/>
        <v/>
      </c>
      <c r="L823" s="52" t="str">
        <f>IF(H823="","",IF(C823="","",G792*C823))</f>
        <v/>
      </c>
      <c r="M823" s="117" t="str">
        <f>IF(A823="","",VLOOKUP(A823,'6.A'!$A$11:$C$564,2,FALSE))</f>
        <v/>
      </c>
      <c r="N823" s="57" t="str">
        <f t="shared" si="378"/>
        <v/>
      </c>
      <c r="O823" s="56"/>
      <c r="P823" s="56"/>
      <c r="Q823" s="48"/>
      <c r="R823" s="48"/>
      <c r="S823" s="2"/>
    </row>
    <row r="824" spans="1:22" ht="12.75" customHeight="1" x14ac:dyDescent="0.2">
      <c r="A824" s="22"/>
      <c r="B824" s="23" t="str">
        <f>IF(A824="","",VLOOKUP(A824,'6.A'!$A$11:$G$180,2,FALSE))</f>
        <v/>
      </c>
      <c r="C824" s="99"/>
      <c r="D824" s="57" t="str">
        <f>IF(A824="","",VLOOKUP(A824,'6.A'!$A$11:$G$180,4,FALSE))</f>
        <v/>
      </c>
      <c r="E824" s="100" t="str">
        <f>IF(A824="","",VLOOKUP(A824,'6.A'!$A$11:$G$180,5,FALSE))</f>
        <v/>
      </c>
      <c r="F824" s="24" t="str">
        <f t="shared" si="375"/>
        <v>0,00</v>
      </c>
      <c r="G824" s="52"/>
      <c r="H824" s="52" t="str">
        <f>IF(A824="","",VLOOKUP(A824,'6.A'!$A$11:$E$7984,5,FALSE))</f>
        <v/>
      </c>
      <c r="I824" s="52" t="str">
        <f t="shared" si="376"/>
        <v/>
      </c>
      <c r="J824" s="52" t="str">
        <f>IF(H824="","",VLOOKUP(A824,'6.A'!$A$11:$E$564,4,FALSE))</f>
        <v/>
      </c>
      <c r="K824" s="52" t="str">
        <f t="shared" si="377"/>
        <v/>
      </c>
      <c r="L824" s="52" t="str">
        <f>IF(H824="","",IF(C824="","",G792*C824))</f>
        <v/>
      </c>
      <c r="M824" s="117" t="str">
        <f>IF(A824="","",VLOOKUP(A824,'6.A'!$A$11:$C$564,2,FALSE))</f>
        <v/>
      </c>
      <c r="N824" s="57" t="str">
        <f t="shared" si="378"/>
        <v/>
      </c>
      <c r="O824" s="56"/>
      <c r="P824" s="56"/>
      <c r="Q824" s="48"/>
      <c r="R824" s="48"/>
      <c r="S824" s="2"/>
    </row>
    <row r="825" spans="1:22" ht="12.75" customHeight="1" x14ac:dyDescent="0.2">
      <c r="A825" s="22"/>
      <c r="B825" s="23" t="str">
        <f>IF(A825="","",VLOOKUP(A825,'6.A'!$A$11:$G$180,2,FALSE))</f>
        <v/>
      </c>
      <c r="C825" s="99"/>
      <c r="D825" s="57" t="str">
        <f>IF(A825="","",VLOOKUP(A825,'6.A'!$A$11:$G$180,4,FALSE))</f>
        <v/>
      </c>
      <c r="E825" s="100" t="str">
        <f>IF(A825="","",VLOOKUP(A825,'6.A'!$A$11:$G$180,5,FALSE))</f>
        <v/>
      </c>
      <c r="F825" s="24" t="str">
        <f t="shared" si="375"/>
        <v>0,00</v>
      </c>
      <c r="G825" s="52"/>
      <c r="H825" s="52" t="str">
        <f>IF(A825="","",VLOOKUP(A825,'6.A'!$A$11:$E$7984,5,FALSE))</f>
        <v/>
      </c>
      <c r="I825" s="52" t="str">
        <f t="shared" si="376"/>
        <v/>
      </c>
      <c r="J825" s="52" t="str">
        <f>IF(H825="","",VLOOKUP(A825,'6.A'!$A$11:$E$564,4,FALSE))</f>
        <v/>
      </c>
      <c r="K825" s="52" t="str">
        <f t="shared" si="377"/>
        <v/>
      </c>
      <c r="L825" s="52" t="str">
        <f>IF(H825="","",IF(C825="","",G792*C825))</f>
        <v/>
      </c>
      <c r="M825" s="117" t="str">
        <f>IF(A825="","",VLOOKUP(A825,'6.A'!$A$11:$C$564,2,FALSE))</f>
        <v/>
      </c>
      <c r="N825" s="57" t="str">
        <f t="shared" si="378"/>
        <v/>
      </c>
      <c r="O825" s="56"/>
      <c r="P825" s="56"/>
      <c r="Q825" s="48"/>
      <c r="R825" s="48"/>
      <c r="S825" s="2"/>
    </row>
    <row r="826" spans="1:22" ht="12.75" customHeight="1" x14ac:dyDescent="0.2">
      <c r="A826" s="22"/>
      <c r="B826" s="23" t="str">
        <f>IF(A826="","",VLOOKUP(A826,'6.A'!$A$11:$G$180,2,FALSE))</f>
        <v/>
      </c>
      <c r="C826" s="99"/>
      <c r="D826" s="57" t="str">
        <f>IF(A826="","",VLOOKUP(A826,'6.A'!$A$11:$G$180,4,FALSE))</f>
        <v/>
      </c>
      <c r="E826" s="100" t="str">
        <f>IF(A826="","",VLOOKUP(A826,'6.A'!$A$11:$G$180,5,FALSE))</f>
        <v/>
      </c>
      <c r="F826" s="24" t="str">
        <f t="shared" si="375"/>
        <v>0,00</v>
      </c>
      <c r="G826" s="52"/>
      <c r="H826" s="52" t="str">
        <f>IF(A826="","",VLOOKUP(A826,'6.A'!$A$11:$E$7984,5,FALSE))</f>
        <v/>
      </c>
      <c r="I826" s="52" t="str">
        <f t="shared" si="376"/>
        <v/>
      </c>
      <c r="J826" s="52" t="str">
        <f>IF(H826="","",VLOOKUP(A826,'6.A'!$A$11:$E$564,4,FALSE))</f>
        <v/>
      </c>
      <c r="K826" s="52" t="str">
        <f t="shared" si="377"/>
        <v/>
      </c>
      <c r="L826" s="52" t="str">
        <f>IF(H826="","",IF(C826="","",G792*C826))</f>
        <v/>
      </c>
      <c r="M826" s="117" t="str">
        <f>IF(A826="","",VLOOKUP(A826,'6.A'!$A$11:$C$564,2,FALSE))</f>
        <v/>
      </c>
      <c r="N826" s="57" t="str">
        <f t="shared" si="378"/>
        <v/>
      </c>
      <c r="O826" s="56"/>
      <c r="P826" s="56"/>
      <c r="Q826" s="48"/>
      <c r="R826" s="48"/>
      <c r="S826" s="2"/>
    </row>
    <row r="827" spans="1:22" ht="12.75" customHeight="1" x14ac:dyDescent="0.2">
      <c r="A827" s="22"/>
      <c r="B827" s="23" t="str">
        <f>IF(A827="","",VLOOKUP(A827,'6.A'!$A$11:$G$180,2,FALSE))</f>
        <v/>
      </c>
      <c r="C827" s="99"/>
      <c r="D827" s="57" t="str">
        <f>IF(A827="","",VLOOKUP(A827,'6.A'!$A$11:$G$180,4,FALSE))</f>
        <v/>
      </c>
      <c r="E827" s="100" t="str">
        <f>IF(A827="","",VLOOKUP(A827,'6.A'!$A$11:$G$180,5,FALSE))</f>
        <v/>
      </c>
      <c r="F827" s="24" t="str">
        <f t="shared" si="375"/>
        <v>0,00</v>
      </c>
      <c r="G827" s="52"/>
      <c r="H827" s="52" t="str">
        <f>IF(A827="","",VLOOKUP(A827,'6.A'!$A$11:$E$7984,5,FALSE))</f>
        <v/>
      </c>
      <c r="I827" s="52" t="str">
        <f t="shared" si="376"/>
        <v/>
      </c>
      <c r="J827" s="52" t="str">
        <f>IF(H827="","",VLOOKUP(A827,'6.A'!$A$11:$E$564,4,FALSE))</f>
        <v/>
      </c>
      <c r="K827" s="52" t="str">
        <f t="shared" si="377"/>
        <v/>
      </c>
      <c r="L827" s="52" t="str">
        <f>IF(H827="","",IF(C827="","",G792*C827))</f>
        <v/>
      </c>
      <c r="M827" s="117" t="str">
        <f>IF(A827="","",VLOOKUP(A827,'6.A'!$A$11:$C$564,2,FALSE))</f>
        <v/>
      </c>
      <c r="N827" s="57" t="str">
        <f t="shared" si="378"/>
        <v/>
      </c>
      <c r="O827" s="56"/>
      <c r="P827" s="56"/>
      <c r="Q827" s="48"/>
      <c r="R827" s="48"/>
      <c r="S827" s="2"/>
    </row>
    <row r="828" spans="1:22" s="65" customFormat="1" ht="12.75" customHeight="1" x14ac:dyDescent="0.2">
      <c r="A828" s="22"/>
      <c r="B828" s="23" t="str">
        <f>IF(A828="","",VLOOKUP(A828,'6.A'!$A$11:$G$180,2,FALSE))</f>
        <v/>
      </c>
      <c r="C828" s="99"/>
      <c r="D828" s="57" t="str">
        <f>IF(A828="","",VLOOKUP(A828,'6.A'!$A$11:$G$180,4,FALSE))</f>
        <v/>
      </c>
      <c r="E828" s="100" t="str">
        <f>IF(A828="","",VLOOKUP(A828,'6.A'!$A$11:$G$180,5,FALSE))</f>
        <v/>
      </c>
      <c r="F828" s="24" t="str">
        <f t="shared" si="375"/>
        <v>0,00</v>
      </c>
      <c r="G828" s="52"/>
      <c r="H828" s="52" t="str">
        <f>IF(A828="","",VLOOKUP(A828,'6.A'!$A$11:$E$7984,5,FALSE))</f>
        <v/>
      </c>
      <c r="I828" s="52" t="str">
        <f t="shared" si="376"/>
        <v/>
      </c>
      <c r="J828" s="52" t="str">
        <f>IF(H828="","",VLOOKUP(A828,'6.A'!$A$11:$E$564,4,FALSE))</f>
        <v/>
      </c>
      <c r="K828" s="52" t="str">
        <f t="shared" si="377"/>
        <v/>
      </c>
      <c r="L828" s="52" t="str">
        <f>IF(H828="","",IF(C828="","",G792*C828))</f>
        <v/>
      </c>
      <c r="M828" s="117" t="str">
        <f>IF(A828="","",VLOOKUP(A828,'6.A'!$A$11:$C$564,2,FALSE))</f>
        <v/>
      </c>
      <c r="N828" s="57" t="str">
        <f t="shared" si="378"/>
        <v/>
      </c>
      <c r="O828" s="56"/>
      <c r="P828" s="56"/>
      <c r="Q828" s="48"/>
      <c r="R828" s="48"/>
      <c r="T828" s="2"/>
      <c r="U828" s="2"/>
      <c r="V828" s="2"/>
    </row>
    <row r="829" spans="1:22" s="65" customFormat="1" ht="12.75" customHeight="1" x14ac:dyDescent="0.2">
      <c r="A829" s="22"/>
      <c r="B829" s="23" t="str">
        <f>IF(A829="","",VLOOKUP(A829,'6.A'!$A$11:$G$180,2,FALSE))</f>
        <v/>
      </c>
      <c r="C829" s="99"/>
      <c r="D829" s="57" t="str">
        <f>IF(A829="","",VLOOKUP(A829,'6.A'!$A$11:$G$180,4,FALSE))</f>
        <v/>
      </c>
      <c r="E829" s="100" t="str">
        <f>IF(A829="","",VLOOKUP(A829,'6.A'!$A$11:$G$180,5,FALSE))</f>
        <v/>
      </c>
      <c r="F829" s="24" t="str">
        <f t="shared" si="375"/>
        <v>0,00</v>
      </c>
      <c r="G829" s="52"/>
      <c r="H829" s="52" t="str">
        <f>IF(A829="","",VLOOKUP(A829,'6.A'!$A$11:$E$7984,5,FALSE))</f>
        <v/>
      </c>
      <c r="I829" s="52" t="str">
        <f t="shared" si="376"/>
        <v/>
      </c>
      <c r="J829" s="52" t="str">
        <f>IF(H829="","",VLOOKUP(A829,'6.A'!$A$11:$E$564,4,FALSE))</f>
        <v/>
      </c>
      <c r="K829" s="52" t="str">
        <f t="shared" si="377"/>
        <v/>
      </c>
      <c r="L829" s="52" t="str">
        <f>IF(H829="","",IF(C829="","",G792*C829))</f>
        <v/>
      </c>
      <c r="M829" s="117" t="str">
        <f>IF(A829="","",VLOOKUP(A829,'6.A'!$A$11:$C$564,2,FALSE))</f>
        <v/>
      </c>
      <c r="N829" s="57" t="str">
        <f t="shared" si="378"/>
        <v/>
      </c>
      <c r="O829" s="56"/>
      <c r="P829" s="56"/>
      <c r="Q829" s="48"/>
      <c r="R829" s="48"/>
      <c r="T829" s="2"/>
      <c r="U829" s="2"/>
      <c r="V829" s="2"/>
    </row>
    <row r="830" spans="1:22" s="65" customFormat="1" ht="12.75" customHeight="1" x14ac:dyDescent="0.2">
      <c r="A830" s="22"/>
      <c r="B830" s="23" t="str">
        <f>IF(A830="","",VLOOKUP(A830,'6.A'!$A$11:$G$180,2,FALSE))</f>
        <v/>
      </c>
      <c r="C830" s="99"/>
      <c r="D830" s="57" t="str">
        <f>IF(A830="","",VLOOKUP(A830,'6.A'!$A$11:$G$180,4,FALSE))</f>
        <v/>
      </c>
      <c r="E830" s="100" t="str">
        <f>IF(A830="","",VLOOKUP(A830,'6.A'!$A$11:$G$180,5,FALSE))</f>
        <v/>
      </c>
      <c r="F830" s="24" t="str">
        <f t="shared" si="375"/>
        <v>0,00</v>
      </c>
      <c r="G830" s="52"/>
      <c r="H830" s="52" t="str">
        <f>IF(A830="","",VLOOKUP(A830,'6.A'!$A$11:$E$7984,5,FALSE))</f>
        <v/>
      </c>
      <c r="I830" s="52" t="str">
        <f t="shared" si="376"/>
        <v/>
      </c>
      <c r="J830" s="52" t="str">
        <f>IF(H830="","",VLOOKUP(A830,'6.A'!$A$11:$E$564,4,FALSE))</f>
        <v/>
      </c>
      <c r="K830" s="52" t="str">
        <f t="shared" si="377"/>
        <v/>
      </c>
      <c r="L830" s="52" t="str">
        <f>IF(H830="","",IF(C830="","",G792*C830))</f>
        <v/>
      </c>
      <c r="M830" s="117" t="str">
        <f>IF(A830="","",VLOOKUP(A830,'6.A'!$A$11:$C$564,2,FALSE))</f>
        <v/>
      </c>
      <c r="N830" s="57" t="str">
        <f t="shared" si="378"/>
        <v/>
      </c>
      <c r="O830" s="56"/>
      <c r="P830" s="56"/>
      <c r="Q830" s="48"/>
      <c r="R830" s="48"/>
      <c r="T830" s="2"/>
      <c r="U830" s="2"/>
      <c r="V830" s="2"/>
    </row>
    <row r="831" spans="1:22" s="65" customFormat="1" ht="12.75" customHeight="1" x14ac:dyDescent="0.2">
      <c r="A831" s="22"/>
      <c r="B831" s="23" t="str">
        <f>IF(A831="","",VLOOKUP(A831,'6.A'!$A$11:$G$180,2,FALSE))</f>
        <v/>
      </c>
      <c r="C831" s="99"/>
      <c r="D831" s="57" t="str">
        <f>IF(A831="","",VLOOKUP(A831,'6.A'!$A$11:$G$180,4,FALSE))</f>
        <v/>
      </c>
      <c r="E831" s="100" t="str">
        <f>IF(A831="","",VLOOKUP(A831,'6.A'!$A$11:$G$180,5,FALSE))</f>
        <v/>
      </c>
      <c r="F831" s="24" t="str">
        <f t="shared" si="375"/>
        <v>0,00</v>
      </c>
      <c r="G831" s="52"/>
      <c r="H831" s="52" t="str">
        <f>IF(A831="","",VLOOKUP(A831,'6.A'!$A$11:$E$7984,5,FALSE))</f>
        <v/>
      </c>
      <c r="I831" s="52" t="str">
        <f t="shared" si="376"/>
        <v/>
      </c>
      <c r="J831" s="52" t="str">
        <f>IF(H831="","",VLOOKUP(A831,'6.A'!$A$11:$E$564,4,FALSE))</f>
        <v/>
      </c>
      <c r="K831" s="52" t="str">
        <f t="shared" si="377"/>
        <v/>
      </c>
      <c r="L831" s="52" t="str">
        <f>IF(H831="","",IF(C831="","",G792*C831))</f>
        <v/>
      </c>
      <c r="M831" s="117" t="str">
        <f>IF(A831="","",VLOOKUP(A831,'6.A'!$A$11:$C$564,2,FALSE))</f>
        <v/>
      </c>
      <c r="N831" s="57" t="str">
        <f t="shared" si="378"/>
        <v/>
      </c>
      <c r="O831" s="56"/>
      <c r="P831" s="56"/>
      <c r="Q831" s="48"/>
      <c r="R831" s="48"/>
      <c r="T831" s="2"/>
      <c r="U831" s="2"/>
      <c r="V831" s="2"/>
    </row>
    <row r="832" spans="1:22" ht="12.75" customHeight="1" x14ac:dyDescent="0.2">
      <c r="A832" s="22"/>
      <c r="B832" s="23" t="str">
        <f>IF(A832="","",VLOOKUP(A832,'6.A'!$A$11:$G$180,2,FALSE))</f>
        <v/>
      </c>
      <c r="C832" s="99"/>
      <c r="D832" s="57" t="str">
        <f>IF(A832="","",VLOOKUP(A832,'6.A'!$A$11:$G$180,4,FALSE))</f>
        <v/>
      </c>
      <c r="E832" s="100" t="str">
        <f>IF(A832="","",VLOOKUP(A832,'6.A'!$A$11:$G$180,5,FALSE))</f>
        <v/>
      </c>
      <c r="F832" s="24" t="str">
        <f t="shared" si="375"/>
        <v>0,00</v>
      </c>
      <c r="G832" s="52"/>
      <c r="H832" s="52" t="str">
        <f>IF(A832="","",VLOOKUP(A832,'6.A'!$A$11:$E$7984,5,FALSE))</f>
        <v/>
      </c>
      <c r="I832" s="52" t="str">
        <f t="shared" si="376"/>
        <v/>
      </c>
      <c r="J832" s="52" t="str">
        <f>IF(H832="","",VLOOKUP(A832,'6.A'!$A$11:$E$564,4,FALSE))</f>
        <v/>
      </c>
      <c r="K832" s="52" t="str">
        <f t="shared" si="377"/>
        <v/>
      </c>
      <c r="L832" s="52" t="str">
        <f>IF(H832="","",IF(C832="","",G792*C832))</f>
        <v/>
      </c>
      <c r="M832" s="117" t="str">
        <f>IF(A832="","",VLOOKUP(A832,'6.A'!$A$11:$C$564,2,FALSE))</f>
        <v/>
      </c>
      <c r="N832" s="57" t="str">
        <f t="shared" si="378"/>
        <v/>
      </c>
      <c r="O832" s="56"/>
      <c r="P832" s="56"/>
      <c r="Q832" s="48"/>
      <c r="R832" s="48"/>
    </row>
    <row r="833" spans="1:23" ht="12.75" customHeight="1" x14ac:dyDescent="0.2">
      <c r="A833" s="22"/>
      <c r="B833" s="23" t="str">
        <f>IF(A833="","",VLOOKUP(A833,'6.A'!$A$11:$G$180,2,FALSE))</f>
        <v/>
      </c>
      <c r="C833" s="99"/>
      <c r="D833" s="57" t="str">
        <f>IF(A833="","",VLOOKUP(A833,'6.A'!$A$11:$G$180,4,FALSE))</f>
        <v/>
      </c>
      <c r="E833" s="100" t="str">
        <f>IF(A833="","",VLOOKUP(A833,'6.A'!$A$11:$G$180,5,FALSE))</f>
        <v/>
      </c>
      <c r="F833" s="24" t="str">
        <f t="shared" si="375"/>
        <v>0,00</v>
      </c>
      <c r="G833" s="52"/>
      <c r="H833" s="52" t="str">
        <f>IF(A833="","",VLOOKUP(A833,'6.A'!$A$11:$E$7984,5,FALSE))</f>
        <v/>
      </c>
      <c r="I833" s="52" t="str">
        <f t="shared" si="376"/>
        <v/>
      </c>
      <c r="J833" s="52" t="str">
        <f>IF(H833="","",VLOOKUP(A833,'6.A'!$A$11:$E$564,4,FALSE))</f>
        <v/>
      </c>
      <c r="K833" s="52" t="str">
        <f t="shared" si="377"/>
        <v/>
      </c>
      <c r="L833" s="52" t="str">
        <f>IF(H833="","",IF(C833="","",G792*C833))</f>
        <v/>
      </c>
      <c r="M833" s="117" t="str">
        <f>IF(A833="","",VLOOKUP(A833,'6.A'!$A$11:$C$564,2,FALSE))</f>
        <v/>
      </c>
      <c r="N833" s="57" t="str">
        <f t="shared" si="378"/>
        <v/>
      </c>
      <c r="O833" s="56"/>
      <c r="P833" s="56"/>
      <c r="Q833" s="48"/>
      <c r="R833" s="48"/>
    </row>
    <row r="834" spans="1:23" ht="12.75" customHeight="1" x14ac:dyDescent="0.2">
      <c r="A834" s="22"/>
      <c r="B834" s="23" t="str">
        <f>IF(A834="","",VLOOKUP(A834,'6.A'!$A$11:$G$180,2,FALSE))</f>
        <v/>
      </c>
      <c r="C834" s="99"/>
      <c r="D834" s="57" t="str">
        <f>IF(A834="","",VLOOKUP(A834,'6.A'!$A$11:$G$180,4,FALSE))</f>
        <v/>
      </c>
      <c r="E834" s="100" t="str">
        <f>IF(A834="","",VLOOKUP(A834,'6.A'!$A$11:$G$180,5,FALSE))</f>
        <v/>
      </c>
      <c r="F834" s="24" t="str">
        <f t="shared" si="375"/>
        <v>0,00</v>
      </c>
      <c r="G834" s="52"/>
      <c r="H834" s="52" t="str">
        <f>IF(A834="","",VLOOKUP(A834,'6.A'!$A$11:$E$7984,5,FALSE))</f>
        <v/>
      </c>
      <c r="I834" s="52" t="str">
        <f t="shared" si="376"/>
        <v/>
      </c>
      <c r="J834" s="52" t="str">
        <f>IF(H834="","",VLOOKUP(A834,'6.A'!$A$11:$E$564,4,FALSE))</f>
        <v/>
      </c>
      <c r="K834" s="52" t="str">
        <f t="shared" si="377"/>
        <v/>
      </c>
      <c r="L834" s="52" t="str">
        <f>IF(H834="","",IF(C834="","",G792*C834))</f>
        <v/>
      </c>
      <c r="M834" s="117" t="str">
        <f>IF(A834="","",VLOOKUP(A834,'6.A'!$A$11:$C$564,2,FALSE))</f>
        <v/>
      </c>
      <c r="N834" s="57" t="str">
        <f t="shared" si="378"/>
        <v/>
      </c>
      <c r="O834" s="56"/>
      <c r="P834" s="56"/>
      <c r="Q834" s="48"/>
      <c r="R834" s="48"/>
    </row>
    <row r="835" spans="1:23" ht="12.75" customHeight="1" x14ac:dyDescent="0.2">
      <c r="A835" s="22"/>
      <c r="B835" s="23" t="str">
        <f>IF(A835="","",VLOOKUP(A835,'6.A'!$A$11:$G$180,2,FALSE))</f>
        <v/>
      </c>
      <c r="C835" s="99"/>
      <c r="D835" s="57" t="str">
        <f>IF(A835="","",VLOOKUP(A835,'6.A'!$A$11:$G$180,4,FALSE))</f>
        <v/>
      </c>
      <c r="E835" s="100" t="str">
        <f>IF(A835="","",VLOOKUP(A835,'6.A'!$A$11:$G$180,5,FALSE))</f>
        <v/>
      </c>
      <c r="F835" s="24" t="str">
        <f t="shared" si="375"/>
        <v>0,00</v>
      </c>
      <c r="G835" s="52"/>
      <c r="H835" s="52" t="str">
        <f>IF(A835="","",VLOOKUP(A835,'6.A'!$A$11:$E$7984,5,FALSE))</f>
        <v/>
      </c>
      <c r="I835" s="52" t="str">
        <f t="shared" si="376"/>
        <v/>
      </c>
      <c r="J835" s="52" t="str">
        <f>IF(H835="","",VLOOKUP(A835,'6.A'!$A$11:$E$564,4,FALSE))</f>
        <v/>
      </c>
      <c r="K835" s="52" t="str">
        <f t="shared" si="377"/>
        <v/>
      </c>
      <c r="L835" s="52" t="str">
        <f>IF(H835="","",IF(C835="","",G792*C835))</f>
        <v/>
      </c>
      <c r="M835" s="117" t="str">
        <f>IF(A835="","",VLOOKUP(A835,'6.A'!$A$11:$C$564,2,FALSE))</f>
        <v/>
      </c>
      <c r="N835" s="57" t="str">
        <f t="shared" si="378"/>
        <v/>
      </c>
      <c r="O835" s="56"/>
      <c r="P835" s="56"/>
      <c r="Q835" s="48"/>
      <c r="R835" s="48"/>
    </row>
    <row r="836" spans="1:23" ht="12.75" customHeight="1" x14ac:dyDescent="0.2">
      <c r="A836" s="22"/>
      <c r="B836" s="23" t="str">
        <f>IF(A836="","",VLOOKUP(A836,'6.A'!$A$11:$G$180,2,FALSE))</f>
        <v/>
      </c>
      <c r="C836" s="99"/>
      <c r="D836" s="57" t="str">
        <f>IF(A836="","",VLOOKUP(A836,'6.A'!$A$11:$G$180,4,FALSE))</f>
        <v/>
      </c>
      <c r="E836" s="100" t="str">
        <f>IF(A836="","",VLOOKUP(A836,'6.A'!$A$11:$G$180,5,FALSE))</f>
        <v/>
      </c>
      <c r="F836" s="24" t="str">
        <f t="shared" si="375"/>
        <v>0,00</v>
      </c>
      <c r="G836" s="52"/>
      <c r="H836" s="52" t="str">
        <f>IF(A836="","",VLOOKUP(A836,'6.A'!$A$11:$E$7984,5,FALSE))</f>
        <v/>
      </c>
      <c r="I836" s="52" t="str">
        <f t="shared" si="376"/>
        <v/>
      </c>
      <c r="J836" s="52" t="str">
        <f>IF(H836="","",VLOOKUP(A836,'6.A'!$A$11:$E$564,4,FALSE))</f>
        <v/>
      </c>
      <c r="K836" s="52" t="str">
        <f t="shared" si="377"/>
        <v/>
      </c>
      <c r="L836" s="52" t="str">
        <f>IF(H836="","",IF(C836="","",G792*C836))</f>
        <v/>
      </c>
      <c r="M836" s="117" t="str">
        <f>IF(A836="","",VLOOKUP(A836,'6.A'!$A$11:$C$564,2,FALSE))</f>
        <v/>
      </c>
      <c r="N836" s="57" t="str">
        <f t="shared" si="378"/>
        <v/>
      </c>
      <c r="O836" s="56"/>
      <c r="P836" s="56"/>
      <c r="Q836" s="48"/>
      <c r="R836" s="48"/>
    </row>
    <row r="837" spans="1:23" ht="12.75" customHeight="1" x14ac:dyDescent="0.2">
      <c r="A837" s="22"/>
      <c r="B837" s="23" t="str">
        <f>IF(A837="","",VLOOKUP(A837,'6.A'!$A$11:$G$180,2,FALSE))</f>
        <v/>
      </c>
      <c r="C837" s="99"/>
      <c r="D837" s="57" t="str">
        <f>IF(A837="","",VLOOKUP(A837,'6.A'!$A$11:$G$180,4,FALSE))</f>
        <v/>
      </c>
      <c r="E837" s="100" t="str">
        <f>IF(A837="","",VLOOKUP(A837,'6.A'!$A$11:$G$180,5,FALSE))</f>
        <v/>
      </c>
      <c r="F837" s="24" t="str">
        <f t="shared" si="375"/>
        <v>0,00</v>
      </c>
      <c r="G837" s="52"/>
      <c r="H837" s="52" t="str">
        <f>IF(A837="","",VLOOKUP(A837,'6.A'!$A$11:$E$7984,5,FALSE))</f>
        <v/>
      </c>
      <c r="I837" s="52" t="str">
        <f t="shared" si="376"/>
        <v/>
      </c>
      <c r="J837" s="52" t="str">
        <f>IF(H837="","",VLOOKUP(A837,'6.A'!$A$11:$E$564,4,FALSE))</f>
        <v/>
      </c>
      <c r="K837" s="52" t="str">
        <f t="shared" si="377"/>
        <v/>
      </c>
      <c r="L837" s="52" t="str">
        <f>IF(H837="","",IF(C837="","",G792*C837))</f>
        <v/>
      </c>
      <c r="M837" s="117" t="str">
        <f>IF(A837="","",VLOOKUP(A837,'6.A'!$A$11:$C$564,2,FALSE))</f>
        <v/>
      </c>
      <c r="N837" s="57" t="str">
        <f t="shared" si="378"/>
        <v/>
      </c>
      <c r="O837" s="56"/>
      <c r="P837" s="56"/>
      <c r="Q837" s="48"/>
      <c r="R837" s="48"/>
    </row>
    <row r="838" spans="1:23" ht="12.75" customHeight="1" x14ac:dyDescent="0.2">
      <c r="A838" s="22"/>
      <c r="B838" s="39" t="str">
        <f>IF(A838="","",VLOOKUP(A838,'6.A'!$A$11:$G$180,2,FALSE))</f>
        <v/>
      </c>
      <c r="C838" s="99"/>
      <c r="D838" s="57" t="str">
        <f>IF(A838="","",VLOOKUP(A838,'6.A'!$A$11:$G$180,4,FALSE))</f>
        <v/>
      </c>
      <c r="E838" s="100" t="str">
        <f>IF(A838="","",VLOOKUP(A838,'6.A'!$A$11:$G$180,5,FALSE))</f>
        <v/>
      </c>
      <c r="F838" s="24" t="str">
        <f t="shared" si="375"/>
        <v>0,00</v>
      </c>
      <c r="G838" s="52"/>
      <c r="H838" s="52" t="str">
        <f>IF(A838="","",VLOOKUP(A838,'6.A'!$A$11:$E$7984,5,FALSE))</f>
        <v/>
      </c>
      <c r="I838" s="52" t="str">
        <f t="shared" si="376"/>
        <v/>
      </c>
      <c r="J838" s="52" t="str">
        <f>IF(H838="","",VLOOKUP(A838,'6.A'!$A$11:$E$564,4,FALSE))</f>
        <v/>
      </c>
      <c r="K838" s="52" t="str">
        <f t="shared" si="377"/>
        <v/>
      </c>
      <c r="L838" s="52" t="str">
        <f>IF(H838="","",IF(C838="","",G792*C838))</f>
        <v/>
      </c>
      <c r="M838" s="117" t="str">
        <f>IF(A838="","",VLOOKUP(A838,'6.A'!$A$11:$C$564,2,FALSE))</f>
        <v/>
      </c>
      <c r="N838" s="57" t="str">
        <f t="shared" si="378"/>
        <v/>
      </c>
      <c r="O838" s="56"/>
      <c r="P838" s="56"/>
      <c r="Q838" s="48"/>
      <c r="R838" s="48"/>
    </row>
    <row r="839" spans="1:23" ht="12.75" customHeight="1" x14ac:dyDescent="0.2">
      <c r="A839" s="22"/>
      <c r="B839" s="39" t="str">
        <f>IF(A839="","",VLOOKUP(A839,'6.A'!$A$11:$G$180,2,FALSE))</f>
        <v/>
      </c>
      <c r="C839" s="99"/>
      <c r="D839" s="57" t="str">
        <f>IF(A839="","",VLOOKUP(A839,'6.A'!$A$11:$G$180,4,FALSE))</f>
        <v/>
      </c>
      <c r="E839" s="100" t="str">
        <f>IF(A839="","",VLOOKUP(A839,'6.A'!$A$11:$G$180,5,FALSE))</f>
        <v/>
      </c>
      <c r="F839" s="24" t="str">
        <f t="shared" si="375"/>
        <v>0,00</v>
      </c>
      <c r="G839" s="52"/>
      <c r="H839" s="52" t="str">
        <f>IF(A839="","",VLOOKUP(A839,'6.A'!$A$11:$E$7984,5,FALSE))</f>
        <v/>
      </c>
      <c r="I839" s="52" t="str">
        <f t="shared" si="376"/>
        <v/>
      </c>
      <c r="J839" s="52" t="str">
        <f>IF(H839="","",VLOOKUP(A839,'6.A'!$A$11:$E$564,4,FALSE))</f>
        <v/>
      </c>
      <c r="K839" s="52" t="str">
        <f t="shared" si="377"/>
        <v/>
      </c>
      <c r="L839" s="52" t="str">
        <f>IF(H839="","",IF(C839="","",G792*C839))</f>
        <v/>
      </c>
      <c r="M839" s="117" t="str">
        <f>IF(A839="","",VLOOKUP(A839,'6.A'!$A$11:$C$564,2,FALSE))</f>
        <v/>
      </c>
      <c r="N839" s="57" t="str">
        <f t="shared" si="378"/>
        <v/>
      </c>
      <c r="O839" s="56"/>
      <c r="P839" s="56"/>
      <c r="Q839" s="48"/>
      <c r="R839" s="48"/>
    </row>
    <row r="840" spans="1:23" ht="12.75" customHeight="1" x14ac:dyDescent="0.2">
      <c r="A840" s="22"/>
      <c r="B840" s="39" t="str">
        <f>IF(A840="","",VLOOKUP(A840,'6.A'!$A$11:$G$180,2,FALSE))</f>
        <v/>
      </c>
      <c r="C840" s="99"/>
      <c r="D840" s="57" t="str">
        <f>IF(A840="","",VLOOKUP(A840,'6.A'!$A$11:$G$180,4,FALSE))</f>
        <v/>
      </c>
      <c r="E840" s="100" t="str">
        <f>IF(A840="","",VLOOKUP(A840,'6.A'!$A$11:$G$180,5,FALSE))</f>
        <v/>
      </c>
      <c r="F840" s="24" t="str">
        <f t="shared" si="375"/>
        <v>0,00</v>
      </c>
      <c r="G840" s="52"/>
      <c r="H840" s="52" t="str">
        <f>IF(A840="","",VLOOKUP(A840,'6.A'!$A$11:$E$7984,5,FALSE))</f>
        <v/>
      </c>
      <c r="I840" s="52" t="str">
        <f t="shared" si="376"/>
        <v/>
      </c>
      <c r="J840" s="52" t="str">
        <f>IF(H840="","",VLOOKUP(A840,'6.A'!$A$11:$E$564,4,FALSE))</f>
        <v/>
      </c>
      <c r="K840" s="52" t="str">
        <f t="shared" si="377"/>
        <v/>
      </c>
      <c r="L840" s="52" t="str">
        <f>IF(H840="","",IF(C840="","",G792*C840))</f>
        <v/>
      </c>
      <c r="M840" s="117" t="str">
        <f>IF(A840="","",VLOOKUP(A840,'6.A'!$A$11:$C$564,2,FALSE))</f>
        <v/>
      </c>
      <c r="N840" s="57" t="str">
        <f t="shared" si="378"/>
        <v/>
      </c>
      <c r="O840" s="56"/>
      <c r="P840" s="56"/>
      <c r="Q840" s="48"/>
      <c r="R840" s="48"/>
    </row>
    <row r="841" spans="1:23" ht="12.75" customHeight="1" x14ac:dyDescent="0.2">
      <c r="A841" s="22"/>
      <c r="B841" s="26" t="str">
        <f>$A$9</f>
        <v>BDI</v>
      </c>
      <c r="C841" s="40">
        <f>$C$9</f>
        <v>0</v>
      </c>
      <c r="D841" s="57"/>
      <c r="F841" s="28">
        <f>ROUND(SUM(F821:F840)*C841,2)</f>
        <v>0</v>
      </c>
      <c r="G841" s="63"/>
      <c r="M841" s="57"/>
      <c r="N841" s="57"/>
      <c r="O841" s="56"/>
      <c r="P841" s="56"/>
      <c r="Q841" s="48"/>
      <c r="R841" s="48"/>
    </row>
    <row r="842" spans="1:23" ht="12.75" customHeight="1" thickBot="1" x14ac:dyDescent="0.25">
      <c r="A842" s="41"/>
      <c r="B842" s="42" t="s">
        <v>57</v>
      </c>
      <c r="C842" s="43"/>
      <c r="D842" s="44"/>
      <c r="E842" s="45"/>
      <c r="F842" s="46">
        <f>ROUND(SUM(F821:F841),2)</f>
        <v>0</v>
      </c>
      <c r="G842" s="63"/>
      <c r="M842" s="57"/>
      <c r="N842" s="57"/>
      <c r="O842" s="56"/>
      <c r="P842" s="56"/>
      <c r="Q842" s="48"/>
      <c r="R842" s="48"/>
    </row>
    <row r="843" spans="1:23" ht="12" customHeight="1" thickBot="1" x14ac:dyDescent="0.25">
      <c r="A843" s="8"/>
      <c r="B843" s="9"/>
      <c r="C843" s="10"/>
      <c r="D843" s="57"/>
      <c r="F843" s="12"/>
      <c r="M843" s="57"/>
      <c r="N843" s="57"/>
      <c r="O843" s="56"/>
      <c r="P843" s="56"/>
    </row>
    <row r="844" spans="1:23" ht="50.1" customHeight="1" x14ac:dyDescent="0.2">
      <c r="A844" s="13" t="str">
        <f>'3.A'!$A$37</f>
        <v>3.1.5</v>
      </c>
      <c r="B844" s="14" t="str">
        <f>IF(A844="","",VLOOKUP(A844,'3.A'!$A$17:$M$279,2,FALSE))</f>
        <v>CURVA 90 GRAUS PARA ELETRODUTO, PVC, ROSCÁVEL, DN 110 MM (4"), PARA REDE ENTERRADA DE DISTRIBUIÇÃO DE ENERGIA</v>
      </c>
      <c r="C844" s="413" t="s">
        <v>62</v>
      </c>
      <c r="D844" s="413"/>
      <c r="E844" s="15" t="str">
        <f>IF(A844="","",VLOOKUP(A844,'3.A'!$A$17:$M$279,3,FALSE))</f>
        <v>UN</v>
      </c>
      <c r="F844" s="16">
        <f>ROUND(F858+F871+F894,2)</f>
        <v>0</v>
      </c>
      <c r="G844" s="118">
        <f>VLOOKUP(A844,'3.A'!$A$19:$I$279,4,FALSE)</f>
        <v>2</v>
      </c>
      <c r="H844" s="47">
        <f>SUM(F846:F857)</f>
        <v>0</v>
      </c>
      <c r="I844" s="47">
        <f>SUM(F860:F870)</f>
        <v>0</v>
      </c>
      <c r="J844" s="47">
        <f>SUM(F873:F893)</f>
        <v>0</v>
      </c>
      <c r="K844" s="47">
        <f>SUM(H844:J844)</f>
        <v>0</v>
      </c>
      <c r="L844" s="47" t="str">
        <f>IF(K844=F844,"SIM","NÃO")</f>
        <v>SIM</v>
      </c>
      <c r="M844" s="58">
        <f>ROUND(SUM(F846:F855)*C856,2)+ROUND(SUM(F846:F856)*C857,2)+ROUND(SUM(F846:F855),2)+ROUND(SUM(F860:F869)*C870,2)+ROUND(SUM(F860:F869),2)+ROUND(SUM(F873:F892)*C893,2)+ROUND(SUM(F873:F892),2)</f>
        <v>0</v>
      </c>
      <c r="N844" s="50" t="str">
        <f>IF(M844=F844,"SIM","NÃO")</f>
        <v>SIM</v>
      </c>
      <c r="O844" s="51" t="str">
        <f>VLOOKUP(A844,'3.A'!$A$8:$E$279,3,FALSE)</f>
        <v>UN</v>
      </c>
      <c r="P844" s="51" t="str">
        <f>IF(O844=E844,"SIM","NÃO")</f>
        <v>SIM</v>
      </c>
      <c r="Q844" s="53">
        <f>ROUND(G844*F858,2)+ROUND(G844*F871,2)+ROUND(G844*F894,2)</f>
        <v>0</v>
      </c>
      <c r="R844" s="59">
        <f>VLOOKUP(A844,'3.A'!$A$17:$L$279,12,FALSE)</f>
        <v>0</v>
      </c>
      <c r="S844" s="60" t="str">
        <f>IF(Q844=R844,"si","no")</f>
        <v>si</v>
      </c>
      <c r="T844" s="61">
        <f>SUM(L846:L855)+SUM(L860:L869)+SUM(L873:L892)</f>
        <v>4.556</v>
      </c>
      <c r="U844" s="52">
        <f>G844*C852+G844*C854+G844*C847+G844*C848+G844*C850+G844*C853+G844*C851+G844*C846+G844*C849+G844*C855+G844*C866+G844*C860+G844*C868+G844*C867+G844*C865+G844*C862+G844*C861+G844*C863+G844*C869+G844*C864+G844*C873+G844*C874+G844*C875+G844*C883+G844*C884+G844*C885+G844*C886+G844*C887+G844*C888+G844*C889+G844*C890+G844*C891+G844*C892+G844*C881+G844*C882+G844*C876+G844*C877+G844*C878+G844*C879+G844*C880</f>
        <v>4.556</v>
      </c>
      <c r="V844" s="54" t="str">
        <f>IF(T844=U844,"si","no")</f>
        <v>si</v>
      </c>
      <c r="W844" s="137"/>
    </row>
    <row r="845" spans="1:23" ht="12.75" customHeight="1" x14ac:dyDescent="0.2">
      <c r="A845" s="17" t="s">
        <v>3</v>
      </c>
      <c r="B845" s="18" t="s">
        <v>58</v>
      </c>
      <c r="C845" s="56" t="s">
        <v>59</v>
      </c>
      <c r="D845" s="56" t="s">
        <v>16</v>
      </c>
      <c r="E845" s="19" t="s">
        <v>60</v>
      </c>
      <c r="F845" s="20" t="s">
        <v>61</v>
      </c>
      <c r="G845" s="21"/>
      <c r="M845" s="57"/>
      <c r="N845" s="57"/>
      <c r="O845" s="56"/>
      <c r="P845" s="56"/>
      <c r="Q845" s="48"/>
      <c r="R845" s="48"/>
    </row>
    <row r="846" spans="1:23" ht="12.75" customHeight="1" x14ac:dyDescent="0.2">
      <c r="A846" s="22">
        <f>'6.A'!$A$15</f>
        <v>88247</v>
      </c>
      <c r="B846" s="23" t="str">
        <f>IF(A846="","",VLOOKUP(A846,'6.A'!$A$11:$G$180,2,FALSE))</f>
        <v>AUXILIAR DE ELETRICISTA COM ENCARGOS COMPLEMENTARES</v>
      </c>
      <c r="C846" s="99">
        <v>0.63900000000000001</v>
      </c>
      <c r="D846" s="57" t="str">
        <f>IF(A846="","",VLOOKUP(A846,'6.A'!$A$11:$G$180,4,FALSE))</f>
        <v>H</v>
      </c>
      <c r="E846" s="100">
        <f>IF(A846="","",VLOOKUP(A846,'6.A'!$A$11:$G$180,5,FALSE))</f>
        <v>0</v>
      </c>
      <c r="F846" s="24">
        <f t="shared" ref="F846:F855" si="379">IF(A846="","0,00",ROUND(C846*E846,2))</f>
        <v>0</v>
      </c>
      <c r="G846" s="52"/>
      <c r="H846" s="52">
        <f>IF(A846="","",VLOOKUP(A846,'6.A'!$A$11:$E$7984,5,FALSE))</f>
        <v>0</v>
      </c>
      <c r="I846" s="52" t="str">
        <f>IF(H846="","",IF(E846=H846,"SIM","NÃO"))</f>
        <v>SIM</v>
      </c>
      <c r="J846" s="52" t="str">
        <f>IF(H846="","",VLOOKUP(A846,'6.A'!$A$11:$E$564,4,FALSE))</f>
        <v>H</v>
      </c>
      <c r="K846" s="52" t="str">
        <f>IF(H846="","",IF(J846=D846,"SIM","NÃO"))</f>
        <v>SIM</v>
      </c>
      <c r="L846" s="52">
        <f>IF(H846="","",IF(C846="","",G844*C846))</f>
        <v>1.278</v>
      </c>
      <c r="M846" s="117" t="str">
        <f>IF(A846="","",VLOOKUP(A846,'6.A'!$A$11:$C$564,2,FALSE))</f>
        <v>AUXILIAR DE ELETRICISTA COM ENCARGOS COMPLEMENTARES</v>
      </c>
      <c r="N846" s="57" t="str">
        <f>IF(A846="","",IF(M846=B846,"si","no"))</f>
        <v>si</v>
      </c>
      <c r="O846" s="56"/>
      <c r="P846" s="56"/>
      <c r="Q846" s="48"/>
      <c r="R846" s="48"/>
    </row>
    <row r="847" spans="1:23" ht="12.75" customHeight="1" x14ac:dyDescent="0.2">
      <c r="A847" s="22">
        <f>'6.A'!$A$18</f>
        <v>88264</v>
      </c>
      <c r="B847" s="23" t="str">
        <f>IF(A847="","",VLOOKUP(A847,'6.A'!$A$11:$G$180,2,FALSE))</f>
        <v>ELETRICISTA COM ENCARGOS COMPLEMENTARES</v>
      </c>
      <c r="C847" s="99">
        <v>0.63900000000000001</v>
      </c>
      <c r="D847" s="57" t="str">
        <f>IF(A847="","",VLOOKUP(A847,'6.A'!$A$11:$G$180,4,FALSE))</f>
        <v>H</v>
      </c>
      <c r="E847" s="100">
        <f>IF(A847="","",VLOOKUP(A847,'6.A'!$A$11:$G$180,5,FALSE))</f>
        <v>0</v>
      </c>
      <c r="F847" s="24">
        <f t="shared" si="379"/>
        <v>0</v>
      </c>
      <c r="G847" s="52"/>
      <c r="H847" s="52">
        <f>IF(A847="","",VLOOKUP(A847,'6.A'!$A$11:$E$7984,5,FALSE))</f>
        <v>0</v>
      </c>
      <c r="I847" s="52" t="str">
        <f>IF(H847="","",IF(E847=H847,"SIM","NÃO"))</f>
        <v>SIM</v>
      </c>
      <c r="J847" s="52" t="str">
        <f>IF(H847="","",VLOOKUP(A847,'6.A'!$A$11:$E$564,4,FALSE))</f>
        <v>H</v>
      </c>
      <c r="K847" s="52" t="str">
        <f>IF(H847="","",IF(J847=D847,"SIM","NÃO"))</f>
        <v>SIM</v>
      </c>
      <c r="L847" s="52">
        <f>IF(H847="","",IF(C847="","",G844*C847))</f>
        <v>1.278</v>
      </c>
      <c r="M847" s="117" t="str">
        <f>IF(A847="","",VLOOKUP(A847,'6.A'!$A$11:$C$564,2,FALSE))</f>
        <v>ELETRICISTA COM ENCARGOS COMPLEMENTARES</v>
      </c>
      <c r="N847" s="57" t="str">
        <f>IF(A847="","",IF(M847=B847,"si","no"))</f>
        <v>si</v>
      </c>
      <c r="O847" s="56"/>
      <c r="P847" s="56"/>
      <c r="Q847" s="48"/>
      <c r="R847" s="48"/>
    </row>
    <row r="848" spans="1:23" ht="12.75" customHeight="1" x14ac:dyDescent="0.2">
      <c r="A848" s="22"/>
      <c r="B848" s="23" t="str">
        <f>IF(A848="","",VLOOKUP(A848,'6.A'!$A$11:$G$180,2,FALSE))</f>
        <v/>
      </c>
      <c r="C848" s="99"/>
      <c r="D848" s="57" t="str">
        <f>IF(A848="","",VLOOKUP(A848,'6.A'!$A$11:$G$180,4,FALSE))</f>
        <v/>
      </c>
      <c r="E848" s="100" t="str">
        <f>IF(A848="","",VLOOKUP(A848,'6.A'!$A$11:$G$180,5,FALSE))</f>
        <v/>
      </c>
      <c r="F848" s="24" t="str">
        <f t="shared" si="379"/>
        <v>0,00</v>
      </c>
      <c r="G848" s="52"/>
      <c r="H848" s="52" t="str">
        <f>IF(A848="","",VLOOKUP(A848,'6.A'!$A$11:$E$7984,5,FALSE))</f>
        <v/>
      </c>
      <c r="I848" s="52" t="str">
        <f>IF(H848="","",IF(E848=H848,"SIM","NÃO"))</f>
        <v/>
      </c>
      <c r="J848" s="52" t="str">
        <f>IF(H848="","",VLOOKUP(A848,'6.A'!$A$11:$E$564,4,FALSE))</f>
        <v/>
      </c>
      <c r="K848" s="52" t="str">
        <f t="shared" ref="K848" si="380">IF(H848="","",IF(J848=D848,"SIM","NÃO"))</f>
        <v/>
      </c>
      <c r="L848" s="52" t="str">
        <f>IF(H848="","",IF(C848="","",G844*C848))</f>
        <v/>
      </c>
      <c r="M848" s="117" t="str">
        <f>IF(A848="","",VLOOKUP(A848,'6.A'!$A$11:$C$564,2,FALSE))</f>
        <v/>
      </c>
      <c r="N848" s="57" t="str">
        <f t="shared" ref="N848" si="381">IF(A848="","",IF(M848=B848,"si","no"))</f>
        <v/>
      </c>
      <c r="O848" s="56"/>
      <c r="P848" s="56"/>
      <c r="Q848" s="48"/>
      <c r="R848" s="48"/>
      <c r="S848" s="2"/>
    </row>
    <row r="849" spans="1:19" ht="12.75" customHeight="1" x14ac:dyDescent="0.2">
      <c r="A849" s="22"/>
      <c r="B849" s="23" t="str">
        <f>IF(A849="","",VLOOKUP(A849,'6.A'!$A$11:$G$180,2,FALSE))</f>
        <v/>
      </c>
      <c r="C849" s="99"/>
      <c r="D849" s="57" t="str">
        <f>IF(A849="","",VLOOKUP(A849,'6.A'!$A$11:$G$180,4,FALSE))</f>
        <v/>
      </c>
      <c r="E849" s="100" t="str">
        <f>IF(A849="","",VLOOKUP(A849,'6.A'!$A$11:$G$180,5,FALSE))</f>
        <v/>
      </c>
      <c r="F849" s="24" t="str">
        <f t="shared" si="379"/>
        <v>0,00</v>
      </c>
      <c r="G849" s="52"/>
      <c r="H849" s="52" t="str">
        <f>IF(A849="","",VLOOKUP(A849,'6.A'!$A$11:$E$7984,5,FALSE))</f>
        <v/>
      </c>
      <c r="I849" s="52" t="str">
        <f>IF(H849="","",IF(E849=H849,"SIM","NÃO"))</f>
        <v/>
      </c>
      <c r="J849" s="52" t="str">
        <f>IF(H849="","",VLOOKUP(A849,'6.A'!$A$11:$E$564,4,FALSE))</f>
        <v/>
      </c>
      <c r="K849" s="52" t="str">
        <f>IF(H849="","",IF(J849=D849,"SIM","NÃO"))</f>
        <v/>
      </c>
      <c r="L849" s="52" t="str">
        <f>IF(H849="","",IF(C849="","",G844*C849))</f>
        <v/>
      </c>
      <c r="M849" s="117" t="str">
        <f>IF(A849="","",VLOOKUP(A849,'6.A'!$A$11:$C$564,2,FALSE))</f>
        <v/>
      </c>
      <c r="N849" s="57" t="str">
        <f>IF(A849="","",IF(M849=B849,"si","no"))</f>
        <v/>
      </c>
      <c r="O849" s="56"/>
      <c r="P849" s="56"/>
      <c r="Q849" s="48"/>
      <c r="R849" s="48"/>
      <c r="S849" s="2"/>
    </row>
    <row r="850" spans="1:19" ht="12.75" customHeight="1" x14ac:dyDescent="0.2">
      <c r="A850" s="22"/>
      <c r="B850" s="23" t="str">
        <f>IF(A850="","",VLOOKUP(A850,'6.A'!$A$11:$G$180,2,FALSE))</f>
        <v/>
      </c>
      <c r="C850" s="99"/>
      <c r="D850" s="57" t="str">
        <f>IF(A850="","",VLOOKUP(A850,'6.A'!$A$11:$G$180,4,FALSE))</f>
        <v/>
      </c>
      <c r="E850" s="101" t="str">
        <f>IF(A850="","",VLOOKUP(A850,'6.A'!$A$11:$G$180,5,FALSE))</f>
        <v/>
      </c>
      <c r="F850" s="24" t="str">
        <f t="shared" si="379"/>
        <v>0,00</v>
      </c>
      <c r="G850" s="52"/>
      <c r="H850" s="52" t="str">
        <f>IF(A850="","",VLOOKUP(A850,'6.A'!$A$11:$E$7984,5,FALSE))</f>
        <v/>
      </c>
      <c r="I850" s="52" t="str">
        <f t="shared" ref="I850" si="382">IF(H850="","",IF(E850=H850,"SIM","NÃO"))</f>
        <v/>
      </c>
      <c r="J850" s="52" t="str">
        <f>IF(H850="","",VLOOKUP(A850,'6.A'!$A$11:$E$564,4,FALSE))</f>
        <v/>
      </c>
      <c r="K850" s="52" t="str">
        <f t="shared" ref="K850" si="383">IF(H850="","",IF(J850=D850,"SIM","NÃO"))</f>
        <v/>
      </c>
      <c r="L850" s="52" t="str">
        <f>IF(H850="","",IF(C850="","",G844*C850))</f>
        <v/>
      </c>
      <c r="M850" s="117" t="str">
        <f>IF(A850="","",VLOOKUP(A850,'6.A'!$A$11:$C$564,2,FALSE))</f>
        <v/>
      </c>
      <c r="N850" s="57" t="str">
        <f t="shared" ref="N850" si="384">IF(A850="","",IF(M850=B850,"si","no"))</f>
        <v/>
      </c>
      <c r="O850" s="56"/>
      <c r="P850" s="56"/>
      <c r="Q850" s="48"/>
      <c r="R850" s="48"/>
      <c r="S850" s="2"/>
    </row>
    <row r="851" spans="1:19" ht="12.75" customHeight="1" x14ac:dyDescent="0.2">
      <c r="A851" s="22"/>
      <c r="B851" s="23" t="str">
        <f>IF(A851="","",VLOOKUP(A851,'6.A'!$A$11:$G$180,2,FALSE))</f>
        <v/>
      </c>
      <c r="C851" s="99"/>
      <c r="D851" s="57" t="str">
        <f>IF(A851="","",VLOOKUP(A851,'6.A'!$A$11:$G$180,4,FALSE))</f>
        <v/>
      </c>
      <c r="E851" s="101" t="str">
        <f>IF(A851="","",VLOOKUP(A851,'6.A'!$A$11:$G$180,5,FALSE))</f>
        <v/>
      </c>
      <c r="F851" s="24" t="str">
        <f t="shared" si="379"/>
        <v>0,00</v>
      </c>
      <c r="G851" s="52"/>
      <c r="H851" s="52" t="str">
        <f>IF(A851="","",VLOOKUP(A851,'6.A'!$A$11:$E$7984,5,FALSE))</f>
        <v/>
      </c>
      <c r="I851" s="52" t="str">
        <f>IF(H851="","",IF(E851=H851,"SIM","NÃO"))</f>
        <v/>
      </c>
      <c r="J851" s="52" t="str">
        <f>IF(H851="","",VLOOKUP(A851,'6.A'!$A$11:$E$564,4,FALSE))</f>
        <v/>
      </c>
      <c r="K851" s="52" t="str">
        <f>IF(H851="","",IF(J851=D851,"SIM","NÃO"))</f>
        <v/>
      </c>
      <c r="L851" s="52" t="str">
        <f>IF(H851="","",IF(C851="","",G844*C851))</f>
        <v/>
      </c>
      <c r="M851" s="117" t="str">
        <f>IF(A851="","",VLOOKUP(A851,'6.A'!$A$11:$C$564,2,FALSE))</f>
        <v/>
      </c>
      <c r="N851" s="57" t="str">
        <f>IF(A851="","",IF(M851=B851,"si","no"))</f>
        <v/>
      </c>
      <c r="O851" s="56"/>
      <c r="P851" s="56"/>
      <c r="Q851" s="48"/>
      <c r="R851" s="48"/>
      <c r="S851" s="2"/>
    </row>
    <row r="852" spans="1:19" ht="12.75" customHeight="1" x14ac:dyDescent="0.2">
      <c r="A852" s="22"/>
      <c r="B852" s="23" t="str">
        <f>IF(A852="","",VLOOKUP(A852,'6.A'!$A$11:$G$180,2,FALSE))</f>
        <v/>
      </c>
      <c r="C852" s="99"/>
      <c r="D852" s="57" t="str">
        <f>IF(A852="","",VLOOKUP(A852,'6.A'!$A$11:$G$180,4,FALSE))</f>
        <v/>
      </c>
      <c r="E852" s="100" t="str">
        <f>IF(A852="","",VLOOKUP(A852,'6.A'!$A$11:$G$180,5,FALSE))</f>
        <v/>
      </c>
      <c r="F852" s="24" t="str">
        <f t="shared" si="379"/>
        <v>0,00</v>
      </c>
      <c r="G852" s="52"/>
      <c r="H852" s="52" t="str">
        <f>IF(A852="","",VLOOKUP(A852,'6.A'!$A$11:$E$7984,5,FALSE))</f>
        <v/>
      </c>
      <c r="I852" s="52" t="str">
        <f>IF(H852="","",IF(E852=H852,"SIM","NÃO"))</f>
        <v/>
      </c>
      <c r="J852" s="52" t="str">
        <f>IF(H852="","",VLOOKUP(A852,'6.A'!$A$11:$E$564,4,FALSE))</f>
        <v/>
      </c>
      <c r="K852" s="52" t="str">
        <f>IF(H852="","",IF(J852=D852,"SIM","NÃO"))</f>
        <v/>
      </c>
      <c r="L852" s="52" t="str">
        <f>IF(H852="","",IF(C852="","",G844*C852))</f>
        <v/>
      </c>
      <c r="M852" s="117" t="str">
        <f>IF(A852="","",VLOOKUP(A852,'6.A'!$A$11:$C$564,2,FALSE))</f>
        <v/>
      </c>
      <c r="N852" s="57" t="str">
        <f>IF(A852="","",IF(M852=B852,"si","no"))</f>
        <v/>
      </c>
      <c r="O852" s="56"/>
      <c r="P852" s="56"/>
      <c r="Q852" s="48"/>
      <c r="R852" s="48"/>
      <c r="S852" s="2"/>
    </row>
    <row r="853" spans="1:19" ht="12.75" customHeight="1" x14ac:dyDescent="0.2">
      <c r="A853" s="22"/>
      <c r="B853" s="23" t="str">
        <f>IF(A853="","",VLOOKUP(A853,'6.A'!$A$11:$G$180,2,FALSE))</f>
        <v/>
      </c>
      <c r="C853" s="99"/>
      <c r="D853" s="57" t="str">
        <f>IF(A853="","",VLOOKUP(A853,'6.A'!$A$11:$G$180,4,FALSE))</f>
        <v/>
      </c>
      <c r="E853" s="100" t="str">
        <f>IF(A853="","",VLOOKUP(A853,'6.A'!$A$11:$G$180,5,FALSE))</f>
        <v/>
      </c>
      <c r="F853" s="24" t="str">
        <f t="shared" si="379"/>
        <v>0,00</v>
      </c>
      <c r="G853" s="52"/>
      <c r="H853" s="52" t="str">
        <f>IF(A853="","",VLOOKUP(A853,'6.A'!$A$11:$E$7984,5,FALSE))</f>
        <v/>
      </c>
      <c r="I853" s="52" t="str">
        <f t="shared" ref="I853" si="385">IF(H853="","",IF(E853=H853,"SIM","NÃO"))</f>
        <v/>
      </c>
      <c r="J853" s="52" t="str">
        <f>IF(H853="","",VLOOKUP(A853,'6.A'!$A$11:$E$564,4,FALSE))</f>
        <v/>
      </c>
      <c r="K853" s="52" t="str">
        <f t="shared" ref="K853" si="386">IF(H853="","",IF(J853=D853,"SIM","NÃO"))</f>
        <v/>
      </c>
      <c r="L853" s="52" t="str">
        <f>IF(H853="","",IF(C853="","",G844*C853))</f>
        <v/>
      </c>
      <c r="M853" s="117" t="str">
        <f>IF(A853="","",VLOOKUP(A853,'6.A'!$A$11:$C$564,2,FALSE))</f>
        <v/>
      </c>
      <c r="N853" s="57" t="str">
        <f t="shared" ref="N853" si="387">IF(A853="","",IF(M853=B853,"si","no"))</f>
        <v/>
      </c>
      <c r="O853" s="56"/>
      <c r="P853" s="56"/>
      <c r="Q853" s="48"/>
      <c r="R853" s="48"/>
      <c r="S853" s="2"/>
    </row>
    <row r="854" spans="1:19" ht="12.75" customHeight="1" x14ac:dyDescent="0.2">
      <c r="A854" s="22"/>
      <c r="B854" s="23" t="str">
        <f>IF(A854="","",VLOOKUP(A854,'6.A'!$A$11:$G$180,2,FALSE))</f>
        <v/>
      </c>
      <c r="C854" s="99"/>
      <c r="D854" s="73" t="str">
        <f>IF(A854="","",VLOOKUP(A854,'6.A'!$A$11:$G$180,4,FALSE))</f>
        <v/>
      </c>
      <c r="E854" s="101" t="str">
        <f>IF(A854="","",VLOOKUP(A854,'6.A'!$A$11:$G$180,5,FALSE))</f>
        <v/>
      </c>
      <c r="F854" s="24" t="str">
        <f t="shared" si="379"/>
        <v>0,00</v>
      </c>
      <c r="G854" s="52"/>
      <c r="H854" s="52" t="str">
        <f>IF(A854="","",VLOOKUP(A854,'6.A'!$A$11:$E$7984,5,FALSE))</f>
        <v/>
      </c>
      <c r="I854" s="52" t="str">
        <f>IF(H854="","",IF(E854=H854,"SIM","NÃO"))</f>
        <v/>
      </c>
      <c r="J854" s="52" t="str">
        <f>IF(H854="","",VLOOKUP(A854,'6.A'!$A$11:$E$564,4,FALSE))</f>
        <v/>
      </c>
      <c r="K854" s="52" t="str">
        <f>IF(H854="","",IF(J854=D854,"SIM","NÃO"))</f>
        <v/>
      </c>
      <c r="L854" s="52" t="str">
        <f>IF(H854="","",IF(C854="","",G844*C854))</f>
        <v/>
      </c>
      <c r="M854" s="117" t="str">
        <f>IF(A854="","",VLOOKUP(A854,'6.A'!$A$11:$C$564,2,FALSE))</f>
        <v/>
      </c>
      <c r="N854" s="57" t="str">
        <f>IF(A854="","",IF(M854=B854,"si","no"))</f>
        <v/>
      </c>
      <c r="O854" s="56"/>
      <c r="P854" s="56"/>
      <c r="Q854" s="48"/>
      <c r="R854" s="48"/>
      <c r="S854" s="2"/>
    </row>
    <row r="855" spans="1:19" ht="12.75" customHeight="1" x14ac:dyDescent="0.2">
      <c r="A855" s="22"/>
      <c r="B855" s="23" t="str">
        <f>IF(A855="","",VLOOKUP(A855,'6.A'!$A$11:$G$180,2,FALSE))</f>
        <v/>
      </c>
      <c r="C855" s="99"/>
      <c r="D855" s="25" t="str">
        <f>IF(A855="","",VLOOKUP(A855,'6.A'!$A$11:$G$180,4,FALSE))</f>
        <v/>
      </c>
      <c r="E855" s="101" t="str">
        <f>IF(A855="","",VLOOKUP(A855,'6.A'!$A$11:$G$180,5,FALSE))</f>
        <v/>
      </c>
      <c r="F855" s="24" t="str">
        <f t="shared" si="379"/>
        <v>0,00</v>
      </c>
      <c r="G855" s="52"/>
      <c r="H855" s="52" t="str">
        <f>IF(A855="","",VLOOKUP(A855,'6.A'!$A$11:$E$7984,5,FALSE))</f>
        <v/>
      </c>
      <c r="I855" s="52" t="str">
        <f t="shared" ref="I855" si="388">IF(H855="","",IF(E855=H855,"SIM","NÃO"))</f>
        <v/>
      </c>
      <c r="J855" s="52" t="str">
        <f>IF(H855="","",VLOOKUP(A855,'6.A'!$A$11:$E$564,4,FALSE))</f>
        <v/>
      </c>
      <c r="K855" s="52" t="str">
        <f t="shared" ref="K855" si="389">IF(H855="","",IF(J855=D855,"SIM","NÃO"))</f>
        <v/>
      </c>
      <c r="L855" s="52" t="str">
        <f>IF(H855="","",IF(C855="","",G844*C855))</f>
        <v/>
      </c>
      <c r="M855" s="117" t="str">
        <f>IF(A855="","",VLOOKUP(A855,'6.A'!$A$11:$C$564,2,FALSE))</f>
        <v/>
      </c>
      <c r="N855" s="57" t="str">
        <f t="shared" ref="N855" si="390">IF(A855="","",IF(M855=B855,"si","no"))</f>
        <v/>
      </c>
      <c r="O855" s="56"/>
      <c r="P855" s="56"/>
      <c r="Q855" s="48"/>
      <c r="R855" s="48"/>
      <c r="S855" s="2"/>
    </row>
    <row r="856" spans="1:19" ht="12.75" customHeight="1" x14ac:dyDescent="0.2">
      <c r="A856" s="17"/>
      <c r="B856" s="26" t="str">
        <f>$A$8</f>
        <v>LEIS SOCIAIS HORISTA - JORNADA NORMAL</v>
      </c>
      <c r="C856" s="27">
        <f>$C$8</f>
        <v>0</v>
      </c>
      <c r="D856" s="57"/>
      <c r="F856" s="28">
        <f>ROUND(SUM(F846:F855)*C856,2)</f>
        <v>0</v>
      </c>
      <c r="G856" s="63"/>
      <c r="M856" s="62"/>
      <c r="N856" s="57"/>
      <c r="O856" s="56"/>
      <c r="P856" s="56"/>
      <c r="Q856" s="48"/>
      <c r="R856" s="48"/>
      <c r="S856" s="2"/>
    </row>
    <row r="857" spans="1:19" ht="12.75" customHeight="1" x14ac:dyDescent="0.2">
      <c r="A857" s="22"/>
      <c r="B857" s="26" t="str">
        <f>$A$9</f>
        <v>BDI</v>
      </c>
      <c r="C857" s="27">
        <f>$C$9</f>
        <v>0</v>
      </c>
      <c r="D857" s="29"/>
      <c r="F857" s="28">
        <f>ROUND(SUM(F846:F856)*C857,2)</f>
        <v>0</v>
      </c>
      <c r="G857" s="63"/>
      <c r="M857" s="62"/>
      <c r="N857" s="57"/>
      <c r="O857" s="56"/>
      <c r="P857" s="56"/>
      <c r="Q857" s="48"/>
      <c r="R857" s="48"/>
      <c r="S857" s="2"/>
    </row>
    <row r="858" spans="1:19" ht="12.75" customHeight="1" x14ac:dyDescent="0.2">
      <c r="A858" s="30"/>
      <c r="B858" s="31" t="s">
        <v>56</v>
      </c>
      <c r="C858" s="32"/>
      <c r="D858" s="33"/>
      <c r="E858" s="34"/>
      <c r="F858" s="35">
        <f>ROUND(SUM(F846:F857),2)</f>
        <v>0</v>
      </c>
      <c r="G858" s="63"/>
      <c r="M858" s="62"/>
      <c r="N858" s="57"/>
      <c r="O858" s="56"/>
      <c r="P858" s="56"/>
      <c r="Q858" s="48"/>
      <c r="R858" s="48"/>
      <c r="S858" s="2"/>
    </row>
    <row r="859" spans="1:19" ht="12.75" customHeight="1" x14ac:dyDescent="0.2">
      <c r="A859" s="17" t="s">
        <v>5</v>
      </c>
      <c r="B859" s="153" t="s">
        <v>130</v>
      </c>
      <c r="C859" s="56" t="s">
        <v>59</v>
      </c>
      <c r="D859" s="56" t="s">
        <v>16</v>
      </c>
      <c r="E859" s="19" t="s">
        <v>60</v>
      </c>
      <c r="F859" s="20" t="s">
        <v>61</v>
      </c>
      <c r="G859" s="21"/>
      <c r="M859" s="62"/>
      <c r="N859" s="57"/>
      <c r="O859" s="56"/>
      <c r="P859" s="56"/>
      <c r="Q859" s="48"/>
      <c r="R859" s="48"/>
      <c r="S859" s="2"/>
    </row>
    <row r="860" spans="1:19" ht="12.75" customHeight="1" x14ac:dyDescent="0.2">
      <c r="A860" s="22"/>
      <c r="B860" s="23" t="str">
        <f>IF(A860="","",VLOOKUP(A860,'6.A'!$A$11:$G$180,2,FALSE))</f>
        <v/>
      </c>
      <c r="C860" s="99"/>
      <c r="D860" s="57" t="str">
        <f>IF(A860="","",VLOOKUP(A860,'6.A'!$A$11:$G$180,4,FALSE))</f>
        <v/>
      </c>
      <c r="E860" s="100" t="str">
        <f>IF(A860="","",VLOOKUP(A860,'6.A'!$A$11:$G$180,5,FALSE))</f>
        <v/>
      </c>
      <c r="F860" s="24" t="str">
        <f t="shared" ref="F860:F869" si="391">IF(A860="","0,00",ROUND(C860*E860,2))</f>
        <v>0,00</v>
      </c>
      <c r="G860" s="52"/>
      <c r="H860" s="52" t="str">
        <f>IF(A860="","",VLOOKUP(A860,'6.A'!$A$11:$E$7984,5,FALSE))</f>
        <v/>
      </c>
      <c r="I860" s="52" t="str">
        <f t="shared" ref="I860:I869" si="392">IF(H860="","",IF(E860=H860,"SIM","NÃO"))</f>
        <v/>
      </c>
      <c r="J860" s="52" t="str">
        <f>IF(H860="","",VLOOKUP(A860,'6.A'!$A$11:$E$564,4,FALSE))</f>
        <v/>
      </c>
      <c r="K860" s="52" t="str">
        <f t="shared" ref="K860:K869" si="393">IF(H860="","",IF(J860=D860,"SIM","NÃO"))</f>
        <v/>
      </c>
      <c r="L860" s="52" t="str">
        <f>IF(H860="","",IF(C860="","",G844*C860))</f>
        <v/>
      </c>
      <c r="M860" s="117" t="str">
        <f>IF(A860="","",VLOOKUP(A860,'6.A'!$A$11:$C$564,2,FALSE))</f>
        <v/>
      </c>
      <c r="N860" s="57" t="str">
        <f t="shared" ref="N860:N865" si="394">IF(A860="","",IF(M860=B860,"si","no"))</f>
        <v/>
      </c>
      <c r="O860" s="56"/>
      <c r="P860" s="56"/>
      <c r="Q860" s="48"/>
      <c r="R860" s="48"/>
      <c r="S860" s="2"/>
    </row>
    <row r="861" spans="1:19" ht="12.75" customHeight="1" x14ac:dyDescent="0.2">
      <c r="A861" s="22"/>
      <c r="B861" s="23" t="str">
        <f>IF(A861="","",VLOOKUP(A861,'6.A'!$A$11:$G$180,2,FALSE))</f>
        <v/>
      </c>
      <c r="C861" s="99"/>
      <c r="D861" s="57" t="str">
        <f>IF(A861="","",VLOOKUP(A861,'6.A'!$A$11:$G$180,4,FALSE))</f>
        <v/>
      </c>
      <c r="E861" s="100" t="str">
        <f>IF(A861="","",VLOOKUP(A861,'6.A'!$A$11:$G$180,5,FALSE))</f>
        <v/>
      </c>
      <c r="F861" s="24" t="str">
        <f t="shared" si="391"/>
        <v>0,00</v>
      </c>
      <c r="G861" s="52"/>
      <c r="H861" s="52" t="str">
        <f>IF(A861="","",VLOOKUP(A861,'6.A'!$A$11:$E$7984,5,FALSE))</f>
        <v/>
      </c>
      <c r="I861" s="52" t="str">
        <f t="shared" si="392"/>
        <v/>
      </c>
      <c r="J861" s="52" t="str">
        <f>IF(H861="","",VLOOKUP(A861,'6.A'!$A$11:$E$564,4,FALSE))</f>
        <v/>
      </c>
      <c r="K861" s="52" t="str">
        <f t="shared" si="393"/>
        <v/>
      </c>
      <c r="L861" s="52" t="str">
        <f>IF(H861="","",IF(C861="","",G844*C861))</f>
        <v/>
      </c>
      <c r="M861" s="117" t="str">
        <f>IF(A861="","",VLOOKUP(A861,'6.A'!$A$11:$C$564,2,FALSE))</f>
        <v/>
      </c>
      <c r="N861" s="57" t="str">
        <f t="shared" si="394"/>
        <v/>
      </c>
      <c r="O861" s="56"/>
      <c r="P861" s="56"/>
      <c r="Q861" s="48"/>
      <c r="R861" s="48"/>
      <c r="S861" s="2"/>
    </row>
    <row r="862" spans="1:19" ht="12.75" customHeight="1" x14ac:dyDescent="0.2">
      <c r="A862" s="22"/>
      <c r="B862" s="23" t="str">
        <f>IF(A862="","",VLOOKUP(A862,'6.A'!$A$11:$G$180,2,FALSE))</f>
        <v/>
      </c>
      <c r="C862" s="99"/>
      <c r="D862" s="57" t="str">
        <f>IF(A862="","",VLOOKUP(A862,'6.A'!$A$11:$G$180,4,FALSE))</f>
        <v/>
      </c>
      <c r="E862" s="100" t="str">
        <f>IF(A862="","",VLOOKUP(A862,'6.A'!$A$11:$G$180,5,FALSE))</f>
        <v/>
      </c>
      <c r="F862" s="24" t="str">
        <f t="shared" si="391"/>
        <v>0,00</v>
      </c>
      <c r="G862" s="52"/>
      <c r="H862" s="52" t="str">
        <f>IF(A862="","",VLOOKUP(A862,'6.A'!$A$11:$E$7984,5,FALSE))</f>
        <v/>
      </c>
      <c r="I862" s="52" t="str">
        <f t="shared" si="392"/>
        <v/>
      </c>
      <c r="J862" s="52" t="str">
        <f>IF(H862="","",VLOOKUP(A862,'6.A'!$A$11:$E$564,4,FALSE))</f>
        <v/>
      </c>
      <c r="K862" s="52" t="str">
        <f t="shared" si="393"/>
        <v/>
      </c>
      <c r="L862" s="52" t="str">
        <f>IF(H862="","",IF(C862="","",G844*C862))</f>
        <v/>
      </c>
      <c r="M862" s="117" t="str">
        <f>IF(A862="","",VLOOKUP(A862,'6.A'!$A$11:$C$564,2,FALSE))</f>
        <v/>
      </c>
      <c r="N862" s="57" t="str">
        <f t="shared" si="394"/>
        <v/>
      </c>
      <c r="O862" s="56"/>
      <c r="P862" s="56"/>
      <c r="Q862" s="48"/>
      <c r="R862" s="48"/>
      <c r="S862" s="2"/>
    </row>
    <row r="863" spans="1:19" ht="12.75" customHeight="1" x14ac:dyDescent="0.2">
      <c r="A863" s="22"/>
      <c r="B863" s="55" t="str">
        <f>IF(A863="","",VLOOKUP(A863,'6.A'!$A$11:$G$180,2,FALSE))</f>
        <v/>
      </c>
      <c r="C863" s="134"/>
      <c r="D863" s="57" t="str">
        <f>IF(A863="","",VLOOKUP(A863,'6.A'!$A$11:$G$180,4,FALSE))</f>
        <v/>
      </c>
      <c r="E863" s="100" t="str">
        <f>IF(A863="","",VLOOKUP(A863,'6.A'!$A$11:$G$180,5,FALSE))</f>
        <v/>
      </c>
      <c r="F863" s="24" t="str">
        <f t="shared" si="391"/>
        <v>0,00</v>
      </c>
      <c r="G863" s="52"/>
      <c r="H863" s="52" t="str">
        <f>IF(A863="","",VLOOKUP(A863,'6.A'!$A$11:$E$7984,5,FALSE))</f>
        <v/>
      </c>
      <c r="I863" s="52" t="str">
        <f t="shared" si="392"/>
        <v/>
      </c>
      <c r="J863" s="52" t="str">
        <f>IF(H863="","",VLOOKUP(A863,'6.A'!$A$11:$E$564,4,FALSE))</f>
        <v/>
      </c>
      <c r="K863" s="52" t="str">
        <f t="shared" si="393"/>
        <v/>
      </c>
      <c r="L863" s="52" t="str">
        <f>IF(H863="","",IF(C863="","",G844*C863))</f>
        <v/>
      </c>
      <c r="M863" s="117" t="str">
        <f>IF(A863="","",VLOOKUP(A863,'6.A'!$A$11:$C$564,2,FALSE))</f>
        <v/>
      </c>
      <c r="N863" s="57" t="str">
        <f t="shared" si="394"/>
        <v/>
      </c>
      <c r="O863" s="56"/>
      <c r="P863" s="56"/>
      <c r="Q863" s="48"/>
      <c r="R863" s="48"/>
      <c r="S863" s="2"/>
    </row>
    <row r="864" spans="1:19" ht="12.75" customHeight="1" x14ac:dyDescent="0.2">
      <c r="A864" s="22"/>
      <c r="B864" s="23" t="str">
        <f>IF(A864="","",VLOOKUP(A864,'6.A'!$A$11:$G$180,2,FALSE))</f>
        <v/>
      </c>
      <c r="C864" s="99"/>
      <c r="D864" s="57" t="str">
        <f>IF(A864="","",VLOOKUP(A864,'6.A'!$A$11:$G$180,4,FALSE))</f>
        <v/>
      </c>
      <c r="E864" s="100" t="str">
        <f>IF(A864="","",VLOOKUP(A864,'6.A'!$A$11:$G$180,5,FALSE))</f>
        <v/>
      </c>
      <c r="F864" s="24" t="str">
        <f t="shared" si="391"/>
        <v>0,00</v>
      </c>
      <c r="G864" s="52"/>
      <c r="H864" s="52" t="str">
        <f>IF(A864="","",VLOOKUP(A864,'6.A'!$A$11:$E$7984,5,FALSE))</f>
        <v/>
      </c>
      <c r="I864" s="52" t="str">
        <f t="shared" si="392"/>
        <v/>
      </c>
      <c r="J864" s="52" t="str">
        <f>IF(H864="","",VLOOKUP(A864,'6.A'!$A$11:$E$564,4,FALSE))</f>
        <v/>
      </c>
      <c r="K864" s="52" t="str">
        <f t="shared" si="393"/>
        <v/>
      </c>
      <c r="L864" s="52" t="str">
        <f>IF(H864="","",IF(C864="","",G844*C864))</f>
        <v/>
      </c>
      <c r="M864" s="117" t="str">
        <f>IF(A864="","",VLOOKUP(A864,'6.A'!$A$11:$C$564,2,FALSE))</f>
        <v/>
      </c>
      <c r="N864" s="57" t="str">
        <f t="shared" si="394"/>
        <v/>
      </c>
      <c r="O864" s="56"/>
      <c r="P864" s="56"/>
      <c r="Q864" s="48"/>
      <c r="R864" s="48"/>
      <c r="S864" s="2"/>
    </row>
    <row r="865" spans="1:22" ht="12.75" customHeight="1" x14ac:dyDescent="0.2">
      <c r="A865" s="22"/>
      <c r="B865" s="23" t="str">
        <f>IF(A865="","",VLOOKUP(A865,'6.A'!$A$11:$G$180,2,FALSE))</f>
        <v/>
      </c>
      <c r="C865" s="99"/>
      <c r="D865" s="57" t="str">
        <f>IF(A865="","",VLOOKUP(A865,'6.A'!$A$11:$G$180,4,FALSE))</f>
        <v/>
      </c>
      <c r="E865" s="100" t="str">
        <f>IF(A865="","",VLOOKUP(A865,'6.A'!$A$11:$G$180,5,FALSE))</f>
        <v/>
      </c>
      <c r="F865" s="24" t="str">
        <f t="shared" si="391"/>
        <v>0,00</v>
      </c>
      <c r="G865" s="52"/>
      <c r="H865" s="52" t="str">
        <f>IF(A865="","",VLOOKUP(A865,'6.A'!$A$11:$E$7984,5,FALSE))</f>
        <v/>
      </c>
      <c r="I865" s="52" t="str">
        <f t="shared" si="392"/>
        <v/>
      </c>
      <c r="J865" s="52" t="str">
        <f>IF(H865="","",VLOOKUP(A865,'6.A'!$A$11:$E$564,4,FALSE))</f>
        <v/>
      </c>
      <c r="K865" s="52" t="str">
        <f t="shared" si="393"/>
        <v/>
      </c>
      <c r="L865" s="52" t="str">
        <f>IF(H865="","",IF(C865="","",G844*C865))</f>
        <v/>
      </c>
      <c r="M865" s="117" t="str">
        <f>IF(A865="","",VLOOKUP(A865,'6.A'!$A$11:$C$564,2,FALSE))</f>
        <v/>
      </c>
      <c r="N865" s="57" t="str">
        <f t="shared" si="394"/>
        <v/>
      </c>
      <c r="O865" s="56"/>
      <c r="P865" s="56"/>
      <c r="Q865" s="48"/>
      <c r="R865" s="48"/>
      <c r="S865" s="2"/>
    </row>
    <row r="866" spans="1:22" ht="12.75" customHeight="1" x14ac:dyDescent="0.2">
      <c r="A866" s="22"/>
      <c r="B866" s="23" t="str">
        <f>IF(A866="","",VLOOKUP(A866,'6.A'!$A$11:$G$180,2,FALSE))</f>
        <v/>
      </c>
      <c r="C866" s="99"/>
      <c r="D866" s="57" t="str">
        <f>IF(A866="","",VLOOKUP(A866,'6.A'!$A$11:$G$180,4,FALSE))</f>
        <v/>
      </c>
      <c r="E866" s="100" t="str">
        <f>IF(A866="","",VLOOKUP(A866,'6.A'!$A$11:$G$180,5,FALSE))</f>
        <v/>
      </c>
      <c r="F866" s="24" t="str">
        <f t="shared" si="391"/>
        <v>0,00</v>
      </c>
      <c r="G866" s="52"/>
      <c r="H866" s="52" t="str">
        <f>IF(A866="","",VLOOKUP(A866,'6.A'!$A$11:$E$7984,5,FALSE))</f>
        <v/>
      </c>
      <c r="I866" s="52" t="str">
        <f t="shared" si="392"/>
        <v/>
      </c>
      <c r="J866" s="52" t="str">
        <f>IF(H866="","",VLOOKUP(A866,'6.A'!$A$11:$E$564,4,FALSE))</f>
        <v/>
      </c>
      <c r="K866" s="52" t="str">
        <f t="shared" si="393"/>
        <v/>
      </c>
      <c r="L866" s="52" t="str">
        <f>IF(H866="","",IF(C866="","",G844*C866))</f>
        <v/>
      </c>
      <c r="M866" s="117" t="str">
        <f>IF(A866="","",VLOOKUP(A866,'6.A'!$A$11:$C$564,2,FALSE))</f>
        <v/>
      </c>
      <c r="N866" s="57" t="str">
        <f>IF(A866="","",IF(M866=B866,"si","no"))</f>
        <v/>
      </c>
      <c r="O866" s="56"/>
      <c r="P866" s="56"/>
      <c r="Q866" s="48"/>
      <c r="R866" s="48"/>
      <c r="S866" s="2"/>
    </row>
    <row r="867" spans="1:22" ht="12.75" customHeight="1" x14ac:dyDescent="0.2">
      <c r="A867" s="22"/>
      <c r="B867" s="23" t="str">
        <f>IF(A867="","",VLOOKUP(A867,'6.A'!$A$11:$G$180,2,FALSE))</f>
        <v/>
      </c>
      <c r="C867" s="99"/>
      <c r="D867" s="57" t="str">
        <f>IF(A867="","",VLOOKUP(A867,'6.A'!$A$11:$G$180,4,FALSE))</f>
        <v/>
      </c>
      <c r="E867" s="100" t="str">
        <f>IF(A867="","",VLOOKUP(A867,'6.A'!$A$11:$G$180,5,FALSE))</f>
        <v/>
      </c>
      <c r="F867" s="24" t="str">
        <f t="shared" si="391"/>
        <v>0,00</v>
      </c>
      <c r="G867" s="52"/>
      <c r="H867" s="52" t="str">
        <f>IF(A867="","",VLOOKUP(A867,'6.A'!$A$11:$E$7984,5,FALSE))</f>
        <v/>
      </c>
      <c r="I867" s="52" t="str">
        <f t="shared" si="392"/>
        <v/>
      </c>
      <c r="J867" s="52" t="str">
        <f>IF(H867="","",VLOOKUP(A867,'6.A'!$A$11:$E$564,4,FALSE))</f>
        <v/>
      </c>
      <c r="K867" s="52" t="str">
        <f t="shared" si="393"/>
        <v/>
      </c>
      <c r="L867" s="52" t="str">
        <f>IF(H867="","",IF(C867="","",G844*C867))</f>
        <v/>
      </c>
      <c r="M867" s="117" t="str">
        <f>IF(A867="","",VLOOKUP(A867,'6.A'!$A$11:$C$564,2,FALSE))</f>
        <v/>
      </c>
      <c r="N867" s="57" t="str">
        <f>IF(A867="","",IF(M867=B867,"si","no"))</f>
        <v/>
      </c>
      <c r="O867" s="56"/>
      <c r="P867" s="56"/>
      <c r="Q867" s="48"/>
      <c r="R867" s="48"/>
      <c r="S867" s="2"/>
    </row>
    <row r="868" spans="1:22" ht="12.75" customHeight="1" x14ac:dyDescent="0.2">
      <c r="A868" s="22"/>
      <c r="B868" s="23" t="str">
        <f>IF(A868="","",VLOOKUP(A868,'6.A'!$A$11:$G$180,2,FALSE))</f>
        <v/>
      </c>
      <c r="C868" s="99"/>
      <c r="D868" s="57" t="str">
        <f>IF(A868="","",VLOOKUP(A868,'6.A'!$A$11:$G$180,4,FALSE))</f>
        <v/>
      </c>
      <c r="E868" s="100" t="str">
        <f>IF(A868="","",VLOOKUP(A868,'6.A'!$A$11:$G$180,5,FALSE))</f>
        <v/>
      </c>
      <c r="F868" s="24" t="str">
        <f t="shared" si="391"/>
        <v>0,00</v>
      </c>
      <c r="G868" s="52"/>
      <c r="H868" s="52" t="str">
        <f>IF(A868="","",VLOOKUP(A868,'6.A'!$A$11:$E$7984,5,FALSE))</f>
        <v/>
      </c>
      <c r="I868" s="52" t="str">
        <f t="shared" si="392"/>
        <v/>
      </c>
      <c r="J868" s="52" t="str">
        <f>IF(H868="","",VLOOKUP(A868,'6.A'!$A$11:$E$564,4,FALSE))</f>
        <v/>
      </c>
      <c r="K868" s="52" t="str">
        <f t="shared" si="393"/>
        <v/>
      </c>
      <c r="L868" s="52" t="str">
        <f>IF(H868="","",IF(C868="","",G844*C868))</f>
        <v/>
      </c>
      <c r="M868" s="117" t="str">
        <f>IF(A868="","",VLOOKUP(A868,'6.A'!$A$11:$C$564,2,FALSE))</f>
        <v/>
      </c>
      <c r="N868" s="57" t="str">
        <f t="shared" ref="N868:N869" si="395">IF(A868="","",IF(M868=B868,"si","no"))</f>
        <v/>
      </c>
      <c r="O868" s="56"/>
      <c r="P868" s="56"/>
      <c r="Q868" s="48"/>
      <c r="R868" s="48"/>
      <c r="S868" s="2"/>
    </row>
    <row r="869" spans="1:22" ht="12.75" customHeight="1" x14ac:dyDescent="0.2">
      <c r="A869" s="22"/>
      <c r="B869" s="23" t="str">
        <f>IF(A869="","",VLOOKUP(A869,'6.A'!$A$11:$G$180,2,FALSE))</f>
        <v/>
      </c>
      <c r="C869" s="99"/>
      <c r="D869" s="57" t="str">
        <f>IF(A869="","",VLOOKUP(A869,'6.A'!$A$11:$G$180,4,FALSE))</f>
        <v/>
      </c>
      <c r="E869" s="100" t="str">
        <f>IF(A869="","",VLOOKUP(A869,'6.A'!$A$11:$G$180,5,FALSE))</f>
        <v/>
      </c>
      <c r="F869" s="24" t="str">
        <f t="shared" si="391"/>
        <v>0,00</v>
      </c>
      <c r="G869" s="52"/>
      <c r="H869" s="52" t="str">
        <f>IF(A869="","",VLOOKUP(A869,'6.A'!$A$11:$E$7984,5,FALSE))</f>
        <v/>
      </c>
      <c r="I869" s="52" t="str">
        <f t="shared" si="392"/>
        <v/>
      </c>
      <c r="J869" s="52" t="str">
        <f>IF(H869="","",VLOOKUP(A869,'6.A'!$A$11:$E$564,4,FALSE))</f>
        <v/>
      </c>
      <c r="K869" s="52" t="str">
        <f t="shared" si="393"/>
        <v/>
      </c>
      <c r="L869" s="52" t="str">
        <f>IF(H869="","",IF(C869="","",G844*C869))</f>
        <v/>
      </c>
      <c r="M869" s="117" t="str">
        <f>IF(A869="","",VLOOKUP(A869,'6.A'!$A$11:$C$564,2,FALSE))</f>
        <v/>
      </c>
      <c r="N869" s="57" t="str">
        <f t="shared" si="395"/>
        <v/>
      </c>
      <c r="O869" s="56"/>
      <c r="P869" s="56"/>
      <c r="Q869" s="48"/>
      <c r="R869" s="48"/>
      <c r="S869" s="2"/>
    </row>
    <row r="870" spans="1:22" ht="12.75" customHeight="1" x14ac:dyDescent="0.2">
      <c r="A870" s="22"/>
      <c r="B870" s="26" t="str">
        <f>$A$9</f>
        <v>BDI</v>
      </c>
      <c r="C870" s="27">
        <f>$C$9</f>
        <v>0</v>
      </c>
      <c r="D870" s="57"/>
      <c r="F870" s="28">
        <f>ROUND(SUM(F860:F869)*C870,2)</f>
        <v>0</v>
      </c>
      <c r="G870" s="63"/>
      <c r="M870" s="62"/>
      <c r="N870" s="57"/>
      <c r="O870" s="56"/>
      <c r="P870" s="56"/>
      <c r="Q870" s="48"/>
      <c r="R870" s="48"/>
      <c r="S870" s="2"/>
    </row>
    <row r="871" spans="1:22" ht="12.75" customHeight="1" x14ac:dyDescent="0.2">
      <c r="A871" s="30"/>
      <c r="B871" s="31" t="s">
        <v>117</v>
      </c>
      <c r="C871" s="36"/>
      <c r="D871" s="37"/>
      <c r="E871" s="38"/>
      <c r="F871" s="35">
        <f>ROUND(SUM(F860:F870),2)</f>
        <v>0</v>
      </c>
      <c r="G871" s="63"/>
      <c r="M871" s="62"/>
      <c r="N871" s="57"/>
      <c r="O871" s="56"/>
      <c r="P871" s="56"/>
      <c r="Q871" s="48"/>
      <c r="R871" s="48"/>
      <c r="S871" s="2"/>
    </row>
    <row r="872" spans="1:22" ht="12.75" customHeight="1" x14ac:dyDescent="0.2">
      <c r="A872" s="17" t="s">
        <v>6</v>
      </c>
      <c r="B872" s="18" t="s">
        <v>17</v>
      </c>
      <c r="C872" s="56" t="s">
        <v>59</v>
      </c>
      <c r="D872" s="56" t="s">
        <v>16</v>
      </c>
      <c r="E872" s="19" t="s">
        <v>60</v>
      </c>
      <c r="F872" s="20" t="s">
        <v>61</v>
      </c>
      <c r="G872" s="21"/>
      <c r="M872" s="62"/>
      <c r="N872" s="57"/>
      <c r="O872" s="56"/>
      <c r="P872" s="56"/>
      <c r="Q872" s="48"/>
      <c r="R872" s="48"/>
      <c r="S872" s="2"/>
    </row>
    <row r="873" spans="1:22" ht="12.75" customHeight="1" x14ac:dyDescent="0.2">
      <c r="A873" s="22">
        <f>'6.A'!$A$95</f>
        <v>1878</v>
      </c>
      <c r="B873" s="23" t="str">
        <f>IF(A873="","",VLOOKUP(A873,'6.A'!$A$11:$G$180,2,FALSE))</f>
        <v>CURVA 90 GRAUS, LONGA, DE PVC RIGIDO ROSCAVEL, DE 4", PARA ELETRODUTO</v>
      </c>
      <c r="C873" s="99">
        <v>1</v>
      </c>
      <c r="D873" s="57" t="str">
        <f>IF(A873="","",VLOOKUP(A873,'6.A'!$A$11:$G$180,4,FALSE))</f>
        <v>UN</v>
      </c>
      <c r="E873" s="100">
        <f>IF(A873="","",VLOOKUP(A873,'6.A'!$A$11:$G$180,5,FALSE))</f>
        <v>0</v>
      </c>
      <c r="F873" s="24">
        <f t="shared" ref="F873:F892" si="396">IF(A873="","0,00",ROUND(C873*E873,2))</f>
        <v>0</v>
      </c>
      <c r="G873" s="52"/>
      <c r="H873" s="52">
        <f>IF(A873="","",VLOOKUP(A873,'6.A'!$A$11:$E$7984,5,FALSE))</f>
        <v>0</v>
      </c>
      <c r="I873" s="52" t="str">
        <f t="shared" ref="I873:I892" si="397">IF(H873="","",IF(E873=H873,"SIM","NÃO"))</f>
        <v>SIM</v>
      </c>
      <c r="J873" s="52" t="str">
        <f>IF(H873="","",VLOOKUP(A873,'6.A'!$A$11:$E$564,4,FALSE))</f>
        <v>UN</v>
      </c>
      <c r="K873" s="52" t="str">
        <f t="shared" ref="K873:K892" si="398">IF(H873="","",IF(J873=D873,"SIM","NÃO"))</f>
        <v>SIM</v>
      </c>
      <c r="L873" s="52">
        <f>IF(H873="","",IF(C873="","",G844*C873))</f>
        <v>2</v>
      </c>
      <c r="M873" s="117" t="str">
        <f>IF(A873="","",VLOOKUP(A873,'6.A'!$A$11:$C$564,2,FALSE))</f>
        <v>CURVA 90 GRAUS, LONGA, DE PVC RIGIDO ROSCAVEL, DE 4", PARA ELETRODUTO</v>
      </c>
      <c r="N873" s="57" t="str">
        <f t="shared" ref="N873:N892" si="399">IF(A873="","",IF(M873=B873,"si","no"))</f>
        <v>si</v>
      </c>
      <c r="O873" s="56"/>
      <c r="P873" s="56"/>
      <c r="Q873" s="48"/>
      <c r="R873" s="48"/>
      <c r="S873" s="2"/>
    </row>
    <row r="874" spans="1:22" ht="12.75" customHeight="1" x14ac:dyDescent="0.2">
      <c r="A874" s="22"/>
      <c r="B874" s="23" t="str">
        <f>IF(A874="","",VLOOKUP(A874,'6.A'!$A$11:$G$180,2,FALSE))</f>
        <v/>
      </c>
      <c r="C874" s="99"/>
      <c r="D874" s="57" t="str">
        <f>IF(A874="","",VLOOKUP(A874,'6.A'!$A$11:$G$180,4,FALSE))</f>
        <v/>
      </c>
      <c r="E874" s="100" t="str">
        <f>IF(A874="","",VLOOKUP(A874,'6.A'!$A$11:$G$180,5,FALSE))</f>
        <v/>
      </c>
      <c r="F874" s="24" t="str">
        <f t="shared" si="396"/>
        <v>0,00</v>
      </c>
      <c r="G874" s="52"/>
      <c r="H874" s="52" t="str">
        <f>IF(A874="","",VLOOKUP(A874,'6.A'!$A$11:$E$7984,5,FALSE))</f>
        <v/>
      </c>
      <c r="I874" s="52" t="str">
        <f t="shared" si="397"/>
        <v/>
      </c>
      <c r="J874" s="52" t="str">
        <f>IF(H874="","",VLOOKUP(A874,'6.A'!$A$11:$E$564,4,FALSE))</f>
        <v/>
      </c>
      <c r="K874" s="52" t="str">
        <f t="shared" si="398"/>
        <v/>
      </c>
      <c r="L874" s="52" t="str">
        <f>IF(H874="","",IF(C874="","",G844*C874))</f>
        <v/>
      </c>
      <c r="M874" s="117" t="str">
        <f>IF(A874="","",VLOOKUP(A874,'6.A'!$A$11:$C$564,2,FALSE))</f>
        <v/>
      </c>
      <c r="N874" s="57" t="str">
        <f t="shared" si="399"/>
        <v/>
      </c>
      <c r="O874" s="56"/>
      <c r="P874" s="56"/>
      <c r="Q874" s="48"/>
      <c r="R874" s="48"/>
      <c r="S874" s="2"/>
    </row>
    <row r="875" spans="1:22" ht="12.75" customHeight="1" x14ac:dyDescent="0.2">
      <c r="A875" s="22"/>
      <c r="B875" s="23" t="str">
        <f>IF(A875="","",VLOOKUP(A875,'6.A'!$A$11:$G$180,2,FALSE))</f>
        <v/>
      </c>
      <c r="C875" s="99"/>
      <c r="D875" s="57" t="str">
        <f>IF(A875="","",VLOOKUP(A875,'6.A'!$A$11:$G$180,4,FALSE))</f>
        <v/>
      </c>
      <c r="E875" s="100" t="str">
        <f>IF(A875="","",VLOOKUP(A875,'6.A'!$A$11:$G$180,5,FALSE))</f>
        <v/>
      </c>
      <c r="F875" s="24" t="str">
        <f t="shared" si="396"/>
        <v>0,00</v>
      </c>
      <c r="G875" s="52"/>
      <c r="H875" s="52" t="str">
        <f>IF(A875="","",VLOOKUP(A875,'6.A'!$A$11:$E$7984,5,FALSE))</f>
        <v/>
      </c>
      <c r="I875" s="52" t="str">
        <f t="shared" si="397"/>
        <v/>
      </c>
      <c r="J875" s="52" t="str">
        <f>IF(H875="","",VLOOKUP(A875,'6.A'!$A$11:$E$564,4,FALSE))</f>
        <v/>
      </c>
      <c r="K875" s="52" t="str">
        <f t="shared" si="398"/>
        <v/>
      </c>
      <c r="L875" s="52" t="str">
        <f>IF(H875="","",IF(C875="","",G844*C875))</f>
        <v/>
      </c>
      <c r="M875" s="117" t="str">
        <f>IF(A875="","",VLOOKUP(A875,'6.A'!$A$11:$C$564,2,FALSE))</f>
        <v/>
      </c>
      <c r="N875" s="57" t="str">
        <f t="shared" si="399"/>
        <v/>
      </c>
      <c r="O875" s="56"/>
      <c r="P875" s="56"/>
      <c r="Q875" s="48"/>
      <c r="R875" s="48"/>
      <c r="S875" s="2"/>
    </row>
    <row r="876" spans="1:22" ht="12.75" customHeight="1" x14ac:dyDescent="0.2">
      <c r="A876" s="22"/>
      <c r="B876" s="23" t="str">
        <f>IF(A876="","",VLOOKUP(A876,'6.A'!$A$11:$G$180,2,FALSE))</f>
        <v/>
      </c>
      <c r="C876" s="99"/>
      <c r="D876" s="57" t="str">
        <f>IF(A876="","",VLOOKUP(A876,'6.A'!$A$11:$G$180,4,FALSE))</f>
        <v/>
      </c>
      <c r="E876" s="100" t="str">
        <f>IF(A876="","",VLOOKUP(A876,'6.A'!$A$11:$G$180,5,FALSE))</f>
        <v/>
      </c>
      <c r="F876" s="24" t="str">
        <f t="shared" si="396"/>
        <v>0,00</v>
      </c>
      <c r="G876" s="52"/>
      <c r="H876" s="52" t="str">
        <f>IF(A876="","",VLOOKUP(A876,'6.A'!$A$11:$E$7984,5,FALSE))</f>
        <v/>
      </c>
      <c r="I876" s="52" t="str">
        <f t="shared" si="397"/>
        <v/>
      </c>
      <c r="J876" s="52" t="str">
        <f>IF(H876="","",VLOOKUP(A876,'6.A'!$A$11:$E$564,4,FALSE))</f>
        <v/>
      </c>
      <c r="K876" s="52" t="str">
        <f t="shared" si="398"/>
        <v/>
      </c>
      <c r="L876" s="52" t="str">
        <f>IF(H876="","",IF(C876="","",G844*C876))</f>
        <v/>
      </c>
      <c r="M876" s="117" t="str">
        <f>IF(A876="","",VLOOKUP(A876,'6.A'!$A$11:$C$564,2,FALSE))</f>
        <v/>
      </c>
      <c r="N876" s="57" t="str">
        <f t="shared" si="399"/>
        <v/>
      </c>
      <c r="O876" s="56"/>
      <c r="P876" s="56"/>
      <c r="Q876" s="48"/>
      <c r="R876" s="48"/>
      <c r="S876" s="2"/>
    </row>
    <row r="877" spans="1:22" ht="12.75" customHeight="1" x14ac:dyDescent="0.2">
      <c r="A877" s="22"/>
      <c r="B877" s="23" t="str">
        <f>IF(A877="","",VLOOKUP(A877,'6.A'!$A$11:$G$180,2,FALSE))</f>
        <v/>
      </c>
      <c r="C877" s="99"/>
      <c r="D877" s="57" t="str">
        <f>IF(A877="","",VLOOKUP(A877,'6.A'!$A$11:$G$180,4,FALSE))</f>
        <v/>
      </c>
      <c r="E877" s="100" t="str">
        <f>IF(A877="","",VLOOKUP(A877,'6.A'!$A$11:$G$180,5,FALSE))</f>
        <v/>
      </c>
      <c r="F877" s="24" t="str">
        <f t="shared" si="396"/>
        <v>0,00</v>
      </c>
      <c r="G877" s="52"/>
      <c r="H877" s="52" t="str">
        <f>IF(A877="","",VLOOKUP(A877,'6.A'!$A$11:$E$7984,5,FALSE))</f>
        <v/>
      </c>
      <c r="I877" s="52" t="str">
        <f t="shared" si="397"/>
        <v/>
      </c>
      <c r="J877" s="52" t="str">
        <f>IF(H877="","",VLOOKUP(A877,'6.A'!$A$11:$E$564,4,FALSE))</f>
        <v/>
      </c>
      <c r="K877" s="52" t="str">
        <f t="shared" si="398"/>
        <v/>
      </c>
      <c r="L877" s="52" t="str">
        <f>IF(H877="","",IF(C877="","",G844*C877))</f>
        <v/>
      </c>
      <c r="M877" s="117" t="str">
        <f>IF(A877="","",VLOOKUP(A877,'6.A'!$A$11:$C$564,2,FALSE))</f>
        <v/>
      </c>
      <c r="N877" s="57" t="str">
        <f t="shared" si="399"/>
        <v/>
      </c>
      <c r="O877" s="56"/>
      <c r="P877" s="56"/>
      <c r="Q877" s="48"/>
      <c r="R877" s="48"/>
      <c r="S877" s="2"/>
    </row>
    <row r="878" spans="1:22" ht="12.75" customHeight="1" x14ac:dyDescent="0.2">
      <c r="A878" s="22"/>
      <c r="B878" s="23" t="str">
        <f>IF(A878="","",VLOOKUP(A878,'6.A'!$A$11:$G$180,2,FALSE))</f>
        <v/>
      </c>
      <c r="C878" s="99"/>
      <c r="D878" s="57" t="str">
        <f>IF(A878="","",VLOOKUP(A878,'6.A'!$A$11:$G$180,4,FALSE))</f>
        <v/>
      </c>
      <c r="E878" s="100" t="str">
        <f>IF(A878="","",VLOOKUP(A878,'6.A'!$A$11:$G$180,5,FALSE))</f>
        <v/>
      </c>
      <c r="F878" s="24" t="str">
        <f t="shared" si="396"/>
        <v>0,00</v>
      </c>
      <c r="G878" s="52"/>
      <c r="H878" s="52" t="str">
        <f>IF(A878="","",VLOOKUP(A878,'6.A'!$A$11:$E$7984,5,FALSE))</f>
        <v/>
      </c>
      <c r="I878" s="52" t="str">
        <f t="shared" si="397"/>
        <v/>
      </c>
      <c r="J878" s="52" t="str">
        <f>IF(H878="","",VLOOKUP(A878,'6.A'!$A$11:$E$564,4,FALSE))</f>
        <v/>
      </c>
      <c r="K878" s="52" t="str">
        <f t="shared" si="398"/>
        <v/>
      </c>
      <c r="L878" s="52" t="str">
        <f>IF(H878="","",IF(C878="","",G844*C878))</f>
        <v/>
      </c>
      <c r="M878" s="117" t="str">
        <f>IF(A878="","",VLOOKUP(A878,'6.A'!$A$11:$C$564,2,FALSE))</f>
        <v/>
      </c>
      <c r="N878" s="57" t="str">
        <f t="shared" si="399"/>
        <v/>
      </c>
      <c r="O878" s="56"/>
      <c r="P878" s="56"/>
      <c r="Q878" s="48"/>
      <c r="R878" s="48"/>
      <c r="S878" s="2"/>
    </row>
    <row r="879" spans="1:22" ht="12.75" customHeight="1" x14ac:dyDescent="0.2">
      <c r="A879" s="22"/>
      <c r="B879" s="23" t="str">
        <f>IF(A879="","",VLOOKUP(A879,'6.A'!$A$11:$G$180,2,FALSE))</f>
        <v/>
      </c>
      <c r="C879" s="99"/>
      <c r="D879" s="57" t="str">
        <f>IF(A879="","",VLOOKUP(A879,'6.A'!$A$11:$G$180,4,FALSE))</f>
        <v/>
      </c>
      <c r="E879" s="100" t="str">
        <f>IF(A879="","",VLOOKUP(A879,'6.A'!$A$11:$G$180,5,FALSE))</f>
        <v/>
      </c>
      <c r="F879" s="24" t="str">
        <f t="shared" si="396"/>
        <v>0,00</v>
      </c>
      <c r="G879" s="52"/>
      <c r="H879" s="52" t="str">
        <f>IF(A879="","",VLOOKUP(A879,'6.A'!$A$11:$E$7984,5,FALSE))</f>
        <v/>
      </c>
      <c r="I879" s="52" t="str">
        <f t="shared" si="397"/>
        <v/>
      </c>
      <c r="J879" s="52" t="str">
        <f>IF(H879="","",VLOOKUP(A879,'6.A'!$A$11:$E$564,4,FALSE))</f>
        <v/>
      </c>
      <c r="K879" s="52" t="str">
        <f t="shared" si="398"/>
        <v/>
      </c>
      <c r="L879" s="52" t="str">
        <f>IF(H879="","",IF(C879="","",G844*C879))</f>
        <v/>
      </c>
      <c r="M879" s="117" t="str">
        <f>IF(A879="","",VLOOKUP(A879,'6.A'!$A$11:$C$564,2,FALSE))</f>
        <v/>
      </c>
      <c r="N879" s="57" t="str">
        <f t="shared" si="399"/>
        <v/>
      </c>
      <c r="O879" s="56"/>
      <c r="P879" s="56"/>
      <c r="Q879" s="48"/>
      <c r="R879" s="48"/>
      <c r="S879" s="2"/>
    </row>
    <row r="880" spans="1:22" s="65" customFormat="1" ht="12.75" customHeight="1" x14ac:dyDescent="0.2">
      <c r="A880" s="22"/>
      <c r="B880" s="23" t="str">
        <f>IF(A880="","",VLOOKUP(A880,'6.A'!$A$11:$G$180,2,FALSE))</f>
        <v/>
      </c>
      <c r="C880" s="99"/>
      <c r="D880" s="57" t="str">
        <f>IF(A880="","",VLOOKUP(A880,'6.A'!$A$11:$G$180,4,FALSE))</f>
        <v/>
      </c>
      <c r="E880" s="100" t="str">
        <f>IF(A880="","",VLOOKUP(A880,'6.A'!$A$11:$G$180,5,FALSE))</f>
        <v/>
      </c>
      <c r="F880" s="24" t="str">
        <f t="shared" si="396"/>
        <v>0,00</v>
      </c>
      <c r="G880" s="52"/>
      <c r="H880" s="52" t="str">
        <f>IF(A880="","",VLOOKUP(A880,'6.A'!$A$11:$E$7984,5,FALSE))</f>
        <v/>
      </c>
      <c r="I880" s="52" t="str">
        <f t="shared" si="397"/>
        <v/>
      </c>
      <c r="J880" s="52" t="str">
        <f>IF(H880="","",VLOOKUP(A880,'6.A'!$A$11:$E$564,4,FALSE))</f>
        <v/>
      </c>
      <c r="K880" s="52" t="str">
        <f t="shared" si="398"/>
        <v/>
      </c>
      <c r="L880" s="52" t="str">
        <f>IF(H880="","",IF(C880="","",G844*C880))</f>
        <v/>
      </c>
      <c r="M880" s="117" t="str">
        <f>IF(A880="","",VLOOKUP(A880,'6.A'!$A$11:$C$564,2,FALSE))</f>
        <v/>
      </c>
      <c r="N880" s="57" t="str">
        <f t="shared" si="399"/>
        <v/>
      </c>
      <c r="O880" s="56"/>
      <c r="P880" s="56"/>
      <c r="Q880" s="48"/>
      <c r="R880" s="48"/>
      <c r="T880" s="2"/>
      <c r="U880" s="2"/>
      <c r="V880" s="2"/>
    </row>
    <row r="881" spans="1:23" s="65" customFormat="1" ht="12.75" customHeight="1" x14ac:dyDescent="0.2">
      <c r="A881" s="22"/>
      <c r="B881" s="23" t="str">
        <f>IF(A881="","",VLOOKUP(A881,'6.A'!$A$11:$G$180,2,FALSE))</f>
        <v/>
      </c>
      <c r="C881" s="99"/>
      <c r="D881" s="57" t="str">
        <f>IF(A881="","",VLOOKUP(A881,'6.A'!$A$11:$G$180,4,FALSE))</f>
        <v/>
      </c>
      <c r="E881" s="100" t="str">
        <f>IF(A881="","",VLOOKUP(A881,'6.A'!$A$11:$G$180,5,FALSE))</f>
        <v/>
      </c>
      <c r="F881" s="24" t="str">
        <f t="shared" si="396"/>
        <v>0,00</v>
      </c>
      <c r="G881" s="52"/>
      <c r="H881" s="52" t="str">
        <f>IF(A881="","",VLOOKUP(A881,'6.A'!$A$11:$E$7984,5,FALSE))</f>
        <v/>
      </c>
      <c r="I881" s="52" t="str">
        <f t="shared" si="397"/>
        <v/>
      </c>
      <c r="J881" s="52" t="str">
        <f>IF(H881="","",VLOOKUP(A881,'6.A'!$A$11:$E$564,4,FALSE))</f>
        <v/>
      </c>
      <c r="K881" s="52" t="str">
        <f t="shared" si="398"/>
        <v/>
      </c>
      <c r="L881" s="52" t="str">
        <f>IF(H881="","",IF(C881="","",G844*C881))</f>
        <v/>
      </c>
      <c r="M881" s="117" t="str">
        <f>IF(A881="","",VLOOKUP(A881,'6.A'!$A$11:$C$564,2,FALSE))</f>
        <v/>
      </c>
      <c r="N881" s="57" t="str">
        <f t="shared" si="399"/>
        <v/>
      </c>
      <c r="O881" s="56"/>
      <c r="P881" s="56"/>
      <c r="Q881" s="48"/>
      <c r="R881" s="48"/>
      <c r="T881" s="2"/>
      <c r="U881" s="2"/>
      <c r="V881" s="2"/>
    </row>
    <row r="882" spans="1:23" s="65" customFormat="1" ht="12.75" customHeight="1" x14ac:dyDescent="0.2">
      <c r="A882" s="22"/>
      <c r="B882" s="23" t="str">
        <f>IF(A882="","",VLOOKUP(A882,'6.A'!$A$11:$G$180,2,FALSE))</f>
        <v/>
      </c>
      <c r="C882" s="99"/>
      <c r="D882" s="57" t="str">
        <f>IF(A882="","",VLOOKUP(A882,'6.A'!$A$11:$G$180,4,FALSE))</f>
        <v/>
      </c>
      <c r="E882" s="100" t="str">
        <f>IF(A882="","",VLOOKUP(A882,'6.A'!$A$11:$G$180,5,FALSE))</f>
        <v/>
      </c>
      <c r="F882" s="24" t="str">
        <f t="shared" si="396"/>
        <v>0,00</v>
      </c>
      <c r="G882" s="52"/>
      <c r="H882" s="52" t="str">
        <f>IF(A882="","",VLOOKUP(A882,'6.A'!$A$11:$E$7984,5,FALSE))</f>
        <v/>
      </c>
      <c r="I882" s="52" t="str">
        <f t="shared" si="397"/>
        <v/>
      </c>
      <c r="J882" s="52" t="str">
        <f>IF(H882="","",VLOOKUP(A882,'6.A'!$A$11:$E$564,4,FALSE))</f>
        <v/>
      </c>
      <c r="K882" s="52" t="str">
        <f t="shared" si="398"/>
        <v/>
      </c>
      <c r="L882" s="52" t="str">
        <f>IF(H882="","",IF(C882="","",G844*C882))</f>
        <v/>
      </c>
      <c r="M882" s="117" t="str">
        <f>IF(A882="","",VLOOKUP(A882,'6.A'!$A$11:$C$564,2,FALSE))</f>
        <v/>
      </c>
      <c r="N882" s="57" t="str">
        <f t="shared" si="399"/>
        <v/>
      </c>
      <c r="O882" s="56"/>
      <c r="P882" s="56"/>
      <c r="Q882" s="48"/>
      <c r="R882" s="48"/>
      <c r="T882" s="2"/>
      <c r="U882" s="2"/>
      <c r="V882" s="2"/>
    </row>
    <row r="883" spans="1:23" s="65" customFormat="1" ht="12.75" customHeight="1" x14ac:dyDescent="0.2">
      <c r="A883" s="22"/>
      <c r="B883" s="23" t="str">
        <f>IF(A883="","",VLOOKUP(A883,'6.A'!$A$11:$G$180,2,FALSE))</f>
        <v/>
      </c>
      <c r="C883" s="99"/>
      <c r="D883" s="57" t="str">
        <f>IF(A883="","",VLOOKUP(A883,'6.A'!$A$11:$G$180,4,FALSE))</f>
        <v/>
      </c>
      <c r="E883" s="100" t="str">
        <f>IF(A883="","",VLOOKUP(A883,'6.A'!$A$11:$G$180,5,FALSE))</f>
        <v/>
      </c>
      <c r="F883" s="24" t="str">
        <f t="shared" si="396"/>
        <v>0,00</v>
      </c>
      <c r="G883" s="52"/>
      <c r="H883" s="52" t="str">
        <f>IF(A883="","",VLOOKUP(A883,'6.A'!$A$11:$E$7984,5,FALSE))</f>
        <v/>
      </c>
      <c r="I883" s="52" t="str">
        <f t="shared" si="397"/>
        <v/>
      </c>
      <c r="J883" s="52" t="str">
        <f>IF(H883="","",VLOOKUP(A883,'6.A'!$A$11:$E$564,4,FALSE))</f>
        <v/>
      </c>
      <c r="K883" s="52" t="str">
        <f t="shared" si="398"/>
        <v/>
      </c>
      <c r="L883" s="52" t="str">
        <f>IF(H883="","",IF(C883="","",G844*C883))</f>
        <v/>
      </c>
      <c r="M883" s="117" t="str">
        <f>IF(A883="","",VLOOKUP(A883,'6.A'!$A$11:$C$564,2,FALSE))</f>
        <v/>
      </c>
      <c r="N883" s="57" t="str">
        <f t="shared" si="399"/>
        <v/>
      </c>
      <c r="O883" s="56"/>
      <c r="P883" s="56"/>
      <c r="Q883" s="48"/>
      <c r="R883" s="48"/>
      <c r="T883" s="2"/>
      <c r="U883" s="2"/>
      <c r="V883" s="2"/>
    </row>
    <row r="884" spans="1:23" ht="12.75" customHeight="1" x14ac:dyDescent="0.2">
      <c r="A884" s="22"/>
      <c r="B884" s="23" t="str">
        <f>IF(A884="","",VLOOKUP(A884,'6.A'!$A$11:$G$180,2,FALSE))</f>
        <v/>
      </c>
      <c r="C884" s="99"/>
      <c r="D884" s="57" t="str">
        <f>IF(A884="","",VLOOKUP(A884,'6.A'!$A$11:$G$180,4,FALSE))</f>
        <v/>
      </c>
      <c r="E884" s="100" t="str">
        <f>IF(A884="","",VLOOKUP(A884,'6.A'!$A$11:$G$180,5,FALSE))</f>
        <v/>
      </c>
      <c r="F884" s="24" t="str">
        <f t="shared" si="396"/>
        <v>0,00</v>
      </c>
      <c r="G884" s="52"/>
      <c r="H884" s="52" t="str">
        <f>IF(A884="","",VLOOKUP(A884,'6.A'!$A$11:$E$7984,5,FALSE))</f>
        <v/>
      </c>
      <c r="I884" s="52" t="str">
        <f t="shared" si="397"/>
        <v/>
      </c>
      <c r="J884" s="52" t="str">
        <f>IF(H884="","",VLOOKUP(A884,'6.A'!$A$11:$E$564,4,FALSE))</f>
        <v/>
      </c>
      <c r="K884" s="52" t="str">
        <f t="shared" si="398"/>
        <v/>
      </c>
      <c r="L884" s="52" t="str">
        <f>IF(H884="","",IF(C884="","",G844*C884))</f>
        <v/>
      </c>
      <c r="M884" s="117" t="str">
        <f>IF(A884="","",VLOOKUP(A884,'6.A'!$A$11:$C$564,2,FALSE))</f>
        <v/>
      </c>
      <c r="N884" s="57" t="str">
        <f t="shared" si="399"/>
        <v/>
      </c>
      <c r="O884" s="56"/>
      <c r="P884" s="56"/>
      <c r="Q884" s="48"/>
      <c r="R884" s="48"/>
    </row>
    <row r="885" spans="1:23" ht="12.75" customHeight="1" x14ac:dyDescent="0.2">
      <c r="A885" s="22"/>
      <c r="B885" s="23" t="str">
        <f>IF(A885="","",VLOOKUP(A885,'6.A'!$A$11:$G$180,2,FALSE))</f>
        <v/>
      </c>
      <c r="C885" s="99"/>
      <c r="D885" s="57" t="str">
        <f>IF(A885="","",VLOOKUP(A885,'6.A'!$A$11:$G$180,4,FALSE))</f>
        <v/>
      </c>
      <c r="E885" s="100" t="str">
        <f>IF(A885="","",VLOOKUP(A885,'6.A'!$A$11:$G$180,5,FALSE))</f>
        <v/>
      </c>
      <c r="F885" s="24" t="str">
        <f t="shared" si="396"/>
        <v>0,00</v>
      </c>
      <c r="G885" s="52"/>
      <c r="H885" s="52" t="str">
        <f>IF(A885="","",VLOOKUP(A885,'6.A'!$A$11:$E$7984,5,FALSE))</f>
        <v/>
      </c>
      <c r="I885" s="52" t="str">
        <f t="shared" si="397"/>
        <v/>
      </c>
      <c r="J885" s="52" t="str">
        <f>IF(H885="","",VLOOKUP(A885,'6.A'!$A$11:$E$564,4,FALSE))</f>
        <v/>
      </c>
      <c r="K885" s="52" t="str">
        <f t="shared" si="398"/>
        <v/>
      </c>
      <c r="L885" s="52" t="str">
        <f>IF(H885="","",IF(C885="","",G844*C885))</f>
        <v/>
      </c>
      <c r="M885" s="117" t="str">
        <f>IF(A885="","",VLOOKUP(A885,'6.A'!$A$11:$C$564,2,FALSE))</f>
        <v/>
      </c>
      <c r="N885" s="57" t="str">
        <f t="shared" si="399"/>
        <v/>
      </c>
      <c r="O885" s="56"/>
      <c r="P885" s="56"/>
      <c r="Q885" s="48"/>
      <c r="R885" s="48"/>
    </row>
    <row r="886" spans="1:23" ht="12.75" customHeight="1" x14ac:dyDescent="0.2">
      <c r="A886" s="22"/>
      <c r="B886" s="23" t="str">
        <f>IF(A886="","",VLOOKUP(A886,'6.A'!$A$11:$G$180,2,FALSE))</f>
        <v/>
      </c>
      <c r="C886" s="99"/>
      <c r="D886" s="57" t="str">
        <f>IF(A886="","",VLOOKUP(A886,'6.A'!$A$11:$G$180,4,FALSE))</f>
        <v/>
      </c>
      <c r="E886" s="100" t="str">
        <f>IF(A886="","",VLOOKUP(A886,'6.A'!$A$11:$G$180,5,FALSE))</f>
        <v/>
      </c>
      <c r="F886" s="24" t="str">
        <f t="shared" si="396"/>
        <v>0,00</v>
      </c>
      <c r="G886" s="52"/>
      <c r="H886" s="52" t="str">
        <f>IF(A886="","",VLOOKUP(A886,'6.A'!$A$11:$E$7984,5,FALSE))</f>
        <v/>
      </c>
      <c r="I886" s="52" t="str">
        <f t="shared" si="397"/>
        <v/>
      </c>
      <c r="J886" s="52" t="str">
        <f>IF(H886="","",VLOOKUP(A886,'6.A'!$A$11:$E$564,4,FALSE))</f>
        <v/>
      </c>
      <c r="K886" s="52" t="str">
        <f t="shared" si="398"/>
        <v/>
      </c>
      <c r="L886" s="52" t="str">
        <f>IF(H886="","",IF(C886="","",G844*C886))</f>
        <v/>
      </c>
      <c r="M886" s="117" t="str">
        <f>IF(A886="","",VLOOKUP(A886,'6.A'!$A$11:$C$564,2,FALSE))</f>
        <v/>
      </c>
      <c r="N886" s="57" t="str">
        <f t="shared" si="399"/>
        <v/>
      </c>
      <c r="O886" s="56"/>
      <c r="P886" s="56"/>
      <c r="Q886" s="48"/>
      <c r="R886" s="48"/>
    </row>
    <row r="887" spans="1:23" ht="12.75" customHeight="1" x14ac:dyDescent="0.2">
      <c r="A887" s="22"/>
      <c r="B887" s="23" t="str">
        <f>IF(A887="","",VLOOKUP(A887,'6.A'!$A$11:$G$180,2,FALSE))</f>
        <v/>
      </c>
      <c r="C887" s="99"/>
      <c r="D887" s="57" t="str">
        <f>IF(A887="","",VLOOKUP(A887,'6.A'!$A$11:$G$180,4,FALSE))</f>
        <v/>
      </c>
      <c r="E887" s="100" t="str">
        <f>IF(A887="","",VLOOKUP(A887,'6.A'!$A$11:$G$180,5,FALSE))</f>
        <v/>
      </c>
      <c r="F887" s="24" t="str">
        <f t="shared" si="396"/>
        <v>0,00</v>
      </c>
      <c r="G887" s="52"/>
      <c r="H887" s="52" t="str">
        <f>IF(A887="","",VLOOKUP(A887,'6.A'!$A$11:$E$7984,5,FALSE))</f>
        <v/>
      </c>
      <c r="I887" s="52" t="str">
        <f t="shared" si="397"/>
        <v/>
      </c>
      <c r="J887" s="52" t="str">
        <f>IF(H887="","",VLOOKUP(A887,'6.A'!$A$11:$E$564,4,FALSE))</f>
        <v/>
      </c>
      <c r="K887" s="52" t="str">
        <f t="shared" si="398"/>
        <v/>
      </c>
      <c r="L887" s="52" t="str">
        <f>IF(H887="","",IF(C887="","",G844*C887))</f>
        <v/>
      </c>
      <c r="M887" s="117" t="str">
        <f>IF(A887="","",VLOOKUP(A887,'6.A'!$A$11:$C$564,2,FALSE))</f>
        <v/>
      </c>
      <c r="N887" s="57" t="str">
        <f t="shared" si="399"/>
        <v/>
      </c>
      <c r="O887" s="56"/>
      <c r="P887" s="56"/>
      <c r="Q887" s="48"/>
      <c r="R887" s="48"/>
    </row>
    <row r="888" spans="1:23" ht="12.75" customHeight="1" x14ac:dyDescent="0.2">
      <c r="A888" s="22"/>
      <c r="B888" s="23" t="str">
        <f>IF(A888="","",VLOOKUP(A888,'6.A'!$A$11:$G$180,2,FALSE))</f>
        <v/>
      </c>
      <c r="C888" s="99"/>
      <c r="D888" s="57" t="str">
        <f>IF(A888="","",VLOOKUP(A888,'6.A'!$A$11:$G$180,4,FALSE))</f>
        <v/>
      </c>
      <c r="E888" s="100" t="str">
        <f>IF(A888="","",VLOOKUP(A888,'6.A'!$A$11:$G$180,5,FALSE))</f>
        <v/>
      </c>
      <c r="F888" s="24" t="str">
        <f t="shared" si="396"/>
        <v>0,00</v>
      </c>
      <c r="G888" s="52"/>
      <c r="H888" s="52" t="str">
        <f>IF(A888="","",VLOOKUP(A888,'6.A'!$A$11:$E$7984,5,FALSE))</f>
        <v/>
      </c>
      <c r="I888" s="52" t="str">
        <f t="shared" si="397"/>
        <v/>
      </c>
      <c r="J888" s="52" t="str">
        <f>IF(H888="","",VLOOKUP(A888,'6.A'!$A$11:$E$564,4,FALSE))</f>
        <v/>
      </c>
      <c r="K888" s="52" t="str">
        <f t="shared" si="398"/>
        <v/>
      </c>
      <c r="L888" s="52" t="str">
        <f>IF(H888="","",IF(C888="","",G844*C888))</f>
        <v/>
      </c>
      <c r="M888" s="117" t="str">
        <f>IF(A888="","",VLOOKUP(A888,'6.A'!$A$11:$C$564,2,FALSE))</f>
        <v/>
      </c>
      <c r="N888" s="57" t="str">
        <f t="shared" si="399"/>
        <v/>
      </c>
      <c r="O888" s="56"/>
      <c r="P888" s="56"/>
      <c r="Q888" s="48"/>
      <c r="R888" s="48"/>
    </row>
    <row r="889" spans="1:23" ht="12.75" customHeight="1" x14ac:dyDescent="0.2">
      <c r="A889" s="22"/>
      <c r="B889" s="23" t="str">
        <f>IF(A889="","",VLOOKUP(A889,'6.A'!$A$11:$G$180,2,FALSE))</f>
        <v/>
      </c>
      <c r="C889" s="99"/>
      <c r="D889" s="57" t="str">
        <f>IF(A889="","",VLOOKUP(A889,'6.A'!$A$11:$G$180,4,FALSE))</f>
        <v/>
      </c>
      <c r="E889" s="100" t="str">
        <f>IF(A889="","",VLOOKUP(A889,'6.A'!$A$11:$G$180,5,FALSE))</f>
        <v/>
      </c>
      <c r="F889" s="24" t="str">
        <f t="shared" si="396"/>
        <v>0,00</v>
      </c>
      <c r="G889" s="52"/>
      <c r="H889" s="52" t="str">
        <f>IF(A889="","",VLOOKUP(A889,'6.A'!$A$11:$E$7984,5,FALSE))</f>
        <v/>
      </c>
      <c r="I889" s="52" t="str">
        <f t="shared" si="397"/>
        <v/>
      </c>
      <c r="J889" s="52" t="str">
        <f>IF(H889="","",VLOOKUP(A889,'6.A'!$A$11:$E$564,4,FALSE))</f>
        <v/>
      </c>
      <c r="K889" s="52" t="str">
        <f t="shared" si="398"/>
        <v/>
      </c>
      <c r="L889" s="52" t="str">
        <f>IF(H889="","",IF(C889="","",G844*C889))</f>
        <v/>
      </c>
      <c r="M889" s="117" t="str">
        <f>IF(A889="","",VLOOKUP(A889,'6.A'!$A$11:$C$564,2,FALSE))</f>
        <v/>
      </c>
      <c r="N889" s="57" t="str">
        <f t="shared" si="399"/>
        <v/>
      </c>
      <c r="O889" s="56"/>
      <c r="P889" s="56"/>
      <c r="Q889" s="48"/>
      <c r="R889" s="48"/>
    </row>
    <row r="890" spans="1:23" ht="12.75" customHeight="1" x14ac:dyDescent="0.2">
      <c r="A890" s="22"/>
      <c r="B890" s="39" t="str">
        <f>IF(A890="","",VLOOKUP(A890,'6.A'!$A$11:$G$180,2,FALSE))</f>
        <v/>
      </c>
      <c r="C890" s="99"/>
      <c r="D890" s="57" t="str">
        <f>IF(A890="","",VLOOKUP(A890,'6.A'!$A$11:$G$180,4,FALSE))</f>
        <v/>
      </c>
      <c r="E890" s="100" t="str">
        <f>IF(A890="","",VLOOKUP(A890,'6.A'!$A$11:$G$180,5,FALSE))</f>
        <v/>
      </c>
      <c r="F890" s="24" t="str">
        <f t="shared" si="396"/>
        <v>0,00</v>
      </c>
      <c r="G890" s="52"/>
      <c r="H890" s="52" t="str">
        <f>IF(A890="","",VLOOKUP(A890,'6.A'!$A$11:$E$7984,5,FALSE))</f>
        <v/>
      </c>
      <c r="I890" s="52" t="str">
        <f t="shared" si="397"/>
        <v/>
      </c>
      <c r="J890" s="52" t="str">
        <f>IF(H890="","",VLOOKUP(A890,'6.A'!$A$11:$E$564,4,FALSE))</f>
        <v/>
      </c>
      <c r="K890" s="52" t="str">
        <f t="shared" si="398"/>
        <v/>
      </c>
      <c r="L890" s="52" t="str">
        <f>IF(H890="","",IF(C890="","",G844*C890))</f>
        <v/>
      </c>
      <c r="M890" s="117" t="str">
        <f>IF(A890="","",VLOOKUP(A890,'6.A'!$A$11:$C$564,2,FALSE))</f>
        <v/>
      </c>
      <c r="N890" s="57" t="str">
        <f t="shared" si="399"/>
        <v/>
      </c>
      <c r="O890" s="56"/>
      <c r="P890" s="56"/>
      <c r="Q890" s="48"/>
      <c r="R890" s="48"/>
    </row>
    <row r="891" spans="1:23" ht="12.75" customHeight="1" x14ac:dyDescent="0.2">
      <c r="A891" s="22"/>
      <c r="B891" s="39" t="str">
        <f>IF(A891="","",VLOOKUP(A891,'6.A'!$A$11:$G$180,2,FALSE))</f>
        <v/>
      </c>
      <c r="C891" s="99"/>
      <c r="D891" s="57" t="str">
        <f>IF(A891="","",VLOOKUP(A891,'6.A'!$A$11:$G$180,4,FALSE))</f>
        <v/>
      </c>
      <c r="E891" s="100" t="str">
        <f>IF(A891="","",VLOOKUP(A891,'6.A'!$A$11:$G$180,5,FALSE))</f>
        <v/>
      </c>
      <c r="F891" s="24" t="str">
        <f t="shared" si="396"/>
        <v>0,00</v>
      </c>
      <c r="G891" s="52"/>
      <c r="H891" s="52" t="str">
        <f>IF(A891="","",VLOOKUP(A891,'6.A'!$A$11:$E$7984,5,FALSE))</f>
        <v/>
      </c>
      <c r="I891" s="52" t="str">
        <f t="shared" si="397"/>
        <v/>
      </c>
      <c r="J891" s="52" t="str">
        <f>IF(H891="","",VLOOKUP(A891,'6.A'!$A$11:$E$564,4,FALSE))</f>
        <v/>
      </c>
      <c r="K891" s="52" t="str">
        <f t="shared" si="398"/>
        <v/>
      </c>
      <c r="L891" s="52" t="str">
        <f>IF(H891="","",IF(C891="","",G844*C891))</f>
        <v/>
      </c>
      <c r="M891" s="117" t="str">
        <f>IF(A891="","",VLOOKUP(A891,'6.A'!$A$11:$C$564,2,FALSE))</f>
        <v/>
      </c>
      <c r="N891" s="57" t="str">
        <f t="shared" si="399"/>
        <v/>
      </c>
      <c r="O891" s="56"/>
      <c r="P891" s="56"/>
      <c r="Q891" s="48"/>
      <c r="R891" s="48"/>
    </row>
    <row r="892" spans="1:23" ht="12.75" customHeight="1" x14ac:dyDescent="0.2">
      <c r="A892" s="22"/>
      <c r="B892" s="39" t="str">
        <f>IF(A892="","",VLOOKUP(A892,'6.A'!$A$11:$G$180,2,FALSE))</f>
        <v/>
      </c>
      <c r="C892" s="99"/>
      <c r="D892" s="57" t="str">
        <f>IF(A892="","",VLOOKUP(A892,'6.A'!$A$11:$G$180,4,FALSE))</f>
        <v/>
      </c>
      <c r="E892" s="100" t="str">
        <f>IF(A892="","",VLOOKUP(A892,'6.A'!$A$11:$G$180,5,FALSE))</f>
        <v/>
      </c>
      <c r="F892" s="24" t="str">
        <f t="shared" si="396"/>
        <v>0,00</v>
      </c>
      <c r="G892" s="52"/>
      <c r="H892" s="52" t="str">
        <f>IF(A892="","",VLOOKUP(A892,'6.A'!$A$11:$E$7984,5,FALSE))</f>
        <v/>
      </c>
      <c r="I892" s="52" t="str">
        <f t="shared" si="397"/>
        <v/>
      </c>
      <c r="J892" s="52" t="str">
        <f>IF(H892="","",VLOOKUP(A892,'6.A'!$A$11:$E$564,4,FALSE))</f>
        <v/>
      </c>
      <c r="K892" s="52" t="str">
        <f t="shared" si="398"/>
        <v/>
      </c>
      <c r="L892" s="52" t="str">
        <f>IF(H892="","",IF(C892="","",G844*C892))</f>
        <v/>
      </c>
      <c r="M892" s="117" t="str">
        <f>IF(A892="","",VLOOKUP(A892,'6.A'!$A$11:$C$564,2,FALSE))</f>
        <v/>
      </c>
      <c r="N892" s="57" t="str">
        <f t="shared" si="399"/>
        <v/>
      </c>
      <c r="O892" s="56"/>
      <c r="P892" s="56"/>
      <c r="Q892" s="48"/>
      <c r="R892" s="48"/>
    </row>
    <row r="893" spans="1:23" ht="12.75" customHeight="1" x14ac:dyDescent="0.2">
      <c r="A893" s="22"/>
      <c r="B893" s="26" t="str">
        <f>$A$9</f>
        <v>BDI</v>
      </c>
      <c r="C893" s="40">
        <f>$C$9</f>
        <v>0</v>
      </c>
      <c r="D893" s="57"/>
      <c r="F893" s="28">
        <f>ROUND(SUM(F873:F892)*C893,2)</f>
        <v>0</v>
      </c>
      <c r="G893" s="63"/>
      <c r="M893" s="57"/>
      <c r="N893" s="57"/>
      <c r="O893" s="56"/>
      <c r="P893" s="56"/>
      <c r="Q893" s="48"/>
      <c r="R893" s="48"/>
    </row>
    <row r="894" spans="1:23" ht="12.75" customHeight="1" thickBot="1" x14ac:dyDescent="0.25">
      <c r="A894" s="41"/>
      <c r="B894" s="42" t="s">
        <v>57</v>
      </c>
      <c r="C894" s="43"/>
      <c r="D894" s="44"/>
      <c r="E894" s="45"/>
      <c r="F894" s="46">
        <f>ROUND(SUM(F873:F893),2)</f>
        <v>0</v>
      </c>
      <c r="G894" s="63"/>
      <c r="M894" s="57"/>
      <c r="N894" s="57"/>
      <c r="O894" s="56"/>
      <c r="P894" s="56"/>
      <c r="Q894" s="48"/>
      <c r="R894" s="48"/>
    </row>
    <row r="895" spans="1:23" ht="12" customHeight="1" thickBot="1" x14ac:dyDescent="0.25">
      <c r="A895" s="8"/>
      <c r="B895" s="9"/>
      <c r="C895" s="10"/>
      <c r="D895" s="57"/>
      <c r="F895" s="12"/>
      <c r="M895" s="57"/>
      <c r="N895" s="57"/>
      <c r="O895" s="56"/>
      <c r="P895" s="56"/>
    </row>
    <row r="896" spans="1:23" ht="50.1" customHeight="1" x14ac:dyDescent="0.2">
      <c r="A896" s="13" t="str">
        <f>'3.A'!$A$125</f>
        <v>3.1.6</v>
      </c>
      <c r="B896" s="14" t="str">
        <f>IF(A896="","",VLOOKUP(A896,'3.A'!$A$17:$M$279,2,FALSE))</f>
        <v>CURVA 90 GRAUS PARA ELETRODUTO, PVC, ROSCÁVEL, DN 60 MM (2"), PARA REDE ENTERRADA DE DISTRIBUIÇÃO DE ENERGIA</v>
      </c>
      <c r="C896" s="413" t="s">
        <v>62</v>
      </c>
      <c r="D896" s="413"/>
      <c r="E896" s="15" t="str">
        <f>IF(A896="","",VLOOKUP(A896,'3.A'!$A$17:$M$279,3,FALSE))</f>
        <v>UN</v>
      </c>
      <c r="F896" s="16">
        <f>ROUND(F910+F923+F946,2)</f>
        <v>0</v>
      </c>
      <c r="G896" s="118">
        <f>VLOOKUP(A896,'3.A'!$A$19:$I$279,4,FALSE)</f>
        <v>2</v>
      </c>
      <c r="H896" s="47">
        <f>SUM(F898:F909)</f>
        <v>0</v>
      </c>
      <c r="I896" s="47">
        <f>SUM(F912:F922)</f>
        <v>0</v>
      </c>
      <c r="J896" s="47">
        <f>SUM(F925:F945)</f>
        <v>0</v>
      </c>
      <c r="K896" s="47">
        <f>SUM(H896:J896)</f>
        <v>0</v>
      </c>
      <c r="L896" s="47" t="str">
        <f>IF(K896=F896,"SIM","NÃO")</f>
        <v>SIM</v>
      </c>
      <c r="M896" s="58">
        <f>ROUND(SUM(F898:F907)*C908,2)+ROUND(SUM(F898:F908)*C909,2)+ROUND(SUM(F898:F907),2)+ROUND(SUM(F912:F921)*C922,2)+ROUND(SUM(F912:F921),2)+ROUND(SUM(F925:F944)*C945,2)+ROUND(SUM(F925:F944),2)</f>
        <v>0</v>
      </c>
      <c r="N896" s="50" t="str">
        <f>IF(M896=F896,"SIM","NÃO")</f>
        <v>SIM</v>
      </c>
      <c r="O896" s="51" t="str">
        <f>VLOOKUP(A896,'3.A'!$A$8:$E$279,3,FALSE)</f>
        <v>UN</v>
      </c>
      <c r="P896" s="51" t="str">
        <f>IF(O896=E896,"SIM","NÃO")</f>
        <v>SIM</v>
      </c>
      <c r="Q896" s="53">
        <f>ROUND(G896*F910,2)+ROUND(G896*F923,2)+ROUND(G896*F946,2)</f>
        <v>0</v>
      </c>
      <c r="R896" s="59">
        <f>VLOOKUP(A896,'3.A'!$A$17:$L$279,12,FALSE)</f>
        <v>0</v>
      </c>
      <c r="S896" s="60" t="str">
        <f>IF(Q896=R896,"si","no")</f>
        <v>si</v>
      </c>
      <c r="T896" s="61">
        <f>SUM(L898:L907)+SUM(L912:L921)+SUM(L925:L944)</f>
        <v>3.5476000000000001</v>
      </c>
      <c r="U896" s="52">
        <f>G896*C904+G896*C906+G896*C899+G896*C900+G896*C902+G896*C905+G896*C903+G896*C898+G896*C901+G896*C907+G896*C918+G896*C912+G896*C920+G896*C919+G896*C917+G896*C914+G896*C913+G896*C915+G896*C921+G896*C916+G896*C925+G896*C926+G896*C927+G896*C935+G896*C936+G896*C937+G896*C938+G896*C939+G896*C940+G896*C941+G896*C942+G896*C943+G896*C944+G896*C933+G896*C934+G896*C928+G896*C929+G896*C930+G896*C931+G896*C932</f>
        <v>3.5476000000000001</v>
      </c>
      <c r="V896" s="54" t="str">
        <f>IF(T896=U896,"si","no")</f>
        <v>si</v>
      </c>
      <c r="W896" s="137"/>
    </row>
    <row r="897" spans="1:19" ht="12.75" customHeight="1" x14ac:dyDescent="0.2">
      <c r="A897" s="17" t="s">
        <v>3</v>
      </c>
      <c r="B897" s="18" t="s">
        <v>58</v>
      </c>
      <c r="C897" s="56" t="s">
        <v>59</v>
      </c>
      <c r="D897" s="56" t="s">
        <v>16</v>
      </c>
      <c r="E897" s="19" t="s">
        <v>60</v>
      </c>
      <c r="F897" s="20" t="s">
        <v>61</v>
      </c>
      <c r="G897" s="21"/>
      <c r="M897" s="57"/>
      <c r="N897" s="57"/>
      <c r="O897" s="56"/>
      <c r="P897" s="56"/>
      <c r="Q897" s="48"/>
      <c r="R897" s="48"/>
    </row>
    <row r="898" spans="1:19" ht="12.75" customHeight="1" x14ac:dyDescent="0.2">
      <c r="A898" s="22">
        <f>'6.A'!$A$15</f>
        <v>88247</v>
      </c>
      <c r="B898" s="23" t="str">
        <f>IF(A898="","",VLOOKUP(A898,'6.A'!$A$11:$G$180,2,FALSE))</f>
        <v>AUXILIAR DE ELETRICISTA COM ENCARGOS COMPLEMENTARES</v>
      </c>
      <c r="C898" s="99">
        <v>0.38690000000000002</v>
      </c>
      <c r="D898" s="57" t="str">
        <f>IF(A898="","",VLOOKUP(A898,'6.A'!$A$11:$G$180,4,FALSE))</f>
        <v>H</v>
      </c>
      <c r="E898" s="100">
        <f>IF(A898="","",VLOOKUP(A898,'6.A'!$A$11:$G$180,5,FALSE))</f>
        <v>0</v>
      </c>
      <c r="F898" s="24">
        <f t="shared" ref="F898:F907" si="400">IF(A898="","0,00",ROUND(C898*E898,2))</f>
        <v>0</v>
      </c>
      <c r="G898" s="52"/>
      <c r="H898" s="52">
        <f>IF(A898="","",VLOOKUP(A898,'6.A'!$A$11:$E$7984,5,FALSE))</f>
        <v>0</v>
      </c>
      <c r="I898" s="52" t="str">
        <f>IF(H898="","",IF(E898=H898,"SIM","NÃO"))</f>
        <v>SIM</v>
      </c>
      <c r="J898" s="52" t="str">
        <f>IF(H898="","",VLOOKUP(A898,'6.A'!$A$11:$E$564,4,FALSE))</f>
        <v>H</v>
      </c>
      <c r="K898" s="52" t="str">
        <f>IF(H898="","",IF(J898=D898,"SIM","NÃO"))</f>
        <v>SIM</v>
      </c>
      <c r="L898" s="52">
        <f>IF(H898="","",IF(C898="","",G896*C898))</f>
        <v>0.77380000000000004</v>
      </c>
      <c r="M898" s="117" t="str">
        <f>IF(A898="","",VLOOKUP(A898,'6.A'!$A$11:$C$564,2,FALSE))</f>
        <v>AUXILIAR DE ELETRICISTA COM ENCARGOS COMPLEMENTARES</v>
      </c>
      <c r="N898" s="57" t="str">
        <f>IF(A898="","",IF(M898=B898,"si","no"))</f>
        <v>si</v>
      </c>
      <c r="O898" s="56"/>
      <c r="P898" s="56"/>
      <c r="Q898" s="48"/>
      <c r="R898" s="48"/>
    </row>
    <row r="899" spans="1:19" ht="12.75" customHeight="1" x14ac:dyDescent="0.2">
      <c r="A899" s="22">
        <f>'6.A'!$A$18</f>
        <v>88264</v>
      </c>
      <c r="B899" s="23" t="str">
        <f>IF(A899="","",VLOOKUP(A899,'6.A'!$A$11:$G$180,2,FALSE))</f>
        <v>ELETRICISTA COM ENCARGOS COMPLEMENTARES</v>
      </c>
      <c r="C899" s="99">
        <v>0.38690000000000002</v>
      </c>
      <c r="D899" s="57" t="str">
        <f>IF(A899="","",VLOOKUP(A899,'6.A'!$A$11:$G$180,4,FALSE))</f>
        <v>H</v>
      </c>
      <c r="E899" s="100">
        <f>IF(A899="","",VLOOKUP(A899,'6.A'!$A$11:$G$180,5,FALSE))</f>
        <v>0</v>
      </c>
      <c r="F899" s="24">
        <f t="shared" si="400"/>
        <v>0</v>
      </c>
      <c r="G899" s="52"/>
      <c r="H899" s="52">
        <f>IF(A899="","",VLOOKUP(A899,'6.A'!$A$11:$E$7984,5,FALSE))</f>
        <v>0</v>
      </c>
      <c r="I899" s="52" t="str">
        <f>IF(H899="","",IF(E899=H899,"SIM","NÃO"))</f>
        <v>SIM</v>
      </c>
      <c r="J899" s="52" t="str">
        <f>IF(H899="","",VLOOKUP(A899,'6.A'!$A$11:$E$564,4,FALSE))</f>
        <v>H</v>
      </c>
      <c r="K899" s="52" t="str">
        <f>IF(H899="","",IF(J899=D899,"SIM","NÃO"))</f>
        <v>SIM</v>
      </c>
      <c r="L899" s="52">
        <f>IF(H899="","",IF(C899="","",G896*C899))</f>
        <v>0.77380000000000004</v>
      </c>
      <c r="M899" s="117" t="str">
        <f>IF(A899="","",VLOOKUP(A899,'6.A'!$A$11:$C$564,2,FALSE))</f>
        <v>ELETRICISTA COM ENCARGOS COMPLEMENTARES</v>
      </c>
      <c r="N899" s="57" t="str">
        <f>IF(A899="","",IF(M899=B899,"si","no"))</f>
        <v>si</v>
      </c>
      <c r="O899" s="56"/>
      <c r="P899" s="56"/>
      <c r="Q899" s="48"/>
      <c r="R899" s="48"/>
    </row>
    <row r="900" spans="1:19" ht="12.75" customHeight="1" x14ac:dyDescent="0.2">
      <c r="A900" s="22"/>
      <c r="B900" s="23" t="str">
        <f>IF(A900="","",VLOOKUP(A900,'6.A'!$A$11:$G$180,2,FALSE))</f>
        <v/>
      </c>
      <c r="C900" s="99"/>
      <c r="D900" s="57" t="str">
        <f>IF(A900="","",VLOOKUP(A900,'6.A'!$A$11:$G$180,4,FALSE))</f>
        <v/>
      </c>
      <c r="E900" s="100" t="str">
        <f>IF(A900="","",VLOOKUP(A900,'6.A'!$A$11:$G$180,5,FALSE))</f>
        <v/>
      </c>
      <c r="F900" s="24" t="str">
        <f t="shared" si="400"/>
        <v>0,00</v>
      </c>
      <c r="G900" s="52"/>
      <c r="H900" s="52" t="str">
        <f>IF(A900="","",VLOOKUP(A900,'6.A'!$A$11:$E$7984,5,FALSE))</f>
        <v/>
      </c>
      <c r="I900" s="52" t="str">
        <f>IF(H900="","",IF(E900=H900,"SIM","NÃO"))</f>
        <v/>
      </c>
      <c r="J900" s="52" t="str">
        <f>IF(H900="","",VLOOKUP(A900,'6.A'!$A$11:$E$564,4,FALSE))</f>
        <v/>
      </c>
      <c r="K900" s="52" t="str">
        <f t="shared" ref="K900" si="401">IF(H900="","",IF(J900=D900,"SIM","NÃO"))</f>
        <v/>
      </c>
      <c r="L900" s="52" t="str">
        <f>IF(H900="","",IF(C900="","",G896*C900))</f>
        <v/>
      </c>
      <c r="M900" s="117" t="str">
        <f>IF(A900="","",VLOOKUP(A900,'6.A'!$A$11:$C$564,2,FALSE))</f>
        <v/>
      </c>
      <c r="N900" s="57" t="str">
        <f t="shared" ref="N900" si="402">IF(A900="","",IF(M900=B900,"si","no"))</f>
        <v/>
      </c>
      <c r="O900" s="56"/>
      <c r="P900" s="56"/>
      <c r="Q900" s="48"/>
      <c r="R900" s="48"/>
      <c r="S900" s="2"/>
    </row>
    <row r="901" spans="1:19" ht="12.75" customHeight="1" x14ac:dyDescent="0.2">
      <c r="A901" s="22"/>
      <c r="B901" s="23" t="str">
        <f>IF(A901="","",VLOOKUP(A901,'6.A'!$A$11:$G$180,2,FALSE))</f>
        <v/>
      </c>
      <c r="C901" s="99"/>
      <c r="D901" s="57" t="str">
        <f>IF(A901="","",VLOOKUP(A901,'6.A'!$A$11:$G$180,4,FALSE))</f>
        <v/>
      </c>
      <c r="E901" s="100" t="str">
        <f>IF(A901="","",VLOOKUP(A901,'6.A'!$A$11:$G$180,5,FALSE))</f>
        <v/>
      </c>
      <c r="F901" s="24" t="str">
        <f t="shared" si="400"/>
        <v>0,00</v>
      </c>
      <c r="G901" s="52"/>
      <c r="H901" s="52" t="str">
        <f>IF(A901="","",VLOOKUP(A901,'6.A'!$A$11:$E$7984,5,FALSE))</f>
        <v/>
      </c>
      <c r="I901" s="52" t="str">
        <f>IF(H901="","",IF(E901=H901,"SIM","NÃO"))</f>
        <v/>
      </c>
      <c r="J901" s="52" t="str">
        <f>IF(H901="","",VLOOKUP(A901,'6.A'!$A$11:$E$564,4,FALSE))</f>
        <v/>
      </c>
      <c r="K901" s="52" t="str">
        <f>IF(H901="","",IF(J901=D901,"SIM","NÃO"))</f>
        <v/>
      </c>
      <c r="L901" s="52" t="str">
        <f>IF(H901="","",IF(C901="","",G896*C901))</f>
        <v/>
      </c>
      <c r="M901" s="117" t="str">
        <f>IF(A901="","",VLOOKUP(A901,'6.A'!$A$11:$C$564,2,FALSE))</f>
        <v/>
      </c>
      <c r="N901" s="57" t="str">
        <f>IF(A901="","",IF(M901=B901,"si","no"))</f>
        <v/>
      </c>
      <c r="O901" s="56"/>
      <c r="P901" s="56"/>
      <c r="Q901" s="48"/>
      <c r="R901" s="48"/>
      <c r="S901" s="2"/>
    </row>
    <row r="902" spans="1:19" ht="12.75" customHeight="1" x14ac:dyDescent="0.2">
      <c r="A902" s="22"/>
      <c r="B902" s="23" t="str">
        <f>IF(A902="","",VLOOKUP(A902,'6.A'!$A$11:$G$180,2,FALSE))</f>
        <v/>
      </c>
      <c r="C902" s="99"/>
      <c r="D902" s="57" t="str">
        <f>IF(A902="","",VLOOKUP(A902,'6.A'!$A$11:$G$180,4,FALSE))</f>
        <v/>
      </c>
      <c r="E902" s="101" t="str">
        <f>IF(A902="","",VLOOKUP(A902,'6.A'!$A$11:$G$180,5,FALSE))</f>
        <v/>
      </c>
      <c r="F902" s="24" t="str">
        <f t="shared" si="400"/>
        <v>0,00</v>
      </c>
      <c r="G902" s="52"/>
      <c r="H902" s="52" t="str">
        <f>IF(A902="","",VLOOKUP(A902,'6.A'!$A$11:$E$7984,5,FALSE))</f>
        <v/>
      </c>
      <c r="I902" s="52" t="str">
        <f t="shared" ref="I902" si="403">IF(H902="","",IF(E902=H902,"SIM","NÃO"))</f>
        <v/>
      </c>
      <c r="J902" s="52" t="str">
        <f>IF(H902="","",VLOOKUP(A902,'6.A'!$A$11:$E$564,4,FALSE))</f>
        <v/>
      </c>
      <c r="K902" s="52" t="str">
        <f t="shared" ref="K902" si="404">IF(H902="","",IF(J902=D902,"SIM","NÃO"))</f>
        <v/>
      </c>
      <c r="L902" s="52" t="str">
        <f>IF(H902="","",IF(C902="","",G896*C902))</f>
        <v/>
      </c>
      <c r="M902" s="117" t="str">
        <f>IF(A902="","",VLOOKUP(A902,'6.A'!$A$11:$C$564,2,FALSE))</f>
        <v/>
      </c>
      <c r="N902" s="57" t="str">
        <f t="shared" ref="N902" si="405">IF(A902="","",IF(M902=B902,"si","no"))</f>
        <v/>
      </c>
      <c r="O902" s="56"/>
      <c r="P902" s="56"/>
      <c r="Q902" s="48"/>
      <c r="R902" s="48"/>
      <c r="S902" s="2"/>
    </row>
    <row r="903" spans="1:19" ht="12.75" customHeight="1" x14ac:dyDescent="0.2">
      <c r="A903" s="22"/>
      <c r="B903" s="23" t="str">
        <f>IF(A903="","",VLOOKUP(A903,'6.A'!$A$11:$G$180,2,FALSE))</f>
        <v/>
      </c>
      <c r="C903" s="99"/>
      <c r="D903" s="57" t="str">
        <f>IF(A903="","",VLOOKUP(A903,'6.A'!$A$11:$G$180,4,FALSE))</f>
        <v/>
      </c>
      <c r="E903" s="101" t="str">
        <f>IF(A903="","",VLOOKUP(A903,'6.A'!$A$11:$G$180,5,FALSE))</f>
        <v/>
      </c>
      <c r="F903" s="24" t="str">
        <f t="shared" si="400"/>
        <v>0,00</v>
      </c>
      <c r="G903" s="52"/>
      <c r="H903" s="52" t="str">
        <f>IF(A903="","",VLOOKUP(A903,'6.A'!$A$11:$E$7984,5,FALSE))</f>
        <v/>
      </c>
      <c r="I903" s="52" t="str">
        <f>IF(H903="","",IF(E903=H903,"SIM","NÃO"))</f>
        <v/>
      </c>
      <c r="J903" s="52" t="str">
        <f>IF(H903="","",VLOOKUP(A903,'6.A'!$A$11:$E$564,4,FALSE))</f>
        <v/>
      </c>
      <c r="K903" s="52" t="str">
        <f>IF(H903="","",IF(J903=D903,"SIM","NÃO"))</f>
        <v/>
      </c>
      <c r="L903" s="52" t="str">
        <f>IF(H903="","",IF(C903="","",G896*C903))</f>
        <v/>
      </c>
      <c r="M903" s="117" t="str">
        <f>IF(A903="","",VLOOKUP(A903,'6.A'!$A$11:$C$564,2,FALSE))</f>
        <v/>
      </c>
      <c r="N903" s="57" t="str">
        <f>IF(A903="","",IF(M903=B903,"si","no"))</f>
        <v/>
      </c>
      <c r="O903" s="56"/>
      <c r="P903" s="56"/>
      <c r="Q903" s="48"/>
      <c r="R903" s="48"/>
      <c r="S903" s="2"/>
    </row>
    <row r="904" spans="1:19" ht="12.75" customHeight="1" x14ac:dyDescent="0.2">
      <c r="A904" s="22"/>
      <c r="B904" s="23" t="str">
        <f>IF(A904="","",VLOOKUP(A904,'6.A'!$A$11:$G$180,2,FALSE))</f>
        <v/>
      </c>
      <c r="C904" s="99"/>
      <c r="D904" s="57" t="str">
        <f>IF(A904="","",VLOOKUP(A904,'6.A'!$A$11:$G$180,4,FALSE))</f>
        <v/>
      </c>
      <c r="E904" s="100" t="str">
        <f>IF(A904="","",VLOOKUP(A904,'6.A'!$A$11:$G$180,5,FALSE))</f>
        <v/>
      </c>
      <c r="F904" s="24" t="str">
        <f t="shared" si="400"/>
        <v>0,00</v>
      </c>
      <c r="G904" s="52"/>
      <c r="H904" s="52" t="str">
        <f>IF(A904="","",VLOOKUP(A904,'6.A'!$A$11:$E$7984,5,FALSE))</f>
        <v/>
      </c>
      <c r="I904" s="52" t="str">
        <f>IF(H904="","",IF(E904=H904,"SIM","NÃO"))</f>
        <v/>
      </c>
      <c r="J904" s="52" t="str">
        <f>IF(H904="","",VLOOKUP(A904,'6.A'!$A$11:$E$564,4,FALSE))</f>
        <v/>
      </c>
      <c r="K904" s="52" t="str">
        <f>IF(H904="","",IF(J904=D904,"SIM","NÃO"))</f>
        <v/>
      </c>
      <c r="L904" s="52" t="str">
        <f>IF(H904="","",IF(C904="","",G896*C904))</f>
        <v/>
      </c>
      <c r="M904" s="117" t="str">
        <f>IF(A904="","",VLOOKUP(A904,'6.A'!$A$11:$C$564,2,FALSE))</f>
        <v/>
      </c>
      <c r="N904" s="57" t="str">
        <f>IF(A904="","",IF(M904=B904,"si","no"))</f>
        <v/>
      </c>
      <c r="O904" s="56"/>
      <c r="P904" s="56"/>
      <c r="Q904" s="48"/>
      <c r="R904" s="48"/>
      <c r="S904" s="2"/>
    </row>
    <row r="905" spans="1:19" ht="12.75" customHeight="1" x14ac:dyDescent="0.2">
      <c r="A905" s="22"/>
      <c r="B905" s="23" t="str">
        <f>IF(A905="","",VLOOKUP(A905,'6.A'!$A$11:$G$180,2,FALSE))</f>
        <v/>
      </c>
      <c r="C905" s="99"/>
      <c r="D905" s="57" t="str">
        <f>IF(A905="","",VLOOKUP(A905,'6.A'!$A$11:$G$180,4,FALSE))</f>
        <v/>
      </c>
      <c r="E905" s="100" t="str">
        <f>IF(A905="","",VLOOKUP(A905,'6.A'!$A$11:$G$180,5,FALSE))</f>
        <v/>
      </c>
      <c r="F905" s="24" t="str">
        <f t="shared" si="400"/>
        <v>0,00</v>
      </c>
      <c r="G905" s="52"/>
      <c r="H905" s="52" t="str">
        <f>IF(A905="","",VLOOKUP(A905,'6.A'!$A$11:$E$7984,5,FALSE))</f>
        <v/>
      </c>
      <c r="I905" s="52" t="str">
        <f t="shared" ref="I905" si="406">IF(H905="","",IF(E905=H905,"SIM","NÃO"))</f>
        <v/>
      </c>
      <c r="J905" s="52" t="str">
        <f>IF(H905="","",VLOOKUP(A905,'6.A'!$A$11:$E$564,4,FALSE))</f>
        <v/>
      </c>
      <c r="K905" s="52" t="str">
        <f t="shared" ref="K905" si="407">IF(H905="","",IF(J905=D905,"SIM","NÃO"))</f>
        <v/>
      </c>
      <c r="L905" s="52" t="str">
        <f>IF(H905="","",IF(C905="","",G896*C905))</f>
        <v/>
      </c>
      <c r="M905" s="117" t="str">
        <f>IF(A905="","",VLOOKUP(A905,'6.A'!$A$11:$C$564,2,FALSE))</f>
        <v/>
      </c>
      <c r="N905" s="57" t="str">
        <f t="shared" ref="N905" si="408">IF(A905="","",IF(M905=B905,"si","no"))</f>
        <v/>
      </c>
      <c r="O905" s="56"/>
      <c r="P905" s="56"/>
      <c r="Q905" s="48"/>
      <c r="R905" s="48"/>
      <c r="S905" s="2"/>
    </row>
    <row r="906" spans="1:19" ht="12.75" customHeight="1" x14ac:dyDescent="0.2">
      <c r="A906" s="22"/>
      <c r="B906" s="23" t="str">
        <f>IF(A906="","",VLOOKUP(A906,'6.A'!$A$11:$G$180,2,FALSE))</f>
        <v/>
      </c>
      <c r="C906" s="99"/>
      <c r="D906" s="73" t="str">
        <f>IF(A906="","",VLOOKUP(A906,'6.A'!$A$11:$G$180,4,FALSE))</f>
        <v/>
      </c>
      <c r="E906" s="101" t="str">
        <f>IF(A906="","",VLOOKUP(A906,'6.A'!$A$11:$G$180,5,FALSE))</f>
        <v/>
      </c>
      <c r="F906" s="24" t="str">
        <f t="shared" si="400"/>
        <v>0,00</v>
      </c>
      <c r="G906" s="52"/>
      <c r="H906" s="52" t="str">
        <f>IF(A906="","",VLOOKUP(A906,'6.A'!$A$11:$E$7984,5,FALSE))</f>
        <v/>
      </c>
      <c r="I906" s="52" t="str">
        <f>IF(H906="","",IF(E906=H906,"SIM","NÃO"))</f>
        <v/>
      </c>
      <c r="J906" s="52" t="str">
        <f>IF(H906="","",VLOOKUP(A906,'6.A'!$A$11:$E$564,4,FALSE))</f>
        <v/>
      </c>
      <c r="K906" s="52" t="str">
        <f>IF(H906="","",IF(J906=D906,"SIM","NÃO"))</f>
        <v/>
      </c>
      <c r="L906" s="52" t="str">
        <f>IF(H906="","",IF(C906="","",G896*C906))</f>
        <v/>
      </c>
      <c r="M906" s="117" t="str">
        <f>IF(A906="","",VLOOKUP(A906,'6.A'!$A$11:$C$564,2,FALSE))</f>
        <v/>
      </c>
      <c r="N906" s="57" t="str">
        <f>IF(A906="","",IF(M906=B906,"si","no"))</f>
        <v/>
      </c>
      <c r="O906" s="56"/>
      <c r="P906" s="56"/>
      <c r="Q906" s="48"/>
      <c r="R906" s="48"/>
      <c r="S906" s="2"/>
    </row>
    <row r="907" spans="1:19" ht="12.75" customHeight="1" x14ac:dyDescent="0.2">
      <c r="A907" s="22"/>
      <c r="B907" s="23" t="str">
        <f>IF(A907="","",VLOOKUP(A907,'6.A'!$A$11:$G$180,2,FALSE))</f>
        <v/>
      </c>
      <c r="C907" s="99"/>
      <c r="D907" s="25" t="str">
        <f>IF(A907="","",VLOOKUP(A907,'6.A'!$A$11:$G$180,4,FALSE))</f>
        <v/>
      </c>
      <c r="E907" s="101" t="str">
        <f>IF(A907="","",VLOOKUP(A907,'6.A'!$A$11:$G$180,5,FALSE))</f>
        <v/>
      </c>
      <c r="F907" s="24" t="str">
        <f t="shared" si="400"/>
        <v>0,00</v>
      </c>
      <c r="G907" s="52"/>
      <c r="H907" s="52" t="str">
        <f>IF(A907="","",VLOOKUP(A907,'6.A'!$A$11:$E$7984,5,FALSE))</f>
        <v/>
      </c>
      <c r="I907" s="52" t="str">
        <f t="shared" ref="I907" si="409">IF(H907="","",IF(E907=H907,"SIM","NÃO"))</f>
        <v/>
      </c>
      <c r="J907" s="52" t="str">
        <f>IF(H907="","",VLOOKUP(A907,'6.A'!$A$11:$E$564,4,FALSE))</f>
        <v/>
      </c>
      <c r="K907" s="52" t="str">
        <f t="shared" ref="K907" si="410">IF(H907="","",IF(J907=D907,"SIM","NÃO"))</f>
        <v/>
      </c>
      <c r="L907" s="52" t="str">
        <f>IF(H907="","",IF(C907="","",G896*C907))</f>
        <v/>
      </c>
      <c r="M907" s="117" t="str">
        <f>IF(A907="","",VLOOKUP(A907,'6.A'!$A$11:$C$564,2,FALSE))</f>
        <v/>
      </c>
      <c r="N907" s="57" t="str">
        <f t="shared" ref="N907" si="411">IF(A907="","",IF(M907=B907,"si","no"))</f>
        <v/>
      </c>
      <c r="O907" s="56"/>
      <c r="P907" s="56"/>
      <c r="Q907" s="48"/>
      <c r="R907" s="48"/>
      <c r="S907" s="2"/>
    </row>
    <row r="908" spans="1:19" ht="12.75" customHeight="1" x14ac:dyDescent="0.2">
      <c r="A908" s="17"/>
      <c r="B908" s="26" t="str">
        <f>$A$8</f>
        <v>LEIS SOCIAIS HORISTA - JORNADA NORMAL</v>
      </c>
      <c r="C908" s="27">
        <f>$C$8</f>
        <v>0</v>
      </c>
      <c r="D908" s="57"/>
      <c r="F908" s="28">
        <f>ROUND(SUM(F898:F907)*C908,2)</f>
        <v>0</v>
      </c>
      <c r="G908" s="63"/>
      <c r="M908" s="62"/>
      <c r="N908" s="57"/>
      <c r="O908" s="56"/>
      <c r="P908" s="56"/>
      <c r="Q908" s="48"/>
      <c r="R908" s="48"/>
      <c r="S908" s="2"/>
    </row>
    <row r="909" spans="1:19" ht="12.75" customHeight="1" x14ac:dyDescent="0.2">
      <c r="A909" s="22"/>
      <c r="B909" s="26" t="str">
        <f>$A$9</f>
        <v>BDI</v>
      </c>
      <c r="C909" s="27">
        <f>$C$9</f>
        <v>0</v>
      </c>
      <c r="D909" s="29"/>
      <c r="F909" s="28">
        <f>ROUND(SUM(F898:F908)*C909,2)</f>
        <v>0</v>
      </c>
      <c r="G909" s="63"/>
      <c r="M909" s="62"/>
      <c r="N909" s="57"/>
      <c r="O909" s="56"/>
      <c r="P909" s="56"/>
      <c r="Q909" s="48"/>
      <c r="R909" s="48"/>
      <c r="S909" s="2"/>
    </row>
    <row r="910" spans="1:19" ht="12.75" customHeight="1" x14ac:dyDescent="0.2">
      <c r="A910" s="30"/>
      <c r="B910" s="31" t="s">
        <v>56</v>
      </c>
      <c r="C910" s="32"/>
      <c r="D910" s="33"/>
      <c r="E910" s="34"/>
      <c r="F910" s="35">
        <f>ROUND(SUM(F898:F909),2)</f>
        <v>0</v>
      </c>
      <c r="G910" s="63"/>
      <c r="M910" s="62"/>
      <c r="N910" s="57"/>
      <c r="O910" s="56"/>
      <c r="P910" s="56"/>
      <c r="Q910" s="48"/>
      <c r="R910" s="48"/>
      <c r="S910" s="2"/>
    </row>
    <row r="911" spans="1:19" ht="12.75" customHeight="1" x14ac:dyDescent="0.2">
      <c r="A911" s="17" t="s">
        <v>5</v>
      </c>
      <c r="B911" s="153" t="s">
        <v>130</v>
      </c>
      <c r="C911" s="56" t="s">
        <v>59</v>
      </c>
      <c r="D911" s="56" t="s">
        <v>16</v>
      </c>
      <c r="E911" s="19" t="s">
        <v>60</v>
      </c>
      <c r="F911" s="20" t="s">
        <v>61</v>
      </c>
      <c r="G911" s="21"/>
      <c r="M911" s="62"/>
      <c r="N911" s="57"/>
      <c r="O911" s="56"/>
      <c r="P911" s="56"/>
      <c r="Q911" s="48"/>
      <c r="R911" s="48"/>
      <c r="S911" s="2"/>
    </row>
    <row r="912" spans="1:19" ht="12.75" customHeight="1" x14ac:dyDescent="0.2">
      <c r="A912" s="22"/>
      <c r="B912" s="23" t="str">
        <f>IF(A912="","",VLOOKUP(A912,'6.A'!$A$11:$G$180,2,FALSE))</f>
        <v/>
      </c>
      <c r="C912" s="99"/>
      <c r="D912" s="57" t="str">
        <f>IF(A912="","",VLOOKUP(A912,'6.A'!$A$11:$G$180,4,FALSE))</f>
        <v/>
      </c>
      <c r="E912" s="100" t="str">
        <f>IF(A912="","",VLOOKUP(A912,'6.A'!$A$11:$G$180,5,FALSE))</f>
        <v/>
      </c>
      <c r="F912" s="24" t="str">
        <f t="shared" ref="F912:F921" si="412">IF(A912="","0,00",ROUND(C912*E912,2))</f>
        <v>0,00</v>
      </c>
      <c r="G912" s="52"/>
      <c r="H912" s="52" t="str">
        <f>IF(A912="","",VLOOKUP(A912,'6.A'!$A$11:$E$7984,5,FALSE))</f>
        <v/>
      </c>
      <c r="I912" s="52" t="str">
        <f t="shared" ref="I912:I921" si="413">IF(H912="","",IF(E912=H912,"SIM","NÃO"))</f>
        <v/>
      </c>
      <c r="J912" s="52" t="str">
        <f>IF(H912="","",VLOOKUP(A912,'6.A'!$A$11:$E$564,4,FALSE))</f>
        <v/>
      </c>
      <c r="K912" s="52" t="str">
        <f t="shared" ref="K912:K921" si="414">IF(H912="","",IF(J912=D912,"SIM","NÃO"))</f>
        <v/>
      </c>
      <c r="L912" s="52" t="str">
        <f>IF(H912="","",IF(C912="","",G896*C912))</f>
        <v/>
      </c>
      <c r="M912" s="117" t="str">
        <f>IF(A912="","",VLOOKUP(A912,'6.A'!$A$11:$C$564,2,FALSE))</f>
        <v/>
      </c>
      <c r="N912" s="57" t="str">
        <f t="shared" ref="N912:N917" si="415">IF(A912="","",IF(M912=B912,"si","no"))</f>
        <v/>
      </c>
      <c r="O912" s="56"/>
      <c r="P912" s="56"/>
      <c r="Q912" s="48"/>
      <c r="R912" s="48"/>
      <c r="S912" s="2"/>
    </row>
    <row r="913" spans="1:19" ht="12.75" customHeight="1" x14ac:dyDescent="0.2">
      <c r="A913" s="22"/>
      <c r="B913" s="23" t="str">
        <f>IF(A913="","",VLOOKUP(A913,'6.A'!$A$11:$G$180,2,FALSE))</f>
        <v/>
      </c>
      <c r="C913" s="99"/>
      <c r="D913" s="57" t="str">
        <f>IF(A913="","",VLOOKUP(A913,'6.A'!$A$11:$G$180,4,FALSE))</f>
        <v/>
      </c>
      <c r="E913" s="100" t="str">
        <f>IF(A913="","",VLOOKUP(A913,'6.A'!$A$11:$G$180,5,FALSE))</f>
        <v/>
      </c>
      <c r="F913" s="24" t="str">
        <f t="shared" si="412"/>
        <v>0,00</v>
      </c>
      <c r="G913" s="52"/>
      <c r="H913" s="52" t="str">
        <f>IF(A913="","",VLOOKUP(A913,'6.A'!$A$11:$E$7984,5,FALSE))</f>
        <v/>
      </c>
      <c r="I913" s="52" t="str">
        <f t="shared" si="413"/>
        <v/>
      </c>
      <c r="J913" s="52" t="str">
        <f>IF(H913="","",VLOOKUP(A913,'6.A'!$A$11:$E$564,4,FALSE))</f>
        <v/>
      </c>
      <c r="K913" s="52" t="str">
        <f t="shared" si="414"/>
        <v/>
      </c>
      <c r="L913" s="52" t="str">
        <f>IF(H913="","",IF(C913="","",G896*C913))</f>
        <v/>
      </c>
      <c r="M913" s="117" t="str">
        <f>IF(A913="","",VLOOKUP(A913,'6.A'!$A$11:$C$564,2,FALSE))</f>
        <v/>
      </c>
      <c r="N913" s="57" t="str">
        <f t="shared" si="415"/>
        <v/>
      </c>
      <c r="O913" s="56"/>
      <c r="P913" s="56"/>
      <c r="Q913" s="48"/>
      <c r="R913" s="48"/>
      <c r="S913" s="2"/>
    </row>
    <row r="914" spans="1:19" ht="12.75" customHeight="1" x14ac:dyDescent="0.2">
      <c r="A914" s="22"/>
      <c r="B914" s="23" t="str">
        <f>IF(A914="","",VLOOKUP(A914,'6.A'!$A$11:$G$180,2,FALSE))</f>
        <v/>
      </c>
      <c r="C914" s="99"/>
      <c r="D914" s="57" t="str">
        <f>IF(A914="","",VLOOKUP(A914,'6.A'!$A$11:$G$180,4,FALSE))</f>
        <v/>
      </c>
      <c r="E914" s="100" t="str">
        <f>IF(A914="","",VLOOKUP(A914,'6.A'!$A$11:$G$180,5,FALSE))</f>
        <v/>
      </c>
      <c r="F914" s="24" t="str">
        <f t="shared" si="412"/>
        <v>0,00</v>
      </c>
      <c r="G914" s="52"/>
      <c r="H914" s="52" t="str">
        <f>IF(A914="","",VLOOKUP(A914,'6.A'!$A$11:$E$7984,5,FALSE))</f>
        <v/>
      </c>
      <c r="I914" s="52" t="str">
        <f t="shared" si="413"/>
        <v/>
      </c>
      <c r="J914" s="52" t="str">
        <f>IF(H914="","",VLOOKUP(A914,'6.A'!$A$11:$E$564,4,FALSE))</f>
        <v/>
      </c>
      <c r="K914" s="52" t="str">
        <f t="shared" si="414"/>
        <v/>
      </c>
      <c r="L914" s="52" t="str">
        <f>IF(H914="","",IF(C914="","",G896*C914))</f>
        <v/>
      </c>
      <c r="M914" s="117" t="str">
        <f>IF(A914="","",VLOOKUP(A914,'6.A'!$A$11:$C$564,2,FALSE))</f>
        <v/>
      </c>
      <c r="N914" s="57" t="str">
        <f t="shared" si="415"/>
        <v/>
      </c>
      <c r="O914" s="56"/>
      <c r="P914" s="56"/>
      <c r="Q914" s="48"/>
      <c r="R914" s="48"/>
      <c r="S914" s="2"/>
    </row>
    <row r="915" spans="1:19" ht="12.75" customHeight="1" x14ac:dyDescent="0.2">
      <c r="A915" s="22"/>
      <c r="B915" s="55" t="str">
        <f>IF(A915="","",VLOOKUP(A915,'6.A'!$A$11:$G$180,2,FALSE))</f>
        <v/>
      </c>
      <c r="C915" s="134"/>
      <c r="D915" s="57" t="str">
        <f>IF(A915="","",VLOOKUP(A915,'6.A'!$A$11:$G$180,4,FALSE))</f>
        <v/>
      </c>
      <c r="E915" s="100" t="str">
        <f>IF(A915="","",VLOOKUP(A915,'6.A'!$A$11:$G$180,5,FALSE))</f>
        <v/>
      </c>
      <c r="F915" s="24" t="str">
        <f t="shared" si="412"/>
        <v>0,00</v>
      </c>
      <c r="G915" s="52"/>
      <c r="H915" s="52" t="str">
        <f>IF(A915="","",VLOOKUP(A915,'6.A'!$A$11:$E$7984,5,FALSE))</f>
        <v/>
      </c>
      <c r="I915" s="52" t="str">
        <f t="shared" si="413"/>
        <v/>
      </c>
      <c r="J915" s="52" t="str">
        <f>IF(H915="","",VLOOKUP(A915,'6.A'!$A$11:$E$564,4,FALSE))</f>
        <v/>
      </c>
      <c r="K915" s="52" t="str">
        <f t="shared" si="414"/>
        <v/>
      </c>
      <c r="L915" s="52" t="str">
        <f>IF(H915="","",IF(C915="","",G896*C915))</f>
        <v/>
      </c>
      <c r="M915" s="117" t="str">
        <f>IF(A915="","",VLOOKUP(A915,'6.A'!$A$11:$C$564,2,FALSE))</f>
        <v/>
      </c>
      <c r="N915" s="57" t="str">
        <f t="shared" si="415"/>
        <v/>
      </c>
      <c r="O915" s="56"/>
      <c r="P915" s="56"/>
      <c r="Q915" s="48"/>
      <c r="R915" s="48"/>
      <c r="S915" s="2"/>
    </row>
    <row r="916" spans="1:19" ht="12.75" customHeight="1" x14ac:dyDescent="0.2">
      <c r="A916" s="22"/>
      <c r="B916" s="23" t="str">
        <f>IF(A916="","",VLOOKUP(A916,'6.A'!$A$11:$G$180,2,FALSE))</f>
        <v/>
      </c>
      <c r="C916" s="99"/>
      <c r="D916" s="57" t="str">
        <f>IF(A916="","",VLOOKUP(A916,'6.A'!$A$11:$G$180,4,FALSE))</f>
        <v/>
      </c>
      <c r="E916" s="100" t="str">
        <f>IF(A916="","",VLOOKUP(A916,'6.A'!$A$11:$G$180,5,FALSE))</f>
        <v/>
      </c>
      <c r="F916" s="24" t="str">
        <f t="shared" si="412"/>
        <v>0,00</v>
      </c>
      <c r="G916" s="52"/>
      <c r="H916" s="52" t="str">
        <f>IF(A916="","",VLOOKUP(A916,'6.A'!$A$11:$E$7984,5,FALSE))</f>
        <v/>
      </c>
      <c r="I916" s="52" t="str">
        <f t="shared" si="413"/>
        <v/>
      </c>
      <c r="J916" s="52" t="str">
        <f>IF(H916="","",VLOOKUP(A916,'6.A'!$A$11:$E$564,4,FALSE))</f>
        <v/>
      </c>
      <c r="K916" s="52" t="str">
        <f t="shared" si="414"/>
        <v/>
      </c>
      <c r="L916" s="52" t="str">
        <f>IF(H916="","",IF(C916="","",G896*C916))</f>
        <v/>
      </c>
      <c r="M916" s="117" t="str">
        <f>IF(A916="","",VLOOKUP(A916,'6.A'!$A$11:$C$564,2,FALSE))</f>
        <v/>
      </c>
      <c r="N916" s="57" t="str">
        <f t="shared" si="415"/>
        <v/>
      </c>
      <c r="O916" s="56"/>
      <c r="P916" s="56"/>
      <c r="Q916" s="48"/>
      <c r="R916" s="48"/>
      <c r="S916" s="2"/>
    </row>
    <row r="917" spans="1:19" ht="12.75" customHeight="1" x14ac:dyDescent="0.2">
      <c r="A917" s="22"/>
      <c r="B917" s="23" t="str">
        <f>IF(A917="","",VLOOKUP(A917,'6.A'!$A$11:$G$180,2,FALSE))</f>
        <v/>
      </c>
      <c r="C917" s="99"/>
      <c r="D917" s="57" t="str">
        <f>IF(A917="","",VLOOKUP(A917,'6.A'!$A$11:$G$180,4,FALSE))</f>
        <v/>
      </c>
      <c r="E917" s="100" t="str">
        <f>IF(A917="","",VLOOKUP(A917,'6.A'!$A$11:$G$180,5,FALSE))</f>
        <v/>
      </c>
      <c r="F917" s="24" t="str">
        <f t="shared" si="412"/>
        <v>0,00</v>
      </c>
      <c r="G917" s="52"/>
      <c r="H917" s="52" t="str">
        <f>IF(A917="","",VLOOKUP(A917,'6.A'!$A$11:$E$7984,5,FALSE))</f>
        <v/>
      </c>
      <c r="I917" s="52" t="str">
        <f t="shared" si="413"/>
        <v/>
      </c>
      <c r="J917" s="52" t="str">
        <f>IF(H917="","",VLOOKUP(A917,'6.A'!$A$11:$E$564,4,FALSE))</f>
        <v/>
      </c>
      <c r="K917" s="52" t="str">
        <f t="shared" si="414"/>
        <v/>
      </c>
      <c r="L917" s="52" t="str">
        <f>IF(H917="","",IF(C917="","",G896*C917))</f>
        <v/>
      </c>
      <c r="M917" s="117" t="str">
        <f>IF(A917="","",VLOOKUP(A917,'6.A'!$A$11:$C$564,2,FALSE))</f>
        <v/>
      </c>
      <c r="N917" s="57" t="str">
        <f t="shared" si="415"/>
        <v/>
      </c>
      <c r="O917" s="56"/>
      <c r="P917" s="56"/>
      <c r="Q917" s="48"/>
      <c r="R917" s="48"/>
      <c r="S917" s="2"/>
    </row>
    <row r="918" spans="1:19" ht="12.75" customHeight="1" x14ac:dyDescent="0.2">
      <c r="A918" s="22"/>
      <c r="B918" s="23" t="str">
        <f>IF(A918="","",VLOOKUP(A918,'6.A'!$A$11:$G$180,2,FALSE))</f>
        <v/>
      </c>
      <c r="C918" s="99"/>
      <c r="D918" s="57" t="str">
        <f>IF(A918="","",VLOOKUP(A918,'6.A'!$A$11:$G$180,4,FALSE))</f>
        <v/>
      </c>
      <c r="E918" s="100" t="str">
        <f>IF(A918="","",VLOOKUP(A918,'6.A'!$A$11:$G$180,5,FALSE))</f>
        <v/>
      </c>
      <c r="F918" s="24" t="str">
        <f t="shared" si="412"/>
        <v>0,00</v>
      </c>
      <c r="G918" s="52"/>
      <c r="H918" s="52" t="str">
        <f>IF(A918="","",VLOOKUP(A918,'6.A'!$A$11:$E$7984,5,FALSE))</f>
        <v/>
      </c>
      <c r="I918" s="52" t="str">
        <f t="shared" si="413"/>
        <v/>
      </c>
      <c r="J918" s="52" t="str">
        <f>IF(H918="","",VLOOKUP(A918,'6.A'!$A$11:$E$564,4,FALSE))</f>
        <v/>
      </c>
      <c r="K918" s="52" t="str">
        <f t="shared" si="414"/>
        <v/>
      </c>
      <c r="L918" s="52" t="str">
        <f>IF(H918="","",IF(C918="","",G896*C918))</f>
        <v/>
      </c>
      <c r="M918" s="117" t="str">
        <f>IF(A918="","",VLOOKUP(A918,'6.A'!$A$11:$C$564,2,FALSE))</f>
        <v/>
      </c>
      <c r="N918" s="57" t="str">
        <f>IF(A918="","",IF(M918=B918,"si","no"))</f>
        <v/>
      </c>
      <c r="O918" s="56"/>
      <c r="P918" s="56"/>
      <c r="Q918" s="48"/>
      <c r="R918" s="48"/>
      <c r="S918" s="2"/>
    </row>
    <row r="919" spans="1:19" ht="12.75" customHeight="1" x14ac:dyDescent="0.2">
      <c r="A919" s="22"/>
      <c r="B919" s="23" t="str">
        <f>IF(A919="","",VLOOKUP(A919,'6.A'!$A$11:$G$180,2,FALSE))</f>
        <v/>
      </c>
      <c r="C919" s="99"/>
      <c r="D919" s="57" t="str">
        <f>IF(A919="","",VLOOKUP(A919,'6.A'!$A$11:$G$180,4,FALSE))</f>
        <v/>
      </c>
      <c r="E919" s="100" t="str">
        <f>IF(A919="","",VLOOKUP(A919,'6.A'!$A$11:$G$180,5,FALSE))</f>
        <v/>
      </c>
      <c r="F919" s="24" t="str">
        <f t="shared" si="412"/>
        <v>0,00</v>
      </c>
      <c r="G919" s="52"/>
      <c r="H919" s="52" t="str">
        <f>IF(A919="","",VLOOKUP(A919,'6.A'!$A$11:$E$7984,5,FALSE))</f>
        <v/>
      </c>
      <c r="I919" s="52" t="str">
        <f t="shared" si="413"/>
        <v/>
      </c>
      <c r="J919" s="52" t="str">
        <f>IF(H919="","",VLOOKUP(A919,'6.A'!$A$11:$E$564,4,FALSE))</f>
        <v/>
      </c>
      <c r="K919" s="52" t="str">
        <f t="shared" si="414"/>
        <v/>
      </c>
      <c r="L919" s="52" t="str">
        <f>IF(H919="","",IF(C919="","",G896*C919))</f>
        <v/>
      </c>
      <c r="M919" s="117" t="str">
        <f>IF(A919="","",VLOOKUP(A919,'6.A'!$A$11:$C$564,2,FALSE))</f>
        <v/>
      </c>
      <c r="N919" s="57" t="str">
        <f>IF(A919="","",IF(M919=B919,"si","no"))</f>
        <v/>
      </c>
      <c r="O919" s="56"/>
      <c r="P919" s="56"/>
      <c r="Q919" s="48"/>
      <c r="R919" s="48"/>
      <c r="S919" s="2"/>
    </row>
    <row r="920" spans="1:19" ht="12.75" customHeight="1" x14ac:dyDescent="0.2">
      <c r="A920" s="22"/>
      <c r="B920" s="23" t="str">
        <f>IF(A920="","",VLOOKUP(A920,'6.A'!$A$11:$G$180,2,FALSE))</f>
        <v/>
      </c>
      <c r="C920" s="99"/>
      <c r="D920" s="57" t="str">
        <f>IF(A920="","",VLOOKUP(A920,'6.A'!$A$11:$G$180,4,FALSE))</f>
        <v/>
      </c>
      <c r="E920" s="100" t="str">
        <f>IF(A920="","",VLOOKUP(A920,'6.A'!$A$11:$G$180,5,FALSE))</f>
        <v/>
      </c>
      <c r="F920" s="24" t="str">
        <f t="shared" si="412"/>
        <v>0,00</v>
      </c>
      <c r="G920" s="52"/>
      <c r="H920" s="52" t="str">
        <f>IF(A920="","",VLOOKUP(A920,'6.A'!$A$11:$E$7984,5,FALSE))</f>
        <v/>
      </c>
      <c r="I920" s="52" t="str">
        <f t="shared" si="413"/>
        <v/>
      </c>
      <c r="J920" s="52" t="str">
        <f>IF(H920="","",VLOOKUP(A920,'6.A'!$A$11:$E$564,4,FALSE))</f>
        <v/>
      </c>
      <c r="K920" s="52" t="str">
        <f t="shared" si="414"/>
        <v/>
      </c>
      <c r="L920" s="52" t="str">
        <f>IF(H920="","",IF(C920="","",G896*C920))</f>
        <v/>
      </c>
      <c r="M920" s="117" t="str">
        <f>IF(A920="","",VLOOKUP(A920,'6.A'!$A$11:$C$564,2,FALSE))</f>
        <v/>
      </c>
      <c r="N920" s="57" t="str">
        <f t="shared" ref="N920:N921" si="416">IF(A920="","",IF(M920=B920,"si","no"))</f>
        <v/>
      </c>
      <c r="O920" s="56"/>
      <c r="P920" s="56"/>
      <c r="Q920" s="48"/>
      <c r="R920" s="48"/>
      <c r="S920" s="2"/>
    </row>
    <row r="921" spans="1:19" ht="12.75" customHeight="1" x14ac:dyDescent="0.2">
      <c r="A921" s="22"/>
      <c r="B921" s="23" t="str">
        <f>IF(A921="","",VLOOKUP(A921,'6.A'!$A$11:$G$180,2,FALSE))</f>
        <v/>
      </c>
      <c r="C921" s="99"/>
      <c r="D921" s="57" t="str">
        <f>IF(A921="","",VLOOKUP(A921,'6.A'!$A$11:$G$180,4,FALSE))</f>
        <v/>
      </c>
      <c r="E921" s="100" t="str">
        <f>IF(A921="","",VLOOKUP(A921,'6.A'!$A$11:$G$180,5,FALSE))</f>
        <v/>
      </c>
      <c r="F921" s="24" t="str">
        <f t="shared" si="412"/>
        <v>0,00</v>
      </c>
      <c r="G921" s="52"/>
      <c r="H921" s="52" t="str">
        <f>IF(A921="","",VLOOKUP(A921,'6.A'!$A$11:$E$7984,5,FALSE))</f>
        <v/>
      </c>
      <c r="I921" s="52" t="str">
        <f t="shared" si="413"/>
        <v/>
      </c>
      <c r="J921" s="52" t="str">
        <f>IF(H921="","",VLOOKUP(A921,'6.A'!$A$11:$E$564,4,FALSE))</f>
        <v/>
      </c>
      <c r="K921" s="52" t="str">
        <f t="shared" si="414"/>
        <v/>
      </c>
      <c r="L921" s="52" t="str">
        <f>IF(H921="","",IF(C921="","",G896*C921))</f>
        <v/>
      </c>
      <c r="M921" s="117" t="str">
        <f>IF(A921="","",VLOOKUP(A921,'6.A'!$A$11:$C$564,2,FALSE))</f>
        <v/>
      </c>
      <c r="N921" s="57" t="str">
        <f t="shared" si="416"/>
        <v/>
      </c>
      <c r="O921" s="56"/>
      <c r="P921" s="56"/>
      <c r="Q921" s="48"/>
      <c r="R921" s="48"/>
      <c r="S921" s="2"/>
    </row>
    <row r="922" spans="1:19" ht="12.75" customHeight="1" x14ac:dyDescent="0.2">
      <c r="A922" s="22"/>
      <c r="B922" s="26" t="str">
        <f>$A$9</f>
        <v>BDI</v>
      </c>
      <c r="C922" s="27">
        <f>$C$9</f>
        <v>0</v>
      </c>
      <c r="D922" s="57"/>
      <c r="F922" s="28">
        <f>ROUND(SUM(F912:F921)*C922,2)</f>
        <v>0</v>
      </c>
      <c r="G922" s="63"/>
      <c r="M922" s="62"/>
      <c r="N922" s="57"/>
      <c r="O922" s="56"/>
      <c r="P922" s="56"/>
      <c r="Q922" s="48"/>
      <c r="R922" s="48"/>
      <c r="S922" s="2"/>
    </row>
    <row r="923" spans="1:19" ht="12.75" customHeight="1" x14ac:dyDescent="0.2">
      <c r="A923" s="30"/>
      <c r="B923" s="31" t="s">
        <v>117</v>
      </c>
      <c r="C923" s="36"/>
      <c r="D923" s="37"/>
      <c r="E923" s="38"/>
      <c r="F923" s="35">
        <f>ROUND(SUM(F912:F922),2)</f>
        <v>0</v>
      </c>
      <c r="G923" s="63"/>
      <c r="M923" s="62"/>
      <c r="N923" s="57"/>
      <c r="O923" s="56"/>
      <c r="P923" s="56"/>
      <c r="Q923" s="48"/>
      <c r="R923" s="48"/>
      <c r="S923" s="2"/>
    </row>
    <row r="924" spans="1:19" ht="12.75" customHeight="1" x14ac:dyDescent="0.2">
      <c r="A924" s="17" t="s">
        <v>6</v>
      </c>
      <c r="B924" s="18" t="s">
        <v>17</v>
      </c>
      <c r="C924" s="56" t="s">
        <v>59</v>
      </c>
      <c r="D924" s="56" t="s">
        <v>16</v>
      </c>
      <c r="E924" s="19" t="s">
        <v>60</v>
      </c>
      <c r="F924" s="20" t="s">
        <v>61</v>
      </c>
      <c r="G924" s="21"/>
      <c r="M924" s="62"/>
      <c r="N924" s="57"/>
      <c r="O924" s="56"/>
      <c r="P924" s="56"/>
      <c r="Q924" s="48"/>
      <c r="R924" s="48"/>
      <c r="S924" s="2"/>
    </row>
    <row r="925" spans="1:19" ht="12.75" customHeight="1" x14ac:dyDescent="0.2">
      <c r="A925" s="22">
        <f>'6.A'!$A$94</f>
        <v>1876</v>
      </c>
      <c r="B925" s="23" t="str">
        <f>IF(A925="","",VLOOKUP(A925,'6.A'!$A$11:$G$180,2,FALSE))</f>
        <v>CURVA 90 GRAUS, LONGA, DE PVC RIGIDO ROSCAVEL, DE 2", PARA ELETRODUTO</v>
      </c>
      <c r="C925" s="99">
        <v>1</v>
      </c>
      <c r="D925" s="57" t="str">
        <f>IF(A925="","",VLOOKUP(A925,'6.A'!$A$11:$G$180,4,FALSE))</f>
        <v>UN</v>
      </c>
      <c r="E925" s="100">
        <f>IF(A925="","",VLOOKUP(A925,'6.A'!$A$11:$G$180,5,FALSE))</f>
        <v>0</v>
      </c>
      <c r="F925" s="24">
        <f t="shared" ref="F925:F944" si="417">IF(A925="","0,00",ROUND(C925*E925,2))</f>
        <v>0</v>
      </c>
      <c r="G925" s="52"/>
      <c r="H925" s="52">
        <f>IF(A925="","",VLOOKUP(A925,'6.A'!$A$11:$E$7984,5,FALSE))</f>
        <v>0</v>
      </c>
      <c r="I925" s="52" t="str">
        <f t="shared" ref="I925:I944" si="418">IF(H925="","",IF(E925=H925,"SIM","NÃO"))</f>
        <v>SIM</v>
      </c>
      <c r="J925" s="52" t="str">
        <f>IF(H925="","",VLOOKUP(A925,'6.A'!$A$11:$E$564,4,FALSE))</f>
        <v>UN</v>
      </c>
      <c r="K925" s="52" t="str">
        <f t="shared" ref="K925:K944" si="419">IF(H925="","",IF(J925=D925,"SIM","NÃO"))</f>
        <v>SIM</v>
      </c>
      <c r="L925" s="52">
        <f>IF(H925="","",IF(C925="","",G896*C925))</f>
        <v>2</v>
      </c>
      <c r="M925" s="117" t="str">
        <f>IF(A925="","",VLOOKUP(A925,'6.A'!$A$11:$C$564,2,FALSE))</f>
        <v>CURVA 90 GRAUS, LONGA, DE PVC RIGIDO ROSCAVEL, DE 2", PARA ELETRODUTO</v>
      </c>
      <c r="N925" s="57" t="str">
        <f t="shared" ref="N925:N944" si="420">IF(A925="","",IF(M925=B925,"si","no"))</f>
        <v>si</v>
      </c>
      <c r="O925" s="56"/>
      <c r="P925" s="56"/>
      <c r="Q925" s="48"/>
      <c r="R925" s="48"/>
      <c r="S925" s="2"/>
    </row>
    <row r="926" spans="1:19" ht="12.75" customHeight="1" x14ac:dyDescent="0.2">
      <c r="A926" s="22"/>
      <c r="B926" s="23" t="str">
        <f>IF(A926="","",VLOOKUP(A926,'6.A'!$A$11:$G$180,2,FALSE))</f>
        <v/>
      </c>
      <c r="C926" s="99"/>
      <c r="D926" s="57" t="str">
        <f>IF(A926="","",VLOOKUP(A926,'6.A'!$A$11:$G$180,4,FALSE))</f>
        <v/>
      </c>
      <c r="E926" s="100" t="str">
        <f>IF(A926="","",VLOOKUP(A926,'6.A'!$A$11:$G$180,5,FALSE))</f>
        <v/>
      </c>
      <c r="F926" s="24" t="str">
        <f t="shared" si="417"/>
        <v>0,00</v>
      </c>
      <c r="G926" s="52"/>
      <c r="H926" s="52" t="str">
        <f>IF(A926="","",VLOOKUP(A926,'6.A'!$A$11:$E$7984,5,FALSE))</f>
        <v/>
      </c>
      <c r="I926" s="52" t="str">
        <f t="shared" si="418"/>
        <v/>
      </c>
      <c r="J926" s="52" t="str">
        <f>IF(H926="","",VLOOKUP(A926,'6.A'!$A$11:$E$564,4,FALSE))</f>
        <v/>
      </c>
      <c r="K926" s="52" t="str">
        <f t="shared" si="419"/>
        <v/>
      </c>
      <c r="L926" s="52" t="str">
        <f>IF(H926="","",IF(C926="","",G896*C926))</f>
        <v/>
      </c>
      <c r="M926" s="117" t="str">
        <f>IF(A926="","",VLOOKUP(A926,'6.A'!$A$11:$C$564,2,FALSE))</f>
        <v/>
      </c>
      <c r="N926" s="57" t="str">
        <f t="shared" si="420"/>
        <v/>
      </c>
      <c r="O926" s="56"/>
      <c r="P926" s="56"/>
      <c r="Q926" s="48"/>
      <c r="R926" s="48"/>
      <c r="S926" s="2"/>
    </row>
    <row r="927" spans="1:19" ht="12.75" customHeight="1" x14ac:dyDescent="0.2">
      <c r="A927" s="22"/>
      <c r="B927" s="23" t="str">
        <f>IF(A927="","",VLOOKUP(A927,'6.A'!$A$11:$G$180,2,FALSE))</f>
        <v/>
      </c>
      <c r="C927" s="99"/>
      <c r="D927" s="57" t="str">
        <f>IF(A927="","",VLOOKUP(A927,'6.A'!$A$11:$G$180,4,FALSE))</f>
        <v/>
      </c>
      <c r="E927" s="100" t="str">
        <f>IF(A927="","",VLOOKUP(A927,'6.A'!$A$11:$G$180,5,FALSE))</f>
        <v/>
      </c>
      <c r="F927" s="24" t="str">
        <f t="shared" si="417"/>
        <v>0,00</v>
      </c>
      <c r="G927" s="52"/>
      <c r="H927" s="52" t="str">
        <f>IF(A927="","",VLOOKUP(A927,'6.A'!$A$11:$E$7984,5,FALSE))</f>
        <v/>
      </c>
      <c r="I927" s="52" t="str">
        <f t="shared" si="418"/>
        <v/>
      </c>
      <c r="J927" s="52" t="str">
        <f>IF(H927="","",VLOOKUP(A927,'6.A'!$A$11:$E$564,4,FALSE))</f>
        <v/>
      </c>
      <c r="K927" s="52" t="str">
        <f t="shared" si="419"/>
        <v/>
      </c>
      <c r="L927" s="52" t="str">
        <f>IF(H927="","",IF(C927="","",G896*C927))</f>
        <v/>
      </c>
      <c r="M927" s="117" t="str">
        <f>IF(A927="","",VLOOKUP(A927,'6.A'!$A$11:$C$564,2,FALSE))</f>
        <v/>
      </c>
      <c r="N927" s="57" t="str">
        <f t="shared" si="420"/>
        <v/>
      </c>
      <c r="O927" s="56"/>
      <c r="P927" s="56"/>
      <c r="Q927" s="48"/>
      <c r="R927" s="48"/>
      <c r="S927" s="2"/>
    </row>
    <row r="928" spans="1:19" ht="12.75" customHeight="1" x14ac:dyDescent="0.2">
      <c r="A928" s="22"/>
      <c r="B928" s="23" t="str">
        <f>IF(A928="","",VLOOKUP(A928,'6.A'!$A$11:$G$180,2,FALSE))</f>
        <v/>
      </c>
      <c r="C928" s="99"/>
      <c r="D928" s="57" t="str">
        <f>IF(A928="","",VLOOKUP(A928,'6.A'!$A$11:$G$180,4,FALSE))</f>
        <v/>
      </c>
      <c r="E928" s="100" t="str">
        <f>IF(A928="","",VLOOKUP(A928,'6.A'!$A$11:$G$180,5,FALSE))</f>
        <v/>
      </c>
      <c r="F928" s="24" t="str">
        <f t="shared" si="417"/>
        <v>0,00</v>
      </c>
      <c r="G928" s="52"/>
      <c r="H928" s="52" t="str">
        <f>IF(A928="","",VLOOKUP(A928,'6.A'!$A$11:$E$7984,5,FALSE))</f>
        <v/>
      </c>
      <c r="I928" s="52" t="str">
        <f t="shared" si="418"/>
        <v/>
      </c>
      <c r="J928" s="52" t="str">
        <f>IF(H928="","",VLOOKUP(A928,'6.A'!$A$11:$E$564,4,FALSE))</f>
        <v/>
      </c>
      <c r="K928" s="52" t="str">
        <f t="shared" si="419"/>
        <v/>
      </c>
      <c r="L928" s="52" t="str">
        <f>IF(H928="","",IF(C928="","",G896*C928))</f>
        <v/>
      </c>
      <c r="M928" s="117" t="str">
        <f>IF(A928="","",VLOOKUP(A928,'6.A'!$A$11:$C$564,2,FALSE))</f>
        <v/>
      </c>
      <c r="N928" s="57" t="str">
        <f t="shared" si="420"/>
        <v/>
      </c>
      <c r="O928" s="56"/>
      <c r="P928" s="56"/>
      <c r="Q928" s="48"/>
      <c r="R928" s="48"/>
      <c r="S928" s="2"/>
    </row>
    <row r="929" spans="1:22" ht="12.75" customHeight="1" x14ac:dyDescent="0.2">
      <c r="A929" s="22"/>
      <c r="B929" s="23" t="str">
        <f>IF(A929="","",VLOOKUP(A929,'6.A'!$A$11:$G$180,2,FALSE))</f>
        <v/>
      </c>
      <c r="C929" s="99"/>
      <c r="D929" s="57" t="str">
        <f>IF(A929="","",VLOOKUP(A929,'6.A'!$A$11:$G$180,4,FALSE))</f>
        <v/>
      </c>
      <c r="E929" s="100" t="str">
        <f>IF(A929="","",VLOOKUP(A929,'6.A'!$A$11:$G$180,5,FALSE))</f>
        <v/>
      </c>
      <c r="F929" s="24" t="str">
        <f t="shared" si="417"/>
        <v>0,00</v>
      </c>
      <c r="G929" s="52"/>
      <c r="H929" s="52" t="str">
        <f>IF(A929="","",VLOOKUP(A929,'6.A'!$A$11:$E$7984,5,FALSE))</f>
        <v/>
      </c>
      <c r="I929" s="52" t="str">
        <f t="shared" si="418"/>
        <v/>
      </c>
      <c r="J929" s="52" t="str">
        <f>IF(H929="","",VLOOKUP(A929,'6.A'!$A$11:$E$564,4,FALSE))</f>
        <v/>
      </c>
      <c r="K929" s="52" t="str">
        <f t="shared" si="419"/>
        <v/>
      </c>
      <c r="L929" s="52" t="str">
        <f>IF(H929="","",IF(C929="","",G896*C929))</f>
        <v/>
      </c>
      <c r="M929" s="117" t="str">
        <f>IF(A929="","",VLOOKUP(A929,'6.A'!$A$11:$C$564,2,FALSE))</f>
        <v/>
      </c>
      <c r="N929" s="57" t="str">
        <f t="shared" si="420"/>
        <v/>
      </c>
      <c r="O929" s="56"/>
      <c r="P929" s="56"/>
      <c r="Q929" s="48"/>
      <c r="R929" s="48"/>
      <c r="S929" s="2"/>
    </row>
    <row r="930" spans="1:22" ht="12.75" customHeight="1" x14ac:dyDescent="0.2">
      <c r="A930" s="22"/>
      <c r="B930" s="23" t="str">
        <f>IF(A930="","",VLOOKUP(A930,'6.A'!$A$11:$G$180,2,FALSE))</f>
        <v/>
      </c>
      <c r="C930" s="99"/>
      <c r="D930" s="57" t="str">
        <f>IF(A930="","",VLOOKUP(A930,'6.A'!$A$11:$G$180,4,FALSE))</f>
        <v/>
      </c>
      <c r="E930" s="100" t="str">
        <f>IF(A930="","",VLOOKUP(A930,'6.A'!$A$11:$G$180,5,FALSE))</f>
        <v/>
      </c>
      <c r="F930" s="24" t="str">
        <f t="shared" si="417"/>
        <v>0,00</v>
      </c>
      <c r="G930" s="52"/>
      <c r="H930" s="52" t="str">
        <f>IF(A930="","",VLOOKUP(A930,'6.A'!$A$11:$E$7984,5,FALSE))</f>
        <v/>
      </c>
      <c r="I930" s="52" t="str">
        <f t="shared" si="418"/>
        <v/>
      </c>
      <c r="J930" s="52" t="str">
        <f>IF(H930="","",VLOOKUP(A930,'6.A'!$A$11:$E$564,4,FALSE))</f>
        <v/>
      </c>
      <c r="K930" s="52" t="str">
        <f t="shared" si="419"/>
        <v/>
      </c>
      <c r="L930" s="52" t="str">
        <f>IF(H930="","",IF(C930="","",G896*C930))</f>
        <v/>
      </c>
      <c r="M930" s="117" t="str">
        <f>IF(A930="","",VLOOKUP(A930,'6.A'!$A$11:$C$564,2,FALSE))</f>
        <v/>
      </c>
      <c r="N930" s="57" t="str">
        <f t="shared" si="420"/>
        <v/>
      </c>
      <c r="O930" s="56"/>
      <c r="P930" s="56"/>
      <c r="Q930" s="48"/>
      <c r="R930" s="48"/>
      <c r="S930" s="2"/>
    </row>
    <row r="931" spans="1:22" ht="12.75" customHeight="1" x14ac:dyDescent="0.2">
      <c r="A931" s="22"/>
      <c r="B931" s="23" t="str">
        <f>IF(A931="","",VLOOKUP(A931,'6.A'!$A$11:$G$180,2,FALSE))</f>
        <v/>
      </c>
      <c r="C931" s="99"/>
      <c r="D931" s="57" t="str">
        <f>IF(A931="","",VLOOKUP(A931,'6.A'!$A$11:$G$180,4,FALSE))</f>
        <v/>
      </c>
      <c r="E931" s="100" t="str">
        <f>IF(A931="","",VLOOKUP(A931,'6.A'!$A$11:$G$180,5,FALSE))</f>
        <v/>
      </c>
      <c r="F931" s="24" t="str">
        <f t="shared" si="417"/>
        <v>0,00</v>
      </c>
      <c r="G931" s="52"/>
      <c r="H931" s="52" t="str">
        <f>IF(A931="","",VLOOKUP(A931,'6.A'!$A$11:$E$7984,5,FALSE))</f>
        <v/>
      </c>
      <c r="I931" s="52" t="str">
        <f t="shared" si="418"/>
        <v/>
      </c>
      <c r="J931" s="52" t="str">
        <f>IF(H931="","",VLOOKUP(A931,'6.A'!$A$11:$E$564,4,FALSE))</f>
        <v/>
      </c>
      <c r="K931" s="52" t="str">
        <f t="shared" si="419"/>
        <v/>
      </c>
      <c r="L931" s="52" t="str">
        <f>IF(H931="","",IF(C931="","",G896*C931))</f>
        <v/>
      </c>
      <c r="M931" s="117" t="str">
        <f>IF(A931="","",VLOOKUP(A931,'6.A'!$A$11:$C$564,2,FALSE))</f>
        <v/>
      </c>
      <c r="N931" s="57" t="str">
        <f t="shared" si="420"/>
        <v/>
      </c>
      <c r="O931" s="56"/>
      <c r="P931" s="56"/>
      <c r="Q931" s="48"/>
      <c r="R931" s="48"/>
      <c r="S931" s="2"/>
    </row>
    <row r="932" spans="1:22" s="65" customFormat="1" ht="12.75" customHeight="1" x14ac:dyDescent="0.2">
      <c r="A932" s="22"/>
      <c r="B932" s="23" t="str">
        <f>IF(A932="","",VLOOKUP(A932,'6.A'!$A$11:$G$180,2,FALSE))</f>
        <v/>
      </c>
      <c r="C932" s="99"/>
      <c r="D932" s="57" t="str">
        <f>IF(A932="","",VLOOKUP(A932,'6.A'!$A$11:$G$180,4,FALSE))</f>
        <v/>
      </c>
      <c r="E932" s="100" t="str">
        <f>IF(A932="","",VLOOKUP(A932,'6.A'!$A$11:$G$180,5,FALSE))</f>
        <v/>
      </c>
      <c r="F932" s="24" t="str">
        <f t="shared" si="417"/>
        <v>0,00</v>
      </c>
      <c r="G932" s="52"/>
      <c r="H932" s="52" t="str">
        <f>IF(A932="","",VLOOKUP(A932,'6.A'!$A$11:$E$7984,5,FALSE))</f>
        <v/>
      </c>
      <c r="I932" s="52" t="str">
        <f t="shared" si="418"/>
        <v/>
      </c>
      <c r="J932" s="52" t="str">
        <f>IF(H932="","",VLOOKUP(A932,'6.A'!$A$11:$E$564,4,FALSE))</f>
        <v/>
      </c>
      <c r="K932" s="52" t="str">
        <f t="shared" si="419"/>
        <v/>
      </c>
      <c r="L932" s="52" t="str">
        <f>IF(H932="","",IF(C932="","",G896*C932))</f>
        <v/>
      </c>
      <c r="M932" s="117" t="str">
        <f>IF(A932="","",VLOOKUP(A932,'6.A'!$A$11:$C$564,2,FALSE))</f>
        <v/>
      </c>
      <c r="N932" s="57" t="str">
        <f t="shared" si="420"/>
        <v/>
      </c>
      <c r="O932" s="56"/>
      <c r="P932" s="56"/>
      <c r="Q932" s="48"/>
      <c r="R932" s="48"/>
      <c r="T932" s="2"/>
      <c r="U932" s="2"/>
      <c r="V932" s="2"/>
    </row>
    <row r="933" spans="1:22" s="65" customFormat="1" ht="12.75" customHeight="1" x14ac:dyDescent="0.2">
      <c r="A933" s="22"/>
      <c r="B933" s="23" t="str">
        <f>IF(A933="","",VLOOKUP(A933,'6.A'!$A$11:$G$180,2,FALSE))</f>
        <v/>
      </c>
      <c r="C933" s="99"/>
      <c r="D933" s="57" t="str">
        <f>IF(A933="","",VLOOKUP(A933,'6.A'!$A$11:$G$180,4,FALSE))</f>
        <v/>
      </c>
      <c r="E933" s="100" t="str">
        <f>IF(A933="","",VLOOKUP(A933,'6.A'!$A$11:$G$180,5,FALSE))</f>
        <v/>
      </c>
      <c r="F933" s="24" t="str">
        <f t="shared" si="417"/>
        <v>0,00</v>
      </c>
      <c r="G933" s="52"/>
      <c r="H933" s="52" t="str">
        <f>IF(A933="","",VLOOKUP(A933,'6.A'!$A$11:$E$7984,5,FALSE))</f>
        <v/>
      </c>
      <c r="I933" s="52" t="str">
        <f t="shared" si="418"/>
        <v/>
      </c>
      <c r="J933" s="52" t="str">
        <f>IF(H933="","",VLOOKUP(A933,'6.A'!$A$11:$E$564,4,FALSE))</f>
        <v/>
      </c>
      <c r="K933" s="52" t="str">
        <f t="shared" si="419"/>
        <v/>
      </c>
      <c r="L933" s="52" t="str">
        <f>IF(H933="","",IF(C933="","",G896*C933))</f>
        <v/>
      </c>
      <c r="M933" s="117" t="str">
        <f>IF(A933="","",VLOOKUP(A933,'6.A'!$A$11:$C$564,2,FALSE))</f>
        <v/>
      </c>
      <c r="N933" s="57" t="str">
        <f t="shared" si="420"/>
        <v/>
      </c>
      <c r="O933" s="56"/>
      <c r="P933" s="56"/>
      <c r="Q933" s="48"/>
      <c r="R933" s="48"/>
      <c r="T933" s="2"/>
      <c r="U933" s="2"/>
      <c r="V933" s="2"/>
    </row>
    <row r="934" spans="1:22" s="65" customFormat="1" ht="12.75" customHeight="1" x14ac:dyDescent="0.2">
      <c r="A934" s="22"/>
      <c r="B934" s="23" t="str">
        <f>IF(A934="","",VLOOKUP(A934,'6.A'!$A$11:$G$180,2,FALSE))</f>
        <v/>
      </c>
      <c r="C934" s="99"/>
      <c r="D934" s="57" t="str">
        <f>IF(A934="","",VLOOKUP(A934,'6.A'!$A$11:$G$180,4,FALSE))</f>
        <v/>
      </c>
      <c r="E934" s="100" t="str">
        <f>IF(A934="","",VLOOKUP(A934,'6.A'!$A$11:$G$180,5,FALSE))</f>
        <v/>
      </c>
      <c r="F934" s="24" t="str">
        <f t="shared" si="417"/>
        <v>0,00</v>
      </c>
      <c r="G934" s="52"/>
      <c r="H934" s="52" t="str">
        <f>IF(A934="","",VLOOKUP(A934,'6.A'!$A$11:$E$7984,5,FALSE))</f>
        <v/>
      </c>
      <c r="I934" s="52" t="str">
        <f t="shared" si="418"/>
        <v/>
      </c>
      <c r="J934" s="52" t="str">
        <f>IF(H934="","",VLOOKUP(A934,'6.A'!$A$11:$E$564,4,FALSE))</f>
        <v/>
      </c>
      <c r="K934" s="52" t="str">
        <f t="shared" si="419"/>
        <v/>
      </c>
      <c r="L934" s="52" t="str">
        <f>IF(H934="","",IF(C934="","",G896*C934))</f>
        <v/>
      </c>
      <c r="M934" s="117" t="str">
        <f>IF(A934="","",VLOOKUP(A934,'6.A'!$A$11:$C$564,2,FALSE))</f>
        <v/>
      </c>
      <c r="N934" s="57" t="str">
        <f t="shared" si="420"/>
        <v/>
      </c>
      <c r="O934" s="56"/>
      <c r="P934" s="56"/>
      <c r="Q934" s="48"/>
      <c r="R934" s="48"/>
      <c r="T934" s="2"/>
      <c r="U934" s="2"/>
      <c r="V934" s="2"/>
    </row>
    <row r="935" spans="1:22" s="65" customFormat="1" ht="12.75" customHeight="1" x14ac:dyDescent="0.2">
      <c r="A935" s="22"/>
      <c r="B935" s="23" t="str">
        <f>IF(A935="","",VLOOKUP(A935,'6.A'!$A$11:$G$180,2,FALSE))</f>
        <v/>
      </c>
      <c r="C935" s="99"/>
      <c r="D935" s="57" t="str">
        <f>IF(A935="","",VLOOKUP(A935,'6.A'!$A$11:$G$180,4,FALSE))</f>
        <v/>
      </c>
      <c r="E935" s="100" t="str">
        <f>IF(A935="","",VLOOKUP(A935,'6.A'!$A$11:$G$180,5,FALSE))</f>
        <v/>
      </c>
      <c r="F935" s="24" t="str">
        <f t="shared" si="417"/>
        <v>0,00</v>
      </c>
      <c r="G935" s="52"/>
      <c r="H935" s="52" t="str">
        <f>IF(A935="","",VLOOKUP(A935,'6.A'!$A$11:$E$7984,5,FALSE))</f>
        <v/>
      </c>
      <c r="I935" s="52" t="str">
        <f t="shared" si="418"/>
        <v/>
      </c>
      <c r="J935" s="52" t="str">
        <f>IF(H935="","",VLOOKUP(A935,'6.A'!$A$11:$E$564,4,FALSE))</f>
        <v/>
      </c>
      <c r="K935" s="52" t="str">
        <f t="shared" si="419"/>
        <v/>
      </c>
      <c r="L935" s="52" t="str">
        <f>IF(H935="","",IF(C935="","",G896*C935))</f>
        <v/>
      </c>
      <c r="M935" s="117" t="str">
        <f>IF(A935="","",VLOOKUP(A935,'6.A'!$A$11:$C$564,2,FALSE))</f>
        <v/>
      </c>
      <c r="N935" s="57" t="str">
        <f t="shared" si="420"/>
        <v/>
      </c>
      <c r="O935" s="56"/>
      <c r="P935" s="56"/>
      <c r="Q935" s="48"/>
      <c r="R935" s="48"/>
      <c r="T935" s="2"/>
      <c r="U935" s="2"/>
      <c r="V935" s="2"/>
    </row>
    <row r="936" spans="1:22" ht="12.75" customHeight="1" x14ac:dyDescent="0.2">
      <c r="A936" s="22"/>
      <c r="B936" s="23" t="str">
        <f>IF(A936="","",VLOOKUP(A936,'6.A'!$A$11:$G$180,2,FALSE))</f>
        <v/>
      </c>
      <c r="C936" s="99"/>
      <c r="D936" s="57" t="str">
        <f>IF(A936="","",VLOOKUP(A936,'6.A'!$A$11:$G$180,4,FALSE))</f>
        <v/>
      </c>
      <c r="E936" s="100" t="str">
        <f>IF(A936="","",VLOOKUP(A936,'6.A'!$A$11:$G$180,5,FALSE))</f>
        <v/>
      </c>
      <c r="F936" s="24" t="str">
        <f t="shared" si="417"/>
        <v>0,00</v>
      </c>
      <c r="G936" s="52"/>
      <c r="H936" s="52" t="str">
        <f>IF(A936="","",VLOOKUP(A936,'6.A'!$A$11:$E$7984,5,FALSE))</f>
        <v/>
      </c>
      <c r="I936" s="52" t="str">
        <f t="shared" si="418"/>
        <v/>
      </c>
      <c r="J936" s="52" t="str">
        <f>IF(H936="","",VLOOKUP(A936,'6.A'!$A$11:$E$564,4,FALSE))</f>
        <v/>
      </c>
      <c r="K936" s="52" t="str">
        <f t="shared" si="419"/>
        <v/>
      </c>
      <c r="L936" s="52" t="str">
        <f>IF(H936="","",IF(C936="","",G896*C936))</f>
        <v/>
      </c>
      <c r="M936" s="117" t="str">
        <f>IF(A936="","",VLOOKUP(A936,'6.A'!$A$11:$C$564,2,FALSE))</f>
        <v/>
      </c>
      <c r="N936" s="57" t="str">
        <f t="shared" si="420"/>
        <v/>
      </c>
      <c r="O936" s="56"/>
      <c r="P936" s="56"/>
      <c r="Q936" s="48"/>
      <c r="R936" s="48"/>
    </row>
    <row r="937" spans="1:22" ht="12.75" customHeight="1" x14ac:dyDescent="0.2">
      <c r="A937" s="22"/>
      <c r="B937" s="23" t="str">
        <f>IF(A937="","",VLOOKUP(A937,'6.A'!$A$11:$G$180,2,FALSE))</f>
        <v/>
      </c>
      <c r="C937" s="99"/>
      <c r="D937" s="57" t="str">
        <f>IF(A937="","",VLOOKUP(A937,'6.A'!$A$11:$G$180,4,FALSE))</f>
        <v/>
      </c>
      <c r="E937" s="100" t="str">
        <f>IF(A937="","",VLOOKUP(A937,'6.A'!$A$11:$G$180,5,FALSE))</f>
        <v/>
      </c>
      <c r="F937" s="24" t="str">
        <f t="shared" si="417"/>
        <v>0,00</v>
      </c>
      <c r="G937" s="52"/>
      <c r="H937" s="52" t="str">
        <f>IF(A937="","",VLOOKUP(A937,'6.A'!$A$11:$E$7984,5,FALSE))</f>
        <v/>
      </c>
      <c r="I937" s="52" t="str">
        <f t="shared" si="418"/>
        <v/>
      </c>
      <c r="J937" s="52" t="str">
        <f>IF(H937="","",VLOOKUP(A937,'6.A'!$A$11:$E$564,4,FALSE))</f>
        <v/>
      </c>
      <c r="K937" s="52" t="str">
        <f t="shared" si="419"/>
        <v/>
      </c>
      <c r="L937" s="52" t="str">
        <f>IF(H937="","",IF(C937="","",G896*C937))</f>
        <v/>
      </c>
      <c r="M937" s="117" t="str">
        <f>IF(A937="","",VLOOKUP(A937,'6.A'!$A$11:$C$564,2,FALSE))</f>
        <v/>
      </c>
      <c r="N937" s="57" t="str">
        <f t="shared" si="420"/>
        <v/>
      </c>
      <c r="O937" s="56"/>
      <c r="P937" s="56"/>
      <c r="Q937" s="48"/>
      <c r="R937" s="48"/>
    </row>
    <row r="938" spans="1:22" ht="12.75" customHeight="1" x14ac:dyDescent="0.2">
      <c r="A938" s="22"/>
      <c r="B938" s="23" t="str">
        <f>IF(A938="","",VLOOKUP(A938,'6.A'!$A$11:$G$180,2,FALSE))</f>
        <v/>
      </c>
      <c r="C938" s="99"/>
      <c r="D938" s="57" t="str">
        <f>IF(A938="","",VLOOKUP(A938,'6.A'!$A$11:$G$180,4,FALSE))</f>
        <v/>
      </c>
      <c r="E938" s="100" t="str">
        <f>IF(A938="","",VLOOKUP(A938,'6.A'!$A$11:$G$180,5,FALSE))</f>
        <v/>
      </c>
      <c r="F938" s="24" t="str">
        <f t="shared" si="417"/>
        <v>0,00</v>
      </c>
      <c r="G938" s="52"/>
      <c r="H938" s="52" t="str">
        <f>IF(A938="","",VLOOKUP(A938,'6.A'!$A$11:$E$7984,5,FALSE))</f>
        <v/>
      </c>
      <c r="I938" s="52" t="str">
        <f t="shared" si="418"/>
        <v/>
      </c>
      <c r="J938" s="52" t="str">
        <f>IF(H938="","",VLOOKUP(A938,'6.A'!$A$11:$E$564,4,FALSE))</f>
        <v/>
      </c>
      <c r="K938" s="52" t="str">
        <f t="shared" si="419"/>
        <v/>
      </c>
      <c r="L938" s="52" t="str">
        <f>IF(H938="","",IF(C938="","",G896*C938))</f>
        <v/>
      </c>
      <c r="M938" s="117" t="str">
        <f>IF(A938="","",VLOOKUP(A938,'6.A'!$A$11:$C$564,2,FALSE))</f>
        <v/>
      </c>
      <c r="N938" s="57" t="str">
        <f t="shared" si="420"/>
        <v/>
      </c>
      <c r="O938" s="56"/>
      <c r="P938" s="56"/>
      <c r="Q938" s="48"/>
      <c r="R938" s="48"/>
    </row>
    <row r="939" spans="1:22" ht="12.75" customHeight="1" x14ac:dyDescent="0.2">
      <c r="A939" s="22"/>
      <c r="B939" s="23" t="str">
        <f>IF(A939="","",VLOOKUP(A939,'6.A'!$A$11:$G$180,2,FALSE))</f>
        <v/>
      </c>
      <c r="C939" s="99"/>
      <c r="D939" s="57" t="str">
        <f>IF(A939="","",VLOOKUP(A939,'6.A'!$A$11:$G$180,4,FALSE))</f>
        <v/>
      </c>
      <c r="E939" s="100" t="str">
        <f>IF(A939="","",VLOOKUP(A939,'6.A'!$A$11:$G$180,5,FALSE))</f>
        <v/>
      </c>
      <c r="F939" s="24" t="str">
        <f t="shared" si="417"/>
        <v>0,00</v>
      </c>
      <c r="G939" s="52"/>
      <c r="H939" s="52" t="str">
        <f>IF(A939="","",VLOOKUP(A939,'6.A'!$A$11:$E$7984,5,FALSE))</f>
        <v/>
      </c>
      <c r="I939" s="52" t="str">
        <f t="shared" si="418"/>
        <v/>
      </c>
      <c r="J939" s="52" t="str">
        <f>IF(H939="","",VLOOKUP(A939,'6.A'!$A$11:$E$564,4,FALSE))</f>
        <v/>
      </c>
      <c r="K939" s="52" t="str">
        <f t="shared" si="419"/>
        <v/>
      </c>
      <c r="L939" s="52" t="str">
        <f>IF(H939="","",IF(C939="","",G896*C939))</f>
        <v/>
      </c>
      <c r="M939" s="117" t="str">
        <f>IF(A939="","",VLOOKUP(A939,'6.A'!$A$11:$C$564,2,FALSE))</f>
        <v/>
      </c>
      <c r="N939" s="57" t="str">
        <f t="shared" si="420"/>
        <v/>
      </c>
      <c r="O939" s="56"/>
      <c r="P939" s="56"/>
      <c r="Q939" s="48"/>
      <c r="R939" s="48"/>
    </row>
    <row r="940" spans="1:22" ht="12.75" customHeight="1" x14ac:dyDescent="0.2">
      <c r="A940" s="22"/>
      <c r="B940" s="23" t="str">
        <f>IF(A940="","",VLOOKUP(A940,'6.A'!$A$11:$G$180,2,FALSE))</f>
        <v/>
      </c>
      <c r="C940" s="99"/>
      <c r="D940" s="57" t="str">
        <f>IF(A940="","",VLOOKUP(A940,'6.A'!$A$11:$G$180,4,FALSE))</f>
        <v/>
      </c>
      <c r="E940" s="100" t="str">
        <f>IF(A940="","",VLOOKUP(A940,'6.A'!$A$11:$G$180,5,FALSE))</f>
        <v/>
      </c>
      <c r="F940" s="24" t="str">
        <f t="shared" si="417"/>
        <v>0,00</v>
      </c>
      <c r="G940" s="52"/>
      <c r="H940" s="52" t="str">
        <f>IF(A940="","",VLOOKUP(A940,'6.A'!$A$11:$E$7984,5,FALSE))</f>
        <v/>
      </c>
      <c r="I940" s="52" t="str">
        <f t="shared" si="418"/>
        <v/>
      </c>
      <c r="J940" s="52" t="str">
        <f>IF(H940="","",VLOOKUP(A940,'6.A'!$A$11:$E$564,4,FALSE))</f>
        <v/>
      </c>
      <c r="K940" s="52" t="str">
        <f t="shared" si="419"/>
        <v/>
      </c>
      <c r="L940" s="52" t="str">
        <f>IF(H940="","",IF(C940="","",G896*C940))</f>
        <v/>
      </c>
      <c r="M940" s="117" t="str">
        <f>IF(A940="","",VLOOKUP(A940,'6.A'!$A$11:$C$564,2,FALSE))</f>
        <v/>
      </c>
      <c r="N940" s="57" t="str">
        <f t="shared" si="420"/>
        <v/>
      </c>
      <c r="O940" s="56"/>
      <c r="P940" s="56"/>
      <c r="Q940" s="48"/>
      <c r="R940" s="48"/>
    </row>
    <row r="941" spans="1:22" ht="12.75" customHeight="1" x14ac:dyDescent="0.2">
      <c r="A941" s="22"/>
      <c r="B941" s="23" t="str">
        <f>IF(A941="","",VLOOKUP(A941,'6.A'!$A$11:$G$180,2,FALSE))</f>
        <v/>
      </c>
      <c r="C941" s="99"/>
      <c r="D941" s="57" t="str">
        <f>IF(A941="","",VLOOKUP(A941,'6.A'!$A$11:$G$180,4,FALSE))</f>
        <v/>
      </c>
      <c r="E941" s="100" t="str">
        <f>IF(A941="","",VLOOKUP(A941,'6.A'!$A$11:$G$180,5,FALSE))</f>
        <v/>
      </c>
      <c r="F941" s="24" t="str">
        <f t="shared" si="417"/>
        <v>0,00</v>
      </c>
      <c r="G941" s="52"/>
      <c r="H941" s="52" t="str">
        <f>IF(A941="","",VLOOKUP(A941,'6.A'!$A$11:$E$7984,5,FALSE))</f>
        <v/>
      </c>
      <c r="I941" s="52" t="str">
        <f t="shared" si="418"/>
        <v/>
      </c>
      <c r="J941" s="52" t="str">
        <f>IF(H941="","",VLOOKUP(A941,'6.A'!$A$11:$E$564,4,FALSE))</f>
        <v/>
      </c>
      <c r="K941" s="52" t="str">
        <f t="shared" si="419"/>
        <v/>
      </c>
      <c r="L941" s="52" t="str">
        <f>IF(H941="","",IF(C941="","",G896*C941))</f>
        <v/>
      </c>
      <c r="M941" s="117" t="str">
        <f>IF(A941="","",VLOOKUP(A941,'6.A'!$A$11:$C$564,2,FALSE))</f>
        <v/>
      </c>
      <c r="N941" s="57" t="str">
        <f t="shared" si="420"/>
        <v/>
      </c>
      <c r="O941" s="56"/>
      <c r="P941" s="56"/>
      <c r="Q941" s="48"/>
      <c r="R941" s="48"/>
    </row>
    <row r="942" spans="1:22" ht="12.75" customHeight="1" x14ac:dyDescent="0.2">
      <c r="A942" s="22"/>
      <c r="B942" s="39" t="str">
        <f>IF(A942="","",VLOOKUP(A942,'6.A'!$A$11:$G$180,2,FALSE))</f>
        <v/>
      </c>
      <c r="C942" s="99"/>
      <c r="D942" s="57" t="str">
        <f>IF(A942="","",VLOOKUP(A942,'6.A'!$A$11:$G$180,4,FALSE))</f>
        <v/>
      </c>
      <c r="E942" s="100" t="str">
        <f>IF(A942="","",VLOOKUP(A942,'6.A'!$A$11:$G$180,5,FALSE))</f>
        <v/>
      </c>
      <c r="F942" s="24" t="str">
        <f t="shared" si="417"/>
        <v>0,00</v>
      </c>
      <c r="G942" s="52"/>
      <c r="H942" s="52" t="str">
        <f>IF(A942="","",VLOOKUP(A942,'6.A'!$A$11:$E$7984,5,FALSE))</f>
        <v/>
      </c>
      <c r="I942" s="52" t="str">
        <f t="shared" si="418"/>
        <v/>
      </c>
      <c r="J942" s="52" t="str">
        <f>IF(H942="","",VLOOKUP(A942,'6.A'!$A$11:$E$564,4,FALSE))</f>
        <v/>
      </c>
      <c r="K942" s="52" t="str">
        <f t="shared" si="419"/>
        <v/>
      </c>
      <c r="L942" s="52" t="str">
        <f>IF(H942="","",IF(C942="","",G896*C942))</f>
        <v/>
      </c>
      <c r="M942" s="117" t="str">
        <f>IF(A942="","",VLOOKUP(A942,'6.A'!$A$11:$C$564,2,FALSE))</f>
        <v/>
      </c>
      <c r="N942" s="57" t="str">
        <f t="shared" si="420"/>
        <v/>
      </c>
      <c r="O942" s="56"/>
      <c r="P942" s="56"/>
      <c r="Q942" s="48"/>
      <c r="R942" s="48"/>
    </row>
    <row r="943" spans="1:22" ht="12.75" customHeight="1" x14ac:dyDescent="0.2">
      <c r="A943" s="22"/>
      <c r="B943" s="39" t="str">
        <f>IF(A943="","",VLOOKUP(A943,'6.A'!$A$11:$G$180,2,FALSE))</f>
        <v/>
      </c>
      <c r="C943" s="99"/>
      <c r="D943" s="57" t="str">
        <f>IF(A943="","",VLOOKUP(A943,'6.A'!$A$11:$G$180,4,FALSE))</f>
        <v/>
      </c>
      <c r="E943" s="100" t="str">
        <f>IF(A943="","",VLOOKUP(A943,'6.A'!$A$11:$G$180,5,FALSE))</f>
        <v/>
      </c>
      <c r="F943" s="24" t="str">
        <f t="shared" si="417"/>
        <v>0,00</v>
      </c>
      <c r="G943" s="52"/>
      <c r="H943" s="52" t="str">
        <f>IF(A943="","",VLOOKUP(A943,'6.A'!$A$11:$E$7984,5,FALSE))</f>
        <v/>
      </c>
      <c r="I943" s="52" t="str">
        <f t="shared" si="418"/>
        <v/>
      </c>
      <c r="J943" s="52" t="str">
        <f>IF(H943="","",VLOOKUP(A943,'6.A'!$A$11:$E$564,4,FALSE))</f>
        <v/>
      </c>
      <c r="K943" s="52" t="str">
        <f t="shared" si="419"/>
        <v/>
      </c>
      <c r="L943" s="52" t="str">
        <f>IF(H943="","",IF(C943="","",G896*C943))</f>
        <v/>
      </c>
      <c r="M943" s="117" t="str">
        <f>IF(A943="","",VLOOKUP(A943,'6.A'!$A$11:$C$564,2,FALSE))</f>
        <v/>
      </c>
      <c r="N943" s="57" t="str">
        <f t="shared" si="420"/>
        <v/>
      </c>
      <c r="O943" s="56"/>
      <c r="P943" s="56"/>
      <c r="Q943" s="48"/>
      <c r="R943" s="48"/>
    </row>
    <row r="944" spans="1:22" ht="12.75" customHeight="1" x14ac:dyDescent="0.2">
      <c r="A944" s="22"/>
      <c r="B944" s="39" t="str">
        <f>IF(A944="","",VLOOKUP(A944,'6.A'!$A$11:$G$180,2,FALSE))</f>
        <v/>
      </c>
      <c r="C944" s="99"/>
      <c r="D944" s="57" t="str">
        <f>IF(A944="","",VLOOKUP(A944,'6.A'!$A$11:$G$180,4,FALSE))</f>
        <v/>
      </c>
      <c r="E944" s="100" t="str">
        <f>IF(A944="","",VLOOKUP(A944,'6.A'!$A$11:$G$180,5,FALSE))</f>
        <v/>
      </c>
      <c r="F944" s="24" t="str">
        <f t="shared" si="417"/>
        <v>0,00</v>
      </c>
      <c r="G944" s="52"/>
      <c r="H944" s="52" t="str">
        <f>IF(A944="","",VLOOKUP(A944,'6.A'!$A$11:$E$7984,5,FALSE))</f>
        <v/>
      </c>
      <c r="I944" s="52" t="str">
        <f t="shared" si="418"/>
        <v/>
      </c>
      <c r="J944" s="52" t="str">
        <f>IF(H944="","",VLOOKUP(A944,'6.A'!$A$11:$E$564,4,FALSE))</f>
        <v/>
      </c>
      <c r="K944" s="52" t="str">
        <f t="shared" si="419"/>
        <v/>
      </c>
      <c r="L944" s="52" t="str">
        <f>IF(H944="","",IF(C944="","",G896*C944))</f>
        <v/>
      </c>
      <c r="M944" s="117" t="str">
        <f>IF(A944="","",VLOOKUP(A944,'6.A'!$A$11:$C$564,2,FALSE))</f>
        <v/>
      </c>
      <c r="N944" s="57" t="str">
        <f t="shared" si="420"/>
        <v/>
      </c>
      <c r="O944" s="56"/>
      <c r="P944" s="56"/>
      <c r="Q944" s="48"/>
      <c r="R944" s="48"/>
    </row>
    <row r="945" spans="1:23" ht="12.75" customHeight="1" x14ac:dyDescent="0.2">
      <c r="A945" s="22"/>
      <c r="B945" s="26" t="str">
        <f>$A$9</f>
        <v>BDI</v>
      </c>
      <c r="C945" s="40">
        <f>$C$9</f>
        <v>0</v>
      </c>
      <c r="D945" s="57"/>
      <c r="F945" s="28">
        <f>ROUND(SUM(F925:F944)*C945,2)</f>
        <v>0</v>
      </c>
      <c r="G945" s="63"/>
      <c r="M945" s="57"/>
      <c r="N945" s="57"/>
      <c r="O945" s="56"/>
      <c r="P945" s="56"/>
      <c r="Q945" s="48"/>
      <c r="R945" s="48"/>
    </row>
    <row r="946" spans="1:23" ht="12.75" customHeight="1" thickBot="1" x14ac:dyDescent="0.25">
      <c r="A946" s="41"/>
      <c r="B946" s="42" t="s">
        <v>57</v>
      </c>
      <c r="C946" s="43"/>
      <c r="D946" s="44"/>
      <c r="E946" s="45"/>
      <c r="F946" s="46">
        <f>ROUND(SUM(F925:F945),2)</f>
        <v>0</v>
      </c>
      <c r="G946" s="63"/>
      <c r="M946" s="57"/>
      <c r="N946" s="57"/>
      <c r="O946" s="56"/>
      <c r="P946" s="56"/>
      <c r="Q946" s="48"/>
      <c r="R946" s="48"/>
    </row>
    <row r="947" spans="1:23" ht="12" customHeight="1" thickBot="1" x14ac:dyDescent="0.25">
      <c r="A947" s="8"/>
      <c r="B947" s="9"/>
      <c r="C947" s="10"/>
      <c r="D947" s="57"/>
      <c r="F947" s="12"/>
      <c r="M947" s="57"/>
      <c r="N947" s="57"/>
      <c r="O947" s="56"/>
      <c r="P947" s="56"/>
    </row>
    <row r="948" spans="1:23" ht="50.1" customHeight="1" x14ac:dyDescent="0.2">
      <c r="A948" s="13" t="str">
        <f>'3.A'!$A$38</f>
        <v>3.1.7</v>
      </c>
      <c r="B948" s="14" t="str">
        <f>IF(A948="","",VLOOKUP(A948,'3.A'!$A$17:$M$279,2,FALSE))</f>
        <v>LUVA PARA ELETRODUTO, PVC, ROSCÁVEL, DN 110 MM (4"), PARA REDE ENTERRADA DE DISTRIBUIÇÃO DE ENERGIA ELÉTRICA</v>
      </c>
      <c r="C948" s="413" t="s">
        <v>62</v>
      </c>
      <c r="D948" s="413"/>
      <c r="E948" s="15" t="str">
        <f>IF(A948="","",VLOOKUP(A948,'3.A'!$A$17:$M$279,3,FALSE))</f>
        <v>UN</v>
      </c>
      <c r="F948" s="16">
        <f>ROUND(F962+F975+F998,2)</f>
        <v>0</v>
      </c>
      <c r="G948" s="118">
        <f>VLOOKUP(A948,'3.A'!$A$19:$I$279,4,FALSE)</f>
        <v>4</v>
      </c>
      <c r="H948" s="47">
        <f>SUM(F950:F961)</f>
        <v>0</v>
      </c>
      <c r="I948" s="47">
        <f>SUM(F964:F974)</f>
        <v>0</v>
      </c>
      <c r="J948" s="47">
        <f>SUM(F977:F997)</f>
        <v>0</v>
      </c>
      <c r="K948" s="47">
        <f>SUM(H948:J948)</f>
        <v>0</v>
      </c>
      <c r="L948" s="47" t="str">
        <f>IF(K948=F948,"SIM","NÃO")</f>
        <v>SIM</v>
      </c>
      <c r="M948" s="58">
        <f>ROUND(SUM(F950:F959)*C960,2)+ROUND(SUM(F950:F960)*C961,2)+ROUND(SUM(F950:F959),2)+ROUND(SUM(F964:F973)*C974,2)+ROUND(SUM(F964:F973),2)+ROUND(SUM(F977:F996)*C997,2)+ROUND(SUM(F977:F996),2)</f>
        <v>0</v>
      </c>
      <c r="N948" s="50" t="str">
        <f>IF(M948=F948,"SIM","NÃO")</f>
        <v>SIM</v>
      </c>
      <c r="O948" s="51" t="str">
        <f>VLOOKUP(A948,'3.A'!$A$8:$E$279,3,FALSE)</f>
        <v>UN</v>
      </c>
      <c r="P948" s="51" t="str">
        <f>IF(O948=E948,"SIM","NÃO")</f>
        <v>SIM</v>
      </c>
      <c r="Q948" s="53">
        <f>ROUND(G948*F962,2)+ROUND(G948*F975,2)+ROUND(G948*F998,2)</f>
        <v>0</v>
      </c>
      <c r="R948" s="59">
        <f>VLOOKUP(A948,'3.A'!$A$17:$L$279,12,FALSE)</f>
        <v>0</v>
      </c>
      <c r="S948" s="60" t="str">
        <f>IF(Q948=R948,"si","no")</f>
        <v>si</v>
      </c>
      <c r="T948" s="61">
        <f>SUM(L950:L959)+SUM(L964:L973)+SUM(L977:L996)</f>
        <v>7.4079999999999995</v>
      </c>
      <c r="U948" s="52">
        <f>G948*C956+G948*C958+G948*C951+G948*C952+G948*C954+G948*C957+G948*C955+G948*C950+G948*C953+G948*C959+G948*C970+G948*C964+G948*C972+G948*C971+G948*C969+G948*C966+G948*C965+G948*C967+G948*C973+G948*C968+G948*C977+G948*C978+G948*C979+G948*C987+G948*C988+G948*C989+G948*C990+G948*C991+G948*C992+G948*C993+G948*C994+G948*C995+G948*C996+G948*C985+G948*C986+G948*C980+G948*C981+G948*C982+G948*C983+G948*C984</f>
        <v>7.4079999999999995</v>
      </c>
      <c r="V948" s="54" t="str">
        <f>IF(T948=U948,"si","no")</f>
        <v>si</v>
      </c>
      <c r="W948" s="137"/>
    </row>
    <row r="949" spans="1:23" ht="12.75" customHeight="1" x14ac:dyDescent="0.2">
      <c r="A949" s="17" t="s">
        <v>3</v>
      </c>
      <c r="B949" s="18" t="s">
        <v>58</v>
      </c>
      <c r="C949" s="56" t="s">
        <v>59</v>
      </c>
      <c r="D949" s="56" t="s">
        <v>16</v>
      </c>
      <c r="E949" s="19" t="s">
        <v>60</v>
      </c>
      <c r="F949" s="20" t="s">
        <v>61</v>
      </c>
      <c r="G949" s="21"/>
      <c r="M949" s="57"/>
      <c r="N949" s="57"/>
      <c r="O949" s="56"/>
      <c r="P949" s="56"/>
      <c r="Q949" s="48"/>
      <c r="R949" s="48"/>
    </row>
    <row r="950" spans="1:23" ht="12.75" customHeight="1" x14ac:dyDescent="0.2">
      <c r="A950" s="22">
        <f>'6.A'!$A$15</f>
        <v>88247</v>
      </c>
      <c r="B950" s="23" t="str">
        <f>IF(A950="","",VLOOKUP(A950,'6.A'!$A$11:$G$180,2,FALSE))</f>
        <v>AUXILIAR DE ELETRICISTA COM ENCARGOS COMPLEMENTARES</v>
      </c>
      <c r="C950" s="99">
        <v>0.42599999999999999</v>
      </c>
      <c r="D950" s="57" t="str">
        <f>IF(A950="","",VLOOKUP(A950,'6.A'!$A$11:$G$180,4,FALSE))</f>
        <v>H</v>
      </c>
      <c r="E950" s="100">
        <f>IF(A950="","",VLOOKUP(A950,'6.A'!$A$11:$G$180,5,FALSE))</f>
        <v>0</v>
      </c>
      <c r="F950" s="24">
        <f t="shared" ref="F950:F959" si="421">IF(A950="","0,00",ROUND(C950*E950,2))</f>
        <v>0</v>
      </c>
      <c r="G950" s="52"/>
      <c r="H950" s="52">
        <f>IF(A950="","",VLOOKUP(A950,'6.A'!$A$11:$E$7984,5,FALSE))</f>
        <v>0</v>
      </c>
      <c r="I950" s="52" t="str">
        <f>IF(H950="","",IF(E950=H950,"SIM","NÃO"))</f>
        <v>SIM</v>
      </c>
      <c r="J950" s="52" t="str">
        <f>IF(H950="","",VLOOKUP(A950,'6.A'!$A$11:$E$564,4,FALSE))</f>
        <v>H</v>
      </c>
      <c r="K950" s="52" t="str">
        <f>IF(H950="","",IF(J950=D950,"SIM","NÃO"))</f>
        <v>SIM</v>
      </c>
      <c r="L950" s="52">
        <f>IF(H950="","",IF(C950="","",G948*C950))</f>
        <v>1.704</v>
      </c>
      <c r="M950" s="117" t="str">
        <f>IF(A950="","",VLOOKUP(A950,'6.A'!$A$11:$C$564,2,FALSE))</f>
        <v>AUXILIAR DE ELETRICISTA COM ENCARGOS COMPLEMENTARES</v>
      </c>
      <c r="N950" s="57" t="str">
        <f>IF(A950="","",IF(M950=B950,"si","no"))</f>
        <v>si</v>
      </c>
      <c r="O950" s="56"/>
      <c r="P950" s="56"/>
      <c r="Q950" s="48"/>
      <c r="R950" s="48"/>
    </row>
    <row r="951" spans="1:23" ht="12.75" customHeight="1" x14ac:dyDescent="0.2">
      <c r="A951" s="22">
        <f>'6.A'!$A$18</f>
        <v>88264</v>
      </c>
      <c r="B951" s="23" t="str">
        <f>IF(A951="","",VLOOKUP(A951,'6.A'!$A$11:$G$180,2,FALSE))</f>
        <v>ELETRICISTA COM ENCARGOS COMPLEMENTARES</v>
      </c>
      <c r="C951" s="99">
        <v>0.42599999999999999</v>
      </c>
      <c r="D951" s="57" t="str">
        <f>IF(A951="","",VLOOKUP(A951,'6.A'!$A$11:$G$180,4,FALSE))</f>
        <v>H</v>
      </c>
      <c r="E951" s="100">
        <f>IF(A951="","",VLOOKUP(A951,'6.A'!$A$11:$G$180,5,FALSE))</f>
        <v>0</v>
      </c>
      <c r="F951" s="24">
        <f t="shared" si="421"/>
        <v>0</v>
      </c>
      <c r="G951" s="52"/>
      <c r="H951" s="52">
        <f>IF(A951="","",VLOOKUP(A951,'6.A'!$A$11:$E$7984,5,FALSE))</f>
        <v>0</v>
      </c>
      <c r="I951" s="52" t="str">
        <f>IF(H951="","",IF(E951=H951,"SIM","NÃO"))</f>
        <v>SIM</v>
      </c>
      <c r="J951" s="52" t="str">
        <f>IF(H951="","",VLOOKUP(A951,'6.A'!$A$11:$E$564,4,FALSE))</f>
        <v>H</v>
      </c>
      <c r="K951" s="52" t="str">
        <f>IF(H951="","",IF(J951=D951,"SIM","NÃO"))</f>
        <v>SIM</v>
      </c>
      <c r="L951" s="52">
        <f>IF(H951="","",IF(C951="","",G948*C951))</f>
        <v>1.704</v>
      </c>
      <c r="M951" s="117" t="str">
        <f>IF(A951="","",VLOOKUP(A951,'6.A'!$A$11:$C$564,2,FALSE))</f>
        <v>ELETRICISTA COM ENCARGOS COMPLEMENTARES</v>
      </c>
      <c r="N951" s="57" t="str">
        <f>IF(A951="","",IF(M951=B951,"si","no"))</f>
        <v>si</v>
      </c>
      <c r="O951" s="56"/>
      <c r="P951" s="56"/>
      <c r="Q951" s="48"/>
      <c r="R951" s="48"/>
    </row>
    <row r="952" spans="1:23" ht="12.75" customHeight="1" x14ac:dyDescent="0.2">
      <c r="A952" s="22"/>
      <c r="B952" s="23" t="str">
        <f>IF(A952="","",VLOOKUP(A952,'6.A'!$A$11:$G$180,2,FALSE))</f>
        <v/>
      </c>
      <c r="C952" s="99"/>
      <c r="D952" s="57" t="str">
        <f>IF(A952="","",VLOOKUP(A952,'6.A'!$A$11:$G$180,4,FALSE))</f>
        <v/>
      </c>
      <c r="E952" s="100" t="str">
        <f>IF(A952="","",VLOOKUP(A952,'6.A'!$A$11:$G$180,5,FALSE))</f>
        <v/>
      </c>
      <c r="F952" s="24" t="str">
        <f t="shared" si="421"/>
        <v>0,00</v>
      </c>
      <c r="G952" s="52"/>
      <c r="H952" s="52" t="str">
        <f>IF(A952="","",VLOOKUP(A952,'6.A'!$A$11:$E$7984,5,FALSE))</f>
        <v/>
      </c>
      <c r="I952" s="52" t="str">
        <f>IF(H952="","",IF(E952=H952,"SIM","NÃO"))</f>
        <v/>
      </c>
      <c r="J952" s="52" t="str">
        <f>IF(H952="","",VLOOKUP(A952,'6.A'!$A$11:$E$564,4,FALSE))</f>
        <v/>
      </c>
      <c r="K952" s="52" t="str">
        <f t="shared" ref="K952" si="422">IF(H952="","",IF(J952=D952,"SIM","NÃO"))</f>
        <v/>
      </c>
      <c r="L952" s="52" t="str">
        <f>IF(H952="","",IF(C952="","",G948*C952))</f>
        <v/>
      </c>
      <c r="M952" s="117" t="str">
        <f>IF(A952="","",VLOOKUP(A952,'6.A'!$A$11:$C$564,2,FALSE))</f>
        <v/>
      </c>
      <c r="N952" s="57" t="str">
        <f t="shared" ref="N952" si="423">IF(A952="","",IF(M952=B952,"si","no"))</f>
        <v/>
      </c>
      <c r="O952" s="56"/>
      <c r="P952" s="56"/>
      <c r="Q952" s="48"/>
      <c r="R952" s="48"/>
      <c r="S952" s="2"/>
    </row>
    <row r="953" spans="1:23" ht="12.75" customHeight="1" x14ac:dyDescent="0.2">
      <c r="A953" s="22"/>
      <c r="B953" s="23" t="str">
        <f>IF(A953="","",VLOOKUP(A953,'6.A'!$A$11:$G$180,2,FALSE))</f>
        <v/>
      </c>
      <c r="C953" s="99"/>
      <c r="D953" s="57" t="str">
        <f>IF(A953="","",VLOOKUP(A953,'6.A'!$A$11:$G$180,4,FALSE))</f>
        <v/>
      </c>
      <c r="E953" s="100" t="str">
        <f>IF(A953="","",VLOOKUP(A953,'6.A'!$A$11:$G$180,5,FALSE))</f>
        <v/>
      </c>
      <c r="F953" s="24" t="str">
        <f t="shared" si="421"/>
        <v>0,00</v>
      </c>
      <c r="G953" s="52"/>
      <c r="H953" s="52" t="str">
        <f>IF(A953="","",VLOOKUP(A953,'6.A'!$A$11:$E$7984,5,FALSE))</f>
        <v/>
      </c>
      <c r="I953" s="52" t="str">
        <f>IF(H953="","",IF(E953=H953,"SIM","NÃO"))</f>
        <v/>
      </c>
      <c r="J953" s="52" t="str">
        <f>IF(H953="","",VLOOKUP(A953,'6.A'!$A$11:$E$564,4,FALSE))</f>
        <v/>
      </c>
      <c r="K953" s="52" t="str">
        <f>IF(H953="","",IF(J953=D953,"SIM","NÃO"))</f>
        <v/>
      </c>
      <c r="L953" s="52" t="str">
        <f>IF(H953="","",IF(C953="","",G948*C953))</f>
        <v/>
      </c>
      <c r="M953" s="117" t="str">
        <f>IF(A953="","",VLOOKUP(A953,'6.A'!$A$11:$C$564,2,FALSE))</f>
        <v/>
      </c>
      <c r="N953" s="57" t="str">
        <f>IF(A953="","",IF(M953=B953,"si","no"))</f>
        <v/>
      </c>
      <c r="O953" s="56"/>
      <c r="P953" s="56"/>
      <c r="Q953" s="48"/>
      <c r="R953" s="48"/>
      <c r="S953" s="2"/>
    </row>
    <row r="954" spans="1:23" ht="12.75" customHeight="1" x14ac:dyDescent="0.2">
      <c r="A954" s="22"/>
      <c r="B954" s="23" t="str">
        <f>IF(A954="","",VLOOKUP(A954,'6.A'!$A$11:$G$180,2,FALSE))</f>
        <v/>
      </c>
      <c r="C954" s="99"/>
      <c r="D954" s="57" t="str">
        <f>IF(A954="","",VLOOKUP(A954,'6.A'!$A$11:$G$180,4,FALSE))</f>
        <v/>
      </c>
      <c r="E954" s="101" t="str">
        <f>IF(A954="","",VLOOKUP(A954,'6.A'!$A$11:$G$180,5,FALSE))</f>
        <v/>
      </c>
      <c r="F954" s="24" t="str">
        <f t="shared" si="421"/>
        <v>0,00</v>
      </c>
      <c r="G954" s="52"/>
      <c r="H954" s="52" t="str">
        <f>IF(A954="","",VLOOKUP(A954,'6.A'!$A$11:$E$7984,5,FALSE))</f>
        <v/>
      </c>
      <c r="I954" s="52" t="str">
        <f t="shared" ref="I954" si="424">IF(H954="","",IF(E954=H954,"SIM","NÃO"))</f>
        <v/>
      </c>
      <c r="J954" s="52" t="str">
        <f>IF(H954="","",VLOOKUP(A954,'6.A'!$A$11:$E$564,4,FALSE))</f>
        <v/>
      </c>
      <c r="K954" s="52" t="str">
        <f t="shared" ref="K954" si="425">IF(H954="","",IF(J954=D954,"SIM","NÃO"))</f>
        <v/>
      </c>
      <c r="L954" s="52" t="str">
        <f>IF(H954="","",IF(C954="","",G948*C954))</f>
        <v/>
      </c>
      <c r="M954" s="117" t="str">
        <f>IF(A954="","",VLOOKUP(A954,'6.A'!$A$11:$C$564,2,FALSE))</f>
        <v/>
      </c>
      <c r="N954" s="57" t="str">
        <f t="shared" ref="N954" si="426">IF(A954="","",IF(M954=B954,"si","no"))</f>
        <v/>
      </c>
      <c r="O954" s="56"/>
      <c r="P954" s="56"/>
      <c r="Q954" s="48"/>
      <c r="R954" s="48"/>
      <c r="S954" s="2"/>
    </row>
    <row r="955" spans="1:23" ht="12.75" customHeight="1" x14ac:dyDescent="0.2">
      <c r="A955" s="22"/>
      <c r="B955" s="23" t="str">
        <f>IF(A955="","",VLOOKUP(A955,'6.A'!$A$11:$G$180,2,FALSE))</f>
        <v/>
      </c>
      <c r="C955" s="99"/>
      <c r="D955" s="57" t="str">
        <f>IF(A955="","",VLOOKUP(A955,'6.A'!$A$11:$G$180,4,FALSE))</f>
        <v/>
      </c>
      <c r="E955" s="101" t="str">
        <f>IF(A955="","",VLOOKUP(A955,'6.A'!$A$11:$G$180,5,FALSE))</f>
        <v/>
      </c>
      <c r="F955" s="24" t="str">
        <f t="shared" si="421"/>
        <v>0,00</v>
      </c>
      <c r="G955" s="52"/>
      <c r="H955" s="52" t="str">
        <f>IF(A955="","",VLOOKUP(A955,'6.A'!$A$11:$E$7984,5,FALSE))</f>
        <v/>
      </c>
      <c r="I955" s="52" t="str">
        <f>IF(H955="","",IF(E955=H955,"SIM","NÃO"))</f>
        <v/>
      </c>
      <c r="J955" s="52" t="str">
        <f>IF(H955="","",VLOOKUP(A955,'6.A'!$A$11:$E$564,4,FALSE))</f>
        <v/>
      </c>
      <c r="K955" s="52" t="str">
        <f>IF(H955="","",IF(J955=D955,"SIM","NÃO"))</f>
        <v/>
      </c>
      <c r="L955" s="52" t="str">
        <f>IF(H955="","",IF(C955="","",G948*C955))</f>
        <v/>
      </c>
      <c r="M955" s="117" t="str">
        <f>IF(A955="","",VLOOKUP(A955,'6.A'!$A$11:$C$564,2,FALSE))</f>
        <v/>
      </c>
      <c r="N955" s="57" t="str">
        <f>IF(A955="","",IF(M955=B955,"si","no"))</f>
        <v/>
      </c>
      <c r="O955" s="56"/>
      <c r="P955" s="56"/>
      <c r="Q955" s="48"/>
      <c r="R955" s="48"/>
      <c r="S955" s="2"/>
    </row>
    <row r="956" spans="1:23" ht="12.75" customHeight="1" x14ac:dyDescent="0.2">
      <c r="A956" s="22"/>
      <c r="B956" s="23" t="str">
        <f>IF(A956="","",VLOOKUP(A956,'6.A'!$A$11:$G$180,2,FALSE))</f>
        <v/>
      </c>
      <c r="C956" s="99"/>
      <c r="D956" s="57" t="str">
        <f>IF(A956="","",VLOOKUP(A956,'6.A'!$A$11:$G$180,4,FALSE))</f>
        <v/>
      </c>
      <c r="E956" s="100" t="str">
        <f>IF(A956="","",VLOOKUP(A956,'6.A'!$A$11:$G$180,5,FALSE))</f>
        <v/>
      </c>
      <c r="F956" s="24" t="str">
        <f t="shared" si="421"/>
        <v>0,00</v>
      </c>
      <c r="G956" s="52"/>
      <c r="H956" s="52" t="str">
        <f>IF(A956="","",VLOOKUP(A956,'6.A'!$A$11:$E$7984,5,FALSE))</f>
        <v/>
      </c>
      <c r="I956" s="52" t="str">
        <f>IF(H956="","",IF(E956=H956,"SIM","NÃO"))</f>
        <v/>
      </c>
      <c r="J956" s="52" t="str">
        <f>IF(H956="","",VLOOKUP(A956,'6.A'!$A$11:$E$564,4,FALSE))</f>
        <v/>
      </c>
      <c r="K956" s="52" t="str">
        <f>IF(H956="","",IF(J956=D956,"SIM","NÃO"))</f>
        <v/>
      </c>
      <c r="L956" s="52" t="str">
        <f>IF(H956="","",IF(C956="","",G948*C956))</f>
        <v/>
      </c>
      <c r="M956" s="117" t="str">
        <f>IF(A956="","",VLOOKUP(A956,'6.A'!$A$11:$C$564,2,FALSE))</f>
        <v/>
      </c>
      <c r="N956" s="57" t="str">
        <f>IF(A956="","",IF(M956=B956,"si","no"))</f>
        <v/>
      </c>
      <c r="O956" s="56"/>
      <c r="P956" s="56"/>
      <c r="Q956" s="48"/>
      <c r="R956" s="48"/>
      <c r="S956" s="2"/>
    </row>
    <row r="957" spans="1:23" ht="12.75" customHeight="1" x14ac:dyDescent="0.2">
      <c r="A957" s="22"/>
      <c r="B957" s="23" t="str">
        <f>IF(A957="","",VLOOKUP(A957,'6.A'!$A$11:$G$180,2,FALSE))</f>
        <v/>
      </c>
      <c r="C957" s="99"/>
      <c r="D957" s="57" t="str">
        <f>IF(A957="","",VLOOKUP(A957,'6.A'!$A$11:$G$180,4,FALSE))</f>
        <v/>
      </c>
      <c r="E957" s="100" t="str">
        <f>IF(A957="","",VLOOKUP(A957,'6.A'!$A$11:$G$180,5,FALSE))</f>
        <v/>
      </c>
      <c r="F957" s="24" t="str">
        <f t="shared" si="421"/>
        <v>0,00</v>
      </c>
      <c r="G957" s="52"/>
      <c r="H957" s="52" t="str">
        <f>IF(A957="","",VLOOKUP(A957,'6.A'!$A$11:$E$7984,5,FALSE))</f>
        <v/>
      </c>
      <c r="I957" s="52" t="str">
        <f t="shared" ref="I957" si="427">IF(H957="","",IF(E957=H957,"SIM","NÃO"))</f>
        <v/>
      </c>
      <c r="J957" s="52" t="str">
        <f>IF(H957="","",VLOOKUP(A957,'6.A'!$A$11:$E$564,4,FALSE))</f>
        <v/>
      </c>
      <c r="K957" s="52" t="str">
        <f t="shared" ref="K957" si="428">IF(H957="","",IF(J957=D957,"SIM","NÃO"))</f>
        <v/>
      </c>
      <c r="L957" s="52" t="str">
        <f>IF(H957="","",IF(C957="","",G948*C957))</f>
        <v/>
      </c>
      <c r="M957" s="117" t="str">
        <f>IF(A957="","",VLOOKUP(A957,'6.A'!$A$11:$C$564,2,FALSE))</f>
        <v/>
      </c>
      <c r="N957" s="57" t="str">
        <f t="shared" ref="N957" si="429">IF(A957="","",IF(M957=B957,"si","no"))</f>
        <v/>
      </c>
      <c r="O957" s="56"/>
      <c r="P957" s="56"/>
      <c r="Q957" s="48"/>
      <c r="R957" s="48"/>
      <c r="S957" s="2"/>
    </row>
    <row r="958" spans="1:23" ht="12.75" customHeight="1" x14ac:dyDescent="0.2">
      <c r="A958" s="22"/>
      <c r="B958" s="23" t="str">
        <f>IF(A958="","",VLOOKUP(A958,'6.A'!$A$11:$G$180,2,FALSE))</f>
        <v/>
      </c>
      <c r="C958" s="99"/>
      <c r="D958" s="73" t="str">
        <f>IF(A958="","",VLOOKUP(A958,'6.A'!$A$11:$G$180,4,FALSE))</f>
        <v/>
      </c>
      <c r="E958" s="101" t="str">
        <f>IF(A958="","",VLOOKUP(A958,'6.A'!$A$11:$G$180,5,FALSE))</f>
        <v/>
      </c>
      <c r="F958" s="24" t="str">
        <f t="shared" si="421"/>
        <v>0,00</v>
      </c>
      <c r="G958" s="52"/>
      <c r="H958" s="52" t="str">
        <f>IF(A958="","",VLOOKUP(A958,'6.A'!$A$11:$E$7984,5,FALSE))</f>
        <v/>
      </c>
      <c r="I958" s="52" t="str">
        <f>IF(H958="","",IF(E958=H958,"SIM","NÃO"))</f>
        <v/>
      </c>
      <c r="J958" s="52" t="str">
        <f>IF(H958="","",VLOOKUP(A958,'6.A'!$A$11:$E$564,4,FALSE))</f>
        <v/>
      </c>
      <c r="K958" s="52" t="str">
        <f>IF(H958="","",IF(J958=D958,"SIM","NÃO"))</f>
        <v/>
      </c>
      <c r="L958" s="52" t="str">
        <f>IF(H958="","",IF(C958="","",G948*C958))</f>
        <v/>
      </c>
      <c r="M958" s="117" t="str">
        <f>IF(A958="","",VLOOKUP(A958,'6.A'!$A$11:$C$564,2,FALSE))</f>
        <v/>
      </c>
      <c r="N958" s="57" t="str">
        <f>IF(A958="","",IF(M958=B958,"si","no"))</f>
        <v/>
      </c>
      <c r="O958" s="56"/>
      <c r="P958" s="56"/>
      <c r="Q958" s="48"/>
      <c r="R958" s="48"/>
      <c r="S958" s="2"/>
    </row>
    <row r="959" spans="1:23" ht="12.75" customHeight="1" x14ac:dyDescent="0.2">
      <c r="A959" s="22"/>
      <c r="B959" s="23" t="str">
        <f>IF(A959="","",VLOOKUP(A959,'6.A'!$A$11:$G$180,2,FALSE))</f>
        <v/>
      </c>
      <c r="C959" s="99"/>
      <c r="D959" s="25" t="str">
        <f>IF(A959="","",VLOOKUP(A959,'6.A'!$A$11:$G$180,4,FALSE))</f>
        <v/>
      </c>
      <c r="E959" s="101" t="str">
        <f>IF(A959="","",VLOOKUP(A959,'6.A'!$A$11:$G$180,5,FALSE))</f>
        <v/>
      </c>
      <c r="F959" s="24" t="str">
        <f t="shared" si="421"/>
        <v>0,00</v>
      </c>
      <c r="G959" s="52"/>
      <c r="H959" s="52" t="str">
        <f>IF(A959="","",VLOOKUP(A959,'6.A'!$A$11:$E$7984,5,FALSE))</f>
        <v/>
      </c>
      <c r="I959" s="52" t="str">
        <f t="shared" ref="I959" si="430">IF(H959="","",IF(E959=H959,"SIM","NÃO"))</f>
        <v/>
      </c>
      <c r="J959" s="52" t="str">
        <f>IF(H959="","",VLOOKUP(A959,'6.A'!$A$11:$E$564,4,FALSE))</f>
        <v/>
      </c>
      <c r="K959" s="52" t="str">
        <f t="shared" ref="K959" si="431">IF(H959="","",IF(J959=D959,"SIM","NÃO"))</f>
        <v/>
      </c>
      <c r="L959" s="52" t="str">
        <f>IF(H959="","",IF(C959="","",G948*C959))</f>
        <v/>
      </c>
      <c r="M959" s="117" t="str">
        <f>IF(A959="","",VLOOKUP(A959,'6.A'!$A$11:$C$564,2,FALSE))</f>
        <v/>
      </c>
      <c r="N959" s="57" t="str">
        <f t="shared" ref="N959" si="432">IF(A959="","",IF(M959=B959,"si","no"))</f>
        <v/>
      </c>
      <c r="O959" s="56"/>
      <c r="P959" s="56"/>
      <c r="Q959" s="48"/>
      <c r="R959" s="48"/>
      <c r="S959" s="2"/>
    </row>
    <row r="960" spans="1:23" ht="12.75" customHeight="1" x14ac:dyDescent="0.2">
      <c r="A960" s="17"/>
      <c r="B960" s="26" t="str">
        <f>$A$8</f>
        <v>LEIS SOCIAIS HORISTA - JORNADA NORMAL</v>
      </c>
      <c r="C960" s="27">
        <f>$C$8</f>
        <v>0</v>
      </c>
      <c r="D960" s="57"/>
      <c r="F960" s="28">
        <f>ROUND(SUM(F950:F959)*C960,2)</f>
        <v>0</v>
      </c>
      <c r="G960" s="63"/>
      <c r="M960" s="62"/>
      <c r="N960" s="57"/>
      <c r="O960" s="56"/>
      <c r="P960" s="56"/>
      <c r="Q960" s="48"/>
      <c r="R960" s="48"/>
      <c r="S960" s="2"/>
    </row>
    <row r="961" spans="1:19" ht="12.75" customHeight="1" x14ac:dyDescent="0.2">
      <c r="A961" s="22"/>
      <c r="B961" s="26" t="str">
        <f>$A$9</f>
        <v>BDI</v>
      </c>
      <c r="C961" s="27">
        <f>$C$9</f>
        <v>0</v>
      </c>
      <c r="D961" s="29"/>
      <c r="F961" s="28">
        <f>ROUND(SUM(F950:F960)*C961,2)</f>
        <v>0</v>
      </c>
      <c r="G961" s="63"/>
      <c r="M961" s="62"/>
      <c r="N961" s="57"/>
      <c r="O961" s="56"/>
      <c r="P961" s="56"/>
      <c r="Q961" s="48"/>
      <c r="R961" s="48"/>
      <c r="S961" s="2"/>
    </row>
    <row r="962" spans="1:19" ht="12.75" customHeight="1" x14ac:dyDescent="0.2">
      <c r="A962" s="30"/>
      <c r="B962" s="31" t="s">
        <v>56</v>
      </c>
      <c r="C962" s="32"/>
      <c r="D962" s="33"/>
      <c r="E962" s="34"/>
      <c r="F962" s="35">
        <f>ROUND(SUM(F950:F961),2)</f>
        <v>0</v>
      </c>
      <c r="G962" s="63"/>
      <c r="M962" s="62"/>
      <c r="N962" s="57"/>
      <c r="O962" s="56"/>
      <c r="P962" s="56"/>
      <c r="Q962" s="48"/>
      <c r="R962" s="48"/>
      <c r="S962" s="2"/>
    </row>
    <row r="963" spans="1:19" ht="12.75" customHeight="1" x14ac:dyDescent="0.2">
      <c r="A963" s="17" t="s">
        <v>5</v>
      </c>
      <c r="B963" s="153" t="s">
        <v>130</v>
      </c>
      <c r="C963" s="56" t="s">
        <v>59</v>
      </c>
      <c r="D963" s="56" t="s">
        <v>16</v>
      </c>
      <c r="E963" s="19" t="s">
        <v>60</v>
      </c>
      <c r="F963" s="20" t="s">
        <v>61</v>
      </c>
      <c r="G963" s="21"/>
      <c r="M963" s="62"/>
      <c r="N963" s="57"/>
      <c r="O963" s="56"/>
      <c r="P963" s="56"/>
      <c r="Q963" s="48"/>
      <c r="R963" s="48"/>
      <c r="S963" s="2"/>
    </row>
    <row r="964" spans="1:19" ht="12.75" customHeight="1" x14ac:dyDescent="0.2">
      <c r="A964" s="22"/>
      <c r="B964" s="23" t="str">
        <f>IF(A964="","",VLOOKUP(A964,'6.A'!$A$11:$G$180,2,FALSE))</f>
        <v/>
      </c>
      <c r="C964" s="99"/>
      <c r="D964" s="57" t="str">
        <f>IF(A964="","",VLOOKUP(A964,'6.A'!$A$11:$G$180,4,FALSE))</f>
        <v/>
      </c>
      <c r="E964" s="100" t="str">
        <f>IF(A964="","",VLOOKUP(A964,'6.A'!$A$11:$G$180,5,FALSE))</f>
        <v/>
      </c>
      <c r="F964" s="24" t="str">
        <f t="shared" ref="F964:F973" si="433">IF(A964="","0,00",ROUND(C964*E964,2))</f>
        <v>0,00</v>
      </c>
      <c r="G964" s="52"/>
      <c r="H964" s="52" t="str">
        <f>IF(A964="","",VLOOKUP(A964,'6.A'!$A$11:$E$7984,5,FALSE))</f>
        <v/>
      </c>
      <c r="I964" s="52" t="str">
        <f t="shared" ref="I964:I973" si="434">IF(H964="","",IF(E964=H964,"SIM","NÃO"))</f>
        <v/>
      </c>
      <c r="J964" s="52" t="str">
        <f>IF(H964="","",VLOOKUP(A964,'6.A'!$A$11:$E$564,4,FALSE))</f>
        <v/>
      </c>
      <c r="K964" s="52" t="str">
        <f t="shared" ref="K964:K973" si="435">IF(H964="","",IF(J964=D964,"SIM","NÃO"))</f>
        <v/>
      </c>
      <c r="L964" s="52" t="str">
        <f>IF(H964="","",IF(C964="","",G948*C964))</f>
        <v/>
      </c>
      <c r="M964" s="117" t="str">
        <f>IF(A964="","",VLOOKUP(A964,'6.A'!$A$11:$C$564,2,FALSE))</f>
        <v/>
      </c>
      <c r="N964" s="57" t="str">
        <f t="shared" ref="N964:N969" si="436">IF(A964="","",IF(M964=B964,"si","no"))</f>
        <v/>
      </c>
      <c r="O964" s="56"/>
      <c r="P964" s="56"/>
      <c r="Q964" s="48"/>
      <c r="R964" s="48"/>
      <c r="S964" s="2"/>
    </row>
    <row r="965" spans="1:19" ht="12.75" customHeight="1" x14ac:dyDescent="0.2">
      <c r="A965" s="22"/>
      <c r="B965" s="23" t="str">
        <f>IF(A965="","",VLOOKUP(A965,'6.A'!$A$11:$G$180,2,FALSE))</f>
        <v/>
      </c>
      <c r="C965" s="99"/>
      <c r="D965" s="57" t="str">
        <f>IF(A965="","",VLOOKUP(A965,'6.A'!$A$11:$G$180,4,FALSE))</f>
        <v/>
      </c>
      <c r="E965" s="100" t="str">
        <f>IF(A965="","",VLOOKUP(A965,'6.A'!$A$11:$G$180,5,FALSE))</f>
        <v/>
      </c>
      <c r="F965" s="24" t="str">
        <f t="shared" si="433"/>
        <v>0,00</v>
      </c>
      <c r="G965" s="52"/>
      <c r="H965" s="52" t="str">
        <f>IF(A965="","",VLOOKUP(A965,'6.A'!$A$11:$E$7984,5,FALSE))</f>
        <v/>
      </c>
      <c r="I965" s="52" t="str">
        <f t="shared" si="434"/>
        <v/>
      </c>
      <c r="J965" s="52" t="str">
        <f>IF(H965="","",VLOOKUP(A965,'6.A'!$A$11:$E$564,4,FALSE))</f>
        <v/>
      </c>
      <c r="K965" s="52" t="str">
        <f t="shared" si="435"/>
        <v/>
      </c>
      <c r="L965" s="52" t="str">
        <f>IF(H965="","",IF(C965="","",G948*C965))</f>
        <v/>
      </c>
      <c r="M965" s="117" t="str">
        <f>IF(A965="","",VLOOKUP(A965,'6.A'!$A$11:$C$564,2,FALSE))</f>
        <v/>
      </c>
      <c r="N965" s="57" t="str">
        <f t="shared" si="436"/>
        <v/>
      </c>
      <c r="O965" s="56"/>
      <c r="P965" s="56"/>
      <c r="Q965" s="48"/>
      <c r="R965" s="48"/>
      <c r="S965" s="2"/>
    </row>
    <row r="966" spans="1:19" ht="12.75" customHeight="1" x14ac:dyDescent="0.2">
      <c r="A966" s="22"/>
      <c r="B966" s="23" t="str">
        <f>IF(A966="","",VLOOKUP(A966,'6.A'!$A$11:$G$180,2,FALSE))</f>
        <v/>
      </c>
      <c r="C966" s="99"/>
      <c r="D966" s="57" t="str">
        <f>IF(A966="","",VLOOKUP(A966,'6.A'!$A$11:$G$180,4,FALSE))</f>
        <v/>
      </c>
      <c r="E966" s="100" t="str">
        <f>IF(A966="","",VLOOKUP(A966,'6.A'!$A$11:$G$180,5,FALSE))</f>
        <v/>
      </c>
      <c r="F966" s="24" t="str">
        <f t="shared" si="433"/>
        <v>0,00</v>
      </c>
      <c r="G966" s="52"/>
      <c r="H966" s="52" t="str">
        <f>IF(A966="","",VLOOKUP(A966,'6.A'!$A$11:$E$7984,5,FALSE))</f>
        <v/>
      </c>
      <c r="I966" s="52" t="str">
        <f t="shared" si="434"/>
        <v/>
      </c>
      <c r="J966" s="52" t="str">
        <f>IF(H966="","",VLOOKUP(A966,'6.A'!$A$11:$E$564,4,FALSE))</f>
        <v/>
      </c>
      <c r="K966" s="52" t="str">
        <f t="shared" si="435"/>
        <v/>
      </c>
      <c r="L966" s="52" t="str">
        <f>IF(H966="","",IF(C966="","",G948*C966))</f>
        <v/>
      </c>
      <c r="M966" s="117" t="str">
        <f>IF(A966="","",VLOOKUP(A966,'6.A'!$A$11:$C$564,2,FALSE))</f>
        <v/>
      </c>
      <c r="N966" s="57" t="str">
        <f t="shared" si="436"/>
        <v/>
      </c>
      <c r="O966" s="56"/>
      <c r="P966" s="56"/>
      <c r="Q966" s="48"/>
      <c r="R966" s="48"/>
      <c r="S966" s="2"/>
    </row>
    <row r="967" spans="1:19" ht="12.75" customHeight="1" x14ac:dyDescent="0.2">
      <c r="A967" s="22"/>
      <c r="B967" s="55" t="str">
        <f>IF(A967="","",VLOOKUP(A967,'6.A'!$A$11:$G$180,2,FALSE))</f>
        <v/>
      </c>
      <c r="C967" s="134"/>
      <c r="D967" s="57" t="str">
        <f>IF(A967="","",VLOOKUP(A967,'6.A'!$A$11:$G$180,4,FALSE))</f>
        <v/>
      </c>
      <c r="E967" s="100" t="str">
        <f>IF(A967="","",VLOOKUP(A967,'6.A'!$A$11:$G$180,5,FALSE))</f>
        <v/>
      </c>
      <c r="F967" s="24" t="str">
        <f t="shared" si="433"/>
        <v>0,00</v>
      </c>
      <c r="G967" s="52"/>
      <c r="H967" s="52" t="str">
        <f>IF(A967="","",VLOOKUP(A967,'6.A'!$A$11:$E$7984,5,FALSE))</f>
        <v/>
      </c>
      <c r="I967" s="52" t="str">
        <f t="shared" si="434"/>
        <v/>
      </c>
      <c r="J967" s="52" t="str">
        <f>IF(H967="","",VLOOKUP(A967,'6.A'!$A$11:$E$564,4,FALSE))</f>
        <v/>
      </c>
      <c r="K967" s="52" t="str">
        <f t="shared" si="435"/>
        <v/>
      </c>
      <c r="L967" s="52" t="str">
        <f>IF(H967="","",IF(C967="","",G948*C967))</f>
        <v/>
      </c>
      <c r="M967" s="117" t="str">
        <f>IF(A967="","",VLOOKUP(A967,'6.A'!$A$11:$C$564,2,FALSE))</f>
        <v/>
      </c>
      <c r="N967" s="57" t="str">
        <f t="shared" si="436"/>
        <v/>
      </c>
      <c r="O967" s="56"/>
      <c r="P967" s="56"/>
      <c r="Q967" s="48"/>
      <c r="R967" s="48"/>
      <c r="S967" s="2"/>
    </row>
    <row r="968" spans="1:19" ht="12.75" customHeight="1" x14ac:dyDescent="0.2">
      <c r="A968" s="22"/>
      <c r="B968" s="23" t="str">
        <f>IF(A968="","",VLOOKUP(A968,'6.A'!$A$11:$G$180,2,FALSE))</f>
        <v/>
      </c>
      <c r="C968" s="99"/>
      <c r="D968" s="57" t="str">
        <f>IF(A968="","",VLOOKUP(A968,'6.A'!$A$11:$G$180,4,FALSE))</f>
        <v/>
      </c>
      <c r="E968" s="100" t="str">
        <f>IF(A968="","",VLOOKUP(A968,'6.A'!$A$11:$G$180,5,FALSE))</f>
        <v/>
      </c>
      <c r="F968" s="24" t="str">
        <f t="shared" si="433"/>
        <v>0,00</v>
      </c>
      <c r="G968" s="52"/>
      <c r="H968" s="52" t="str">
        <f>IF(A968="","",VLOOKUP(A968,'6.A'!$A$11:$E$7984,5,FALSE))</f>
        <v/>
      </c>
      <c r="I968" s="52" t="str">
        <f t="shared" si="434"/>
        <v/>
      </c>
      <c r="J968" s="52" t="str">
        <f>IF(H968="","",VLOOKUP(A968,'6.A'!$A$11:$E$564,4,FALSE))</f>
        <v/>
      </c>
      <c r="K968" s="52" t="str">
        <f t="shared" si="435"/>
        <v/>
      </c>
      <c r="L968" s="52" t="str">
        <f>IF(H968="","",IF(C968="","",G948*C968))</f>
        <v/>
      </c>
      <c r="M968" s="117" t="str">
        <f>IF(A968="","",VLOOKUP(A968,'6.A'!$A$11:$C$564,2,FALSE))</f>
        <v/>
      </c>
      <c r="N968" s="57" t="str">
        <f t="shared" si="436"/>
        <v/>
      </c>
      <c r="O968" s="56"/>
      <c r="P968" s="56"/>
      <c r="Q968" s="48"/>
      <c r="R968" s="48"/>
      <c r="S968" s="2"/>
    </row>
    <row r="969" spans="1:19" ht="12.75" customHeight="1" x14ac:dyDescent="0.2">
      <c r="A969" s="22"/>
      <c r="B969" s="23" t="str">
        <f>IF(A969="","",VLOOKUP(A969,'6.A'!$A$11:$G$180,2,FALSE))</f>
        <v/>
      </c>
      <c r="C969" s="99"/>
      <c r="D969" s="57" t="str">
        <f>IF(A969="","",VLOOKUP(A969,'6.A'!$A$11:$G$180,4,FALSE))</f>
        <v/>
      </c>
      <c r="E969" s="100" t="str">
        <f>IF(A969="","",VLOOKUP(A969,'6.A'!$A$11:$G$180,5,FALSE))</f>
        <v/>
      </c>
      <c r="F969" s="24" t="str">
        <f t="shared" si="433"/>
        <v>0,00</v>
      </c>
      <c r="G969" s="52"/>
      <c r="H969" s="52" t="str">
        <f>IF(A969="","",VLOOKUP(A969,'6.A'!$A$11:$E$7984,5,FALSE))</f>
        <v/>
      </c>
      <c r="I969" s="52" t="str">
        <f t="shared" si="434"/>
        <v/>
      </c>
      <c r="J969" s="52" t="str">
        <f>IF(H969="","",VLOOKUP(A969,'6.A'!$A$11:$E$564,4,FALSE))</f>
        <v/>
      </c>
      <c r="K969" s="52" t="str">
        <f t="shared" si="435"/>
        <v/>
      </c>
      <c r="L969" s="52" t="str">
        <f>IF(H969="","",IF(C969="","",G948*C969))</f>
        <v/>
      </c>
      <c r="M969" s="117" t="str">
        <f>IF(A969="","",VLOOKUP(A969,'6.A'!$A$11:$C$564,2,FALSE))</f>
        <v/>
      </c>
      <c r="N969" s="57" t="str">
        <f t="shared" si="436"/>
        <v/>
      </c>
      <c r="O969" s="56"/>
      <c r="P969" s="56"/>
      <c r="Q969" s="48"/>
      <c r="R969" s="48"/>
      <c r="S969" s="2"/>
    </row>
    <row r="970" spans="1:19" ht="12.75" customHeight="1" x14ac:dyDescent="0.2">
      <c r="A970" s="22"/>
      <c r="B970" s="23" t="str">
        <f>IF(A970="","",VLOOKUP(A970,'6.A'!$A$11:$G$180,2,FALSE))</f>
        <v/>
      </c>
      <c r="C970" s="99"/>
      <c r="D970" s="57" t="str">
        <f>IF(A970="","",VLOOKUP(A970,'6.A'!$A$11:$G$180,4,FALSE))</f>
        <v/>
      </c>
      <c r="E970" s="100" t="str">
        <f>IF(A970="","",VLOOKUP(A970,'6.A'!$A$11:$G$180,5,FALSE))</f>
        <v/>
      </c>
      <c r="F970" s="24" t="str">
        <f t="shared" si="433"/>
        <v>0,00</v>
      </c>
      <c r="G970" s="52"/>
      <c r="H970" s="52" t="str">
        <f>IF(A970="","",VLOOKUP(A970,'6.A'!$A$11:$E$7984,5,FALSE))</f>
        <v/>
      </c>
      <c r="I970" s="52" t="str">
        <f t="shared" si="434"/>
        <v/>
      </c>
      <c r="J970" s="52" t="str">
        <f>IF(H970="","",VLOOKUP(A970,'6.A'!$A$11:$E$564,4,FALSE))</f>
        <v/>
      </c>
      <c r="K970" s="52" t="str">
        <f t="shared" si="435"/>
        <v/>
      </c>
      <c r="L970" s="52" t="str">
        <f>IF(H970="","",IF(C970="","",G948*C970))</f>
        <v/>
      </c>
      <c r="M970" s="117" t="str">
        <f>IF(A970="","",VLOOKUP(A970,'6.A'!$A$11:$C$564,2,FALSE))</f>
        <v/>
      </c>
      <c r="N970" s="57" t="str">
        <f>IF(A970="","",IF(M970=B970,"si","no"))</f>
        <v/>
      </c>
      <c r="O970" s="56"/>
      <c r="P970" s="56"/>
      <c r="Q970" s="48"/>
      <c r="R970" s="48"/>
      <c r="S970" s="2"/>
    </row>
    <row r="971" spans="1:19" ht="12.75" customHeight="1" x14ac:dyDescent="0.2">
      <c r="A971" s="22"/>
      <c r="B971" s="23" t="str">
        <f>IF(A971="","",VLOOKUP(A971,'6.A'!$A$11:$G$180,2,FALSE))</f>
        <v/>
      </c>
      <c r="C971" s="99"/>
      <c r="D971" s="57" t="str">
        <f>IF(A971="","",VLOOKUP(A971,'6.A'!$A$11:$G$180,4,FALSE))</f>
        <v/>
      </c>
      <c r="E971" s="100" t="str">
        <f>IF(A971="","",VLOOKUP(A971,'6.A'!$A$11:$G$180,5,FALSE))</f>
        <v/>
      </c>
      <c r="F971" s="24" t="str">
        <f t="shared" si="433"/>
        <v>0,00</v>
      </c>
      <c r="G971" s="52"/>
      <c r="H971" s="52" t="str">
        <f>IF(A971="","",VLOOKUP(A971,'6.A'!$A$11:$E$7984,5,FALSE))</f>
        <v/>
      </c>
      <c r="I971" s="52" t="str">
        <f t="shared" si="434"/>
        <v/>
      </c>
      <c r="J971" s="52" t="str">
        <f>IF(H971="","",VLOOKUP(A971,'6.A'!$A$11:$E$564,4,FALSE))</f>
        <v/>
      </c>
      <c r="K971" s="52" t="str">
        <f t="shared" si="435"/>
        <v/>
      </c>
      <c r="L971" s="52" t="str">
        <f>IF(H971="","",IF(C971="","",G948*C971))</f>
        <v/>
      </c>
      <c r="M971" s="117" t="str">
        <f>IF(A971="","",VLOOKUP(A971,'6.A'!$A$11:$C$564,2,FALSE))</f>
        <v/>
      </c>
      <c r="N971" s="57" t="str">
        <f>IF(A971="","",IF(M971=B971,"si","no"))</f>
        <v/>
      </c>
      <c r="O971" s="56"/>
      <c r="P971" s="56"/>
      <c r="Q971" s="48"/>
      <c r="R971" s="48"/>
      <c r="S971" s="2"/>
    </row>
    <row r="972" spans="1:19" ht="12.75" customHeight="1" x14ac:dyDescent="0.2">
      <c r="A972" s="22"/>
      <c r="B972" s="23" t="str">
        <f>IF(A972="","",VLOOKUP(A972,'6.A'!$A$11:$G$180,2,FALSE))</f>
        <v/>
      </c>
      <c r="C972" s="99"/>
      <c r="D972" s="57" t="str">
        <f>IF(A972="","",VLOOKUP(A972,'6.A'!$A$11:$G$180,4,FALSE))</f>
        <v/>
      </c>
      <c r="E972" s="100" t="str">
        <f>IF(A972="","",VLOOKUP(A972,'6.A'!$A$11:$G$180,5,FALSE))</f>
        <v/>
      </c>
      <c r="F972" s="24" t="str">
        <f t="shared" si="433"/>
        <v>0,00</v>
      </c>
      <c r="G972" s="52"/>
      <c r="H972" s="52" t="str">
        <f>IF(A972="","",VLOOKUP(A972,'6.A'!$A$11:$E$7984,5,FALSE))</f>
        <v/>
      </c>
      <c r="I972" s="52" t="str">
        <f t="shared" si="434"/>
        <v/>
      </c>
      <c r="J972" s="52" t="str">
        <f>IF(H972="","",VLOOKUP(A972,'6.A'!$A$11:$E$564,4,FALSE))</f>
        <v/>
      </c>
      <c r="K972" s="52" t="str">
        <f t="shared" si="435"/>
        <v/>
      </c>
      <c r="L972" s="52" t="str">
        <f>IF(H972="","",IF(C972="","",G948*C972))</f>
        <v/>
      </c>
      <c r="M972" s="117" t="str">
        <f>IF(A972="","",VLOOKUP(A972,'6.A'!$A$11:$C$564,2,FALSE))</f>
        <v/>
      </c>
      <c r="N972" s="57" t="str">
        <f t="shared" ref="N972:N973" si="437">IF(A972="","",IF(M972=B972,"si","no"))</f>
        <v/>
      </c>
      <c r="O972" s="56"/>
      <c r="P972" s="56"/>
      <c r="Q972" s="48"/>
      <c r="R972" s="48"/>
      <c r="S972" s="2"/>
    </row>
    <row r="973" spans="1:19" ht="12.75" customHeight="1" x14ac:dyDescent="0.2">
      <c r="A973" s="22"/>
      <c r="B973" s="23" t="str">
        <f>IF(A973="","",VLOOKUP(A973,'6.A'!$A$11:$G$180,2,FALSE))</f>
        <v/>
      </c>
      <c r="C973" s="99"/>
      <c r="D973" s="57" t="str">
        <f>IF(A973="","",VLOOKUP(A973,'6.A'!$A$11:$G$180,4,FALSE))</f>
        <v/>
      </c>
      <c r="E973" s="100" t="str">
        <f>IF(A973="","",VLOOKUP(A973,'6.A'!$A$11:$G$180,5,FALSE))</f>
        <v/>
      </c>
      <c r="F973" s="24" t="str">
        <f t="shared" si="433"/>
        <v>0,00</v>
      </c>
      <c r="G973" s="52"/>
      <c r="H973" s="52" t="str">
        <f>IF(A973="","",VLOOKUP(A973,'6.A'!$A$11:$E$7984,5,FALSE))</f>
        <v/>
      </c>
      <c r="I973" s="52" t="str">
        <f t="shared" si="434"/>
        <v/>
      </c>
      <c r="J973" s="52" t="str">
        <f>IF(H973="","",VLOOKUP(A973,'6.A'!$A$11:$E$564,4,FALSE))</f>
        <v/>
      </c>
      <c r="K973" s="52" t="str">
        <f t="shared" si="435"/>
        <v/>
      </c>
      <c r="L973" s="52" t="str">
        <f>IF(H973="","",IF(C973="","",G948*C973))</f>
        <v/>
      </c>
      <c r="M973" s="117" t="str">
        <f>IF(A973="","",VLOOKUP(A973,'6.A'!$A$11:$C$564,2,FALSE))</f>
        <v/>
      </c>
      <c r="N973" s="57" t="str">
        <f t="shared" si="437"/>
        <v/>
      </c>
      <c r="O973" s="56"/>
      <c r="P973" s="56"/>
      <c r="Q973" s="48"/>
      <c r="R973" s="48"/>
      <c r="S973" s="2"/>
    </row>
    <row r="974" spans="1:19" ht="12.75" customHeight="1" x14ac:dyDescent="0.2">
      <c r="A974" s="22"/>
      <c r="B974" s="26" t="str">
        <f>$A$9</f>
        <v>BDI</v>
      </c>
      <c r="C974" s="27">
        <f>$C$9</f>
        <v>0</v>
      </c>
      <c r="D974" s="57"/>
      <c r="F974" s="28">
        <f>ROUND(SUM(F964:F973)*C974,2)</f>
        <v>0</v>
      </c>
      <c r="G974" s="63"/>
      <c r="M974" s="62"/>
      <c r="N974" s="57"/>
      <c r="O974" s="56"/>
      <c r="P974" s="56"/>
      <c r="Q974" s="48"/>
      <c r="R974" s="48"/>
      <c r="S974" s="2"/>
    </row>
    <row r="975" spans="1:19" ht="12.75" customHeight="1" x14ac:dyDescent="0.2">
      <c r="A975" s="30"/>
      <c r="B975" s="31" t="s">
        <v>117</v>
      </c>
      <c r="C975" s="36"/>
      <c r="D975" s="37"/>
      <c r="E975" s="38"/>
      <c r="F975" s="35">
        <f>ROUND(SUM(F964:F974),2)</f>
        <v>0</v>
      </c>
      <c r="G975" s="63"/>
      <c r="M975" s="62"/>
      <c r="N975" s="57"/>
      <c r="O975" s="56"/>
      <c r="P975" s="56"/>
      <c r="Q975" s="48"/>
      <c r="R975" s="48"/>
      <c r="S975" s="2"/>
    </row>
    <row r="976" spans="1:19" ht="12.75" customHeight="1" x14ac:dyDescent="0.2">
      <c r="A976" s="17" t="s">
        <v>6</v>
      </c>
      <c r="B976" s="18" t="s">
        <v>17</v>
      </c>
      <c r="C976" s="56" t="s">
        <v>59</v>
      </c>
      <c r="D976" s="56" t="s">
        <v>16</v>
      </c>
      <c r="E976" s="19" t="s">
        <v>60</v>
      </c>
      <c r="F976" s="20" t="s">
        <v>61</v>
      </c>
      <c r="G976" s="21"/>
      <c r="M976" s="62"/>
      <c r="N976" s="57"/>
      <c r="O976" s="56"/>
      <c r="P976" s="56"/>
      <c r="Q976" s="48"/>
      <c r="R976" s="48"/>
      <c r="S976" s="2"/>
    </row>
    <row r="977" spans="1:22" ht="12.75" customHeight="1" x14ac:dyDescent="0.2">
      <c r="A977" s="22">
        <f>'6.A'!$A$97</f>
        <v>1895</v>
      </c>
      <c r="B977" s="23" t="str">
        <f>IF(A977="","",VLOOKUP(A977,'6.A'!$A$11:$G$180,2,FALSE))</f>
        <v>LUVA EM PVC RIGIDO ROSCAVEL, DE 4", PARA ELETRODUTO</v>
      </c>
      <c r="C977" s="99">
        <v>1</v>
      </c>
      <c r="D977" s="57" t="str">
        <f>IF(A977="","",VLOOKUP(A977,'6.A'!$A$11:$G$180,4,FALSE))</f>
        <v>UN</v>
      </c>
      <c r="E977" s="100">
        <f>IF(A977="","",VLOOKUP(A977,'6.A'!$A$11:$G$180,5,FALSE))</f>
        <v>0</v>
      </c>
      <c r="F977" s="24">
        <f t="shared" ref="F977:F996" si="438">IF(A977="","0,00",ROUND(C977*E977,2))</f>
        <v>0</v>
      </c>
      <c r="G977" s="52"/>
      <c r="H977" s="52">
        <f>IF(A977="","",VLOOKUP(A977,'6.A'!$A$11:$E$7984,5,FALSE))</f>
        <v>0</v>
      </c>
      <c r="I977" s="52" t="str">
        <f t="shared" ref="I977:I996" si="439">IF(H977="","",IF(E977=H977,"SIM","NÃO"))</f>
        <v>SIM</v>
      </c>
      <c r="J977" s="52" t="str">
        <f>IF(H977="","",VLOOKUP(A977,'6.A'!$A$11:$E$564,4,FALSE))</f>
        <v>UN</v>
      </c>
      <c r="K977" s="52" t="str">
        <f t="shared" ref="K977:K996" si="440">IF(H977="","",IF(J977=D977,"SIM","NÃO"))</f>
        <v>SIM</v>
      </c>
      <c r="L977" s="52">
        <f>IF(H977="","",IF(C977="","",G948*C977))</f>
        <v>4</v>
      </c>
      <c r="M977" s="117" t="str">
        <f>IF(A977="","",VLOOKUP(A977,'6.A'!$A$11:$C$564,2,FALSE))</f>
        <v>LUVA EM PVC RIGIDO ROSCAVEL, DE 4", PARA ELETRODUTO</v>
      </c>
      <c r="N977" s="57" t="str">
        <f t="shared" ref="N977:N996" si="441">IF(A977="","",IF(M977=B977,"si","no"))</f>
        <v>si</v>
      </c>
      <c r="O977" s="56"/>
      <c r="P977" s="56"/>
      <c r="Q977" s="48"/>
      <c r="R977" s="48"/>
      <c r="S977" s="2"/>
    </row>
    <row r="978" spans="1:22" ht="12.75" customHeight="1" x14ac:dyDescent="0.2">
      <c r="A978" s="22"/>
      <c r="B978" s="23" t="str">
        <f>IF(A978="","",VLOOKUP(A978,'6.A'!$A$11:$G$180,2,FALSE))</f>
        <v/>
      </c>
      <c r="C978" s="99"/>
      <c r="D978" s="57" t="str">
        <f>IF(A978="","",VLOOKUP(A978,'6.A'!$A$11:$G$180,4,FALSE))</f>
        <v/>
      </c>
      <c r="E978" s="100" t="str">
        <f>IF(A978="","",VLOOKUP(A978,'6.A'!$A$11:$G$180,5,FALSE))</f>
        <v/>
      </c>
      <c r="F978" s="24" t="str">
        <f t="shared" si="438"/>
        <v>0,00</v>
      </c>
      <c r="G978" s="52"/>
      <c r="H978" s="52" t="str">
        <f>IF(A978="","",VLOOKUP(A978,'6.A'!$A$11:$E$7984,5,FALSE))</f>
        <v/>
      </c>
      <c r="I978" s="52" t="str">
        <f t="shared" si="439"/>
        <v/>
      </c>
      <c r="J978" s="52" t="str">
        <f>IF(H978="","",VLOOKUP(A978,'6.A'!$A$11:$E$564,4,FALSE))</f>
        <v/>
      </c>
      <c r="K978" s="52" t="str">
        <f t="shared" si="440"/>
        <v/>
      </c>
      <c r="L978" s="52" t="str">
        <f>IF(H978="","",IF(C978="","",G948*C978))</f>
        <v/>
      </c>
      <c r="M978" s="117" t="str">
        <f>IF(A978="","",VLOOKUP(A978,'6.A'!$A$11:$C$564,2,FALSE))</f>
        <v/>
      </c>
      <c r="N978" s="57" t="str">
        <f t="shared" si="441"/>
        <v/>
      </c>
      <c r="O978" s="56"/>
      <c r="P978" s="56"/>
      <c r="Q978" s="48"/>
      <c r="R978" s="48"/>
      <c r="S978" s="2"/>
    </row>
    <row r="979" spans="1:22" ht="12.75" customHeight="1" x14ac:dyDescent="0.2">
      <c r="A979" s="22"/>
      <c r="B979" s="23" t="str">
        <f>IF(A979="","",VLOOKUP(A979,'6.A'!$A$11:$G$180,2,FALSE))</f>
        <v/>
      </c>
      <c r="C979" s="99"/>
      <c r="D979" s="57" t="str">
        <f>IF(A979="","",VLOOKUP(A979,'6.A'!$A$11:$G$180,4,FALSE))</f>
        <v/>
      </c>
      <c r="E979" s="100" t="str">
        <f>IF(A979="","",VLOOKUP(A979,'6.A'!$A$11:$G$180,5,FALSE))</f>
        <v/>
      </c>
      <c r="F979" s="24" t="str">
        <f t="shared" si="438"/>
        <v>0,00</v>
      </c>
      <c r="G979" s="52"/>
      <c r="H979" s="52" t="str">
        <f>IF(A979="","",VLOOKUP(A979,'6.A'!$A$11:$E$7984,5,FALSE))</f>
        <v/>
      </c>
      <c r="I979" s="52" t="str">
        <f t="shared" si="439"/>
        <v/>
      </c>
      <c r="J979" s="52" t="str">
        <f>IF(H979="","",VLOOKUP(A979,'6.A'!$A$11:$E$564,4,FALSE))</f>
        <v/>
      </c>
      <c r="K979" s="52" t="str">
        <f t="shared" si="440"/>
        <v/>
      </c>
      <c r="L979" s="52" t="str">
        <f>IF(H979="","",IF(C979="","",G948*C979))</f>
        <v/>
      </c>
      <c r="M979" s="117" t="str">
        <f>IF(A979="","",VLOOKUP(A979,'6.A'!$A$11:$C$564,2,FALSE))</f>
        <v/>
      </c>
      <c r="N979" s="57" t="str">
        <f t="shared" si="441"/>
        <v/>
      </c>
      <c r="O979" s="56"/>
      <c r="P979" s="56"/>
      <c r="Q979" s="48"/>
      <c r="R979" s="48"/>
      <c r="S979" s="2"/>
    </row>
    <row r="980" spans="1:22" ht="12.75" customHeight="1" x14ac:dyDescent="0.2">
      <c r="A980" s="22"/>
      <c r="B980" s="23" t="str">
        <f>IF(A980="","",VLOOKUP(A980,'6.A'!$A$11:$G$180,2,FALSE))</f>
        <v/>
      </c>
      <c r="C980" s="99"/>
      <c r="D980" s="57" t="str">
        <f>IF(A980="","",VLOOKUP(A980,'6.A'!$A$11:$G$180,4,FALSE))</f>
        <v/>
      </c>
      <c r="E980" s="100" t="str">
        <f>IF(A980="","",VLOOKUP(A980,'6.A'!$A$11:$G$180,5,FALSE))</f>
        <v/>
      </c>
      <c r="F980" s="24" t="str">
        <f t="shared" si="438"/>
        <v>0,00</v>
      </c>
      <c r="G980" s="52"/>
      <c r="H980" s="52" t="str">
        <f>IF(A980="","",VLOOKUP(A980,'6.A'!$A$11:$E$7984,5,FALSE))</f>
        <v/>
      </c>
      <c r="I980" s="52" t="str">
        <f t="shared" si="439"/>
        <v/>
      </c>
      <c r="J980" s="52" t="str">
        <f>IF(H980="","",VLOOKUP(A980,'6.A'!$A$11:$E$564,4,FALSE))</f>
        <v/>
      </c>
      <c r="K980" s="52" t="str">
        <f t="shared" si="440"/>
        <v/>
      </c>
      <c r="L980" s="52" t="str">
        <f>IF(H980="","",IF(C980="","",G948*C980))</f>
        <v/>
      </c>
      <c r="M980" s="117" t="str">
        <f>IF(A980="","",VLOOKUP(A980,'6.A'!$A$11:$C$564,2,FALSE))</f>
        <v/>
      </c>
      <c r="N980" s="57" t="str">
        <f t="shared" si="441"/>
        <v/>
      </c>
      <c r="O980" s="56"/>
      <c r="P980" s="56"/>
      <c r="Q980" s="48"/>
      <c r="R980" s="48"/>
      <c r="S980" s="2"/>
    </row>
    <row r="981" spans="1:22" ht="12.75" customHeight="1" x14ac:dyDescent="0.2">
      <c r="A981" s="22"/>
      <c r="B981" s="23" t="str">
        <f>IF(A981="","",VLOOKUP(A981,'6.A'!$A$11:$G$180,2,FALSE))</f>
        <v/>
      </c>
      <c r="C981" s="99"/>
      <c r="D981" s="57" t="str">
        <f>IF(A981="","",VLOOKUP(A981,'6.A'!$A$11:$G$180,4,FALSE))</f>
        <v/>
      </c>
      <c r="E981" s="100" t="str">
        <f>IF(A981="","",VLOOKUP(A981,'6.A'!$A$11:$G$180,5,FALSE))</f>
        <v/>
      </c>
      <c r="F981" s="24" t="str">
        <f t="shared" si="438"/>
        <v>0,00</v>
      </c>
      <c r="G981" s="52"/>
      <c r="H981" s="52" t="str">
        <f>IF(A981="","",VLOOKUP(A981,'6.A'!$A$11:$E$7984,5,FALSE))</f>
        <v/>
      </c>
      <c r="I981" s="52" t="str">
        <f t="shared" si="439"/>
        <v/>
      </c>
      <c r="J981" s="52" t="str">
        <f>IF(H981="","",VLOOKUP(A981,'6.A'!$A$11:$E$564,4,FALSE))</f>
        <v/>
      </c>
      <c r="K981" s="52" t="str">
        <f t="shared" si="440"/>
        <v/>
      </c>
      <c r="L981" s="52" t="str">
        <f>IF(H981="","",IF(C981="","",G948*C981))</f>
        <v/>
      </c>
      <c r="M981" s="117" t="str">
        <f>IF(A981="","",VLOOKUP(A981,'6.A'!$A$11:$C$564,2,FALSE))</f>
        <v/>
      </c>
      <c r="N981" s="57" t="str">
        <f t="shared" si="441"/>
        <v/>
      </c>
      <c r="O981" s="56"/>
      <c r="P981" s="56"/>
      <c r="Q981" s="48"/>
      <c r="R981" s="48"/>
      <c r="S981" s="2"/>
    </row>
    <row r="982" spans="1:22" ht="12.75" customHeight="1" x14ac:dyDescent="0.2">
      <c r="A982" s="22"/>
      <c r="B982" s="23" t="str">
        <f>IF(A982="","",VLOOKUP(A982,'6.A'!$A$11:$G$180,2,FALSE))</f>
        <v/>
      </c>
      <c r="C982" s="99"/>
      <c r="D982" s="57" t="str">
        <f>IF(A982="","",VLOOKUP(A982,'6.A'!$A$11:$G$180,4,FALSE))</f>
        <v/>
      </c>
      <c r="E982" s="100" t="str">
        <f>IF(A982="","",VLOOKUP(A982,'6.A'!$A$11:$G$180,5,FALSE))</f>
        <v/>
      </c>
      <c r="F982" s="24" t="str">
        <f t="shared" si="438"/>
        <v>0,00</v>
      </c>
      <c r="G982" s="52"/>
      <c r="H982" s="52" t="str">
        <f>IF(A982="","",VLOOKUP(A982,'6.A'!$A$11:$E$7984,5,FALSE))</f>
        <v/>
      </c>
      <c r="I982" s="52" t="str">
        <f t="shared" si="439"/>
        <v/>
      </c>
      <c r="J982" s="52" t="str">
        <f>IF(H982="","",VLOOKUP(A982,'6.A'!$A$11:$E$564,4,FALSE))</f>
        <v/>
      </c>
      <c r="K982" s="52" t="str">
        <f t="shared" si="440"/>
        <v/>
      </c>
      <c r="L982" s="52" t="str">
        <f>IF(H982="","",IF(C982="","",G948*C982))</f>
        <v/>
      </c>
      <c r="M982" s="117" t="str">
        <f>IF(A982="","",VLOOKUP(A982,'6.A'!$A$11:$C$564,2,FALSE))</f>
        <v/>
      </c>
      <c r="N982" s="57" t="str">
        <f t="shared" si="441"/>
        <v/>
      </c>
      <c r="O982" s="56"/>
      <c r="P982" s="56"/>
      <c r="Q982" s="48"/>
      <c r="R982" s="48"/>
      <c r="S982" s="2"/>
    </row>
    <row r="983" spans="1:22" ht="12.75" customHeight="1" x14ac:dyDescent="0.2">
      <c r="A983" s="22"/>
      <c r="B983" s="23" t="str">
        <f>IF(A983="","",VLOOKUP(A983,'6.A'!$A$11:$G$180,2,FALSE))</f>
        <v/>
      </c>
      <c r="C983" s="99"/>
      <c r="D983" s="57" t="str">
        <f>IF(A983="","",VLOOKUP(A983,'6.A'!$A$11:$G$180,4,FALSE))</f>
        <v/>
      </c>
      <c r="E983" s="100" t="str">
        <f>IF(A983="","",VLOOKUP(A983,'6.A'!$A$11:$G$180,5,FALSE))</f>
        <v/>
      </c>
      <c r="F983" s="24" t="str">
        <f t="shared" si="438"/>
        <v>0,00</v>
      </c>
      <c r="G983" s="52"/>
      <c r="H983" s="52" t="str">
        <f>IF(A983="","",VLOOKUP(A983,'6.A'!$A$11:$E$7984,5,FALSE))</f>
        <v/>
      </c>
      <c r="I983" s="52" t="str">
        <f t="shared" si="439"/>
        <v/>
      </c>
      <c r="J983" s="52" t="str">
        <f>IF(H983="","",VLOOKUP(A983,'6.A'!$A$11:$E$564,4,FALSE))</f>
        <v/>
      </c>
      <c r="K983" s="52" t="str">
        <f t="shared" si="440"/>
        <v/>
      </c>
      <c r="L983" s="52" t="str">
        <f>IF(H983="","",IF(C983="","",G948*C983))</f>
        <v/>
      </c>
      <c r="M983" s="117" t="str">
        <f>IF(A983="","",VLOOKUP(A983,'6.A'!$A$11:$C$564,2,FALSE))</f>
        <v/>
      </c>
      <c r="N983" s="57" t="str">
        <f t="shared" si="441"/>
        <v/>
      </c>
      <c r="O983" s="56"/>
      <c r="P983" s="56"/>
      <c r="Q983" s="48"/>
      <c r="R983" s="48"/>
      <c r="S983" s="2"/>
    </row>
    <row r="984" spans="1:22" s="65" customFormat="1" ht="12.75" customHeight="1" x14ac:dyDescent="0.2">
      <c r="A984" s="22"/>
      <c r="B984" s="23" t="str">
        <f>IF(A984="","",VLOOKUP(A984,'6.A'!$A$11:$G$180,2,FALSE))</f>
        <v/>
      </c>
      <c r="C984" s="99"/>
      <c r="D984" s="57" t="str">
        <f>IF(A984="","",VLOOKUP(A984,'6.A'!$A$11:$G$180,4,FALSE))</f>
        <v/>
      </c>
      <c r="E984" s="100" t="str">
        <f>IF(A984="","",VLOOKUP(A984,'6.A'!$A$11:$G$180,5,FALSE))</f>
        <v/>
      </c>
      <c r="F984" s="24" t="str">
        <f t="shared" si="438"/>
        <v>0,00</v>
      </c>
      <c r="G984" s="52"/>
      <c r="H984" s="52" t="str">
        <f>IF(A984="","",VLOOKUP(A984,'6.A'!$A$11:$E$7984,5,FALSE))</f>
        <v/>
      </c>
      <c r="I984" s="52" t="str">
        <f t="shared" si="439"/>
        <v/>
      </c>
      <c r="J984" s="52" t="str">
        <f>IF(H984="","",VLOOKUP(A984,'6.A'!$A$11:$E$564,4,FALSE))</f>
        <v/>
      </c>
      <c r="K984" s="52" t="str">
        <f t="shared" si="440"/>
        <v/>
      </c>
      <c r="L984" s="52" t="str">
        <f>IF(H984="","",IF(C984="","",G948*C984))</f>
        <v/>
      </c>
      <c r="M984" s="117" t="str">
        <f>IF(A984="","",VLOOKUP(A984,'6.A'!$A$11:$C$564,2,FALSE))</f>
        <v/>
      </c>
      <c r="N984" s="57" t="str">
        <f t="shared" si="441"/>
        <v/>
      </c>
      <c r="O984" s="56"/>
      <c r="P984" s="56"/>
      <c r="Q984" s="48"/>
      <c r="R984" s="48"/>
      <c r="T984" s="2"/>
      <c r="U984" s="2"/>
      <c r="V984" s="2"/>
    </row>
    <row r="985" spans="1:22" s="65" customFormat="1" ht="12.75" customHeight="1" x14ac:dyDescent="0.2">
      <c r="A985" s="22"/>
      <c r="B985" s="23" t="str">
        <f>IF(A985="","",VLOOKUP(A985,'6.A'!$A$11:$G$180,2,FALSE))</f>
        <v/>
      </c>
      <c r="C985" s="99"/>
      <c r="D985" s="57" t="str">
        <f>IF(A985="","",VLOOKUP(A985,'6.A'!$A$11:$G$180,4,FALSE))</f>
        <v/>
      </c>
      <c r="E985" s="100" t="str">
        <f>IF(A985="","",VLOOKUP(A985,'6.A'!$A$11:$G$180,5,FALSE))</f>
        <v/>
      </c>
      <c r="F985" s="24" t="str">
        <f t="shared" si="438"/>
        <v>0,00</v>
      </c>
      <c r="G985" s="52"/>
      <c r="H985" s="52" t="str">
        <f>IF(A985="","",VLOOKUP(A985,'6.A'!$A$11:$E$7984,5,FALSE))</f>
        <v/>
      </c>
      <c r="I985" s="52" t="str">
        <f t="shared" si="439"/>
        <v/>
      </c>
      <c r="J985" s="52" t="str">
        <f>IF(H985="","",VLOOKUP(A985,'6.A'!$A$11:$E$564,4,FALSE))</f>
        <v/>
      </c>
      <c r="K985" s="52" t="str">
        <f t="shared" si="440"/>
        <v/>
      </c>
      <c r="L985" s="52" t="str">
        <f>IF(H985="","",IF(C985="","",G948*C985))</f>
        <v/>
      </c>
      <c r="M985" s="117" t="str">
        <f>IF(A985="","",VLOOKUP(A985,'6.A'!$A$11:$C$564,2,FALSE))</f>
        <v/>
      </c>
      <c r="N985" s="57" t="str">
        <f t="shared" si="441"/>
        <v/>
      </c>
      <c r="O985" s="56"/>
      <c r="P985" s="56"/>
      <c r="Q985" s="48"/>
      <c r="R985" s="48"/>
      <c r="T985" s="2"/>
      <c r="U985" s="2"/>
      <c r="V985" s="2"/>
    </row>
    <row r="986" spans="1:22" s="65" customFormat="1" ht="12.75" customHeight="1" x14ac:dyDescent="0.2">
      <c r="A986" s="22"/>
      <c r="B986" s="23" t="str">
        <f>IF(A986="","",VLOOKUP(A986,'6.A'!$A$11:$G$180,2,FALSE))</f>
        <v/>
      </c>
      <c r="C986" s="99"/>
      <c r="D986" s="57" t="str">
        <f>IF(A986="","",VLOOKUP(A986,'6.A'!$A$11:$G$180,4,FALSE))</f>
        <v/>
      </c>
      <c r="E986" s="100" t="str">
        <f>IF(A986="","",VLOOKUP(A986,'6.A'!$A$11:$G$180,5,FALSE))</f>
        <v/>
      </c>
      <c r="F986" s="24" t="str">
        <f t="shared" si="438"/>
        <v>0,00</v>
      </c>
      <c r="G986" s="52"/>
      <c r="H986" s="52" t="str">
        <f>IF(A986="","",VLOOKUP(A986,'6.A'!$A$11:$E$7984,5,FALSE))</f>
        <v/>
      </c>
      <c r="I986" s="52" t="str">
        <f t="shared" si="439"/>
        <v/>
      </c>
      <c r="J986" s="52" t="str">
        <f>IF(H986="","",VLOOKUP(A986,'6.A'!$A$11:$E$564,4,FALSE))</f>
        <v/>
      </c>
      <c r="K986" s="52" t="str">
        <f t="shared" si="440"/>
        <v/>
      </c>
      <c r="L986" s="52" t="str">
        <f>IF(H986="","",IF(C986="","",G948*C986))</f>
        <v/>
      </c>
      <c r="M986" s="117" t="str">
        <f>IF(A986="","",VLOOKUP(A986,'6.A'!$A$11:$C$564,2,FALSE))</f>
        <v/>
      </c>
      <c r="N986" s="57" t="str">
        <f t="shared" si="441"/>
        <v/>
      </c>
      <c r="O986" s="56"/>
      <c r="P986" s="56"/>
      <c r="Q986" s="48"/>
      <c r="R986" s="48"/>
      <c r="T986" s="2"/>
      <c r="U986" s="2"/>
      <c r="V986" s="2"/>
    </row>
    <row r="987" spans="1:22" s="65" customFormat="1" ht="12.75" customHeight="1" x14ac:dyDescent="0.2">
      <c r="A987" s="22"/>
      <c r="B987" s="23" t="str">
        <f>IF(A987="","",VLOOKUP(A987,'6.A'!$A$11:$G$180,2,FALSE))</f>
        <v/>
      </c>
      <c r="C987" s="99"/>
      <c r="D987" s="57" t="str">
        <f>IF(A987="","",VLOOKUP(A987,'6.A'!$A$11:$G$180,4,FALSE))</f>
        <v/>
      </c>
      <c r="E987" s="100" t="str">
        <f>IF(A987="","",VLOOKUP(A987,'6.A'!$A$11:$G$180,5,FALSE))</f>
        <v/>
      </c>
      <c r="F987" s="24" t="str">
        <f t="shared" si="438"/>
        <v>0,00</v>
      </c>
      <c r="G987" s="52"/>
      <c r="H987" s="52" t="str">
        <f>IF(A987="","",VLOOKUP(A987,'6.A'!$A$11:$E$7984,5,FALSE))</f>
        <v/>
      </c>
      <c r="I987" s="52" t="str">
        <f t="shared" si="439"/>
        <v/>
      </c>
      <c r="J987" s="52" t="str">
        <f>IF(H987="","",VLOOKUP(A987,'6.A'!$A$11:$E$564,4,FALSE))</f>
        <v/>
      </c>
      <c r="K987" s="52" t="str">
        <f t="shared" si="440"/>
        <v/>
      </c>
      <c r="L987" s="52" t="str">
        <f>IF(H987="","",IF(C987="","",G948*C987))</f>
        <v/>
      </c>
      <c r="M987" s="117" t="str">
        <f>IF(A987="","",VLOOKUP(A987,'6.A'!$A$11:$C$564,2,FALSE))</f>
        <v/>
      </c>
      <c r="N987" s="57" t="str">
        <f t="shared" si="441"/>
        <v/>
      </c>
      <c r="O987" s="56"/>
      <c r="P987" s="56"/>
      <c r="Q987" s="48"/>
      <c r="R987" s="48"/>
      <c r="T987" s="2"/>
      <c r="U987" s="2"/>
      <c r="V987" s="2"/>
    </row>
    <row r="988" spans="1:22" ht="12.75" customHeight="1" x14ac:dyDescent="0.2">
      <c r="A988" s="22"/>
      <c r="B988" s="23" t="str">
        <f>IF(A988="","",VLOOKUP(A988,'6.A'!$A$11:$G$180,2,FALSE))</f>
        <v/>
      </c>
      <c r="C988" s="99"/>
      <c r="D988" s="57" t="str">
        <f>IF(A988="","",VLOOKUP(A988,'6.A'!$A$11:$G$180,4,FALSE))</f>
        <v/>
      </c>
      <c r="E988" s="100" t="str">
        <f>IF(A988="","",VLOOKUP(A988,'6.A'!$A$11:$G$180,5,FALSE))</f>
        <v/>
      </c>
      <c r="F988" s="24" t="str">
        <f t="shared" si="438"/>
        <v>0,00</v>
      </c>
      <c r="G988" s="52"/>
      <c r="H988" s="52" t="str">
        <f>IF(A988="","",VLOOKUP(A988,'6.A'!$A$11:$E$7984,5,FALSE))</f>
        <v/>
      </c>
      <c r="I988" s="52" t="str">
        <f t="shared" si="439"/>
        <v/>
      </c>
      <c r="J988" s="52" t="str">
        <f>IF(H988="","",VLOOKUP(A988,'6.A'!$A$11:$E$564,4,FALSE))</f>
        <v/>
      </c>
      <c r="K988" s="52" t="str">
        <f t="shared" si="440"/>
        <v/>
      </c>
      <c r="L988" s="52" t="str">
        <f>IF(H988="","",IF(C988="","",G948*C988))</f>
        <v/>
      </c>
      <c r="M988" s="117" t="str">
        <f>IF(A988="","",VLOOKUP(A988,'6.A'!$A$11:$C$564,2,FALSE))</f>
        <v/>
      </c>
      <c r="N988" s="57" t="str">
        <f t="shared" si="441"/>
        <v/>
      </c>
      <c r="O988" s="56"/>
      <c r="P988" s="56"/>
      <c r="Q988" s="48"/>
      <c r="R988" s="48"/>
    </row>
    <row r="989" spans="1:22" ht="12.75" customHeight="1" x14ac:dyDescent="0.2">
      <c r="A989" s="22"/>
      <c r="B989" s="23" t="str">
        <f>IF(A989="","",VLOOKUP(A989,'6.A'!$A$11:$G$180,2,FALSE))</f>
        <v/>
      </c>
      <c r="C989" s="99"/>
      <c r="D989" s="57" t="str">
        <f>IF(A989="","",VLOOKUP(A989,'6.A'!$A$11:$G$180,4,FALSE))</f>
        <v/>
      </c>
      <c r="E989" s="100" t="str">
        <f>IF(A989="","",VLOOKUP(A989,'6.A'!$A$11:$G$180,5,FALSE))</f>
        <v/>
      </c>
      <c r="F989" s="24" t="str">
        <f t="shared" si="438"/>
        <v>0,00</v>
      </c>
      <c r="G989" s="52"/>
      <c r="H989" s="52" t="str">
        <f>IF(A989="","",VLOOKUP(A989,'6.A'!$A$11:$E$7984,5,FALSE))</f>
        <v/>
      </c>
      <c r="I989" s="52" t="str">
        <f t="shared" si="439"/>
        <v/>
      </c>
      <c r="J989" s="52" t="str">
        <f>IF(H989="","",VLOOKUP(A989,'6.A'!$A$11:$E$564,4,FALSE))</f>
        <v/>
      </c>
      <c r="K989" s="52" t="str">
        <f t="shared" si="440"/>
        <v/>
      </c>
      <c r="L989" s="52" t="str">
        <f>IF(H989="","",IF(C989="","",G948*C989))</f>
        <v/>
      </c>
      <c r="M989" s="117" t="str">
        <f>IF(A989="","",VLOOKUP(A989,'6.A'!$A$11:$C$564,2,FALSE))</f>
        <v/>
      </c>
      <c r="N989" s="57" t="str">
        <f t="shared" si="441"/>
        <v/>
      </c>
      <c r="O989" s="56"/>
      <c r="P989" s="56"/>
      <c r="Q989" s="48"/>
      <c r="R989" s="48"/>
    </row>
    <row r="990" spans="1:22" ht="12.75" customHeight="1" x14ac:dyDescent="0.2">
      <c r="A990" s="22"/>
      <c r="B990" s="23" t="str">
        <f>IF(A990="","",VLOOKUP(A990,'6.A'!$A$11:$G$180,2,FALSE))</f>
        <v/>
      </c>
      <c r="C990" s="99"/>
      <c r="D990" s="57" t="str">
        <f>IF(A990="","",VLOOKUP(A990,'6.A'!$A$11:$G$180,4,FALSE))</f>
        <v/>
      </c>
      <c r="E990" s="100" t="str">
        <f>IF(A990="","",VLOOKUP(A990,'6.A'!$A$11:$G$180,5,FALSE))</f>
        <v/>
      </c>
      <c r="F990" s="24" t="str">
        <f t="shared" si="438"/>
        <v>0,00</v>
      </c>
      <c r="G990" s="52"/>
      <c r="H990" s="52" t="str">
        <f>IF(A990="","",VLOOKUP(A990,'6.A'!$A$11:$E$7984,5,FALSE))</f>
        <v/>
      </c>
      <c r="I990" s="52" t="str">
        <f t="shared" si="439"/>
        <v/>
      </c>
      <c r="J990" s="52" t="str">
        <f>IF(H990="","",VLOOKUP(A990,'6.A'!$A$11:$E$564,4,FALSE))</f>
        <v/>
      </c>
      <c r="K990" s="52" t="str">
        <f t="shared" si="440"/>
        <v/>
      </c>
      <c r="L990" s="52" t="str">
        <f>IF(H990="","",IF(C990="","",G948*C990))</f>
        <v/>
      </c>
      <c r="M990" s="117" t="str">
        <f>IF(A990="","",VLOOKUP(A990,'6.A'!$A$11:$C$564,2,FALSE))</f>
        <v/>
      </c>
      <c r="N990" s="57" t="str">
        <f t="shared" si="441"/>
        <v/>
      </c>
      <c r="O990" s="56"/>
      <c r="P990" s="56"/>
      <c r="Q990" s="48"/>
      <c r="R990" s="48"/>
    </row>
    <row r="991" spans="1:22" ht="12.75" customHeight="1" x14ac:dyDescent="0.2">
      <c r="A991" s="22"/>
      <c r="B991" s="23" t="str">
        <f>IF(A991="","",VLOOKUP(A991,'6.A'!$A$11:$G$180,2,FALSE))</f>
        <v/>
      </c>
      <c r="C991" s="99"/>
      <c r="D991" s="57" t="str">
        <f>IF(A991="","",VLOOKUP(A991,'6.A'!$A$11:$G$180,4,FALSE))</f>
        <v/>
      </c>
      <c r="E991" s="100" t="str">
        <f>IF(A991="","",VLOOKUP(A991,'6.A'!$A$11:$G$180,5,FALSE))</f>
        <v/>
      </c>
      <c r="F991" s="24" t="str">
        <f t="shared" si="438"/>
        <v>0,00</v>
      </c>
      <c r="G991" s="52"/>
      <c r="H991" s="52" t="str">
        <f>IF(A991="","",VLOOKUP(A991,'6.A'!$A$11:$E$7984,5,FALSE))</f>
        <v/>
      </c>
      <c r="I991" s="52" t="str">
        <f t="shared" si="439"/>
        <v/>
      </c>
      <c r="J991" s="52" t="str">
        <f>IF(H991="","",VLOOKUP(A991,'6.A'!$A$11:$E$564,4,FALSE))</f>
        <v/>
      </c>
      <c r="K991" s="52" t="str">
        <f t="shared" si="440"/>
        <v/>
      </c>
      <c r="L991" s="52" t="str">
        <f>IF(H991="","",IF(C991="","",G948*C991))</f>
        <v/>
      </c>
      <c r="M991" s="117" t="str">
        <f>IF(A991="","",VLOOKUP(A991,'6.A'!$A$11:$C$564,2,FALSE))</f>
        <v/>
      </c>
      <c r="N991" s="57" t="str">
        <f t="shared" si="441"/>
        <v/>
      </c>
      <c r="O991" s="56"/>
      <c r="P991" s="56"/>
      <c r="Q991" s="48"/>
      <c r="R991" s="48"/>
    </row>
    <row r="992" spans="1:22" ht="12.75" customHeight="1" x14ac:dyDescent="0.2">
      <c r="A992" s="22"/>
      <c r="B992" s="23" t="str">
        <f>IF(A992="","",VLOOKUP(A992,'6.A'!$A$11:$G$180,2,FALSE))</f>
        <v/>
      </c>
      <c r="C992" s="99"/>
      <c r="D992" s="57" t="str">
        <f>IF(A992="","",VLOOKUP(A992,'6.A'!$A$11:$G$180,4,FALSE))</f>
        <v/>
      </c>
      <c r="E992" s="100" t="str">
        <f>IF(A992="","",VLOOKUP(A992,'6.A'!$A$11:$G$180,5,FALSE))</f>
        <v/>
      </c>
      <c r="F992" s="24" t="str">
        <f t="shared" si="438"/>
        <v>0,00</v>
      </c>
      <c r="G992" s="52"/>
      <c r="H992" s="52" t="str">
        <f>IF(A992="","",VLOOKUP(A992,'6.A'!$A$11:$E$7984,5,FALSE))</f>
        <v/>
      </c>
      <c r="I992" s="52" t="str">
        <f t="shared" si="439"/>
        <v/>
      </c>
      <c r="J992" s="52" t="str">
        <f>IF(H992="","",VLOOKUP(A992,'6.A'!$A$11:$E$564,4,FALSE))</f>
        <v/>
      </c>
      <c r="K992" s="52" t="str">
        <f t="shared" si="440"/>
        <v/>
      </c>
      <c r="L992" s="52" t="str">
        <f>IF(H992="","",IF(C992="","",G948*C992))</f>
        <v/>
      </c>
      <c r="M992" s="117" t="str">
        <f>IF(A992="","",VLOOKUP(A992,'6.A'!$A$11:$C$564,2,FALSE))</f>
        <v/>
      </c>
      <c r="N992" s="57" t="str">
        <f t="shared" si="441"/>
        <v/>
      </c>
      <c r="O992" s="56"/>
      <c r="P992" s="56"/>
      <c r="Q992" s="48"/>
      <c r="R992" s="48"/>
    </row>
    <row r="993" spans="1:23" ht="12.75" customHeight="1" x14ac:dyDescent="0.2">
      <c r="A993" s="22"/>
      <c r="B993" s="23" t="str">
        <f>IF(A993="","",VLOOKUP(A993,'6.A'!$A$11:$G$180,2,FALSE))</f>
        <v/>
      </c>
      <c r="C993" s="99"/>
      <c r="D993" s="57" t="str">
        <f>IF(A993="","",VLOOKUP(A993,'6.A'!$A$11:$G$180,4,FALSE))</f>
        <v/>
      </c>
      <c r="E993" s="100" t="str">
        <f>IF(A993="","",VLOOKUP(A993,'6.A'!$A$11:$G$180,5,FALSE))</f>
        <v/>
      </c>
      <c r="F993" s="24" t="str">
        <f t="shared" si="438"/>
        <v>0,00</v>
      </c>
      <c r="G993" s="52"/>
      <c r="H993" s="52" t="str">
        <f>IF(A993="","",VLOOKUP(A993,'6.A'!$A$11:$E$7984,5,FALSE))</f>
        <v/>
      </c>
      <c r="I993" s="52" t="str">
        <f t="shared" si="439"/>
        <v/>
      </c>
      <c r="J993" s="52" t="str">
        <f>IF(H993="","",VLOOKUP(A993,'6.A'!$A$11:$E$564,4,FALSE))</f>
        <v/>
      </c>
      <c r="K993" s="52" t="str">
        <f t="shared" si="440"/>
        <v/>
      </c>
      <c r="L993" s="52" t="str">
        <f>IF(H993="","",IF(C993="","",G948*C993))</f>
        <v/>
      </c>
      <c r="M993" s="117" t="str">
        <f>IF(A993="","",VLOOKUP(A993,'6.A'!$A$11:$C$564,2,FALSE))</f>
        <v/>
      </c>
      <c r="N993" s="57" t="str">
        <f t="shared" si="441"/>
        <v/>
      </c>
      <c r="O993" s="56"/>
      <c r="P993" s="56"/>
      <c r="Q993" s="48"/>
      <c r="R993" s="48"/>
    </row>
    <row r="994" spans="1:23" ht="12.75" customHeight="1" x14ac:dyDescent="0.2">
      <c r="A994" s="22"/>
      <c r="B994" s="39" t="str">
        <f>IF(A994="","",VLOOKUP(A994,'6.A'!$A$11:$G$180,2,FALSE))</f>
        <v/>
      </c>
      <c r="C994" s="99"/>
      <c r="D994" s="57" t="str">
        <f>IF(A994="","",VLOOKUP(A994,'6.A'!$A$11:$G$180,4,FALSE))</f>
        <v/>
      </c>
      <c r="E994" s="100" t="str">
        <f>IF(A994="","",VLOOKUP(A994,'6.A'!$A$11:$G$180,5,FALSE))</f>
        <v/>
      </c>
      <c r="F994" s="24" t="str">
        <f t="shared" si="438"/>
        <v>0,00</v>
      </c>
      <c r="G994" s="52"/>
      <c r="H994" s="52" t="str">
        <f>IF(A994="","",VLOOKUP(A994,'6.A'!$A$11:$E$7984,5,FALSE))</f>
        <v/>
      </c>
      <c r="I994" s="52" t="str">
        <f t="shared" si="439"/>
        <v/>
      </c>
      <c r="J994" s="52" t="str">
        <f>IF(H994="","",VLOOKUP(A994,'6.A'!$A$11:$E$564,4,FALSE))</f>
        <v/>
      </c>
      <c r="K994" s="52" t="str">
        <f t="shared" si="440"/>
        <v/>
      </c>
      <c r="L994" s="52" t="str">
        <f>IF(H994="","",IF(C994="","",G948*C994))</f>
        <v/>
      </c>
      <c r="M994" s="117" t="str">
        <f>IF(A994="","",VLOOKUP(A994,'6.A'!$A$11:$C$564,2,FALSE))</f>
        <v/>
      </c>
      <c r="N994" s="57" t="str">
        <f t="shared" si="441"/>
        <v/>
      </c>
      <c r="O994" s="56"/>
      <c r="P994" s="56"/>
      <c r="Q994" s="48"/>
      <c r="R994" s="48"/>
    </row>
    <row r="995" spans="1:23" ht="12.75" customHeight="1" x14ac:dyDescent="0.2">
      <c r="A995" s="22"/>
      <c r="B995" s="39" t="str">
        <f>IF(A995="","",VLOOKUP(A995,'6.A'!$A$11:$G$180,2,FALSE))</f>
        <v/>
      </c>
      <c r="C995" s="99"/>
      <c r="D995" s="57" t="str">
        <f>IF(A995="","",VLOOKUP(A995,'6.A'!$A$11:$G$180,4,FALSE))</f>
        <v/>
      </c>
      <c r="E995" s="100" t="str">
        <f>IF(A995="","",VLOOKUP(A995,'6.A'!$A$11:$G$180,5,FALSE))</f>
        <v/>
      </c>
      <c r="F995" s="24" t="str">
        <f t="shared" si="438"/>
        <v>0,00</v>
      </c>
      <c r="G995" s="52"/>
      <c r="H995" s="52" t="str">
        <f>IF(A995="","",VLOOKUP(A995,'6.A'!$A$11:$E$7984,5,FALSE))</f>
        <v/>
      </c>
      <c r="I995" s="52" t="str">
        <f t="shared" si="439"/>
        <v/>
      </c>
      <c r="J995" s="52" t="str">
        <f>IF(H995="","",VLOOKUP(A995,'6.A'!$A$11:$E$564,4,FALSE))</f>
        <v/>
      </c>
      <c r="K995" s="52" t="str">
        <f t="shared" si="440"/>
        <v/>
      </c>
      <c r="L995" s="52" t="str">
        <f>IF(H995="","",IF(C995="","",G948*C995))</f>
        <v/>
      </c>
      <c r="M995" s="117" t="str">
        <f>IF(A995="","",VLOOKUP(A995,'6.A'!$A$11:$C$564,2,FALSE))</f>
        <v/>
      </c>
      <c r="N995" s="57" t="str">
        <f t="shared" si="441"/>
        <v/>
      </c>
      <c r="O995" s="56"/>
      <c r="P995" s="56"/>
      <c r="Q995" s="48"/>
      <c r="R995" s="48"/>
    </row>
    <row r="996" spans="1:23" ht="12.75" customHeight="1" x14ac:dyDescent="0.2">
      <c r="A996" s="22"/>
      <c r="B996" s="39" t="str">
        <f>IF(A996="","",VLOOKUP(A996,'6.A'!$A$11:$G$180,2,FALSE))</f>
        <v/>
      </c>
      <c r="C996" s="99"/>
      <c r="D996" s="57" t="str">
        <f>IF(A996="","",VLOOKUP(A996,'6.A'!$A$11:$G$180,4,FALSE))</f>
        <v/>
      </c>
      <c r="E996" s="100" t="str">
        <f>IF(A996="","",VLOOKUP(A996,'6.A'!$A$11:$G$180,5,FALSE))</f>
        <v/>
      </c>
      <c r="F996" s="24" t="str">
        <f t="shared" si="438"/>
        <v>0,00</v>
      </c>
      <c r="G996" s="52"/>
      <c r="H996" s="52" t="str">
        <f>IF(A996="","",VLOOKUP(A996,'6.A'!$A$11:$E$7984,5,FALSE))</f>
        <v/>
      </c>
      <c r="I996" s="52" t="str">
        <f t="shared" si="439"/>
        <v/>
      </c>
      <c r="J996" s="52" t="str">
        <f>IF(H996="","",VLOOKUP(A996,'6.A'!$A$11:$E$564,4,FALSE))</f>
        <v/>
      </c>
      <c r="K996" s="52" t="str">
        <f t="shared" si="440"/>
        <v/>
      </c>
      <c r="L996" s="52" t="str">
        <f>IF(H996="","",IF(C996="","",G948*C996))</f>
        <v/>
      </c>
      <c r="M996" s="117" t="str">
        <f>IF(A996="","",VLOOKUP(A996,'6.A'!$A$11:$C$564,2,FALSE))</f>
        <v/>
      </c>
      <c r="N996" s="57" t="str">
        <f t="shared" si="441"/>
        <v/>
      </c>
      <c r="O996" s="56"/>
      <c r="P996" s="56"/>
      <c r="Q996" s="48"/>
      <c r="R996" s="48"/>
    </row>
    <row r="997" spans="1:23" ht="12.75" customHeight="1" x14ac:dyDescent="0.2">
      <c r="A997" s="22"/>
      <c r="B997" s="26" t="str">
        <f>$A$9</f>
        <v>BDI</v>
      </c>
      <c r="C997" s="40">
        <f>$C$9</f>
        <v>0</v>
      </c>
      <c r="D997" s="57"/>
      <c r="F997" s="28">
        <f>ROUND(SUM(F977:F996)*C997,2)</f>
        <v>0</v>
      </c>
      <c r="G997" s="63"/>
      <c r="M997" s="57"/>
      <c r="N997" s="57"/>
      <c r="O997" s="56"/>
      <c r="P997" s="56"/>
      <c r="Q997" s="48"/>
      <c r="R997" s="48"/>
    </row>
    <row r="998" spans="1:23" ht="12.75" customHeight="1" thickBot="1" x14ac:dyDescent="0.25">
      <c r="A998" s="41"/>
      <c r="B998" s="42" t="s">
        <v>57</v>
      </c>
      <c r="C998" s="43"/>
      <c r="D998" s="44"/>
      <c r="E998" s="45"/>
      <c r="F998" s="46">
        <f>ROUND(SUM(F977:F997),2)</f>
        <v>0</v>
      </c>
      <c r="G998" s="63"/>
      <c r="M998" s="57"/>
      <c r="N998" s="57"/>
      <c r="O998" s="56"/>
      <c r="P998" s="56"/>
      <c r="Q998" s="48"/>
      <c r="R998" s="48"/>
    </row>
    <row r="999" spans="1:23" ht="12" customHeight="1" thickBot="1" x14ac:dyDescent="0.25">
      <c r="A999" s="8"/>
      <c r="B999" s="9"/>
      <c r="C999" s="10"/>
      <c r="D999" s="57"/>
      <c r="F999" s="12"/>
      <c r="M999" s="57"/>
      <c r="N999" s="57"/>
      <c r="O999" s="56"/>
      <c r="P999" s="56"/>
    </row>
    <row r="1000" spans="1:23" ht="50.1" customHeight="1" x14ac:dyDescent="0.2">
      <c r="A1000" s="13" t="str">
        <f>'3.A'!$A$127</f>
        <v>3.1.8</v>
      </c>
      <c r="B1000" s="14" t="str">
        <f>IF(A1000="","",VLOOKUP(A1000,'3.A'!$A$17:$M$279,2,FALSE))</f>
        <v>LUVA PARA ELETRODUTO, PVC, ROSCÁVEL, DN 60 MM (2"), PARA REDE ENTERRADA DE DISTRIBUIÇÃO DE ENERGIA ELÉTRICA</v>
      </c>
      <c r="C1000" s="413" t="s">
        <v>62</v>
      </c>
      <c r="D1000" s="413"/>
      <c r="E1000" s="15" t="str">
        <f>IF(A1000="","",VLOOKUP(A1000,'3.A'!$A$17:$M$279,3,FALSE))</f>
        <v>UN</v>
      </c>
      <c r="F1000" s="16">
        <f>ROUND(F1014+F1027+F1050,2)</f>
        <v>0</v>
      </c>
      <c r="G1000" s="118">
        <f>VLOOKUP(A1000,'3.A'!$A$19:$I$279,4,FALSE)</f>
        <v>4</v>
      </c>
      <c r="H1000" s="47">
        <f>SUM(F1002:F1013)</f>
        <v>0</v>
      </c>
      <c r="I1000" s="47">
        <f>SUM(F1016:F1026)</f>
        <v>0</v>
      </c>
      <c r="J1000" s="47">
        <f>SUM(F1029:F1049)</f>
        <v>0</v>
      </c>
      <c r="K1000" s="47">
        <f>SUM(H1000:J1000)</f>
        <v>0</v>
      </c>
      <c r="L1000" s="47" t="str">
        <f>IF(K1000=F1000,"SIM","NÃO")</f>
        <v>SIM</v>
      </c>
      <c r="M1000" s="58">
        <f>ROUND(SUM(F1002:F1011)*C1012,2)+ROUND(SUM(F1002:F1012)*C1013,2)+ROUND(SUM(F1002:F1011),2)+ROUND(SUM(F1016:F1025)*C1026,2)+ROUND(SUM(F1016:F1025),2)+ROUND(SUM(F1029:F1048)*C1049,2)+ROUND(SUM(F1029:F1048),2)</f>
        <v>0</v>
      </c>
      <c r="N1000" s="50" t="str">
        <f>IF(M1000=F1000,"SIM","NÃO")</f>
        <v>SIM</v>
      </c>
      <c r="O1000" s="51" t="str">
        <f>VLOOKUP(A1000,'3.A'!$A$8:$E$279,3,FALSE)</f>
        <v>UN</v>
      </c>
      <c r="P1000" s="51" t="str">
        <f>IF(O1000=E1000,"SIM","NÃO")</f>
        <v>SIM</v>
      </c>
      <c r="Q1000" s="53">
        <f>ROUND(G1000*F1014,2)+ROUND(G1000*F1027,2)+ROUND(G1000*F1050,2)</f>
        <v>0</v>
      </c>
      <c r="R1000" s="59">
        <f>VLOOKUP(A1000,'3.A'!$A$17:$L$279,12,FALSE)</f>
        <v>0</v>
      </c>
      <c r="S1000" s="60" t="str">
        <f>IF(Q1000=R1000,"si","no")</f>
        <v>si</v>
      </c>
      <c r="T1000" s="61">
        <f>SUM(L1002:L1011)+SUM(L1016:L1025)+SUM(L1029:L1048)</f>
        <v>6.0632000000000001</v>
      </c>
      <c r="U1000" s="52">
        <f>G1000*C1008+G1000*C1010+G1000*C1003+G1000*C1004+G1000*C1006+G1000*C1009+G1000*C1007+G1000*C1002+G1000*C1005+G1000*C1011+G1000*C1022+G1000*C1016+G1000*C1024+G1000*C1023+G1000*C1021+G1000*C1018+G1000*C1017+G1000*C1019+G1000*C1025+G1000*C1020+G1000*C1029+G1000*C1030+G1000*C1031+G1000*C1039+G1000*C1040+G1000*C1041+G1000*C1042+G1000*C1043+G1000*C1044+G1000*C1045+G1000*C1046+G1000*C1047+G1000*C1048+G1000*C1037+G1000*C1038+G1000*C1032+G1000*C1033+G1000*C1034+G1000*C1035+G1000*C1036</f>
        <v>6.0632000000000001</v>
      </c>
      <c r="V1000" s="54" t="str">
        <f>IF(T1000=U1000,"si","no")</f>
        <v>si</v>
      </c>
      <c r="W1000" s="137"/>
    </row>
    <row r="1001" spans="1:23" ht="12.75" customHeight="1" x14ac:dyDescent="0.2">
      <c r="A1001" s="17" t="s">
        <v>3</v>
      </c>
      <c r="B1001" s="18" t="s">
        <v>58</v>
      </c>
      <c r="C1001" s="56" t="s">
        <v>59</v>
      </c>
      <c r="D1001" s="56" t="s">
        <v>16</v>
      </c>
      <c r="E1001" s="19" t="s">
        <v>60</v>
      </c>
      <c r="F1001" s="20" t="s">
        <v>61</v>
      </c>
      <c r="G1001" s="21"/>
      <c r="M1001" s="57"/>
      <c r="N1001" s="57"/>
      <c r="O1001" s="56"/>
      <c r="P1001" s="56"/>
      <c r="Q1001" s="48"/>
      <c r="R1001" s="48"/>
    </row>
    <row r="1002" spans="1:23" ht="12.75" customHeight="1" x14ac:dyDescent="0.2">
      <c r="A1002" s="22">
        <f>'6.A'!$A$15</f>
        <v>88247</v>
      </c>
      <c r="B1002" s="23" t="str">
        <f>IF(A1002="","",VLOOKUP(A1002,'6.A'!$A$11:$G$180,2,FALSE))</f>
        <v>AUXILIAR DE ELETRICISTA COM ENCARGOS COMPLEMENTARES</v>
      </c>
      <c r="C1002" s="99">
        <v>0.25790000000000002</v>
      </c>
      <c r="D1002" s="57" t="str">
        <f>IF(A1002="","",VLOOKUP(A1002,'6.A'!$A$11:$G$180,4,FALSE))</f>
        <v>H</v>
      </c>
      <c r="E1002" s="100">
        <f>IF(A1002="","",VLOOKUP(A1002,'6.A'!$A$11:$G$180,5,FALSE))</f>
        <v>0</v>
      </c>
      <c r="F1002" s="24">
        <f t="shared" ref="F1002:F1011" si="442">IF(A1002="","0,00",ROUND(C1002*E1002,2))</f>
        <v>0</v>
      </c>
      <c r="G1002" s="52"/>
      <c r="H1002" s="52">
        <f>IF(A1002="","",VLOOKUP(A1002,'6.A'!$A$11:$E$7984,5,FALSE))</f>
        <v>0</v>
      </c>
      <c r="I1002" s="52" t="str">
        <f>IF(H1002="","",IF(E1002=H1002,"SIM","NÃO"))</f>
        <v>SIM</v>
      </c>
      <c r="J1002" s="52" t="str">
        <f>IF(H1002="","",VLOOKUP(A1002,'6.A'!$A$11:$E$564,4,FALSE))</f>
        <v>H</v>
      </c>
      <c r="K1002" s="52" t="str">
        <f>IF(H1002="","",IF(J1002=D1002,"SIM","NÃO"))</f>
        <v>SIM</v>
      </c>
      <c r="L1002" s="52">
        <f>IF(H1002="","",IF(C1002="","",G1000*C1002))</f>
        <v>1.0316000000000001</v>
      </c>
      <c r="M1002" s="117" t="str">
        <f>IF(A1002="","",VLOOKUP(A1002,'6.A'!$A$11:$C$564,2,FALSE))</f>
        <v>AUXILIAR DE ELETRICISTA COM ENCARGOS COMPLEMENTARES</v>
      </c>
      <c r="N1002" s="57" t="str">
        <f>IF(A1002="","",IF(M1002=B1002,"si","no"))</f>
        <v>si</v>
      </c>
      <c r="O1002" s="56"/>
      <c r="P1002" s="56"/>
      <c r="Q1002" s="48"/>
      <c r="R1002" s="48"/>
    </row>
    <row r="1003" spans="1:23" ht="12.75" customHeight="1" x14ac:dyDescent="0.2">
      <c r="A1003" s="22">
        <f>'6.A'!$A$18</f>
        <v>88264</v>
      </c>
      <c r="B1003" s="23" t="str">
        <f>IF(A1003="","",VLOOKUP(A1003,'6.A'!$A$11:$G$180,2,FALSE))</f>
        <v>ELETRICISTA COM ENCARGOS COMPLEMENTARES</v>
      </c>
      <c r="C1003" s="99">
        <v>0.25790000000000002</v>
      </c>
      <c r="D1003" s="57" t="str">
        <f>IF(A1003="","",VLOOKUP(A1003,'6.A'!$A$11:$G$180,4,FALSE))</f>
        <v>H</v>
      </c>
      <c r="E1003" s="100">
        <f>IF(A1003="","",VLOOKUP(A1003,'6.A'!$A$11:$G$180,5,FALSE))</f>
        <v>0</v>
      </c>
      <c r="F1003" s="24">
        <f t="shared" si="442"/>
        <v>0</v>
      </c>
      <c r="G1003" s="52"/>
      <c r="H1003" s="52">
        <f>IF(A1003="","",VLOOKUP(A1003,'6.A'!$A$11:$E$7984,5,FALSE))</f>
        <v>0</v>
      </c>
      <c r="I1003" s="52" t="str">
        <f>IF(H1003="","",IF(E1003=H1003,"SIM","NÃO"))</f>
        <v>SIM</v>
      </c>
      <c r="J1003" s="52" t="str">
        <f>IF(H1003="","",VLOOKUP(A1003,'6.A'!$A$11:$E$564,4,FALSE))</f>
        <v>H</v>
      </c>
      <c r="K1003" s="52" t="str">
        <f>IF(H1003="","",IF(J1003=D1003,"SIM","NÃO"))</f>
        <v>SIM</v>
      </c>
      <c r="L1003" s="52">
        <f>IF(H1003="","",IF(C1003="","",G1000*C1003))</f>
        <v>1.0316000000000001</v>
      </c>
      <c r="M1003" s="117" t="str">
        <f>IF(A1003="","",VLOOKUP(A1003,'6.A'!$A$11:$C$564,2,FALSE))</f>
        <v>ELETRICISTA COM ENCARGOS COMPLEMENTARES</v>
      </c>
      <c r="N1003" s="57" t="str">
        <f>IF(A1003="","",IF(M1003=B1003,"si","no"))</f>
        <v>si</v>
      </c>
      <c r="O1003" s="56"/>
      <c r="P1003" s="56"/>
      <c r="Q1003" s="48"/>
      <c r="R1003" s="48"/>
    </row>
    <row r="1004" spans="1:23" ht="12.75" customHeight="1" x14ac:dyDescent="0.2">
      <c r="A1004" s="22"/>
      <c r="B1004" s="23" t="str">
        <f>IF(A1004="","",VLOOKUP(A1004,'6.A'!$A$11:$G$180,2,FALSE))</f>
        <v/>
      </c>
      <c r="C1004" s="99"/>
      <c r="D1004" s="57" t="str">
        <f>IF(A1004="","",VLOOKUP(A1004,'6.A'!$A$11:$G$180,4,FALSE))</f>
        <v/>
      </c>
      <c r="E1004" s="100" t="str">
        <f>IF(A1004="","",VLOOKUP(A1004,'6.A'!$A$11:$G$180,5,FALSE))</f>
        <v/>
      </c>
      <c r="F1004" s="24" t="str">
        <f t="shared" si="442"/>
        <v>0,00</v>
      </c>
      <c r="G1004" s="52"/>
      <c r="H1004" s="52" t="str">
        <f>IF(A1004="","",VLOOKUP(A1004,'6.A'!$A$11:$E$7984,5,FALSE))</f>
        <v/>
      </c>
      <c r="I1004" s="52" t="str">
        <f>IF(H1004="","",IF(E1004=H1004,"SIM","NÃO"))</f>
        <v/>
      </c>
      <c r="J1004" s="52" t="str">
        <f>IF(H1004="","",VLOOKUP(A1004,'6.A'!$A$11:$E$564,4,FALSE))</f>
        <v/>
      </c>
      <c r="K1004" s="52" t="str">
        <f t="shared" ref="K1004" si="443">IF(H1004="","",IF(J1004=D1004,"SIM","NÃO"))</f>
        <v/>
      </c>
      <c r="L1004" s="52" t="str">
        <f>IF(H1004="","",IF(C1004="","",G1000*C1004))</f>
        <v/>
      </c>
      <c r="M1004" s="117" t="str">
        <f>IF(A1004="","",VLOOKUP(A1004,'6.A'!$A$11:$C$564,2,FALSE))</f>
        <v/>
      </c>
      <c r="N1004" s="57" t="str">
        <f t="shared" ref="N1004" si="444">IF(A1004="","",IF(M1004=B1004,"si","no"))</f>
        <v/>
      </c>
      <c r="O1004" s="56"/>
      <c r="P1004" s="56"/>
      <c r="Q1004" s="48"/>
      <c r="R1004" s="48"/>
      <c r="S1004" s="2"/>
    </row>
    <row r="1005" spans="1:23" ht="12.75" customHeight="1" x14ac:dyDescent="0.2">
      <c r="A1005" s="22"/>
      <c r="B1005" s="23" t="str">
        <f>IF(A1005="","",VLOOKUP(A1005,'6.A'!$A$11:$G$180,2,FALSE))</f>
        <v/>
      </c>
      <c r="C1005" s="99"/>
      <c r="D1005" s="57" t="str">
        <f>IF(A1005="","",VLOOKUP(A1005,'6.A'!$A$11:$G$180,4,FALSE))</f>
        <v/>
      </c>
      <c r="E1005" s="100" t="str">
        <f>IF(A1005="","",VLOOKUP(A1005,'6.A'!$A$11:$G$180,5,FALSE))</f>
        <v/>
      </c>
      <c r="F1005" s="24" t="str">
        <f t="shared" si="442"/>
        <v>0,00</v>
      </c>
      <c r="G1005" s="52"/>
      <c r="H1005" s="52" t="str">
        <f>IF(A1005="","",VLOOKUP(A1005,'6.A'!$A$11:$E$7984,5,FALSE))</f>
        <v/>
      </c>
      <c r="I1005" s="52" t="str">
        <f>IF(H1005="","",IF(E1005=H1005,"SIM","NÃO"))</f>
        <v/>
      </c>
      <c r="J1005" s="52" t="str">
        <f>IF(H1005="","",VLOOKUP(A1005,'6.A'!$A$11:$E$564,4,FALSE))</f>
        <v/>
      </c>
      <c r="K1005" s="52" t="str">
        <f>IF(H1005="","",IF(J1005=D1005,"SIM","NÃO"))</f>
        <v/>
      </c>
      <c r="L1005" s="52" t="str">
        <f>IF(H1005="","",IF(C1005="","",G1000*C1005))</f>
        <v/>
      </c>
      <c r="M1005" s="117" t="str">
        <f>IF(A1005="","",VLOOKUP(A1005,'6.A'!$A$11:$C$564,2,FALSE))</f>
        <v/>
      </c>
      <c r="N1005" s="57" t="str">
        <f>IF(A1005="","",IF(M1005=B1005,"si","no"))</f>
        <v/>
      </c>
      <c r="O1005" s="56"/>
      <c r="P1005" s="56"/>
      <c r="Q1005" s="48"/>
      <c r="R1005" s="48"/>
      <c r="S1005" s="2"/>
    </row>
    <row r="1006" spans="1:23" ht="12.75" customHeight="1" x14ac:dyDescent="0.2">
      <c r="A1006" s="22"/>
      <c r="B1006" s="23" t="str">
        <f>IF(A1006="","",VLOOKUP(A1006,'6.A'!$A$11:$G$180,2,FALSE))</f>
        <v/>
      </c>
      <c r="C1006" s="99"/>
      <c r="D1006" s="57" t="str">
        <f>IF(A1006="","",VLOOKUP(A1006,'6.A'!$A$11:$G$180,4,FALSE))</f>
        <v/>
      </c>
      <c r="E1006" s="101" t="str">
        <f>IF(A1006="","",VLOOKUP(A1006,'6.A'!$A$11:$G$180,5,FALSE))</f>
        <v/>
      </c>
      <c r="F1006" s="24" t="str">
        <f t="shared" si="442"/>
        <v>0,00</v>
      </c>
      <c r="G1006" s="52"/>
      <c r="H1006" s="52" t="str">
        <f>IF(A1006="","",VLOOKUP(A1006,'6.A'!$A$11:$E$7984,5,FALSE))</f>
        <v/>
      </c>
      <c r="I1006" s="52" t="str">
        <f t="shared" ref="I1006" si="445">IF(H1006="","",IF(E1006=H1006,"SIM","NÃO"))</f>
        <v/>
      </c>
      <c r="J1006" s="52" t="str">
        <f>IF(H1006="","",VLOOKUP(A1006,'6.A'!$A$11:$E$564,4,FALSE))</f>
        <v/>
      </c>
      <c r="K1006" s="52" t="str">
        <f t="shared" ref="K1006" si="446">IF(H1006="","",IF(J1006=D1006,"SIM","NÃO"))</f>
        <v/>
      </c>
      <c r="L1006" s="52" t="str">
        <f>IF(H1006="","",IF(C1006="","",G1000*C1006))</f>
        <v/>
      </c>
      <c r="M1006" s="117" t="str">
        <f>IF(A1006="","",VLOOKUP(A1006,'6.A'!$A$11:$C$564,2,FALSE))</f>
        <v/>
      </c>
      <c r="N1006" s="57" t="str">
        <f t="shared" ref="N1006" si="447">IF(A1006="","",IF(M1006=B1006,"si","no"))</f>
        <v/>
      </c>
      <c r="O1006" s="56"/>
      <c r="P1006" s="56"/>
      <c r="Q1006" s="48"/>
      <c r="R1006" s="48"/>
      <c r="S1006" s="2"/>
    </row>
    <row r="1007" spans="1:23" ht="12.75" customHeight="1" x14ac:dyDescent="0.2">
      <c r="A1007" s="22"/>
      <c r="B1007" s="23" t="str">
        <f>IF(A1007="","",VLOOKUP(A1007,'6.A'!$A$11:$G$180,2,FALSE))</f>
        <v/>
      </c>
      <c r="C1007" s="99"/>
      <c r="D1007" s="57" t="str">
        <f>IF(A1007="","",VLOOKUP(A1007,'6.A'!$A$11:$G$180,4,FALSE))</f>
        <v/>
      </c>
      <c r="E1007" s="101" t="str">
        <f>IF(A1007="","",VLOOKUP(A1007,'6.A'!$A$11:$G$180,5,FALSE))</f>
        <v/>
      </c>
      <c r="F1007" s="24" t="str">
        <f t="shared" si="442"/>
        <v>0,00</v>
      </c>
      <c r="G1007" s="52"/>
      <c r="H1007" s="52" t="str">
        <f>IF(A1007="","",VLOOKUP(A1007,'6.A'!$A$11:$E$7984,5,FALSE))</f>
        <v/>
      </c>
      <c r="I1007" s="52" t="str">
        <f>IF(H1007="","",IF(E1007=H1007,"SIM","NÃO"))</f>
        <v/>
      </c>
      <c r="J1007" s="52" t="str">
        <f>IF(H1007="","",VLOOKUP(A1007,'6.A'!$A$11:$E$564,4,FALSE))</f>
        <v/>
      </c>
      <c r="K1007" s="52" t="str">
        <f>IF(H1007="","",IF(J1007=D1007,"SIM","NÃO"))</f>
        <v/>
      </c>
      <c r="L1007" s="52" t="str">
        <f>IF(H1007="","",IF(C1007="","",G1000*C1007))</f>
        <v/>
      </c>
      <c r="M1007" s="117" t="str">
        <f>IF(A1007="","",VLOOKUP(A1007,'6.A'!$A$11:$C$564,2,FALSE))</f>
        <v/>
      </c>
      <c r="N1007" s="57" t="str">
        <f>IF(A1007="","",IF(M1007=B1007,"si","no"))</f>
        <v/>
      </c>
      <c r="O1007" s="56"/>
      <c r="P1007" s="56"/>
      <c r="Q1007" s="48"/>
      <c r="R1007" s="48"/>
      <c r="S1007" s="2"/>
    </row>
    <row r="1008" spans="1:23" ht="12.75" customHeight="1" x14ac:dyDescent="0.2">
      <c r="A1008" s="22"/>
      <c r="B1008" s="23" t="str">
        <f>IF(A1008="","",VLOOKUP(A1008,'6.A'!$A$11:$G$180,2,FALSE))</f>
        <v/>
      </c>
      <c r="C1008" s="99"/>
      <c r="D1008" s="57" t="str">
        <f>IF(A1008="","",VLOOKUP(A1008,'6.A'!$A$11:$G$180,4,FALSE))</f>
        <v/>
      </c>
      <c r="E1008" s="100" t="str">
        <f>IF(A1008="","",VLOOKUP(A1008,'6.A'!$A$11:$G$180,5,FALSE))</f>
        <v/>
      </c>
      <c r="F1008" s="24" t="str">
        <f t="shared" si="442"/>
        <v>0,00</v>
      </c>
      <c r="G1008" s="52"/>
      <c r="H1008" s="52" t="str">
        <f>IF(A1008="","",VLOOKUP(A1008,'6.A'!$A$11:$E$7984,5,FALSE))</f>
        <v/>
      </c>
      <c r="I1008" s="52" t="str">
        <f>IF(H1008="","",IF(E1008=H1008,"SIM","NÃO"))</f>
        <v/>
      </c>
      <c r="J1008" s="52" t="str">
        <f>IF(H1008="","",VLOOKUP(A1008,'6.A'!$A$11:$E$564,4,FALSE))</f>
        <v/>
      </c>
      <c r="K1008" s="52" t="str">
        <f>IF(H1008="","",IF(J1008=D1008,"SIM","NÃO"))</f>
        <v/>
      </c>
      <c r="L1008" s="52" t="str">
        <f>IF(H1008="","",IF(C1008="","",G1000*C1008))</f>
        <v/>
      </c>
      <c r="M1008" s="117" t="str">
        <f>IF(A1008="","",VLOOKUP(A1008,'6.A'!$A$11:$C$564,2,FALSE))</f>
        <v/>
      </c>
      <c r="N1008" s="57" t="str">
        <f>IF(A1008="","",IF(M1008=B1008,"si","no"))</f>
        <v/>
      </c>
      <c r="O1008" s="56"/>
      <c r="P1008" s="56"/>
      <c r="Q1008" s="48"/>
      <c r="R1008" s="48"/>
      <c r="S1008" s="2"/>
    </row>
    <row r="1009" spans="1:19" ht="12.75" customHeight="1" x14ac:dyDescent="0.2">
      <c r="A1009" s="22"/>
      <c r="B1009" s="23" t="str">
        <f>IF(A1009="","",VLOOKUP(A1009,'6.A'!$A$11:$G$180,2,FALSE))</f>
        <v/>
      </c>
      <c r="C1009" s="99"/>
      <c r="D1009" s="57" t="str">
        <f>IF(A1009="","",VLOOKUP(A1009,'6.A'!$A$11:$G$180,4,FALSE))</f>
        <v/>
      </c>
      <c r="E1009" s="100" t="str">
        <f>IF(A1009="","",VLOOKUP(A1009,'6.A'!$A$11:$G$180,5,FALSE))</f>
        <v/>
      </c>
      <c r="F1009" s="24" t="str">
        <f t="shared" si="442"/>
        <v>0,00</v>
      </c>
      <c r="G1009" s="52"/>
      <c r="H1009" s="52" t="str">
        <f>IF(A1009="","",VLOOKUP(A1009,'6.A'!$A$11:$E$7984,5,FALSE))</f>
        <v/>
      </c>
      <c r="I1009" s="52" t="str">
        <f t="shared" ref="I1009" si="448">IF(H1009="","",IF(E1009=H1009,"SIM","NÃO"))</f>
        <v/>
      </c>
      <c r="J1009" s="52" t="str">
        <f>IF(H1009="","",VLOOKUP(A1009,'6.A'!$A$11:$E$564,4,FALSE))</f>
        <v/>
      </c>
      <c r="K1009" s="52" t="str">
        <f t="shared" ref="K1009" si="449">IF(H1009="","",IF(J1009=D1009,"SIM","NÃO"))</f>
        <v/>
      </c>
      <c r="L1009" s="52" t="str">
        <f>IF(H1009="","",IF(C1009="","",G1000*C1009))</f>
        <v/>
      </c>
      <c r="M1009" s="117" t="str">
        <f>IF(A1009="","",VLOOKUP(A1009,'6.A'!$A$11:$C$564,2,FALSE))</f>
        <v/>
      </c>
      <c r="N1009" s="57" t="str">
        <f t="shared" ref="N1009" si="450">IF(A1009="","",IF(M1009=B1009,"si","no"))</f>
        <v/>
      </c>
      <c r="O1009" s="56"/>
      <c r="P1009" s="56"/>
      <c r="Q1009" s="48"/>
      <c r="R1009" s="48"/>
      <c r="S1009" s="2"/>
    </row>
    <row r="1010" spans="1:19" ht="12.75" customHeight="1" x14ac:dyDescent="0.2">
      <c r="A1010" s="22"/>
      <c r="B1010" s="23" t="str">
        <f>IF(A1010="","",VLOOKUP(A1010,'6.A'!$A$11:$G$180,2,FALSE))</f>
        <v/>
      </c>
      <c r="C1010" s="99"/>
      <c r="D1010" s="73" t="str">
        <f>IF(A1010="","",VLOOKUP(A1010,'6.A'!$A$11:$G$180,4,FALSE))</f>
        <v/>
      </c>
      <c r="E1010" s="101" t="str">
        <f>IF(A1010="","",VLOOKUP(A1010,'6.A'!$A$11:$G$180,5,FALSE))</f>
        <v/>
      </c>
      <c r="F1010" s="24" t="str">
        <f t="shared" si="442"/>
        <v>0,00</v>
      </c>
      <c r="G1010" s="52"/>
      <c r="H1010" s="52" t="str">
        <f>IF(A1010="","",VLOOKUP(A1010,'6.A'!$A$11:$E$7984,5,FALSE))</f>
        <v/>
      </c>
      <c r="I1010" s="52" t="str">
        <f>IF(H1010="","",IF(E1010=H1010,"SIM","NÃO"))</f>
        <v/>
      </c>
      <c r="J1010" s="52" t="str">
        <f>IF(H1010="","",VLOOKUP(A1010,'6.A'!$A$11:$E$564,4,FALSE))</f>
        <v/>
      </c>
      <c r="K1010" s="52" t="str">
        <f>IF(H1010="","",IF(J1010=D1010,"SIM","NÃO"))</f>
        <v/>
      </c>
      <c r="L1010" s="52" t="str">
        <f>IF(H1010="","",IF(C1010="","",G1000*C1010))</f>
        <v/>
      </c>
      <c r="M1010" s="117" t="str">
        <f>IF(A1010="","",VLOOKUP(A1010,'6.A'!$A$11:$C$564,2,FALSE))</f>
        <v/>
      </c>
      <c r="N1010" s="57" t="str">
        <f>IF(A1010="","",IF(M1010=B1010,"si","no"))</f>
        <v/>
      </c>
      <c r="O1010" s="56"/>
      <c r="P1010" s="56"/>
      <c r="Q1010" s="48"/>
      <c r="R1010" s="48"/>
      <c r="S1010" s="2"/>
    </row>
    <row r="1011" spans="1:19" ht="12.75" customHeight="1" x14ac:dyDescent="0.2">
      <c r="A1011" s="22"/>
      <c r="B1011" s="23" t="str">
        <f>IF(A1011="","",VLOOKUP(A1011,'6.A'!$A$11:$G$180,2,FALSE))</f>
        <v/>
      </c>
      <c r="C1011" s="99"/>
      <c r="D1011" s="25" t="str">
        <f>IF(A1011="","",VLOOKUP(A1011,'6.A'!$A$11:$G$180,4,FALSE))</f>
        <v/>
      </c>
      <c r="E1011" s="101" t="str">
        <f>IF(A1011="","",VLOOKUP(A1011,'6.A'!$A$11:$G$180,5,FALSE))</f>
        <v/>
      </c>
      <c r="F1011" s="24" t="str">
        <f t="shared" si="442"/>
        <v>0,00</v>
      </c>
      <c r="G1011" s="52"/>
      <c r="H1011" s="52" t="str">
        <f>IF(A1011="","",VLOOKUP(A1011,'6.A'!$A$11:$E$7984,5,FALSE))</f>
        <v/>
      </c>
      <c r="I1011" s="52" t="str">
        <f t="shared" ref="I1011" si="451">IF(H1011="","",IF(E1011=H1011,"SIM","NÃO"))</f>
        <v/>
      </c>
      <c r="J1011" s="52" t="str">
        <f>IF(H1011="","",VLOOKUP(A1011,'6.A'!$A$11:$E$564,4,FALSE))</f>
        <v/>
      </c>
      <c r="K1011" s="52" t="str">
        <f t="shared" ref="K1011" si="452">IF(H1011="","",IF(J1011=D1011,"SIM","NÃO"))</f>
        <v/>
      </c>
      <c r="L1011" s="52" t="str">
        <f>IF(H1011="","",IF(C1011="","",G1000*C1011))</f>
        <v/>
      </c>
      <c r="M1011" s="117" t="str">
        <f>IF(A1011="","",VLOOKUP(A1011,'6.A'!$A$11:$C$564,2,FALSE))</f>
        <v/>
      </c>
      <c r="N1011" s="57" t="str">
        <f t="shared" ref="N1011" si="453">IF(A1011="","",IF(M1011=B1011,"si","no"))</f>
        <v/>
      </c>
      <c r="O1011" s="56"/>
      <c r="P1011" s="56"/>
      <c r="Q1011" s="48"/>
      <c r="R1011" s="48"/>
      <c r="S1011" s="2"/>
    </row>
    <row r="1012" spans="1:19" ht="12.75" customHeight="1" x14ac:dyDescent="0.2">
      <c r="A1012" s="17"/>
      <c r="B1012" s="26" t="str">
        <f>$A$8</f>
        <v>LEIS SOCIAIS HORISTA - JORNADA NORMAL</v>
      </c>
      <c r="C1012" s="27">
        <f>$C$8</f>
        <v>0</v>
      </c>
      <c r="D1012" s="57"/>
      <c r="F1012" s="28">
        <f>ROUND(SUM(F1002:F1011)*C1012,2)</f>
        <v>0</v>
      </c>
      <c r="G1012" s="63"/>
      <c r="M1012" s="62"/>
      <c r="N1012" s="57"/>
      <c r="O1012" s="56"/>
      <c r="P1012" s="56"/>
      <c r="Q1012" s="48"/>
      <c r="R1012" s="48"/>
      <c r="S1012" s="2"/>
    </row>
    <row r="1013" spans="1:19" ht="12.75" customHeight="1" x14ac:dyDescent="0.2">
      <c r="A1013" s="22"/>
      <c r="B1013" s="26" t="str">
        <f>$A$9</f>
        <v>BDI</v>
      </c>
      <c r="C1013" s="27">
        <f>$C$9</f>
        <v>0</v>
      </c>
      <c r="D1013" s="29"/>
      <c r="F1013" s="28">
        <f>ROUND(SUM(F1002:F1012)*C1013,2)</f>
        <v>0</v>
      </c>
      <c r="G1013" s="63"/>
      <c r="M1013" s="62"/>
      <c r="N1013" s="57"/>
      <c r="O1013" s="56"/>
      <c r="P1013" s="56"/>
      <c r="Q1013" s="48"/>
      <c r="R1013" s="48"/>
      <c r="S1013" s="2"/>
    </row>
    <row r="1014" spans="1:19" ht="12.75" customHeight="1" x14ac:dyDescent="0.2">
      <c r="A1014" s="30"/>
      <c r="B1014" s="31" t="s">
        <v>56</v>
      </c>
      <c r="C1014" s="32"/>
      <c r="D1014" s="33"/>
      <c r="E1014" s="34"/>
      <c r="F1014" s="35">
        <f>ROUND(SUM(F1002:F1013),2)</f>
        <v>0</v>
      </c>
      <c r="G1014" s="63"/>
      <c r="M1014" s="62"/>
      <c r="N1014" s="57"/>
      <c r="O1014" s="56"/>
      <c r="P1014" s="56"/>
      <c r="Q1014" s="48"/>
      <c r="R1014" s="48"/>
      <c r="S1014" s="2"/>
    </row>
    <row r="1015" spans="1:19" ht="12.75" customHeight="1" x14ac:dyDescent="0.2">
      <c r="A1015" s="17" t="s">
        <v>5</v>
      </c>
      <c r="B1015" s="153" t="s">
        <v>130</v>
      </c>
      <c r="C1015" s="56" t="s">
        <v>59</v>
      </c>
      <c r="D1015" s="56" t="s">
        <v>16</v>
      </c>
      <c r="E1015" s="19" t="s">
        <v>60</v>
      </c>
      <c r="F1015" s="20" t="s">
        <v>61</v>
      </c>
      <c r="G1015" s="21"/>
      <c r="M1015" s="62"/>
      <c r="N1015" s="57"/>
      <c r="O1015" s="56"/>
      <c r="P1015" s="56"/>
      <c r="Q1015" s="48"/>
      <c r="R1015" s="48"/>
      <c r="S1015" s="2"/>
    </row>
    <row r="1016" spans="1:19" ht="12.75" customHeight="1" x14ac:dyDescent="0.2">
      <c r="A1016" s="22"/>
      <c r="B1016" s="23" t="str">
        <f>IF(A1016="","",VLOOKUP(A1016,'6.A'!$A$11:$G$180,2,FALSE))</f>
        <v/>
      </c>
      <c r="C1016" s="99"/>
      <c r="D1016" s="57" t="str">
        <f>IF(A1016="","",VLOOKUP(A1016,'6.A'!$A$11:$G$180,4,FALSE))</f>
        <v/>
      </c>
      <c r="E1016" s="100" t="str">
        <f>IF(A1016="","",VLOOKUP(A1016,'6.A'!$A$11:$G$180,5,FALSE))</f>
        <v/>
      </c>
      <c r="F1016" s="24" t="str">
        <f t="shared" ref="F1016:F1025" si="454">IF(A1016="","0,00",ROUND(C1016*E1016,2))</f>
        <v>0,00</v>
      </c>
      <c r="G1016" s="52"/>
      <c r="H1016" s="52" t="str">
        <f>IF(A1016="","",VLOOKUP(A1016,'6.A'!$A$11:$E$7984,5,FALSE))</f>
        <v/>
      </c>
      <c r="I1016" s="52" t="str">
        <f t="shared" ref="I1016:I1025" si="455">IF(H1016="","",IF(E1016=H1016,"SIM","NÃO"))</f>
        <v/>
      </c>
      <c r="J1016" s="52" t="str">
        <f>IF(H1016="","",VLOOKUP(A1016,'6.A'!$A$11:$E$564,4,FALSE))</f>
        <v/>
      </c>
      <c r="K1016" s="52" t="str">
        <f t="shared" ref="K1016:K1025" si="456">IF(H1016="","",IF(J1016=D1016,"SIM","NÃO"))</f>
        <v/>
      </c>
      <c r="L1016" s="52" t="str">
        <f>IF(H1016="","",IF(C1016="","",G1000*C1016))</f>
        <v/>
      </c>
      <c r="M1016" s="117" t="str">
        <f>IF(A1016="","",VLOOKUP(A1016,'6.A'!$A$11:$C$564,2,FALSE))</f>
        <v/>
      </c>
      <c r="N1016" s="57" t="str">
        <f t="shared" ref="N1016:N1021" si="457">IF(A1016="","",IF(M1016=B1016,"si","no"))</f>
        <v/>
      </c>
      <c r="O1016" s="56"/>
      <c r="P1016" s="56"/>
      <c r="Q1016" s="48"/>
      <c r="R1016" s="48"/>
      <c r="S1016" s="2"/>
    </row>
    <row r="1017" spans="1:19" ht="12.75" customHeight="1" x14ac:dyDescent="0.2">
      <c r="A1017" s="22"/>
      <c r="B1017" s="23" t="str">
        <f>IF(A1017="","",VLOOKUP(A1017,'6.A'!$A$11:$G$180,2,FALSE))</f>
        <v/>
      </c>
      <c r="C1017" s="99"/>
      <c r="D1017" s="57" t="str">
        <f>IF(A1017="","",VLOOKUP(A1017,'6.A'!$A$11:$G$180,4,FALSE))</f>
        <v/>
      </c>
      <c r="E1017" s="100" t="str">
        <f>IF(A1017="","",VLOOKUP(A1017,'6.A'!$A$11:$G$180,5,FALSE))</f>
        <v/>
      </c>
      <c r="F1017" s="24" t="str">
        <f t="shared" si="454"/>
        <v>0,00</v>
      </c>
      <c r="G1017" s="52"/>
      <c r="H1017" s="52" t="str">
        <f>IF(A1017="","",VLOOKUP(A1017,'6.A'!$A$11:$E$7984,5,FALSE))</f>
        <v/>
      </c>
      <c r="I1017" s="52" t="str">
        <f t="shared" si="455"/>
        <v/>
      </c>
      <c r="J1017" s="52" t="str">
        <f>IF(H1017="","",VLOOKUP(A1017,'6.A'!$A$11:$E$564,4,FALSE))</f>
        <v/>
      </c>
      <c r="K1017" s="52" t="str">
        <f t="shared" si="456"/>
        <v/>
      </c>
      <c r="L1017" s="52" t="str">
        <f>IF(H1017="","",IF(C1017="","",G1000*C1017))</f>
        <v/>
      </c>
      <c r="M1017" s="117" t="str">
        <f>IF(A1017="","",VLOOKUP(A1017,'6.A'!$A$11:$C$564,2,FALSE))</f>
        <v/>
      </c>
      <c r="N1017" s="57" t="str">
        <f t="shared" si="457"/>
        <v/>
      </c>
      <c r="O1017" s="56"/>
      <c r="P1017" s="56"/>
      <c r="Q1017" s="48"/>
      <c r="R1017" s="48"/>
      <c r="S1017" s="2"/>
    </row>
    <row r="1018" spans="1:19" ht="12.75" customHeight="1" x14ac:dyDescent="0.2">
      <c r="A1018" s="22"/>
      <c r="B1018" s="23" t="str">
        <f>IF(A1018="","",VLOOKUP(A1018,'6.A'!$A$11:$G$180,2,FALSE))</f>
        <v/>
      </c>
      <c r="C1018" s="99"/>
      <c r="D1018" s="57" t="str">
        <f>IF(A1018="","",VLOOKUP(A1018,'6.A'!$A$11:$G$180,4,FALSE))</f>
        <v/>
      </c>
      <c r="E1018" s="100" t="str">
        <f>IF(A1018="","",VLOOKUP(A1018,'6.A'!$A$11:$G$180,5,FALSE))</f>
        <v/>
      </c>
      <c r="F1018" s="24" t="str">
        <f t="shared" si="454"/>
        <v>0,00</v>
      </c>
      <c r="G1018" s="52"/>
      <c r="H1018" s="52" t="str">
        <f>IF(A1018="","",VLOOKUP(A1018,'6.A'!$A$11:$E$7984,5,FALSE))</f>
        <v/>
      </c>
      <c r="I1018" s="52" t="str">
        <f t="shared" si="455"/>
        <v/>
      </c>
      <c r="J1018" s="52" t="str">
        <f>IF(H1018="","",VLOOKUP(A1018,'6.A'!$A$11:$E$564,4,FALSE))</f>
        <v/>
      </c>
      <c r="K1018" s="52" t="str">
        <f t="shared" si="456"/>
        <v/>
      </c>
      <c r="L1018" s="52" t="str">
        <f>IF(H1018="","",IF(C1018="","",G1000*C1018))</f>
        <v/>
      </c>
      <c r="M1018" s="117" t="str">
        <f>IF(A1018="","",VLOOKUP(A1018,'6.A'!$A$11:$C$564,2,FALSE))</f>
        <v/>
      </c>
      <c r="N1018" s="57" t="str">
        <f t="shared" si="457"/>
        <v/>
      </c>
      <c r="O1018" s="56"/>
      <c r="P1018" s="56"/>
      <c r="Q1018" s="48"/>
      <c r="R1018" s="48"/>
      <c r="S1018" s="2"/>
    </row>
    <row r="1019" spans="1:19" ht="12.75" customHeight="1" x14ac:dyDescent="0.2">
      <c r="A1019" s="22"/>
      <c r="B1019" s="55" t="str">
        <f>IF(A1019="","",VLOOKUP(A1019,'6.A'!$A$11:$G$180,2,FALSE))</f>
        <v/>
      </c>
      <c r="C1019" s="134"/>
      <c r="D1019" s="57" t="str">
        <f>IF(A1019="","",VLOOKUP(A1019,'6.A'!$A$11:$G$180,4,FALSE))</f>
        <v/>
      </c>
      <c r="E1019" s="100" t="str">
        <f>IF(A1019="","",VLOOKUP(A1019,'6.A'!$A$11:$G$180,5,FALSE))</f>
        <v/>
      </c>
      <c r="F1019" s="24" t="str">
        <f t="shared" si="454"/>
        <v>0,00</v>
      </c>
      <c r="G1019" s="52"/>
      <c r="H1019" s="52" t="str">
        <f>IF(A1019="","",VLOOKUP(A1019,'6.A'!$A$11:$E$7984,5,FALSE))</f>
        <v/>
      </c>
      <c r="I1019" s="52" t="str">
        <f t="shared" si="455"/>
        <v/>
      </c>
      <c r="J1019" s="52" t="str">
        <f>IF(H1019="","",VLOOKUP(A1019,'6.A'!$A$11:$E$564,4,FALSE))</f>
        <v/>
      </c>
      <c r="K1019" s="52" t="str">
        <f t="shared" si="456"/>
        <v/>
      </c>
      <c r="L1019" s="52" t="str">
        <f>IF(H1019="","",IF(C1019="","",G1000*C1019))</f>
        <v/>
      </c>
      <c r="M1019" s="117" t="str">
        <f>IF(A1019="","",VLOOKUP(A1019,'6.A'!$A$11:$C$564,2,FALSE))</f>
        <v/>
      </c>
      <c r="N1019" s="57" t="str">
        <f t="shared" si="457"/>
        <v/>
      </c>
      <c r="O1019" s="56"/>
      <c r="P1019" s="56"/>
      <c r="Q1019" s="48"/>
      <c r="R1019" s="48"/>
      <c r="S1019" s="2"/>
    </row>
    <row r="1020" spans="1:19" ht="12.75" customHeight="1" x14ac:dyDescent="0.2">
      <c r="A1020" s="22"/>
      <c r="B1020" s="23" t="str">
        <f>IF(A1020="","",VLOOKUP(A1020,'6.A'!$A$11:$G$180,2,FALSE))</f>
        <v/>
      </c>
      <c r="C1020" s="99"/>
      <c r="D1020" s="57" t="str">
        <f>IF(A1020="","",VLOOKUP(A1020,'6.A'!$A$11:$G$180,4,FALSE))</f>
        <v/>
      </c>
      <c r="E1020" s="100" t="str">
        <f>IF(A1020="","",VLOOKUP(A1020,'6.A'!$A$11:$G$180,5,FALSE))</f>
        <v/>
      </c>
      <c r="F1020" s="24" t="str">
        <f t="shared" si="454"/>
        <v>0,00</v>
      </c>
      <c r="G1020" s="52"/>
      <c r="H1020" s="52" t="str">
        <f>IF(A1020="","",VLOOKUP(A1020,'6.A'!$A$11:$E$7984,5,FALSE))</f>
        <v/>
      </c>
      <c r="I1020" s="52" t="str">
        <f t="shared" si="455"/>
        <v/>
      </c>
      <c r="J1020" s="52" t="str">
        <f>IF(H1020="","",VLOOKUP(A1020,'6.A'!$A$11:$E$564,4,FALSE))</f>
        <v/>
      </c>
      <c r="K1020" s="52" t="str">
        <f t="shared" si="456"/>
        <v/>
      </c>
      <c r="L1020" s="52" t="str">
        <f>IF(H1020="","",IF(C1020="","",G1000*C1020))</f>
        <v/>
      </c>
      <c r="M1020" s="117" t="str">
        <f>IF(A1020="","",VLOOKUP(A1020,'6.A'!$A$11:$C$564,2,FALSE))</f>
        <v/>
      </c>
      <c r="N1020" s="57" t="str">
        <f t="shared" si="457"/>
        <v/>
      </c>
      <c r="O1020" s="56"/>
      <c r="P1020" s="56"/>
      <c r="Q1020" s="48"/>
      <c r="R1020" s="48"/>
      <c r="S1020" s="2"/>
    </row>
    <row r="1021" spans="1:19" ht="12.75" customHeight="1" x14ac:dyDescent="0.2">
      <c r="A1021" s="22"/>
      <c r="B1021" s="23" t="str">
        <f>IF(A1021="","",VLOOKUP(A1021,'6.A'!$A$11:$G$180,2,FALSE))</f>
        <v/>
      </c>
      <c r="C1021" s="99"/>
      <c r="D1021" s="57" t="str">
        <f>IF(A1021="","",VLOOKUP(A1021,'6.A'!$A$11:$G$180,4,FALSE))</f>
        <v/>
      </c>
      <c r="E1021" s="100" t="str">
        <f>IF(A1021="","",VLOOKUP(A1021,'6.A'!$A$11:$G$180,5,FALSE))</f>
        <v/>
      </c>
      <c r="F1021" s="24" t="str">
        <f t="shared" si="454"/>
        <v>0,00</v>
      </c>
      <c r="G1021" s="52"/>
      <c r="H1021" s="52" t="str">
        <f>IF(A1021="","",VLOOKUP(A1021,'6.A'!$A$11:$E$7984,5,FALSE))</f>
        <v/>
      </c>
      <c r="I1021" s="52" t="str">
        <f t="shared" si="455"/>
        <v/>
      </c>
      <c r="J1021" s="52" t="str">
        <f>IF(H1021="","",VLOOKUP(A1021,'6.A'!$A$11:$E$564,4,FALSE))</f>
        <v/>
      </c>
      <c r="K1021" s="52" t="str">
        <f t="shared" si="456"/>
        <v/>
      </c>
      <c r="L1021" s="52" t="str">
        <f>IF(H1021="","",IF(C1021="","",G1000*C1021))</f>
        <v/>
      </c>
      <c r="M1021" s="117" t="str">
        <f>IF(A1021="","",VLOOKUP(A1021,'6.A'!$A$11:$C$564,2,FALSE))</f>
        <v/>
      </c>
      <c r="N1021" s="57" t="str">
        <f t="shared" si="457"/>
        <v/>
      </c>
      <c r="O1021" s="56"/>
      <c r="P1021" s="56"/>
      <c r="Q1021" s="48"/>
      <c r="R1021" s="48"/>
      <c r="S1021" s="2"/>
    </row>
    <row r="1022" spans="1:19" ht="12.75" customHeight="1" x14ac:dyDescent="0.2">
      <c r="A1022" s="22"/>
      <c r="B1022" s="23" t="str">
        <f>IF(A1022="","",VLOOKUP(A1022,'6.A'!$A$11:$G$180,2,FALSE))</f>
        <v/>
      </c>
      <c r="C1022" s="99"/>
      <c r="D1022" s="57" t="str">
        <f>IF(A1022="","",VLOOKUP(A1022,'6.A'!$A$11:$G$180,4,FALSE))</f>
        <v/>
      </c>
      <c r="E1022" s="100" t="str">
        <f>IF(A1022="","",VLOOKUP(A1022,'6.A'!$A$11:$G$180,5,FALSE))</f>
        <v/>
      </c>
      <c r="F1022" s="24" t="str">
        <f t="shared" si="454"/>
        <v>0,00</v>
      </c>
      <c r="G1022" s="52"/>
      <c r="H1022" s="52" t="str">
        <f>IF(A1022="","",VLOOKUP(A1022,'6.A'!$A$11:$E$7984,5,FALSE))</f>
        <v/>
      </c>
      <c r="I1022" s="52" t="str">
        <f t="shared" si="455"/>
        <v/>
      </c>
      <c r="J1022" s="52" t="str">
        <f>IF(H1022="","",VLOOKUP(A1022,'6.A'!$A$11:$E$564,4,FALSE))</f>
        <v/>
      </c>
      <c r="K1022" s="52" t="str">
        <f t="shared" si="456"/>
        <v/>
      </c>
      <c r="L1022" s="52" t="str">
        <f>IF(H1022="","",IF(C1022="","",G1000*C1022))</f>
        <v/>
      </c>
      <c r="M1022" s="117" t="str">
        <f>IF(A1022="","",VLOOKUP(A1022,'6.A'!$A$11:$C$564,2,FALSE))</f>
        <v/>
      </c>
      <c r="N1022" s="57" t="str">
        <f>IF(A1022="","",IF(M1022=B1022,"si","no"))</f>
        <v/>
      </c>
      <c r="O1022" s="56"/>
      <c r="P1022" s="56"/>
      <c r="Q1022" s="48"/>
      <c r="R1022" s="48"/>
      <c r="S1022" s="2"/>
    </row>
    <row r="1023" spans="1:19" ht="12.75" customHeight="1" x14ac:dyDescent="0.2">
      <c r="A1023" s="22"/>
      <c r="B1023" s="23" t="str">
        <f>IF(A1023="","",VLOOKUP(A1023,'6.A'!$A$11:$G$180,2,FALSE))</f>
        <v/>
      </c>
      <c r="C1023" s="99"/>
      <c r="D1023" s="57" t="str">
        <f>IF(A1023="","",VLOOKUP(A1023,'6.A'!$A$11:$G$180,4,FALSE))</f>
        <v/>
      </c>
      <c r="E1023" s="100" t="str">
        <f>IF(A1023="","",VLOOKUP(A1023,'6.A'!$A$11:$G$180,5,FALSE))</f>
        <v/>
      </c>
      <c r="F1023" s="24" t="str">
        <f t="shared" si="454"/>
        <v>0,00</v>
      </c>
      <c r="G1023" s="52"/>
      <c r="H1023" s="52" t="str">
        <f>IF(A1023="","",VLOOKUP(A1023,'6.A'!$A$11:$E$7984,5,FALSE))</f>
        <v/>
      </c>
      <c r="I1023" s="52" t="str">
        <f t="shared" si="455"/>
        <v/>
      </c>
      <c r="J1023" s="52" t="str">
        <f>IF(H1023="","",VLOOKUP(A1023,'6.A'!$A$11:$E$564,4,FALSE))</f>
        <v/>
      </c>
      <c r="K1023" s="52" t="str">
        <f t="shared" si="456"/>
        <v/>
      </c>
      <c r="L1023" s="52" t="str">
        <f>IF(H1023="","",IF(C1023="","",G1000*C1023))</f>
        <v/>
      </c>
      <c r="M1023" s="117" t="str">
        <f>IF(A1023="","",VLOOKUP(A1023,'6.A'!$A$11:$C$564,2,FALSE))</f>
        <v/>
      </c>
      <c r="N1023" s="57" t="str">
        <f>IF(A1023="","",IF(M1023=B1023,"si","no"))</f>
        <v/>
      </c>
      <c r="O1023" s="56"/>
      <c r="P1023" s="56"/>
      <c r="Q1023" s="48"/>
      <c r="R1023" s="48"/>
      <c r="S1023" s="2"/>
    </row>
    <row r="1024" spans="1:19" ht="12.75" customHeight="1" x14ac:dyDescent="0.2">
      <c r="A1024" s="22"/>
      <c r="B1024" s="23" t="str">
        <f>IF(A1024="","",VLOOKUP(A1024,'6.A'!$A$11:$G$180,2,FALSE))</f>
        <v/>
      </c>
      <c r="C1024" s="99"/>
      <c r="D1024" s="57" t="str">
        <f>IF(A1024="","",VLOOKUP(A1024,'6.A'!$A$11:$G$180,4,FALSE))</f>
        <v/>
      </c>
      <c r="E1024" s="100" t="str">
        <f>IF(A1024="","",VLOOKUP(A1024,'6.A'!$A$11:$G$180,5,FALSE))</f>
        <v/>
      </c>
      <c r="F1024" s="24" t="str">
        <f t="shared" si="454"/>
        <v>0,00</v>
      </c>
      <c r="G1024" s="52"/>
      <c r="H1024" s="52" t="str">
        <f>IF(A1024="","",VLOOKUP(A1024,'6.A'!$A$11:$E$7984,5,FALSE))</f>
        <v/>
      </c>
      <c r="I1024" s="52" t="str">
        <f t="shared" si="455"/>
        <v/>
      </c>
      <c r="J1024" s="52" t="str">
        <f>IF(H1024="","",VLOOKUP(A1024,'6.A'!$A$11:$E$564,4,FALSE))</f>
        <v/>
      </c>
      <c r="K1024" s="52" t="str">
        <f t="shared" si="456"/>
        <v/>
      </c>
      <c r="L1024" s="52" t="str">
        <f>IF(H1024="","",IF(C1024="","",G1000*C1024))</f>
        <v/>
      </c>
      <c r="M1024" s="117" t="str">
        <f>IF(A1024="","",VLOOKUP(A1024,'6.A'!$A$11:$C$564,2,FALSE))</f>
        <v/>
      </c>
      <c r="N1024" s="57" t="str">
        <f t="shared" ref="N1024:N1025" si="458">IF(A1024="","",IF(M1024=B1024,"si","no"))</f>
        <v/>
      </c>
      <c r="O1024" s="56"/>
      <c r="P1024" s="56"/>
      <c r="Q1024" s="48"/>
      <c r="R1024" s="48"/>
      <c r="S1024" s="2"/>
    </row>
    <row r="1025" spans="1:22" ht="12.75" customHeight="1" x14ac:dyDescent="0.2">
      <c r="A1025" s="22"/>
      <c r="B1025" s="23" t="str">
        <f>IF(A1025="","",VLOOKUP(A1025,'6.A'!$A$11:$G$180,2,FALSE))</f>
        <v/>
      </c>
      <c r="C1025" s="99"/>
      <c r="D1025" s="57" t="str">
        <f>IF(A1025="","",VLOOKUP(A1025,'6.A'!$A$11:$G$180,4,FALSE))</f>
        <v/>
      </c>
      <c r="E1025" s="100" t="str">
        <f>IF(A1025="","",VLOOKUP(A1025,'6.A'!$A$11:$G$180,5,FALSE))</f>
        <v/>
      </c>
      <c r="F1025" s="24" t="str">
        <f t="shared" si="454"/>
        <v>0,00</v>
      </c>
      <c r="G1025" s="52"/>
      <c r="H1025" s="52" t="str">
        <f>IF(A1025="","",VLOOKUP(A1025,'6.A'!$A$11:$E$7984,5,FALSE))</f>
        <v/>
      </c>
      <c r="I1025" s="52" t="str">
        <f t="shared" si="455"/>
        <v/>
      </c>
      <c r="J1025" s="52" t="str">
        <f>IF(H1025="","",VLOOKUP(A1025,'6.A'!$A$11:$E$564,4,FALSE))</f>
        <v/>
      </c>
      <c r="K1025" s="52" t="str">
        <f t="shared" si="456"/>
        <v/>
      </c>
      <c r="L1025" s="52" t="str">
        <f>IF(H1025="","",IF(C1025="","",G1000*C1025))</f>
        <v/>
      </c>
      <c r="M1025" s="117" t="str">
        <f>IF(A1025="","",VLOOKUP(A1025,'6.A'!$A$11:$C$564,2,FALSE))</f>
        <v/>
      </c>
      <c r="N1025" s="57" t="str">
        <f t="shared" si="458"/>
        <v/>
      </c>
      <c r="O1025" s="56"/>
      <c r="P1025" s="56"/>
      <c r="Q1025" s="48"/>
      <c r="R1025" s="48"/>
      <c r="S1025" s="2"/>
    </row>
    <row r="1026" spans="1:22" ht="12.75" customHeight="1" x14ac:dyDescent="0.2">
      <c r="A1026" s="22"/>
      <c r="B1026" s="26" t="str">
        <f>$A$9</f>
        <v>BDI</v>
      </c>
      <c r="C1026" s="27">
        <f>$C$9</f>
        <v>0</v>
      </c>
      <c r="D1026" s="57"/>
      <c r="F1026" s="28">
        <f>ROUND(SUM(F1016:F1025)*C1026,2)</f>
        <v>0</v>
      </c>
      <c r="G1026" s="63"/>
      <c r="M1026" s="62"/>
      <c r="N1026" s="57"/>
      <c r="O1026" s="56"/>
      <c r="P1026" s="56"/>
      <c r="Q1026" s="48"/>
      <c r="R1026" s="48"/>
      <c r="S1026" s="2"/>
    </row>
    <row r="1027" spans="1:22" ht="12.75" customHeight="1" x14ac:dyDescent="0.2">
      <c r="A1027" s="30"/>
      <c r="B1027" s="31" t="s">
        <v>117</v>
      </c>
      <c r="C1027" s="36"/>
      <c r="D1027" s="37"/>
      <c r="E1027" s="38"/>
      <c r="F1027" s="35">
        <f>ROUND(SUM(F1016:F1026),2)</f>
        <v>0</v>
      </c>
      <c r="G1027" s="63"/>
      <c r="M1027" s="62"/>
      <c r="N1027" s="57"/>
      <c r="O1027" s="56"/>
      <c r="P1027" s="56"/>
      <c r="Q1027" s="48"/>
      <c r="R1027" s="48"/>
      <c r="S1027" s="2"/>
    </row>
    <row r="1028" spans="1:22" ht="12.75" customHeight="1" x14ac:dyDescent="0.2">
      <c r="A1028" s="17" t="s">
        <v>6</v>
      </c>
      <c r="B1028" s="18" t="s">
        <v>17</v>
      </c>
      <c r="C1028" s="56" t="s">
        <v>59</v>
      </c>
      <c r="D1028" s="56" t="s">
        <v>16</v>
      </c>
      <c r="E1028" s="19" t="s">
        <v>60</v>
      </c>
      <c r="F1028" s="20" t="s">
        <v>61</v>
      </c>
      <c r="G1028" s="21"/>
      <c r="M1028" s="62"/>
      <c r="N1028" s="57"/>
      <c r="O1028" s="56"/>
      <c r="P1028" s="56"/>
      <c r="Q1028" s="48"/>
      <c r="R1028" s="48"/>
      <c r="S1028" s="2"/>
    </row>
    <row r="1029" spans="1:22" ht="12.75" customHeight="1" x14ac:dyDescent="0.2">
      <c r="A1029" s="22">
        <f>'6.A'!$A$96</f>
        <v>1894</v>
      </c>
      <c r="B1029" s="23" t="str">
        <f>IF(A1029="","",VLOOKUP(A1029,'6.A'!$A$11:$G$180,2,FALSE))</f>
        <v>LUVA EM PVC RIGIDO ROSCAVEL, DE 2", PARA ELETRODUTO</v>
      </c>
      <c r="C1029" s="99">
        <v>1</v>
      </c>
      <c r="D1029" s="57" t="str">
        <f>IF(A1029="","",VLOOKUP(A1029,'6.A'!$A$11:$G$180,4,FALSE))</f>
        <v>UN</v>
      </c>
      <c r="E1029" s="100">
        <f>IF(A1029="","",VLOOKUP(A1029,'6.A'!$A$11:$G$180,5,FALSE))</f>
        <v>0</v>
      </c>
      <c r="F1029" s="24">
        <f t="shared" ref="F1029:F1048" si="459">IF(A1029="","0,00",ROUND(C1029*E1029,2))</f>
        <v>0</v>
      </c>
      <c r="G1029" s="52"/>
      <c r="H1029" s="52">
        <f>IF(A1029="","",VLOOKUP(A1029,'6.A'!$A$11:$E$7984,5,FALSE))</f>
        <v>0</v>
      </c>
      <c r="I1029" s="52" t="str">
        <f t="shared" ref="I1029:I1048" si="460">IF(H1029="","",IF(E1029=H1029,"SIM","NÃO"))</f>
        <v>SIM</v>
      </c>
      <c r="J1029" s="52" t="str">
        <f>IF(H1029="","",VLOOKUP(A1029,'6.A'!$A$11:$E$564,4,FALSE))</f>
        <v>UN</v>
      </c>
      <c r="K1029" s="52" t="str">
        <f t="shared" ref="K1029:K1048" si="461">IF(H1029="","",IF(J1029=D1029,"SIM","NÃO"))</f>
        <v>SIM</v>
      </c>
      <c r="L1029" s="52">
        <f>IF(H1029="","",IF(C1029="","",G1000*C1029))</f>
        <v>4</v>
      </c>
      <c r="M1029" s="117" t="str">
        <f>IF(A1029="","",VLOOKUP(A1029,'6.A'!$A$11:$C$564,2,FALSE))</f>
        <v>LUVA EM PVC RIGIDO ROSCAVEL, DE 2", PARA ELETRODUTO</v>
      </c>
      <c r="N1029" s="57" t="str">
        <f t="shared" ref="N1029:N1048" si="462">IF(A1029="","",IF(M1029=B1029,"si","no"))</f>
        <v>si</v>
      </c>
      <c r="O1029" s="56"/>
      <c r="P1029" s="56"/>
      <c r="Q1029" s="48"/>
      <c r="R1029" s="48"/>
      <c r="S1029" s="2"/>
    </row>
    <row r="1030" spans="1:22" ht="12.75" customHeight="1" x14ac:dyDescent="0.2">
      <c r="A1030" s="22"/>
      <c r="B1030" s="23" t="str">
        <f>IF(A1030="","",VLOOKUP(A1030,'6.A'!$A$11:$G$180,2,FALSE))</f>
        <v/>
      </c>
      <c r="C1030" s="99"/>
      <c r="D1030" s="57" t="str">
        <f>IF(A1030="","",VLOOKUP(A1030,'6.A'!$A$11:$G$180,4,FALSE))</f>
        <v/>
      </c>
      <c r="E1030" s="100" t="str">
        <f>IF(A1030="","",VLOOKUP(A1030,'6.A'!$A$11:$G$180,5,FALSE))</f>
        <v/>
      </c>
      <c r="F1030" s="24" t="str">
        <f t="shared" si="459"/>
        <v>0,00</v>
      </c>
      <c r="G1030" s="52"/>
      <c r="H1030" s="52" t="str">
        <f>IF(A1030="","",VLOOKUP(A1030,'6.A'!$A$11:$E$7984,5,FALSE))</f>
        <v/>
      </c>
      <c r="I1030" s="52" t="str">
        <f t="shared" si="460"/>
        <v/>
      </c>
      <c r="J1030" s="52" t="str">
        <f>IF(H1030="","",VLOOKUP(A1030,'6.A'!$A$11:$E$564,4,FALSE))</f>
        <v/>
      </c>
      <c r="K1030" s="52" t="str">
        <f t="shared" si="461"/>
        <v/>
      </c>
      <c r="L1030" s="52" t="str">
        <f>IF(H1030="","",IF(C1030="","",G1000*C1030))</f>
        <v/>
      </c>
      <c r="M1030" s="117" t="str">
        <f>IF(A1030="","",VLOOKUP(A1030,'6.A'!$A$11:$C$564,2,FALSE))</f>
        <v/>
      </c>
      <c r="N1030" s="57" t="str">
        <f t="shared" si="462"/>
        <v/>
      </c>
      <c r="O1030" s="56"/>
      <c r="P1030" s="56"/>
      <c r="Q1030" s="48"/>
      <c r="R1030" s="48"/>
      <c r="S1030" s="2"/>
    </row>
    <row r="1031" spans="1:22" ht="12.75" customHeight="1" x14ac:dyDescent="0.2">
      <c r="A1031" s="22"/>
      <c r="B1031" s="23" t="str">
        <f>IF(A1031="","",VLOOKUP(A1031,'6.A'!$A$11:$G$180,2,FALSE))</f>
        <v/>
      </c>
      <c r="C1031" s="99"/>
      <c r="D1031" s="57" t="str">
        <f>IF(A1031="","",VLOOKUP(A1031,'6.A'!$A$11:$G$180,4,FALSE))</f>
        <v/>
      </c>
      <c r="E1031" s="100" t="str">
        <f>IF(A1031="","",VLOOKUP(A1031,'6.A'!$A$11:$G$180,5,FALSE))</f>
        <v/>
      </c>
      <c r="F1031" s="24" t="str">
        <f t="shared" si="459"/>
        <v>0,00</v>
      </c>
      <c r="G1031" s="52"/>
      <c r="H1031" s="52" t="str">
        <f>IF(A1031="","",VLOOKUP(A1031,'6.A'!$A$11:$E$7984,5,FALSE))</f>
        <v/>
      </c>
      <c r="I1031" s="52" t="str">
        <f t="shared" si="460"/>
        <v/>
      </c>
      <c r="J1031" s="52" t="str">
        <f>IF(H1031="","",VLOOKUP(A1031,'6.A'!$A$11:$E$564,4,FALSE))</f>
        <v/>
      </c>
      <c r="K1031" s="52" t="str">
        <f t="shared" si="461"/>
        <v/>
      </c>
      <c r="L1031" s="52" t="str">
        <f>IF(H1031="","",IF(C1031="","",G1000*C1031))</f>
        <v/>
      </c>
      <c r="M1031" s="117" t="str">
        <f>IF(A1031="","",VLOOKUP(A1031,'6.A'!$A$11:$C$564,2,FALSE))</f>
        <v/>
      </c>
      <c r="N1031" s="57" t="str">
        <f t="shared" si="462"/>
        <v/>
      </c>
      <c r="O1031" s="56"/>
      <c r="P1031" s="56"/>
      <c r="Q1031" s="48"/>
      <c r="R1031" s="48"/>
      <c r="S1031" s="2"/>
    </row>
    <row r="1032" spans="1:22" ht="12.75" customHeight="1" x14ac:dyDescent="0.2">
      <c r="A1032" s="22"/>
      <c r="B1032" s="23" t="str">
        <f>IF(A1032="","",VLOOKUP(A1032,'6.A'!$A$11:$G$180,2,FALSE))</f>
        <v/>
      </c>
      <c r="C1032" s="99"/>
      <c r="D1032" s="57" t="str">
        <f>IF(A1032="","",VLOOKUP(A1032,'6.A'!$A$11:$G$180,4,FALSE))</f>
        <v/>
      </c>
      <c r="E1032" s="100" t="str">
        <f>IF(A1032="","",VLOOKUP(A1032,'6.A'!$A$11:$G$180,5,FALSE))</f>
        <v/>
      </c>
      <c r="F1032" s="24" t="str">
        <f t="shared" si="459"/>
        <v>0,00</v>
      </c>
      <c r="G1032" s="52"/>
      <c r="H1032" s="52" t="str">
        <f>IF(A1032="","",VLOOKUP(A1032,'6.A'!$A$11:$E$7984,5,FALSE))</f>
        <v/>
      </c>
      <c r="I1032" s="52" t="str">
        <f t="shared" si="460"/>
        <v/>
      </c>
      <c r="J1032" s="52" t="str">
        <f>IF(H1032="","",VLOOKUP(A1032,'6.A'!$A$11:$E$564,4,FALSE))</f>
        <v/>
      </c>
      <c r="K1032" s="52" t="str">
        <f t="shared" si="461"/>
        <v/>
      </c>
      <c r="L1032" s="52" t="str">
        <f>IF(H1032="","",IF(C1032="","",G1000*C1032))</f>
        <v/>
      </c>
      <c r="M1032" s="117" t="str">
        <f>IF(A1032="","",VLOOKUP(A1032,'6.A'!$A$11:$C$564,2,FALSE))</f>
        <v/>
      </c>
      <c r="N1032" s="57" t="str">
        <f t="shared" si="462"/>
        <v/>
      </c>
      <c r="O1032" s="56"/>
      <c r="P1032" s="56"/>
      <c r="Q1032" s="48"/>
      <c r="R1032" s="48"/>
      <c r="S1032" s="2"/>
    </row>
    <row r="1033" spans="1:22" ht="12.75" customHeight="1" x14ac:dyDescent="0.2">
      <c r="A1033" s="22"/>
      <c r="B1033" s="23" t="str">
        <f>IF(A1033="","",VLOOKUP(A1033,'6.A'!$A$11:$G$180,2,FALSE))</f>
        <v/>
      </c>
      <c r="C1033" s="99"/>
      <c r="D1033" s="57" t="str">
        <f>IF(A1033="","",VLOOKUP(A1033,'6.A'!$A$11:$G$180,4,FALSE))</f>
        <v/>
      </c>
      <c r="E1033" s="100" t="str">
        <f>IF(A1033="","",VLOOKUP(A1033,'6.A'!$A$11:$G$180,5,FALSE))</f>
        <v/>
      </c>
      <c r="F1033" s="24" t="str">
        <f t="shared" si="459"/>
        <v>0,00</v>
      </c>
      <c r="G1033" s="52"/>
      <c r="H1033" s="52" t="str">
        <f>IF(A1033="","",VLOOKUP(A1033,'6.A'!$A$11:$E$7984,5,FALSE))</f>
        <v/>
      </c>
      <c r="I1033" s="52" t="str">
        <f t="shared" si="460"/>
        <v/>
      </c>
      <c r="J1033" s="52" t="str">
        <f>IF(H1033="","",VLOOKUP(A1033,'6.A'!$A$11:$E$564,4,FALSE))</f>
        <v/>
      </c>
      <c r="K1033" s="52" t="str">
        <f t="shared" si="461"/>
        <v/>
      </c>
      <c r="L1033" s="52" t="str">
        <f>IF(H1033="","",IF(C1033="","",G1000*C1033))</f>
        <v/>
      </c>
      <c r="M1033" s="117" t="str">
        <f>IF(A1033="","",VLOOKUP(A1033,'6.A'!$A$11:$C$564,2,FALSE))</f>
        <v/>
      </c>
      <c r="N1033" s="57" t="str">
        <f t="shared" si="462"/>
        <v/>
      </c>
      <c r="O1033" s="56"/>
      <c r="P1033" s="56"/>
      <c r="Q1033" s="48"/>
      <c r="R1033" s="48"/>
      <c r="S1033" s="2"/>
    </row>
    <row r="1034" spans="1:22" ht="12.75" customHeight="1" x14ac:dyDescent="0.2">
      <c r="A1034" s="22"/>
      <c r="B1034" s="23" t="str">
        <f>IF(A1034="","",VLOOKUP(A1034,'6.A'!$A$11:$G$180,2,FALSE))</f>
        <v/>
      </c>
      <c r="C1034" s="99"/>
      <c r="D1034" s="57" t="str">
        <f>IF(A1034="","",VLOOKUP(A1034,'6.A'!$A$11:$G$180,4,FALSE))</f>
        <v/>
      </c>
      <c r="E1034" s="100" t="str">
        <f>IF(A1034="","",VLOOKUP(A1034,'6.A'!$A$11:$G$180,5,FALSE))</f>
        <v/>
      </c>
      <c r="F1034" s="24" t="str">
        <f t="shared" si="459"/>
        <v>0,00</v>
      </c>
      <c r="G1034" s="52"/>
      <c r="H1034" s="52" t="str">
        <f>IF(A1034="","",VLOOKUP(A1034,'6.A'!$A$11:$E$7984,5,FALSE))</f>
        <v/>
      </c>
      <c r="I1034" s="52" t="str">
        <f t="shared" si="460"/>
        <v/>
      </c>
      <c r="J1034" s="52" t="str">
        <f>IF(H1034="","",VLOOKUP(A1034,'6.A'!$A$11:$E$564,4,FALSE))</f>
        <v/>
      </c>
      <c r="K1034" s="52" t="str">
        <f t="shared" si="461"/>
        <v/>
      </c>
      <c r="L1034" s="52" t="str">
        <f>IF(H1034="","",IF(C1034="","",G1000*C1034))</f>
        <v/>
      </c>
      <c r="M1034" s="117" t="str">
        <f>IF(A1034="","",VLOOKUP(A1034,'6.A'!$A$11:$C$564,2,FALSE))</f>
        <v/>
      </c>
      <c r="N1034" s="57" t="str">
        <f t="shared" si="462"/>
        <v/>
      </c>
      <c r="O1034" s="56"/>
      <c r="P1034" s="56"/>
      <c r="Q1034" s="48"/>
      <c r="R1034" s="48"/>
      <c r="S1034" s="2"/>
    </row>
    <row r="1035" spans="1:22" ht="12.75" customHeight="1" x14ac:dyDescent="0.2">
      <c r="A1035" s="22"/>
      <c r="B1035" s="23" t="str">
        <f>IF(A1035="","",VLOOKUP(A1035,'6.A'!$A$11:$G$180,2,FALSE))</f>
        <v/>
      </c>
      <c r="C1035" s="99"/>
      <c r="D1035" s="57" t="str">
        <f>IF(A1035="","",VLOOKUP(A1035,'6.A'!$A$11:$G$180,4,FALSE))</f>
        <v/>
      </c>
      <c r="E1035" s="100" t="str">
        <f>IF(A1035="","",VLOOKUP(A1035,'6.A'!$A$11:$G$180,5,FALSE))</f>
        <v/>
      </c>
      <c r="F1035" s="24" t="str">
        <f t="shared" si="459"/>
        <v>0,00</v>
      </c>
      <c r="G1035" s="52"/>
      <c r="H1035" s="52" t="str">
        <f>IF(A1035="","",VLOOKUP(A1035,'6.A'!$A$11:$E$7984,5,FALSE))</f>
        <v/>
      </c>
      <c r="I1035" s="52" t="str">
        <f t="shared" si="460"/>
        <v/>
      </c>
      <c r="J1035" s="52" t="str">
        <f>IF(H1035="","",VLOOKUP(A1035,'6.A'!$A$11:$E$564,4,FALSE))</f>
        <v/>
      </c>
      <c r="K1035" s="52" t="str">
        <f t="shared" si="461"/>
        <v/>
      </c>
      <c r="L1035" s="52" t="str">
        <f>IF(H1035="","",IF(C1035="","",G1000*C1035))</f>
        <v/>
      </c>
      <c r="M1035" s="117" t="str">
        <f>IF(A1035="","",VLOOKUP(A1035,'6.A'!$A$11:$C$564,2,FALSE))</f>
        <v/>
      </c>
      <c r="N1035" s="57" t="str">
        <f t="shared" si="462"/>
        <v/>
      </c>
      <c r="O1035" s="56"/>
      <c r="P1035" s="56"/>
      <c r="Q1035" s="48"/>
      <c r="R1035" s="48"/>
      <c r="S1035" s="2"/>
    </row>
    <row r="1036" spans="1:22" s="65" customFormat="1" ht="12.75" customHeight="1" x14ac:dyDescent="0.2">
      <c r="A1036" s="22"/>
      <c r="B1036" s="23" t="str">
        <f>IF(A1036="","",VLOOKUP(A1036,'6.A'!$A$11:$G$180,2,FALSE))</f>
        <v/>
      </c>
      <c r="C1036" s="99"/>
      <c r="D1036" s="57" t="str">
        <f>IF(A1036="","",VLOOKUP(A1036,'6.A'!$A$11:$G$180,4,FALSE))</f>
        <v/>
      </c>
      <c r="E1036" s="100" t="str">
        <f>IF(A1036="","",VLOOKUP(A1036,'6.A'!$A$11:$G$180,5,FALSE))</f>
        <v/>
      </c>
      <c r="F1036" s="24" t="str">
        <f t="shared" si="459"/>
        <v>0,00</v>
      </c>
      <c r="G1036" s="52"/>
      <c r="H1036" s="52" t="str">
        <f>IF(A1036="","",VLOOKUP(A1036,'6.A'!$A$11:$E$7984,5,FALSE))</f>
        <v/>
      </c>
      <c r="I1036" s="52" t="str">
        <f t="shared" si="460"/>
        <v/>
      </c>
      <c r="J1036" s="52" t="str">
        <f>IF(H1036="","",VLOOKUP(A1036,'6.A'!$A$11:$E$564,4,FALSE))</f>
        <v/>
      </c>
      <c r="K1036" s="52" t="str">
        <f t="shared" si="461"/>
        <v/>
      </c>
      <c r="L1036" s="52" t="str">
        <f>IF(H1036="","",IF(C1036="","",G1000*C1036))</f>
        <v/>
      </c>
      <c r="M1036" s="117" t="str">
        <f>IF(A1036="","",VLOOKUP(A1036,'6.A'!$A$11:$C$564,2,FALSE))</f>
        <v/>
      </c>
      <c r="N1036" s="57" t="str">
        <f t="shared" si="462"/>
        <v/>
      </c>
      <c r="O1036" s="56"/>
      <c r="P1036" s="56"/>
      <c r="Q1036" s="48"/>
      <c r="R1036" s="48"/>
      <c r="T1036" s="2"/>
      <c r="U1036" s="2"/>
      <c r="V1036" s="2"/>
    </row>
    <row r="1037" spans="1:22" s="65" customFormat="1" ht="12.75" customHeight="1" x14ac:dyDescent="0.2">
      <c r="A1037" s="22"/>
      <c r="B1037" s="23" t="str">
        <f>IF(A1037="","",VLOOKUP(A1037,'6.A'!$A$11:$G$180,2,FALSE))</f>
        <v/>
      </c>
      <c r="C1037" s="99"/>
      <c r="D1037" s="57" t="str">
        <f>IF(A1037="","",VLOOKUP(A1037,'6.A'!$A$11:$G$180,4,FALSE))</f>
        <v/>
      </c>
      <c r="E1037" s="100" t="str">
        <f>IF(A1037="","",VLOOKUP(A1037,'6.A'!$A$11:$G$180,5,FALSE))</f>
        <v/>
      </c>
      <c r="F1037" s="24" t="str">
        <f t="shared" si="459"/>
        <v>0,00</v>
      </c>
      <c r="G1037" s="52"/>
      <c r="H1037" s="52" t="str">
        <f>IF(A1037="","",VLOOKUP(A1037,'6.A'!$A$11:$E$7984,5,FALSE))</f>
        <v/>
      </c>
      <c r="I1037" s="52" t="str">
        <f t="shared" si="460"/>
        <v/>
      </c>
      <c r="J1037" s="52" t="str">
        <f>IF(H1037="","",VLOOKUP(A1037,'6.A'!$A$11:$E$564,4,FALSE))</f>
        <v/>
      </c>
      <c r="K1037" s="52" t="str">
        <f t="shared" si="461"/>
        <v/>
      </c>
      <c r="L1037" s="52" t="str">
        <f>IF(H1037="","",IF(C1037="","",G1000*C1037))</f>
        <v/>
      </c>
      <c r="M1037" s="117" t="str">
        <f>IF(A1037="","",VLOOKUP(A1037,'6.A'!$A$11:$C$564,2,FALSE))</f>
        <v/>
      </c>
      <c r="N1037" s="57" t="str">
        <f t="shared" si="462"/>
        <v/>
      </c>
      <c r="O1037" s="56"/>
      <c r="P1037" s="56"/>
      <c r="Q1037" s="48"/>
      <c r="R1037" s="48"/>
      <c r="T1037" s="2"/>
      <c r="U1037" s="2"/>
      <c r="V1037" s="2"/>
    </row>
    <row r="1038" spans="1:22" s="65" customFormat="1" ht="12.75" customHeight="1" x14ac:dyDescent="0.2">
      <c r="A1038" s="22"/>
      <c r="B1038" s="23" t="str">
        <f>IF(A1038="","",VLOOKUP(A1038,'6.A'!$A$11:$G$180,2,FALSE))</f>
        <v/>
      </c>
      <c r="C1038" s="99"/>
      <c r="D1038" s="57" t="str">
        <f>IF(A1038="","",VLOOKUP(A1038,'6.A'!$A$11:$G$180,4,FALSE))</f>
        <v/>
      </c>
      <c r="E1038" s="100" t="str">
        <f>IF(A1038="","",VLOOKUP(A1038,'6.A'!$A$11:$G$180,5,FALSE))</f>
        <v/>
      </c>
      <c r="F1038" s="24" t="str">
        <f t="shared" si="459"/>
        <v>0,00</v>
      </c>
      <c r="G1038" s="52"/>
      <c r="H1038" s="52" t="str">
        <f>IF(A1038="","",VLOOKUP(A1038,'6.A'!$A$11:$E$7984,5,FALSE))</f>
        <v/>
      </c>
      <c r="I1038" s="52" t="str">
        <f t="shared" si="460"/>
        <v/>
      </c>
      <c r="J1038" s="52" t="str">
        <f>IF(H1038="","",VLOOKUP(A1038,'6.A'!$A$11:$E$564,4,FALSE))</f>
        <v/>
      </c>
      <c r="K1038" s="52" t="str">
        <f t="shared" si="461"/>
        <v/>
      </c>
      <c r="L1038" s="52" t="str">
        <f>IF(H1038="","",IF(C1038="","",G1000*C1038))</f>
        <v/>
      </c>
      <c r="M1038" s="117" t="str">
        <f>IF(A1038="","",VLOOKUP(A1038,'6.A'!$A$11:$C$564,2,FALSE))</f>
        <v/>
      </c>
      <c r="N1038" s="57" t="str">
        <f t="shared" si="462"/>
        <v/>
      </c>
      <c r="O1038" s="56"/>
      <c r="P1038" s="56"/>
      <c r="Q1038" s="48"/>
      <c r="R1038" s="48"/>
      <c r="T1038" s="2"/>
      <c r="U1038" s="2"/>
      <c r="V1038" s="2"/>
    </row>
    <row r="1039" spans="1:22" s="65" customFormat="1" ht="12.75" customHeight="1" x14ac:dyDescent="0.2">
      <c r="A1039" s="22"/>
      <c r="B1039" s="23" t="str">
        <f>IF(A1039="","",VLOOKUP(A1039,'6.A'!$A$11:$G$180,2,FALSE))</f>
        <v/>
      </c>
      <c r="C1039" s="99"/>
      <c r="D1039" s="57" t="str">
        <f>IF(A1039="","",VLOOKUP(A1039,'6.A'!$A$11:$G$180,4,FALSE))</f>
        <v/>
      </c>
      <c r="E1039" s="100" t="str">
        <f>IF(A1039="","",VLOOKUP(A1039,'6.A'!$A$11:$G$180,5,FALSE))</f>
        <v/>
      </c>
      <c r="F1039" s="24" t="str">
        <f t="shared" si="459"/>
        <v>0,00</v>
      </c>
      <c r="G1039" s="52"/>
      <c r="H1039" s="52" t="str">
        <f>IF(A1039="","",VLOOKUP(A1039,'6.A'!$A$11:$E$7984,5,FALSE))</f>
        <v/>
      </c>
      <c r="I1039" s="52" t="str">
        <f t="shared" si="460"/>
        <v/>
      </c>
      <c r="J1039" s="52" t="str">
        <f>IF(H1039="","",VLOOKUP(A1039,'6.A'!$A$11:$E$564,4,FALSE))</f>
        <v/>
      </c>
      <c r="K1039" s="52" t="str">
        <f t="shared" si="461"/>
        <v/>
      </c>
      <c r="L1039" s="52" t="str">
        <f>IF(H1039="","",IF(C1039="","",G1000*C1039))</f>
        <v/>
      </c>
      <c r="M1039" s="117" t="str">
        <f>IF(A1039="","",VLOOKUP(A1039,'6.A'!$A$11:$C$564,2,FALSE))</f>
        <v/>
      </c>
      <c r="N1039" s="57" t="str">
        <f t="shared" si="462"/>
        <v/>
      </c>
      <c r="O1039" s="56"/>
      <c r="P1039" s="56"/>
      <c r="Q1039" s="48"/>
      <c r="R1039" s="48"/>
      <c r="T1039" s="2"/>
      <c r="U1039" s="2"/>
      <c r="V1039" s="2"/>
    </row>
    <row r="1040" spans="1:22" ht="12.75" customHeight="1" x14ac:dyDescent="0.2">
      <c r="A1040" s="22"/>
      <c r="B1040" s="23" t="str">
        <f>IF(A1040="","",VLOOKUP(A1040,'6.A'!$A$11:$G$180,2,FALSE))</f>
        <v/>
      </c>
      <c r="C1040" s="99"/>
      <c r="D1040" s="57" t="str">
        <f>IF(A1040="","",VLOOKUP(A1040,'6.A'!$A$11:$G$180,4,FALSE))</f>
        <v/>
      </c>
      <c r="E1040" s="100" t="str">
        <f>IF(A1040="","",VLOOKUP(A1040,'6.A'!$A$11:$G$180,5,FALSE))</f>
        <v/>
      </c>
      <c r="F1040" s="24" t="str">
        <f t="shared" si="459"/>
        <v>0,00</v>
      </c>
      <c r="G1040" s="52"/>
      <c r="H1040" s="52" t="str">
        <f>IF(A1040="","",VLOOKUP(A1040,'6.A'!$A$11:$E$7984,5,FALSE))</f>
        <v/>
      </c>
      <c r="I1040" s="52" t="str">
        <f t="shared" si="460"/>
        <v/>
      </c>
      <c r="J1040" s="52" t="str">
        <f>IF(H1040="","",VLOOKUP(A1040,'6.A'!$A$11:$E$564,4,FALSE))</f>
        <v/>
      </c>
      <c r="K1040" s="52" t="str">
        <f t="shared" si="461"/>
        <v/>
      </c>
      <c r="L1040" s="52" t="str">
        <f>IF(H1040="","",IF(C1040="","",G1000*C1040))</f>
        <v/>
      </c>
      <c r="M1040" s="117" t="str">
        <f>IF(A1040="","",VLOOKUP(A1040,'6.A'!$A$11:$C$564,2,FALSE))</f>
        <v/>
      </c>
      <c r="N1040" s="57" t="str">
        <f t="shared" si="462"/>
        <v/>
      </c>
      <c r="O1040" s="56"/>
      <c r="P1040" s="56"/>
      <c r="Q1040" s="48"/>
      <c r="R1040" s="48"/>
    </row>
    <row r="1041" spans="1:23" ht="12.75" customHeight="1" x14ac:dyDescent="0.2">
      <c r="A1041" s="22"/>
      <c r="B1041" s="23" t="str">
        <f>IF(A1041="","",VLOOKUP(A1041,'6.A'!$A$11:$G$180,2,FALSE))</f>
        <v/>
      </c>
      <c r="C1041" s="99"/>
      <c r="D1041" s="57" t="str">
        <f>IF(A1041="","",VLOOKUP(A1041,'6.A'!$A$11:$G$180,4,FALSE))</f>
        <v/>
      </c>
      <c r="E1041" s="100" t="str">
        <f>IF(A1041="","",VLOOKUP(A1041,'6.A'!$A$11:$G$180,5,FALSE))</f>
        <v/>
      </c>
      <c r="F1041" s="24" t="str">
        <f t="shared" si="459"/>
        <v>0,00</v>
      </c>
      <c r="G1041" s="52"/>
      <c r="H1041" s="52" t="str">
        <f>IF(A1041="","",VLOOKUP(A1041,'6.A'!$A$11:$E$7984,5,FALSE))</f>
        <v/>
      </c>
      <c r="I1041" s="52" t="str">
        <f t="shared" si="460"/>
        <v/>
      </c>
      <c r="J1041" s="52" t="str">
        <f>IF(H1041="","",VLOOKUP(A1041,'6.A'!$A$11:$E$564,4,FALSE))</f>
        <v/>
      </c>
      <c r="K1041" s="52" t="str">
        <f t="shared" si="461"/>
        <v/>
      </c>
      <c r="L1041" s="52" t="str">
        <f>IF(H1041="","",IF(C1041="","",G1000*C1041))</f>
        <v/>
      </c>
      <c r="M1041" s="117" t="str">
        <f>IF(A1041="","",VLOOKUP(A1041,'6.A'!$A$11:$C$564,2,FALSE))</f>
        <v/>
      </c>
      <c r="N1041" s="57" t="str">
        <f t="shared" si="462"/>
        <v/>
      </c>
      <c r="O1041" s="56"/>
      <c r="P1041" s="56"/>
      <c r="Q1041" s="48"/>
      <c r="R1041" s="48"/>
    </row>
    <row r="1042" spans="1:23" ht="12.75" customHeight="1" x14ac:dyDescent="0.2">
      <c r="A1042" s="22"/>
      <c r="B1042" s="23" t="str">
        <f>IF(A1042="","",VLOOKUP(A1042,'6.A'!$A$11:$G$180,2,FALSE))</f>
        <v/>
      </c>
      <c r="C1042" s="99"/>
      <c r="D1042" s="57" t="str">
        <f>IF(A1042="","",VLOOKUP(A1042,'6.A'!$A$11:$G$180,4,FALSE))</f>
        <v/>
      </c>
      <c r="E1042" s="100" t="str">
        <f>IF(A1042="","",VLOOKUP(A1042,'6.A'!$A$11:$G$180,5,FALSE))</f>
        <v/>
      </c>
      <c r="F1042" s="24" t="str">
        <f t="shared" si="459"/>
        <v>0,00</v>
      </c>
      <c r="G1042" s="52"/>
      <c r="H1042" s="52" t="str">
        <f>IF(A1042="","",VLOOKUP(A1042,'6.A'!$A$11:$E$7984,5,FALSE))</f>
        <v/>
      </c>
      <c r="I1042" s="52" t="str">
        <f t="shared" si="460"/>
        <v/>
      </c>
      <c r="J1042" s="52" t="str">
        <f>IF(H1042="","",VLOOKUP(A1042,'6.A'!$A$11:$E$564,4,FALSE))</f>
        <v/>
      </c>
      <c r="K1042" s="52" t="str">
        <f t="shared" si="461"/>
        <v/>
      </c>
      <c r="L1042" s="52" t="str">
        <f>IF(H1042="","",IF(C1042="","",G1000*C1042))</f>
        <v/>
      </c>
      <c r="M1042" s="117" t="str">
        <f>IF(A1042="","",VLOOKUP(A1042,'6.A'!$A$11:$C$564,2,FALSE))</f>
        <v/>
      </c>
      <c r="N1042" s="57" t="str">
        <f t="shared" si="462"/>
        <v/>
      </c>
      <c r="O1042" s="56"/>
      <c r="P1042" s="56"/>
      <c r="Q1042" s="48"/>
      <c r="R1042" s="48"/>
    </row>
    <row r="1043" spans="1:23" ht="12.75" customHeight="1" x14ac:dyDescent="0.2">
      <c r="A1043" s="22"/>
      <c r="B1043" s="23" t="str">
        <f>IF(A1043="","",VLOOKUP(A1043,'6.A'!$A$11:$G$180,2,FALSE))</f>
        <v/>
      </c>
      <c r="C1043" s="99"/>
      <c r="D1043" s="57" t="str">
        <f>IF(A1043="","",VLOOKUP(A1043,'6.A'!$A$11:$G$180,4,FALSE))</f>
        <v/>
      </c>
      <c r="E1043" s="100" t="str">
        <f>IF(A1043="","",VLOOKUP(A1043,'6.A'!$A$11:$G$180,5,FALSE))</f>
        <v/>
      </c>
      <c r="F1043" s="24" t="str">
        <f t="shared" si="459"/>
        <v>0,00</v>
      </c>
      <c r="G1043" s="52"/>
      <c r="H1043" s="52" t="str">
        <f>IF(A1043="","",VLOOKUP(A1043,'6.A'!$A$11:$E$7984,5,FALSE))</f>
        <v/>
      </c>
      <c r="I1043" s="52" t="str">
        <f t="shared" si="460"/>
        <v/>
      </c>
      <c r="J1043" s="52" t="str">
        <f>IF(H1043="","",VLOOKUP(A1043,'6.A'!$A$11:$E$564,4,FALSE))</f>
        <v/>
      </c>
      <c r="K1043" s="52" t="str">
        <f t="shared" si="461"/>
        <v/>
      </c>
      <c r="L1043" s="52" t="str">
        <f>IF(H1043="","",IF(C1043="","",G1000*C1043))</f>
        <v/>
      </c>
      <c r="M1043" s="117" t="str">
        <f>IF(A1043="","",VLOOKUP(A1043,'6.A'!$A$11:$C$564,2,FALSE))</f>
        <v/>
      </c>
      <c r="N1043" s="57" t="str">
        <f t="shared" si="462"/>
        <v/>
      </c>
      <c r="O1043" s="56"/>
      <c r="P1043" s="56"/>
      <c r="Q1043" s="48"/>
      <c r="R1043" s="48"/>
    </row>
    <row r="1044" spans="1:23" ht="12.75" customHeight="1" x14ac:dyDescent="0.2">
      <c r="A1044" s="22"/>
      <c r="B1044" s="23" t="str">
        <f>IF(A1044="","",VLOOKUP(A1044,'6.A'!$A$11:$G$180,2,FALSE))</f>
        <v/>
      </c>
      <c r="C1044" s="99"/>
      <c r="D1044" s="57" t="str">
        <f>IF(A1044="","",VLOOKUP(A1044,'6.A'!$A$11:$G$180,4,FALSE))</f>
        <v/>
      </c>
      <c r="E1044" s="100" t="str">
        <f>IF(A1044="","",VLOOKUP(A1044,'6.A'!$A$11:$G$180,5,FALSE))</f>
        <v/>
      </c>
      <c r="F1044" s="24" t="str">
        <f t="shared" si="459"/>
        <v>0,00</v>
      </c>
      <c r="G1044" s="52"/>
      <c r="H1044" s="52" t="str">
        <f>IF(A1044="","",VLOOKUP(A1044,'6.A'!$A$11:$E$7984,5,FALSE))</f>
        <v/>
      </c>
      <c r="I1044" s="52" t="str">
        <f t="shared" si="460"/>
        <v/>
      </c>
      <c r="J1044" s="52" t="str">
        <f>IF(H1044="","",VLOOKUP(A1044,'6.A'!$A$11:$E$564,4,FALSE))</f>
        <v/>
      </c>
      <c r="K1044" s="52" t="str">
        <f t="shared" si="461"/>
        <v/>
      </c>
      <c r="L1044" s="52" t="str">
        <f>IF(H1044="","",IF(C1044="","",G1000*C1044))</f>
        <v/>
      </c>
      <c r="M1044" s="117" t="str">
        <f>IF(A1044="","",VLOOKUP(A1044,'6.A'!$A$11:$C$564,2,FALSE))</f>
        <v/>
      </c>
      <c r="N1044" s="57" t="str">
        <f t="shared" si="462"/>
        <v/>
      </c>
      <c r="O1044" s="56"/>
      <c r="P1044" s="56"/>
      <c r="Q1044" s="48"/>
      <c r="R1044" s="48"/>
    </row>
    <row r="1045" spans="1:23" ht="12.75" customHeight="1" x14ac:dyDescent="0.2">
      <c r="A1045" s="22"/>
      <c r="B1045" s="23" t="str">
        <f>IF(A1045="","",VLOOKUP(A1045,'6.A'!$A$11:$G$180,2,FALSE))</f>
        <v/>
      </c>
      <c r="C1045" s="99"/>
      <c r="D1045" s="57" t="str">
        <f>IF(A1045="","",VLOOKUP(A1045,'6.A'!$A$11:$G$180,4,FALSE))</f>
        <v/>
      </c>
      <c r="E1045" s="100" t="str">
        <f>IF(A1045="","",VLOOKUP(A1045,'6.A'!$A$11:$G$180,5,FALSE))</f>
        <v/>
      </c>
      <c r="F1045" s="24" t="str">
        <f t="shared" si="459"/>
        <v>0,00</v>
      </c>
      <c r="G1045" s="52"/>
      <c r="H1045" s="52" t="str">
        <f>IF(A1045="","",VLOOKUP(A1045,'6.A'!$A$11:$E$7984,5,FALSE))</f>
        <v/>
      </c>
      <c r="I1045" s="52" t="str">
        <f t="shared" si="460"/>
        <v/>
      </c>
      <c r="J1045" s="52" t="str">
        <f>IF(H1045="","",VLOOKUP(A1045,'6.A'!$A$11:$E$564,4,FALSE))</f>
        <v/>
      </c>
      <c r="K1045" s="52" t="str">
        <f t="shared" si="461"/>
        <v/>
      </c>
      <c r="L1045" s="52" t="str">
        <f>IF(H1045="","",IF(C1045="","",G1000*C1045))</f>
        <v/>
      </c>
      <c r="M1045" s="117" t="str">
        <f>IF(A1045="","",VLOOKUP(A1045,'6.A'!$A$11:$C$564,2,FALSE))</f>
        <v/>
      </c>
      <c r="N1045" s="57" t="str">
        <f t="shared" si="462"/>
        <v/>
      </c>
      <c r="O1045" s="56"/>
      <c r="P1045" s="56"/>
      <c r="Q1045" s="48"/>
      <c r="R1045" s="48"/>
    </row>
    <row r="1046" spans="1:23" ht="12.75" customHeight="1" x14ac:dyDescent="0.2">
      <c r="A1046" s="22"/>
      <c r="B1046" s="39" t="str">
        <f>IF(A1046="","",VLOOKUP(A1046,'6.A'!$A$11:$G$180,2,FALSE))</f>
        <v/>
      </c>
      <c r="C1046" s="99"/>
      <c r="D1046" s="57" t="str">
        <f>IF(A1046="","",VLOOKUP(A1046,'6.A'!$A$11:$G$180,4,FALSE))</f>
        <v/>
      </c>
      <c r="E1046" s="100" t="str">
        <f>IF(A1046="","",VLOOKUP(A1046,'6.A'!$A$11:$G$180,5,FALSE))</f>
        <v/>
      </c>
      <c r="F1046" s="24" t="str">
        <f t="shared" si="459"/>
        <v>0,00</v>
      </c>
      <c r="G1046" s="52"/>
      <c r="H1046" s="52" t="str">
        <f>IF(A1046="","",VLOOKUP(A1046,'6.A'!$A$11:$E$7984,5,FALSE))</f>
        <v/>
      </c>
      <c r="I1046" s="52" t="str">
        <f t="shared" si="460"/>
        <v/>
      </c>
      <c r="J1046" s="52" t="str">
        <f>IF(H1046="","",VLOOKUP(A1046,'6.A'!$A$11:$E$564,4,FALSE))</f>
        <v/>
      </c>
      <c r="K1046" s="52" t="str">
        <f t="shared" si="461"/>
        <v/>
      </c>
      <c r="L1046" s="52" t="str">
        <f>IF(H1046="","",IF(C1046="","",G1000*C1046))</f>
        <v/>
      </c>
      <c r="M1046" s="117" t="str">
        <f>IF(A1046="","",VLOOKUP(A1046,'6.A'!$A$11:$C$564,2,FALSE))</f>
        <v/>
      </c>
      <c r="N1046" s="57" t="str">
        <f t="shared" si="462"/>
        <v/>
      </c>
      <c r="O1046" s="56"/>
      <c r="P1046" s="56"/>
      <c r="Q1046" s="48"/>
      <c r="R1046" s="48"/>
    </row>
    <row r="1047" spans="1:23" ht="12.75" customHeight="1" x14ac:dyDescent="0.2">
      <c r="A1047" s="22"/>
      <c r="B1047" s="39" t="str">
        <f>IF(A1047="","",VLOOKUP(A1047,'6.A'!$A$11:$G$180,2,FALSE))</f>
        <v/>
      </c>
      <c r="C1047" s="99"/>
      <c r="D1047" s="57" t="str">
        <f>IF(A1047="","",VLOOKUP(A1047,'6.A'!$A$11:$G$180,4,FALSE))</f>
        <v/>
      </c>
      <c r="E1047" s="100" t="str">
        <f>IF(A1047="","",VLOOKUP(A1047,'6.A'!$A$11:$G$180,5,FALSE))</f>
        <v/>
      </c>
      <c r="F1047" s="24" t="str">
        <f t="shared" si="459"/>
        <v>0,00</v>
      </c>
      <c r="G1047" s="52"/>
      <c r="H1047" s="52" t="str">
        <f>IF(A1047="","",VLOOKUP(A1047,'6.A'!$A$11:$E$7984,5,FALSE))</f>
        <v/>
      </c>
      <c r="I1047" s="52" t="str">
        <f t="shared" si="460"/>
        <v/>
      </c>
      <c r="J1047" s="52" t="str">
        <f>IF(H1047="","",VLOOKUP(A1047,'6.A'!$A$11:$E$564,4,FALSE))</f>
        <v/>
      </c>
      <c r="K1047" s="52" t="str">
        <f t="shared" si="461"/>
        <v/>
      </c>
      <c r="L1047" s="52" t="str">
        <f>IF(H1047="","",IF(C1047="","",G1000*C1047))</f>
        <v/>
      </c>
      <c r="M1047" s="117" t="str">
        <f>IF(A1047="","",VLOOKUP(A1047,'6.A'!$A$11:$C$564,2,FALSE))</f>
        <v/>
      </c>
      <c r="N1047" s="57" t="str">
        <f t="shared" si="462"/>
        <v/>
      </c>
      <c r="O1047" s="56"/>
      <c r="P1047" s="56"/>
      <c r="Q1047" s="48"/>
      <c r="R1047" s="48"/>
    </row>
    <row r="1048" spans="1:23" ht="12.75" customHeight="1" x14ac:dyDescent="0.2">
      <c r="A1048" s="22"/>
      <c r="B1048" s="39" t="str">
        <f>IF(A1048="","",VLOOKUP(A1048,'6.A'!$A$11:$G$180,2,FALSE))</f>
        <v/>
      </c>
      <c r="C1048" s="99"/>
      <c r="D1048" s="57" t="str">
        <f>IF(A1048="","",VLOOKUP(A1048,'6.A'!$A$11:$G$180,4,FALSE))</f>
        <v/>
      </c>
      <c r="E1048" s="100" t="str">
        <f>IF(A1048="","",VLOOKUP(A1048,'6.A'!$A$11:$G$180,5,FALSE))</f>
        <v/>
      </c>
      <c r="F1048" s="24" t="str">
        <f t="shared" si="459"/>
        <v>0,00</v>
      </c>
      <c r="G1048" s="52"/>
      <c r="H1048" s="52" t="str">
        <f>IF(A1048="","",VLOOKUP(A1048,'6.A'!$A$11:$E$7984,5,FALSE))</f>
        <v/>
      </c>
      <c r="I1048" s="52" t="str">
        <f t="shared" si="460"/>
        <v/>
      </c>
      <c r="J1048" s="52" t="str">
        <f>IF(H1048="","",VLOOKUP(A1048,'6.A'!$A$11:$E$564,4,FALSE))</f>
        <v/>
      </c>
      <c r="K1048" s="52" t="str">
        <f t="shared" si="461"/>
        <v/>
      </c>
      <c r="L1048" s="52" t="str">
        <f>IF(H1048="","",IF(C1048="","",G1000*C1048))</f>
        <v/>
      </c>
      <c r="M1048" s="117" t="str">
        <f>IF(A1048="","",VLOOKUP(A1048,'6.A'!$A$11:$C$564,2,FALSE))</f>
        <v/>
      </c>
      <c r="N1048" s="57" t="str">
        <f t="shared" si="462"/>
        <v/>
      </c>
      <c r="O1048" s="56"/>
      <c r="P1048" s="56"/>
      <c r="Q1048" s="48"/>
      <c r="R1048" s="48"/>
    </row>
    <row r="1049" spans="1:23" ht="12.75" customHeight="1" x14ac:dyDescent="0.2">
      <c r="A1049" s="22"/>
      <c r="B1049" s="26" t="str">
        <f>$A$9</f>
        <v>BDI</v>
      </c>
      <c r="C1049" s="40">
        <f>$C$9</f>
        <v>0</v>
      </c>
      <c r="D1049" s="57"/>
      <c r="F1049" s="28">
        <f>ROUND(SUM(F1029:F1048)*C1049,2)</f>
        <v>0</v>
      </c>
      <c r="G1049" s="63"/>
      <c r="M1049" s="57"/>
      <c r="N1049" s="57"/>
      <c r="O1049" s="56"/>
      <c r="P1049" s="56"/>
      <c r="Q1049" s="48"/>
      <c r="R1049" s="48"/>
    </row>
    <row r="1050" spans="1:23" ht="12.75" customHeight="1" thickBot="1" x14ac:dyDescent="0.25">
      <c r="A1050" s="41"/>
      <c r="B1050" s="42" t="s">
        <v>57</v>
      </c>
      <c r="C1050" s="43"/>
      <c r="D1050" s="44"/>
      <c r="E1050" s="45"/>
      <c r="F1050" s="46">
        <f>ROUND(SUM(F1029:F1049),2)</f>
        <v>0</v>
      </c>
      <c r="G1050" s="63"/>
      <c r="M1050" s="57"/>
      <c r="N1050" s="57"/>
      <c r="O1050" s="56"/>
      <c r="P1050" s="56"/>
      <c r="Q1050" s="48"/>
      <c r="R1050" s="48"/>
    </row>
    <row r="1051" spans="1:23" ht="12" customHeight="1" thickBot="1" x14ac:dyDescent="0.25">
      <c r="A1051" s="8"/>
      <c r="B1051" s="9"/>
      <c r="C1051" s="10"/>
      <c r="D1051" s="57"/>
      <c r="F1051" s="12"/>
      <c r="M1051" s="57"/>
      <c r="N1051" s="57"/>
      <c r="O1051" s="56"/>
      <c r="P1051" s="56"/>
    </row>
    <row r="1052" spans="1:23" ht="50.1" customHeight="1" x14ac:dyDescent="0.2">
      <c r="A1052" s="13" t="str">
        <f>'3.A'!$A$39</f>
        <v>3.1.9</v>
      </c>
      <c r="B1052" s="14" t="str">
        <f>IF(A1052="","",VLOOKUP(A1052,'3.A'!$A$17:$M$279,2,FALSE))</f>
        <v>ESCAVAÇÃO MANUAL DE VALA</v>
      </c>
      <c r="C1052" s="413" t="s">
        <v>62</v>
      </c>
      <c r="D1052" s="413"/>
      <c r="E1052" s="15" t="str">
        <f>IF(A1052="","",VLOOKUP(A1052,'3.A'!$A$17:$M$279,3,FALSE))</f>
        <v>M3</v>
      </c>
      <c r="F1052" s="16">
        <f>ROUND(F1066+F1079+F1102,2)</f>
        <v>0</v>
      </c>
      <c r="G1052" s="118">
        <f>VLOOKUP(A1052,'3.A'!$A$19:$I$279,4,FALSE)</f>
        <v>23</v>
      </c>
      <c r="H1052" s="47">
        <f>SUM(F1054:F1065)</f>
        <v>0</v>
      </c>
      <c r="I1052" s="47">
        <f>SUM(F1068:F1078)</f>
        <v>0</v>
      </c>
      <c r="J1052" s="47">
        <f>SUM(F1081:F1101)</f>
        <v>0</v>
      </c>
      <c r="K1052" s="47">
        <f>SUM(H1052:J1052)</f>
        <v>0</v>
      </c>
      <c r="L1052" s="47" t="str">
        <f>IF(K1052=F1052,"SIM","NÃO")</f>
        <v>SIM</v>
      </c>
      <c r="M1052" s="58">
        <f>ROUND(SUM(F1054:F1063)*C1064,2)+ROUND(SUM(F1054:F1064)*C1065,2)+ROUND(SUM(F1054:F1063),2)+ROUND(SUM(F1068:F1077)*C1078,2)+ROUND(SUM(F1068:F1077),2)+ROUND(SUM(F1081:F1100)*C1101,2)+ROUND(SUM(F1081:F1100),2)</f>
        <v>0</v>
      </c>
      <c r="N1052" s="50" t="str">
        <f>IF(M1052=F1052,"SIM","NÃO")</f>
        <v>SIM</v>
      </c>
      <c r="O1052" s="51" t="str">
        <f>VLOOKUP(A1052,'3.A'!$A$8:$E$279,3,FALSE)</f>
        <v>M3</v>
      </c>
      <c r="P1052" s="51" t="str">
        <f>IF(O1052=E1052,"SIM","NÃO")</f>
        <v>SIM</v>
      </c>
      <c r="Q1052" s="53">
        <f>ROUND(G1052*F1066,2)+ROUND(G1052*F1079,2)+ROUND(G1052*F1102,2)</f>
        <v>0</v>
      </c>
      <c r="R1052" s="59">
        <f>VLOOKUP(A1052,'3.A'!$A$17:$L$279,12,FALSE)</f>
        <v>0</v>
      </c>
      <c r="S1052" s="60" t="str">
        <f>IF(Q1052=R1052,"si","no")</f>
        <v>si</v>
      </c>
      <c r="T1052" s="61">
        <f>SUM(L1054:L1063)+SUM(L1068:L1077)+SUM(L1081:L1100)</f>
        <v>90.982634099999999</v>
      </c>
      <c r="U1052" s="52">
        <f>G1052*C1060+G1052*C1062+G1052*C1055+G1052*C1056+G1052*C1058+G1052*C1061+G1052*C1059+G1052*C1054+G1052*C1057+G1052*C1063+G1052*C1074+G1052*C1068+G1052*C1076+G1052*C1075+G1052*C1073+G1052*C1070+G1052*C1069+G1052*C1071+G1052*C1077+G1052*C1072+G1052*C1081+G1052*C1082+G1052*C1083+G1052*C1091+G1052*C1092+G1052*C1093+G1052*C1094+G1052*C1095+G1052*C1096+G1052*C1097+G1052*C1098+G1052*C1099+G1052*C1100+G1052*C1089+G1052*C1090+G1052*C1084+G1052*C1085+G1052*C1086+G1052*C1087+G1052*C1088</f>
        <v>90.982634099999999</v>
      </c>
      <c r="V1052" s="54" t="str">
        <f>IF(T1052=U1052,"si","no")</f>
        <v>si</v>
      </c>
      <c r="W1052" s="137"/>
    </row>
    <row r="1053" spans="1:23" ht="12.75" customHeight="1" x14ac:dyDescent="0.2">
      <c r="A1053" s="17" t="s">
        <v>3</v>
      </c>
      <c r="B1053" s="18" t="s">
        <v>58</v>
      </c>
      <c r="C1053" s="56" t="s">
        <v>59</v>
      </c>
      <c r="D1053" s="56" t="s">
        <v>16</v>
      </c>
      <c r="E1053" s="19" t="s">
        <v>60</v>
      </c>
      <c r="F1053" s="20" t="s">
        <v>61</v>
      </c>
      <c r="G1053" s="21"/>
      <c r="M1053" s="57"/>
      <c r="N1053" s="57"/>
      <c r="O1053" s="56"/>
      <c r="P1053" s="56"/>
      <c r="Q1053" s="48"/>
      <c r="R1053" s="48"/>
    </row>
    <row r="1054" spans="1:23" ht="12.75" customHeight="1" x14ac:dyDescent="0.2">
      <c r="A1054" s="22">
        <f>'6.A'!$A$22</f>
        <v>88316</v>
      </c>
      <c r="B1054" s="23" t="str">
        <f>IF(A1054="","",VLOOKUP(A1054,'6.A'!$A$11:$G$180,2,FALSE))</f>
        <v>SERVENTE COM ENCARGOS COMPLEMENTARES</v>
      </c>
      <c r="C1054" s="99">
        <v>3.9557666999999999</v>
      </c>
      <c r="D1054" s="57" t="str">
        <f>IF(A1054="","",VLOOKUP(A1054,'6.A'!$A$11:$G$180,4,FALSE))</f>
        <v>H</v>
      </c>
      <c r="E1054" s="100">
        <f>IF(A1054="","",VLOOKUP(A1054,'6.A'!$A$11:$G$180,5,FALSE))</f>
        <v>0</v>
      </c>
      <c r="F1054" s="24">
        <f t="shared" ref="F1054:F1063" si="463">IF(A1054="","0,00",ROUND(C1054*E1054,2))</f>
        <v>0</v>
      </c>
      <c r="G1054" s="52"/>
      <c r="H1054" s="52">
        <f>IF(A1054="","",VLOOKUP(A1054,'6.A'!$A$11:$E$7984,5,FALSE))</f>
        <v>0</v>
      </c>
      <c r="I1054" s="52" t="str">
        <f>IF(H1054="","",IF(E1054=H1054,"SIM","NÃO"))</f>
        <v>SIM</v>
      </c>
      <c r="J1054" s="52" t="str">
        <f>IF(H1054="","",VLOOKUP(A1054,'6.A'!$A$11:$E$564,4,FALSE))</f>
        <v>H</v>
      </c>
      <c r="K1054" s="52" t="str">
        <f>IF(H1054="","",IF(J1054=D1054,"SIM","NÃO"))</f>
        <v>SIM</v>
      </c>
      <c r="L1054" s="52">
        <f>IF(H1054="","",IF(C1054="","",G1052*C1054))</f>
        <v>90.982634099999999</v>
      </c>
      <c r="M1054" s="117" t="str">
        <f>IF(A1054="","",VLOOKUP(A1054,'6.A'!$A$11:$C$564,2,FALSE))</f>
        <v>SERVENTE COM ENCARGOS COMPLEMENTARES</v>
      </c>
      <c r="N1054" s="57" t="str">
        <f>IF(A1054="","",IF(M1054=B1054,"si","no"))</f>
        <v>si</v>
      </c>
      <c r="O1054" s="56"/>
      <c r="P1054" s="56"/>
      <c r="Q1054" s="48"/>
      <c r="R1054" s="48"/>
    </row>
    <row r="1055" spans="1:23" ht="12.75" customHeight="1" x14ac:dyDescent="0.2">
      <c r="A1055" s="22"/>
      <c r="B1055" s="23" t="str">
        <f>IF(A1055="","",VLOOKUP(A1055,'6.A'!$A$11:$G$180,2,FALSE))</f>
        <v/>
      </c>
      <c r="C1055" s="99"/>
      <c r="D1055" s="57" t="str">
        <f>IF(A1055="","",VLOOKUP(A1055,'6.A'!$A$11:$G$180,4,FALSE))</f>
        <v/>
      </c>
      <c r="E1055" s="100" t="str">
        <f>IF(A1055="","",VLOOKUP(A1055,'6.A'!$A$11:$G$180,5,FALSE))</f>
        <v/>
      </c>
      <c r="F1055" s="24" t="str">
        <f t="shared" si="463"/>
        <v>0,00</v>
      </c>
      <c r="G1055" s="52"/>
      <c r="H1055" s="52" t="str">
        <f>IF(A1055="","",VLOOKUP(A1055,'6.A'!$A$11:$E$7984,5,FALSE))</f>
        <v/>
      </c>
      <c r="I1055" s="52" t="str">
        <f>IF(H1055="","",IF(E1055=H1055,"SIM","NÃO"))</f>
        <v/>
      </c>
      <c r="J1055" s="52" t="str">
        <f>IF(H1055="","",VLOOKUP(A1055,'6.A'!$A$11:$E$564,4,FALSE))</f>
        <v/>
      </c>
      <c r="K1055" s="52" t="str">
        <f>IF(H1055="","",IF(J1055=D1055,"SIM","NÃO"))</f>
        <v/>
      </c>
      <c r="L1055" s="52" t="str">
        <f>IF(H1055="","",IF(C1055="","",G1052*C1055))</f>
        <v/>
      </c>
      <c r="M1055" s="117" t="str">
        <f>IF(A1055="","",VLOOKUP(A1055,'6.A'!$A$11:$C$564,2,FALSE))</f>
        <v/>
      </c>
      <c r="N1055" s="57" t="str">
        <f>IF(A1055="","",IF(M1055=B1055,"si","no"))</f>
        <v/>
      </c>
      <c r="O1055" s="56"/>
      <c r="P1055" s="56"/>
      <c r="Q1055" s="48"/>
      <c r="R1055" s="48"/>
    </row>
    <row r="1056" spans="1:23" ht="12.75" customHeight="1" x14ac:dyDescent="0.2">
      <c r="A1056" s="22"/>
      <c r="B1056" s="23" t="str">
        <f>IF(A1056="","",VLOOKUP(A1056,'6.A'!$A$11:$G$180,2,FALSE))</f>
        <v/>
      </c>
      <c r="C1056" s="99"/>
      <c r="D1056" s="57" t="str">
        <f>IF(A1056="","",VLOOKUP(A1056,'6.A'!$A$11:$G$180,4,FALSE))</f>
        <v/>
      </c>
      <c r="E1056" s="100" t="str">
        <f>IF(A1056="","",VLOOKUP(A1056,'6.A'!$A$11:$G$180,5,FALSE))</f>
        <v/>
      </c>
      <c r="F1056" s="24" t="str">
        <f t="shared" si="463"/>
        <v>0,00</v>
      </c>
      <c r="G1056" s="52"/>
      <c r="H1056" s="52" t="str">
        <f>IF(A1056="","",VLOOKUP(A1056,'6.A'!$A$11:$E$7984,5,FALSE))</f>
        <v/>
      </c>
      <c r="I1056" s="52" t="str">
        <f>IF(H1056="","",IF(E1056=H1056,"SIM","NÃO"))</f>
        <v/>
      </c>
      <c r="J1056" s="52" t="str">
        <f>IF(H1056="","",VLOOKUP(A1056,'6.A'!$A$11:$E$564,4,FALSE))</f>
        <v/>
      </c>
      <c r="K1056" s="52" t="str">
        <f t="shared" ref="K1056" si="464">IF(H1056="","",IF(J1056=D1056,"SIM","NÃO"))</f>
        <v/>
      </c>
      <c r="L1056" s="52" t="str">
        <f>IF(H1056="","",IF(C1056="","",G1052*C1056))</f>
        <v/>
      </c>
      <c r="M1056" s="117" t="str">
        <f>IF(A1056="","",VLOOKUP(A1056,'6.A'!$A$11:$C$564,2,FALSE))</f>
        <v/>
      </c>
      <c r="N1056" s="57" t="str">
        <f t="shared" ref="N1056" si="465">IF(A1056="","",IF(M1056=B1056,"si","no"))</f>
        <v/>
      </c>
      <c r="O1056" s="56"/>
      <c r="P1056" s="56"/>
      <c r="Q1056" s="48"/>
      <c r="R1056" s="48"/>
      <c r="S1056" s="2"/>
    </row>
    <row r="1057" spans="1:19" ht="12.75" customHeight="1" x14ac:dyDescent="0.2">
      <c r="A1057" s="22"/>
      <c r="B1057" s="23" t="str">
        <f>IF(A1057="","",VLOOKUP(A1057,'6.A'!$A$11:$G$180,2,FALSE))</f>
        <v/>
      </c>
      <c r="C1057" s="99"/>
      <c r="D1057" s="57" t="str">
        <f>IF(A1057="","",VLOOKUP(A1057,'6.A'!$A$11:$G$180,4,FALSE))</f>
        <v/>
      </c>
      <c r="E1057" s="100" t="str">
        <f>IF(A1057="","",VLOOKUP(A1057,'6.A'!$A$11:$G$180,5,FALSE))</f>
        <v/>
      </c>
      <c r="F1057" s="24" t="str">
        <f t="shared" si="463"/>
        <v>0,00</v>
      </c>
      <c r="G1057" s="52"/>
      <c r="H1057" s="52" t="str">
        <f>IF(A1057="","",VLOOKUP(A1057,'6.A'!$A$11:$E$7984,5,FALSE))</f>
        <v/>
      </c>
      <c r="I1057" s="52" t="str">
        <f>IF(H1057="","",IF(E1057=H1057,"SIM","NÃO"))</f>
        <v/>
      </c>
      <c r="J1057" s="52" t="str">
        <f>IF(H1057="","",VLOOKUP(A1057,'6.A'!$A$11:$E$564,4,FALSE))</f>
        <v/>
      </c>
      <c r="K1057" s="52" t="str">
        <f>IF(H1057="","",IF(J1057=D1057,"SIM","NÃO"))</f>
        <v/>
      </c>
      <c r="L1057" s="52" t="str">
        <f>IF(H1057="","",IF(C1057="","",G1052*C1057))</f>
        <v/>
      </c>
      <c r="M1057" s="117" t="str">
        <f>IF(A1057="","",VLOOKUP(A1057,'6.A'!$A$11:$C$564,2,FALSE))</f>
        <v/>
      </c>
      <c r="N1057" s="57" t="str">
        <f>IF(A1057="","",IF(M1057=B1057,"si","no"))</f>
        <v/>
      </c>
      <c r="O1057" s="56"/>
      <c r="P1057" s="56"/>
      <c r="Q1057" s="48"/>
      <c r="R1057" s="48"/>
      <c r="S1057" s="2"/>
    </row>
    <row r="1058" spans="1:19" ht="12.75" customHeight="1" x14ac:dyDescent="0.2">
      <c r="A1058" s="22"/>
      <c r="B1058" s="23" t="str">
        <f>IF(A1058="","",VLOOKUP(A1058,'6.A'!$A$11:$G$180,2,FALSE))</f>
        <v/>
      </c>
      <c r="C1058" s="99"/>
      <c r="D1058" s="57" t="str">
        <f>IF(A1058="","",VLOOKUP(A1058,'6.A'!$A$11:$G$180,4,FALSE))</f>
        <v/>
      </c>
      <c r="E1058" s="101" t="str">
        <f>IF(A1058="","",VLOOKUP(A1058,'6.A'!$A$11:$G$180,5,FALSE))</f>
        <v/>
      </c>
      <c r="F1058" s="24" t="str">
        <f t="shared" si="463"/>
        <v>0,00</v>
      </c>
      <c r="G1058" s="52"/>
      <c r="H1058" s="52" t="str">
        <f>IF(A1058="","",VLOOKUP(A1058,'6.A'!$A$11:$E$7984,5,FALSE))</f>
        <v/>
      </c>
      <c r="I1058" s="52" t="str">
        <f t="shared" ref="I1058" si="466">IF(H1058="","",IF(E1058=H1058,"SIM","NÃO"))</f>
        <v/>
      </c>
      <c r="J1058" s="52" t="str">
        <f>IF(H1058="","",VLOOKUP(A1058,'6.A'!$A$11:$E$564,4,FALSE))</f>
        <v/>
      </c>
      <c r="K1058" s="52" t="str">
        <f t="shared" ref="K1058" si="467">IF(H1058="","",IF(J1058=D1058,"SIM","NÃO"))</f>
        <v/>
      </c>
      <c r="L1058" s="52" t="str">
        <f>IF(H1058="","",IF(C1058="","",G1052*C1058))</f>
        <v/>
      </c>
      <c r="M1058" s="117" t="str">
        <f>IF(A1058="","",VLOOKUP(A1058,'6.A'!$A$11:$C$564,2,FALSE))</f>
        <v/>
      </c>
      <c r="N1058" s="57" t="str">
        <f t="shared" ref="N1058" si="468">IF(A1058="","",IF(M1058=B1058,"si","no"))</f>
        <v/>
      </c>
      <c r="O1058" s="56"/>
      <c r="P1058" s="56"/>
      <c r="Q1058" s="48"/>
      <c r="R1058" s="48"/>
      <c r="S1058" s="2"/>
    </row>
    <row r="1059" spans="1:19" ht="12.75" customHeight="1" x14ac:dyDescent="0.2">
      <c r="A1059" s="22"/>
      <c r="B1059" s="23" t="str">
        <f>IF(A1059="","",VLOOKUP(A1059,'6.A'!$A$11:$G$180,2,FALSE))</f>
        <v/>
      </c>
      <c r="C1059" s="99"/>
      <c r="D1059" s="57" t="str">
        <f>IF(A1059="","",VLOOKUP(A1059,'6.A'!$A$11:$G$180,4,FALSE))</f>
        <v/>
      </c>
      <c r="E1059" s="101" t="str">
        <f>IF(A1059="","",VLOOKUP(A1059,'6.A'!$A$11:$G$180,5,FALSE))</f>
        <v/>
      </c>
      <c r="F1059" s="24" t="str">
        <f t="shared" si="463"/>
        <v>0,00</v>
      </c>
      <c r="G1059" s="52"/>
      <c r="H1059" s="52" t="str">
        <f>IF(A1059="","",VLOOKUP(A1059,'6.A'!$A$11:$E$7984,5,FALSE))</f>
        <v/>
      </c>
      <c r="I1059" s="52" t="str">
        <f>IF(H1059="","",IF(E1059=H1059,"SIM","NÃO"))</f>
        <v/>
      </c>
      <c r="J1059" s="52" t="str">
        <f>IF(H1059="","",VLOOKUP(A1059,'6.A'!$A$11:$E$564,4,FALSE))</f>
        <v/>
      </c>
      <c r="K1059" s="52" t="str">
        <f>IF(H1059="","",IF(J1059=D1059,"SIM","NÃO"))</f>
        <v/>
      </c>
      <c r="L1059" s="52" t="str">
        <f>IF(H1059="","",IF(C1059="","",G1052*C1059))</f>
        <v/>
      </c>
      <c r="M1059" s="117" t="str">
        <f>IF(A1059="","",VLOOKUP(A1059,'6.A'!$A$11:$C$564,2,FALSE))</f>
        <v/>
      </c>
      <c r="N1059" s="57" t="str">
        <f>IF(A1059="","",IF(M1059=B1059,"si","no"))</f>
        <v/>
      </c>
      <c r="O1059" s="56"/>
      <c r="P1059" s="56"/>
      <c r="Q1059" s="48"/>
      <c r="R1059" s="48"/>
      <c r="S1059" s="2"/>
    </row>
    <row r="1060" spans="1:19" ht="12.75" customHeight="1" x14ac:dyDescent="0.2">
      <c r="A1060" s="22"/>
      <c r="B1060" s="23" t="str">
        <f>IF(A1060="","",VLOOKUP(A1060,'6.A'!$A$11:$G$180,2,FALSE))</f>
        <v/>
      </c>
      <c r="C1060" s="99"/>
      <c r="D1060" s="57" t="str">
        <f>IF(A1060="","",VLOOKUP(A1060,'6.A'!$A$11:$G$180,4,FALSE))</f>
        <v/>
      </c>
      <c r="E1060" s="100" t="str">
        <f>IF(A1060="","",VLOOKUP(A1060,'6.A'!$A$11:$G$180,5,FALSE))</f>
        <v/>
      </c>
      <c r="F1060" s="24" t="str">
        <f t="shared" si="463"/>
        <v>0,00</v>
      </c>
      <c r="G1060" s="52"/>
      <c r="H1060" s="52" t="str">
        <f>IF(A1060="","",VLOOKUP(A1060,'6.A'!$A$11:$E$7984,5,FALSE))</f>
        <v/>
      </c>
      <c r="I1060" s="52" t="str">
        <f>IF(H1060="","",IF(E1060=H1060,"SIM","NÃO"))</f>
        <v/>
      </c>
      <c r="J1060" s="52" t="str">
        <f>IF(H1060="","",VLOOKUP(A1060,'6.A'!$A$11:$E$564,4,FALSE))</f>
        <v/>
      </c>
      <c r="K1060" s="52" t="str">
        <f>IF(H1060="","",IF(J1060=D1060,"SIM","NÃO"))</f>
        <v/>
      </c>
      <c r="L1060" s="52" t="str">
        <f>IF(H1060="","",IF(C1060="","",G1052*C1060))</f>
        <v/>
      </c>
      <c r="M1060" s="117" t="str">
        <f>IF(A1060="","",VLOOKUP(A1060,'6.A'!$A$11:$C$564,2,FALSE))</f>
        <v/>
      </c>
      <c r="N1060" s="57" t="str">
        <f>IF(A1060="","",IF(M1060=B1060,"si","no"))</f>
        <v/>
      </c>
      <c r="O1060" s="56"/>
      <c r="P1060" s="56"/>
      <c r="Q1060" s="48"/>
      <c r="R1060" s="48"/>
      <c r="S1060" s="2"/>
    </row>
    <row r="1061" spans="1:19" ht="12.75" customHeight="1" x14ac:dyDescent="0.2">
      <c r="A1061" s="22"/>
      <c r="B1061" s="23" t="str">
        <f>IF(A1061="","",VLOOKUP(A1061,'6.A'!$A$11:$G$180,2,FALSE))</f>
        <v/>
      </c>
      <c r="C1061" s="99"/>
      <c r="D1061" s="57" t="str">
        <f>IF(A1061="","",VLOOKUP(A1061,'6.A'!$A$11:$G$180,4,FALSE))</f>
        <v/>
      </c>
      <c r="E1061" s="100" t="str">
        <f>IF(A1061="","",VLOOKUP(A1061,'6.A'!$A$11:$G$180,5,FALSE))</f>
        <v/>
      </c>
      <c r="F1061" s="24" t="str">
        <f t="shared" si="463"/>
        <v>0,00</v>
      </c>
      <c r="G1061" s="52"/>
      <c r="H1061" s="52" t="str">
        <f>IF(A1061="","",VLOOKUP(A1061,'6.A'!$A$11:$E$7984,5,FALSE))</f>
        <v/>
      </c>
      <c r="I1061" s="52" t="str">
        <f t="shared" ref="I1061" si="469">IF(H1061="","",IF(E1061=H1061,"SIM","NÃO"))</f>
        <v/>
      </c>
      <c r="J1061" s="52" t="str">
        <f>IF(H1061="","",VLOOKUP(A1061,'6.A'!$A$11:$E$564,4,FALSE))</f>
        <v/>
      </c>
      <c r="K1061" s="52" t="str">
        <f t="shared" ref="K1061" si="470">IF(H1061="","",IF(J1061=D1061,"SIM","NÃO"))</f>
        <v/>
      </c>
      <c r="L1061" s="52" t="str">
        <f>IF(H1061="","",IF(C1061="","",G1052*C1061))</f>
        <v/>
      </c>
      <c r="M1061" s="117" t="str">
        <f>IF(A1061="","",VLOOKUP(A1061,'6.A'!$A$11:$C$564,2,FALSE))</f>
        <v/>
      </c>
      <c r="N1061" s="57" t="str">
        <f t="shared" ref="N1061" si="471">IF(A1061="","",IF(M1061=B1061,"si","no"))</f>
        <v/>
      </c>
      <c r="O1061" s="56"/>
      <c r="P1061" s="56"/>
      <c r="Q1061" s="48"/>
      <c r="R1061" s="48"/>
      <c r="S1061" s="2"/>
    </row>
    <row r="1062" spans="1:19" ht="12.75" customHeight="1" x14ac:dyDescent="0.2">
      <c r="A1062" s="22"/>
      <c r="B1062" s="23" t="str">
        <f>IF(A1062="","",VLOOKUP(A1062,'6.A'!$A$11:$G$180,2,FALSE))</f>
        <v/>
      </c>
      <c r="C1062" s="99"/>
      <c r="D1062" s="73" t="str">
        <f>IF(A1062="","",VLOOKUP(A1062,'6.A'!$A$11:$G$180,4,FALSE))</f>
        <v/>
      </c>
      <c r="E1062" s="101" t="str">
        <f>IF(A1062="","",VLOOKUP(A1062,'6.A'!$A$11:$G$180,5,FALSE))</f>
        <v/>
      </c>
      <c r="F1062" s="24" t="str">
        <f t="shared" si="463"/>
        <v>0,00</v>
      </c>
      <c r="G1062" s="52"/>
      <c r="H1062" s="52" t="str">
        <f>IF(A1062="","",VLOOKUP(A1062,'6.A'!$A$11:$E$7984,5,FALSE))</f>
        <v/>
      </c>
      <c r="I1062" s="52" t="str">
        <f>IF(H1062="","",IF(E1062=H1062,"SIM","NÃO"))</f>
        <v/>
      </c>
      <c r="J1062" s="52" t="str">
        <f>IF(H1062="","",VLOOKUP(A1062,'6.A'!$A$11:$E$564,4,FALSE))</f>
        <v/>
      </c>
      <c r="K1062" s="52" t="str">
        <f>IF(H1062="","",IF(J1062=D1062,"SIM","NÃO"))</f>
        <v/>
      </c>
      <c r="L1062" s="52" t="str">
        <f>IF(H1062="","",IF(C1062="","",G1052*C1062))</f>
        <v/>
      </c>
      <c r="M1062" s="117" t="str">
        <f>IF(A1062="","",VLOOKUP(A1062,'6.A'!$A$11:$C$564,2,FALSE))</f>
        <v/>
      </c>
      <c r="N1062" s="57" t="str">
        <f>IF(A1062="","",IF(M1062=B1062,"si","no"))</f>
        <v/>
      </c>
      <c r="O1062" s="56"/>
      <c r="P1062" s="56"/>
      <c r="Q1062" s="48"/>
      <c r="R1062" s="48"/>
      <c r="S1062" s="2"/>
    </row>
    <row r="1063" spans="1:19" ht="12.75" customHeight="1" x14ac:dyDescent="0.2">
      <c r="A1063" s="22"/>
      <c r="B1063" s="23" t="str">
        <f>IF(A1063="","",VLOOKUP(A1063,'6.A'!$A$11:$G$180,2,FALSE))</f>
        <v/>
      </c>
      <c r="C1063" s="99"/>
      <c r="D1063" s="25" t="str">
        <f>IF(A1063="","",VLOOKUP(A1063,'6.A'!$A$11:$G$180,4,FALSE))</f>
        <v/>
      </c>
      <c r="E1063" s="101" t="str">
        <f>IF(A1063="","",VLOOKUP(A1063,'6.A'!$A$11:$G$180,5,FALSE))</f>
        <v/>
      </c>
      <c r="F1063" s="24" t="str">
        <f t="shared" si="463"/>
        <v>0,00</v>
      </c>
      <c r="G1063" s="52"/>
      <c r="H1063" s="52" t="str">
        <f>IF(A1063="","",VLOOKUP(A1063,'6.A'!$A$11:$E$7984,5,FALSE))</f>
        <v/>
      </c>
      <c r="I1063" s="52" t="str">
        <f t="shared" ref="I1063" si="472">IF(H1063="","",IF(E1063=H1063,"SIM","NÃO"))</f>
        <v/>
      </c>
      <c r="J1063" s="52" t="str">
        <f>IF(H1063="","",VLOOKUP(A1063,'6.A'!$A$11:$E$564,4,FALSE))</f>
        <v/>
      </c>
      <c r="K1063" s="52" t="str">
        <f t="shared" ref="K1063" si="473">IF(H1063="","",IF(J1063=D1063,"SIM","NÃO"))</f>
        <v/>
      </c>
      <c r="L1063" s="52" t="str">
        <f>IF(H1063="","",IF(C1063="","",G1052*C1063))</f>
        <v/>
      </c>
      <c r="M1063" s="117" t="str">
        <f>IF(A1063="","",VLOOKUP(A1063,'6.A'!$A$11:$C$564,2,FALSE))</f>
        <v/>
      </c>
      <c r="N1063" s="57" t="str">
        <f t="shared" ref="N1063" si="474">IF(A1063="","",IF(M1063=B1063,"si","no"))</f>
        <v/>
      </c>
      <c r="O1063" s="56"/>
      <c r="P1063" s="56"/>
      <c r="Q1063" s="48"/>
      <c r="R1063" s="48"/>
      <c r="S1063" s="2"/>
    </row>
    <row r="1064" spans="1:19" ht="12.75" customHeight="1" x14ac:dyDescent="0.2">
      <c r="A1064" s="17"/>
      <c r="B1064" s="26" t="str">
        <f>$A$8</f>
        <v>LEIS SOCIAIS HORISTA - JORNADA NORMAL</v>
      </c>
      <c r="C1064" s="27">
        <f>$C$8</f>
        <v>0</v>
      </c>
      <c r="D1064" s="57"/>
      <c r="F1064" s="28">
        <f>ROUND(SUM(F1054:F1063)*C1064,2)</f>
        <v>0</v>
      </c>
      <c r="G1064" s="63"/>
      <c r="M1064" s="62"/>
      <c r="N1064" s="57"/>
      <c r="O1064" s="56"/>
      <c r="P1064" s="56"/>
      <c r="Q1064" s="48"/>
      <c r="R1064" s="48"/>
      <c r="S1064" s="2"/>
    </row>
    <row r="1065" spans="1:19" ht="12.75" customHeight="1" x14ac:dyDescent="0.2">
      <c r="A1065" s="22"/>
      <c r="B1065" s="26" t="str">
        <f>$A$9</f>
        <v>BDI</v>
      </c>
      <c r="C1065" s="27">
        <f>$C$9</f>
        <v>0</v>
      </c>
      <c r="D1065" s="29"/>
      <c r="F1065" s="28">
        <f>ROUND(SUM(F1054:F1064)*C1065,2)</f>
        <v>0</v>
      </c>
      <c r="G1065" s="63"/>
      <c r="M1065" s="62"/>
      <c r="N1065" s="57"/>
      <c r="O1065" s="56"/>
      <c r="P1065" s="56"/>
      <c r="Q1065" s="48"/>
      <c r="R1065" s="48"/>
      <c r="S1065" s="2"/>
    </row>
    <row r="1066" spans="1:19" ht="12.75" customHeight="1" x14ac:dyDescent="0.2">
      <c r="A1066" s="30"/>
      <c r="B1066" s="31" t="s">
        <v>56</v>
      </c>
      <c r="C1066" s="32"/>
      <c r="D1066" s="33"/>
      <c r="E1066" s="34"/>
      <c r="F1066" s="35">
        <f>ROUND(SUM(F1054:F1065),2)</f>
        <v>0</v>
      </c>
      <c r="G1066" s="63"/>
      <c r="M1066" s="62"/>
      <c r="N1066" s="57"/>
      <c r="O1066" s="56"/>
      <c r="P1066" s="56"/>
      <c r="Q1066" s="48"/>
      <c r="R1066" s="48"/>
      <c r="S1066" s="2"/>
    </row>
    <row r="1067" spans="1:19" ht="12.75" customHeight="1" x14ac:dyDescent="0.2">
      <c r="A1067" s="17" t="s">
        <v>5</v>
      </c>
      <c r="B1067" s="153" t="s">
        <v>130</v>
      </c>
      <c r="C1067" s="56" t="s">
        <v>59</v>
      </c>
      <c r="D1067" s="56" t="s">
        <v>16</v>
      </c>
      <c r="E1067" s="19" t="s">
        <v>60</v>
      </c>
      <c r="F1067" s="20" t="s">
        <v>61</v>
      </c>
      <c r="G1067" s="21"/>
      <c r="M1067" s="62"/>
      <c r="N1067" s="57"/>
      <c r="O1067" s="56"/>
      <c r="P1067" s="56"/>
      <c r="Q1067" s="48"/>
      <c r="R1067" s="48"/>
      <c r="S1067" s="2"/>
    </row>
    <row r="1068" spans="1:19" ht="12.75" customHeight="1" x14ac:dyDescent="0.2">
      <c r="A1068" s="22"/>
      <c r="B1068" s="23" t="str">
        <f>IF(A1068="","",VLOOKUP(A1068,'6.A'!$A$11:$G$180,2,FALSE))</f>
        <v/>
      </c>
      <c r="C1068" s="99"/>
      <c r="D1068" s="57" t="str">
        <f>IF(A1068="","",VLOOKUP(A1068,'6.A'!$A$11:$G$180,4,FALSE))</f>
        <v/>
      </c>
      <c r="E1068" s="100" t="str">
        <f>IF(A1068="","",VLOOKUP(A1068,'6.A'!$A$11:$G$180,5,FALSE))</f>
        <v/>
      </c>
      <c r="F1068" s="24" t="str">
        <f t="shared" ref="F1068:F1077" si="475">IF(A1068="","0,00",ROUND(C1068*E1068,2))</f>
        <v>0,00</v>
      </c>
      <c r="G1068" s="52"/>
      <c r="H1068" s="52" t="str">
        <f>IF(A1068="","",VLOOKUP(A1068,'6.A'!$A$11:$E$7984,5,FALSE))</f>
        <v/>
      </c>
      <c r="I1068" s="52" t="str">
        <f t="shared" ref="I1068:I1077" si="476">IF(H1068="","",IF(E1068=H1068,"SIM","NÃO"))</f>
        <v/>
      </c>
      <c r="J1068" s="52" t="str">
        <f>IF(H1068="","",VLOOKUP(A1068,'6.A'!$A$11:$E$564,4,FALSE))</f>
        <v/>
      </c>
      <c r="K1068" s="52" t="str">
        <f t="shared" ref="K1068:K1077" si="477">IF(H1068="","",IF(J1068=D1068,"SIM","NÃO"))</f>
        <v/>
      </c>
      <c r="L1068" s="52" t="str">
        <f>IF(H1068="","",IF(C1068="","",G1052*C1068))</f>
        <v/>
      </c>
      <c r="M1068" s="117" t="str">
        <f>IF(A1068="","",VLOOKUP(A1068,'6.A'!$A$11:$C$564,2,FALSE))</f>
        <v/>
      </c>
      <c r="N1068" s="57" t="str">
        <f t="shared" ref="N1068:N1073" si="478">IF(A1068="","",IF(M1068=B1068,"si","no"))</f>
        <v/>
      </c>
      <c r="O1068" s="56"/>
      <c r="P1068" s="56"/>
      <c r="Q1068" s="48"/>
      <c r="R1068" s="48"/>
      <c r="S1068" s="2"/>
    </row>
    <row r="1069" spans="1:19" ht="12.75" customHeight="1" x14ac:dyDescent="0.2">
      <c r="A1069" s="22"/>
      <c r="B1069" s="23" t="str">
        <f>IF(A1069="","",VLOOKUP(A1069,'6.A'!$A$11:$G$180,2,FALSE))</f>
        <v/>
      </c>
      <c r="C1069" s="99"/>
      <c r="D1069" s="57" t="str">
        <f>IF(A1069="","",VLOOKUP(A1069,'6.A'!$A$11:$G$180,4,FALSE))</f>
        <v/>
      </c>
      <c r="E1069" s="100" t="str">
        <f>IF(A1069="","",VLOOKUP(A1069,'6.A'!$A$11:$G$180,5,FALSE))</f>
        <v/>
      </c>
      <c r="F1069" s="24" t="str">
        <f t="shared" si="475"/>
        <v>0,00</v>
      </c>
      <c r="G1069" s="52"/>
      <c r="H1069" s="52" t="str">
        <f>IF(A1069="","",VLOOKUP(A1069,'6.A'!$A$11:$E$7984,5,FALSE))</f>
        <v/>
      </c>
      <c r="I1069" s="52" t="str">
        <f t="shared" si="476"/>
        <v/>
      </c>
      <c r="J1069" s="52" t="str">
        <f>IF(H1069="","",VLOOKUP(A1069,'6.A'!$A$11:$E$564,4,FALSE))</f>
        <v/>
      </c>
      <c r="K1069" s="52" t="str">
        <f t="shared" si="477"/>
        <v/>
      </c>
      <c r="L1069" s="52" t="str">
        <f>IF(H1069="","",IF(C1069="","",G1052*C1069))</f>
        <v/>
      </c>
      <c r="M1069" s="117" t="str">
        <f>IF(A1069="","",VLOOKUP(A1069,'6.A'!$A$11:$C$564,2,FALSE))</f>
        <v/>
      </c>
      <c r="N1069" s="57" t="str">
        <f t="shared" si="478"/>
        <v/>
      </c>
      <c r="O1069" s="56"/>
      <c r="P1069" s="56"/>
      <c r="Q1069" s="48"/>
      <c r="R1069" s="48"/>
      <c r="S1069" s="2"/>
    </row>
    <row r="1070" spans="1:19" ht="12.75" customHeight="1" x14ac:dyDescent="0.2">
      <c r="A1070" s="22"/>
      <c r="B1070" s="23" t="str">
        <f>IF(A1070="","",VLOOKUP(A1070,'6.A'!$A$11:$G$180,2,FALSE))</f>
        <v/>
      </c>
      <c r="C1070" s="99"/>
      <c r="D1070" s="57" t="str">
        <f>IF(A1070="","",VLOOKUP(A1070,'6.A'!$A$11:$G$180,4,FALSE))</f>
        <v/>
      </c>
      <c r="E1070" s="100" t="str">
        <f>IF(A1070="","",VLOOKUP(A1070,'6.A'!$A$11:$G$180,5,FALSE))</f>
        <v/>
      </c>
      <c r="F1070" s="24" t="str">
        <f t="shared" si="475"/>
        <v>0,00</v>
      </c>
      <c r="G1070" s="52"/>
      <c r="H1070" s="52" t="str">
        <f>IF(A1070="","",VLOOKUP(A1070,'6.A'!$A$11:$E$7984,5,FALSE))</f>
        <v/>
      </c>
      <c r="I1070" s="52" t="str">
        <f t="shared" si="476"/>
        <v/>
      </c>
      <c r="J1070" s="52" t="str">
        <f>IF(H1070="","",VLOOKUP(A1070,'6.A'!$A$11:$E$564,4,FALSE))</f>
        <v/>
      </c>
      <c r="K1070" s="52" t="str">
        <f t="shared" si="477"/>
        <v/>
      </c>
      <c r="L1070" s="52" t="str">
        <f>IF(H1070="","",IF(C1070="","",G1052*C1070))</f>
        <v/>
      </c>
      <c r="M1070" s="117" t="str">
        <f>IF(A1070="","",VLOOKUP(A1070,'6.A'!$A$11:$C$564,2,FALSE))</f>
        <v/>
      </c>
      <c r="N1070" s="57" t="str">
        <f t="shared" si="478"/>
        <v/>
      </c>
      <c r="O1070" s="56"/>
      <c r="P1070" s="56"/>
      <c r="Q1070" s="48"/>
      <c r="R1070" s="48"/>
      <c r="S1070" s="2"/>
    </row>
    <row r="1071" spans="1:19" ht="12.75" customHeight="1" x14ac:dyDescent="0.2">
      <c r="A1071" s="22"/>
      <c r="B1071" s="55" t="str">
        <f>IF(A1071="","",VLOOKUP(A1071,'6.A'!$A$11:$G$180,2,FALSE))</f>
        <v/>
      </c>
      <c r="C1071" s="134"/>
      <c r="D1071" s="57" t="str">
        <f>IF(A1071="","",VLOOKUP(A1071,'6.A'!$A$11:$G$180,4,FALSE))</f>
        <v/>
      </c>
      <c r="E1071" s="100" t="str">
        <f>IF(A1071="","",VLOOKUP(A1071,'6.A'!$A$11:$G$180,5,FALSE))</f>
        <v/>
      </c>
      <c r="F1071" s="24" t="str">
        <f t="shared" si="475"/>
        <v>0,00</v>
      </c>
      <c r="G1071" s="52"/>
      <c r="H1071" s="52" t="str">
        <f>IF(A1071="","",VLOOKUP(A1071,'6.A'!$A$11:$E$7984,5,FALSE))</f>
        <v/>
      </c>
      <c r="I1071" s="52" t="str">
        <f t="shared" si="476"/>
        <v/>
      </c>
      <c r="J1071" s="52" t="str">
        <f>IF(H1071="","",VLOOKUP(A1071,'6.A'!$A$11:$E$564,4,FALSE))</f>
        <v/>
      </c>
      <c r="K1071" s="52" t="str">
        <f t="shared" si="477"/>
        <v/>
      </c>
      <c r="L1071" s="52" t="str">
        <f>IF(H1071="","",IF(C1071="","",G1052*C1071))</f>
        <v/>
      </c>
      <c r="M1071" s="117" t="str">
        <f>IF(A1071="","",VLOOKUP(A1071,'6.A'!$A$11:$C$564,2,FALSE))</f>
        <v/>
      </c>
      <c r="N1071" s="57" t="str">
        <f t="shared" si="478"/>
        <v/>
      </c>
      <c r="O1071" s="56"/>
      <c r="P1071" s="56"/>
      <c r="Q1071" s="48"/>
      <c r="R1071" s="48"/>
      <c r="S1071" s="2"/>
    </row>
    <row r="1072" spans="1:19" ht="12.75" customHeight="1" x14ac:dyDescent="0.2">
      <c r="A1072" s="22"/>
      <c r="B1072" s="23" t="str">
        <f>IF(A1072="","",VLOOKUP(A1072,'6.A'!$A$11:$G$180,2,FALSE))</f>
        <v/>
      </c>
      <c r="C1072" s="99"/>
      <c r="D1072" s="57" t="str">
        <f>IF(A1072="","",VLOOKUP(A1072,'6.A'!$A$11:$G$180,4,FALSE))</f>
        <v/>
      </c>
      <c r="E1072" s="100" t="str">
        <f>IF(A1072="","",VLOOKUP(A1072,'6.A'!$A$11:$G$180,5,FALSE))</f>
        <v/>
      </c>
      <c r="F1072" s="24" t="str">
        <f t="shared" si="475"/>
        <v>0,00</v>
      </c>
      <c r="G1072" s="52"/>
      <c r="H1072" s="52" t="str">
        <f>IF(A1072="","",VLOOKUP(A1072,'6.A'!$A$11:$E$7984,5,FALSE))</f>
        <v/>
      </c>
      <c r="I1072" s="52" t="str">
        <f t="shared" si="476"/>
        <v/>
      </c>
      <c r="J1072" s="52" t="str">
        <f>IF(H1072="","",VLOOKUP(A1072,'6.A'!$A$11:$E$564,4,FALSE))</f>
        <v/>
      </c>
      <c r="K1072" s="52" t="str">
        <f t="shared" si="477"/>
        <v/>
      </c>
      <c r="L1072" s="52" t="str">
        <f>IF(H1072="","",IF(C1072="","",G1052*C1072))</f>
        <v/>
      </c>
      <c r="M1072" s="117" t="str">
        <f>IF(A1072="","",VLOOKUP(A1072,'6.A'!$A$11:$C$564,2,FALSE))</f>
        <v/>
      </c>
      <c r="N1072" s="57" t="str">
        <f t="shared" si="478"/>
        <v/>
      </c>
      <c r="O1072" s="56"/>
      <c r="P1072" s="56"/>
      <c r="Q1072" s="48"/>
      <c r="R1072" s="48"/>
      <c r="S1072" s="2"/>
    </row>
    <row r="1073" spans="1:22" ht="12.75" customHeight="1" x14ac:dyDescent="0.2">
      <c r="A1073" s="22"/>
      <c r="B1073" s="23" t="str">
        <f>IF(A1073="","",VLOOKUP(A1073,'6.A'!$A$11:$G$180,2,FALSE))</f>
        <v/>
      </c>
      <c r="C1073" s="99"/>
      <c r="D1073" s="57" t="str">
        <f>IF(A1073="","",VLOOKUP(A1073,'6.A'!$A$11:$G$180,4,FALSE))</f>
        <v/>
      </c>
      <c r="E1073" s="100" t="str">
        <f>IF(A1073="","",VLOOKUP(A1073,'6.A'!$A$11:$G$180,5,FALSE))</f>
        <v/>
      </c>
      <c r="F1073" s="24" t="str">
        <f t="shared" si="475"/>
        <v>0,00</v>
      </c>
      <c r="G1073" s="52"/>
      <c r="H1073" s="52" t="str">
        <f>IF(A1073="","",VLOOKUP(A1073,'6.A'!$A$11:$E$7984,5,FALSE))</f>
        <v/>
      </c>
      <c r="I1073" s="52" t="str">
        <f t="shared" si="476"/>
        <v/>
      </c>
      <c r="J1073" s="52" t="str">
        <f>IF(H1073="","",VLOOKUP(A1073,'6.A'!$A$11:$E$564,4,FALSE))</f>
        <v/>
      </c>
      <c r="K1073" s="52" t="str">
        <f t="shared" si="477"/>
        <v/>
      </c>
      <c r="L1073" s="52" t="str">
        <f>IF(H1073="","",IF(C1073="","",G1052*C1073))</f>
        <v/>
      </c>
      <c r="M1073" s="117" t="str">
        <f>IF(A1073="","",VLOOKUP(A1073,'6.A'!$A$11:$C$564,2,FALSE))</f>
        <v/>
      </c>
      <c r="N1073" s="57" t="str">
        <f t="shared" si="478"/>
        <v/>
      </c>
      <c r="O1073" s="56"/>
      <c r="P1073" s="56"/>
      <c r="Q1073" s="48"/>
      <c r="R1073" s="48"/>
      <c r="S1073" s="2"/>
    </row>
    <row r="1074" spans="1:22" ht="12.75" customHeight="1" x14ac:dyDescent="0.2">
      <c r="A1074" s="22"/>
      <c r="B1074" s="23" t="str">
        <f>IF(A1074="","",VLOOKUP(A1074,'6.A'!$A$11:$G$180,2,FALSE))</f>
        <v/>
      </c>
      <c r="C1074" s="99"/>
      <c r="D1074" s="57" t="str">
        <f>IF(A1074="","",VLOOKUP(A1074,'6.A'!$A$11:$G$180,4,FALSE))</f>
        <v/>
      </c>
      <c r="E1074" s="100" t="str">
        <f>IF(A1074="","",VLOOKUP(A1074,'6.A'!$A$11:$G$180,5,FALSE))</f>
        <v/>
      </c>
      <c r="F1074" s="24" t="str">
        <f t="shared" si="475"/>
        <v>0,00</v>
      </c>
      <c r="G1074" s="52"/>
      <c r="H1074" s="52" t="str">
        <f>IF(A1074="","",VLOOKUP(A1074,'6.A'!$A$11:$E$7984,5,FALSE))</f>
        <v/>
      </c>
      <c r="I1074" s="52" t="str">
        <f t="shared" si="476"/>
        <v/>
      </c>
      <c r="J1074" s="52" t="str">
        <f>IF(H1074="","",VLOOKUP(A1074,'6.A'!$A$11:$E$564,4,FALSE))</f>
        <v/>
      </c>
      <c r="K1074" s="52" t="str">
        <f t="shared" si="477"/>
        <v/>
      </c>
      <c r="L1074" s="52" t="str">
        <f>IF(H1074="","",IF(C1074="","",G1052*C1074))</f>
        <v/>
      </c>
      <c r="M1074" s="117" t="str">
        <f>IF(A1074="","",VLOOKUP(A1074,'6.A'!$A$11:$C$564,2,FALSE))</f>
        <v/>
      </c>
      <c r="N1074" s="57" t="str">
        <f>IF(A1074="","",IF(M1074=B1074,"si","no"))</f>
        <v/>
      </c>
      <c r="O1074" s="56"/>
      <c r="P1074" s="56"/>
      <c r="Q1074" s="48"/>
      <c r="R1074" s="48"/>
      <c r="S1074" s="2"/>
    </row>
    <row r="1075" spans="1:22" ht="12.75" customHeight="1" x14ac:dyDescent="0.2">
      <c r="A1075" s="22"/>
      <c r="B1075" s="23" t="str">
        <f>IF(A1075="","",VLOOKUP(A1075,'6.A'!$A$11:$G$180,2,FALSE))</f>
        <v/>
      </c>
      <c r="C1075" s="99"/>
      <c r="D1075" s="57" t="str">
        <f>IF(A1075="","",VLOOKUP(A1075,'6.A'!$A$11:$G$180,4,FALSE))</f>
        <v/>
      </c>
      <c r="E1075" s="100" t="str">
        <f>IF(A1075="","",VLOOKUP(A1075,'6.A'!$A$11:$G$180,5,FALSE))</f>
        <v/>
      </c>
      <c r="F1075" s="24" t="str">
        <f t="shared" si="475"/>
        <v>0,00</v>
      </c>
      <c r="G1075" s="52"/>
      <c r="H1075" s="52" t="str">
        <f>IF(A1075="","",VLOOKUP(A1075,'6.A'!$A$11:$E$7984,5,FALSE))</f>
        <v/>
      </c>
      <c r="I1075" s="52" t="str">
        <f t="shared" si="476"/>
        <v/>
      </c>
      <c r="J1075" s="52" t="str">
        <f>IF(H1075="","",VLOOKUP(A1075,'6.A'!$A$11:$E$564,4,FALSE))</f>
        <v/>
      </c>
      <c r="K1075" s="52" t="str">
        <f t="shared" si="477"/>
        <v/>
      </c>
      <c r="L1075" s="52" t="str">
        <f>IF(H1075="","",IF(C1075="","",G1052*C1075))</f>
        <v/>
      </c>
      <c r="M1075" s="117" t="str">
        <f>IF(A1075="","",VLOOKUP(A1075,'6.A'!$A$11:$C$564,2,FALSE))</f>
        <v/>
      </c>
      <c r="N1075" s="57" t="str">
        <f>IF(A1075="","",IF(M1075=B1075,"si","no"))</f>
        <v/>
      </c>
      <c r="O1075" s="56"/>
      <c r="P1075" s="56"/>
      <c r="Q1075" s="48"/>
      <c r="R1075" s="48"/>
      <c r="S1075" s="2"/>
    </row>
    <row r="1076" spans="1:22" ht="12.75" customHeight="1" x14ac:dyDescent="0.2">
      <c r="A1076" s="22"/>
      <c r="B1076" s="23" t="str">
        <f>IF(A1076="","",VLOOKUP(A1076,'6.A'!$A$11:$G$180,2,FALSE))</f>
        <v/>
      </c>
      <c r="C1076" s="99"/>
      <c r="D1076" s="57" t="str">
        <f>IF(A1076="","",VLOOKUP(A1076,'6.A'!$A$11:$G$180,4,FALSE))</f>
        <v/>
      </c>
      <c r="E1076" s="100" t="str">
        <f>IF(A1076="","",VLOOKUP(A1076,'6.A'!$A$11:$G$180,5,FALSE))</f>
        <v/>
      </c>
      <c r="F1076" s="24" t="str">
        <f t="shared" si="475"/>
        <v>0,00</v>
      </c>
      <c r="G1076" s="52"/>
      <c r="H1076" s="52" t="str">
        <f>IF(A1076="","",VLOOKUP(A1076,'6.A'!$A$11:$E$7984,5,FALSE))</f>
        <v/>
      </c>
      <c r="I1076" s="52" t="str">
        <f t="shared" si="476"/>
        <v/>
      </c>
      <c r="J1076" s="52" t="str">
        <f>IF(H1076="","",VLOOKUP(A1076,'6.A'!$A$11:$E$564,4,FALSE))</f>
        <v/>
      </c>
      <c r="K1076" s="52" t="str">
        <f t="shared" si="477"/>
        <v/>
      </c>
      <c r="L1076" s="52" t="str">
        <f>IF(H1076="","",IF(C1076="","",G1052*C1076))</f>
        <v/>
      </c>
      <c r="M1076" s="117" t="str">
        <f>IF(A1076="","",VLOOKUP(A1076,'6.A'!$A$11:$C$564,2,FALSE))</f>
        <v/>
      </c>
      <c r="N1076" s="57" t="str">
        <f t="shared" ref="N1076:N1077" si="479">IF(A1076="","",IF(M1076=B1076,"si","no"))</f>
        <v/>
      </c>
      <c r="O1076" s="56"/>
      <c r="P1076" s="56"/>
      <c r="Q1076" s="48"/>
      <c r="R1076" s="48"/>
      <c r="S1076" s="2"/>
    </row>
    <row r="1077" spans="1:22" ht="12.75" customHeight="1" x14ac:dyDescent="0.2">
      <c r="A1077" s="22"/>
      <c r="B1077" s="23" t="str">
        <f>IF(A1077="","",VLOOKUP(A1077,'6.A'!$A$11:$G$180,2,FALSE))</f>
        <v/>
      </c>
      <c r="C1077" s="99"/>
      <c r="D1077" s="57" t="str">
        <f>IF(A1077="","",VLOOKUP(A1077,'6.A'!$A$11:$G$180,4,FALSE))</f>
        <v/>
      </c>
      <c r="E1077" s="100" t="str">
        <f>IF(A1077="","",VLOOKUP(A1077,'6.A'!$A$11:$G$180,5,FALSE))</f>
        <v/>
      </c>
      <c r="F1077" s="24" t="str">
        <f t="shared" si="475"/>
        <v>0,00</v>
      </c>
      <c r="G1077" s="52"/>
      <c r="H1077" s="52" t="str">
        <f>IF(A1077="","",VLOOKUP(A1077,'6.A'!$A$11:$E$7984,5,FALSE))</f>
        <v/>
      </c>
      <c r="I1077" s="52" t="str">
        <f t="shared" si="476"/>
        <v/>
      </c>
      <c r="J1077" s="52" t="str">
        <f>IF(H1077="","",VLOOKUP(A1077,'6.A'!$A$11:$E$564,4,FALSE))</f>
        <v/>
      </c>
      <c r="K1077" s="52" t="str">
        <f t="shared" si="477"/>
        <v/>
      </c>
      <c r="L1077" s="52" t="str">
        <f>IF(H1077="","",IF(C1077="","",G1052*C1077))</f>
        <v/>
      </c>
      <c r="M1077" s="117" t="str">
        <f>IF(A1077="","",VLOOKUP(A1077,'6.A'!$A$11:$C$564,2,FALSE))</f>
        <v/>
      </c>
      <c r="N1077" s="57" t="str">
        <f t="shared" si="479"/>
        <v/>
      </c>
      <c r="O1077" s="56"/>
      <c r="P1077" s="56"/>
      <c r="Q1077" s="48"/>
      <c r="R1077" s="48"/>
      <c r="S1077" s="2"/>
    </row>
    <row r="1078" spans="1:22" ht="12.75" customHeight="1" x14ac:dyDescent="0.2">
      <c r="A1078" s="22"/>
      <c r="B1078" s="26" t="str">
        <f>$A$9</f>
        <v>BDI</v>
      </c>
      <c r="C1078" s="27">
        <f>$C$9</f>
        <v>0</v>
      </c>
      <c r="D1078" s="57"/>
      <c r="F1078" s="28">
        <f>ROUND(SUM(F1068:F1077)*C1078,2)</f>
        <v>0</v>
      </c>
      <c r="G1078" s="63"/>
      <c r="M1078" s="62"/>
      <c r="N1078" s="57"/>
      <c r="O1078" s="56"/>
      <c r="P1078" s="56"/>
      <c r="Q1078" s="48"/>
      <c r="R1078" s="48"/>
      <c r="S1078" s="2"/>
    </row>
    <row r="1079" spans="1:22" ht="12.75" customHeight="1" x14ac:dyDescent="0.2">
      <c r="A1079" s="30"/>
      <c r="B1079" s="31" t="s">
        <v>117</v>
      </c>
      <c r="C1079" s="36"/>
      <c r="D1079" s="37"/>
      <c r="E1079" s="38"/>
      <c r="F1079" s="35">
        <f>ROUND(SUM(F1068:F1078),2)</f>
        <v>0</v>
      </c>
      <c r="G1079" s="63"/>
      <c r="M1079" s="62"/>
      <c r="N1079" s="57"/>
      <c r="O1079" s="56"/>
      <c r="P1079" s="56"/>
      <c r="Q1079" s="48"/>
      <c r="R1079" s="48"/>
      <c r="S1079" s="2"/>
    </row>
    <row r="1080" spans="1:22" ht="12.75" customHeight="1" x14ac:dyDescent="0.2">
      <c r="A1080" s="17" t="s">
        <v>6</v>
      </c>
      <c r="B1080" s="18" t="s">
        <v>17</v>
      </c>
      <c r="C1080" s="56" t="s">
        <v>59</v>
      </c>
      <c r="D1080" s="56" t="s">
        <v>16</v>
      </c>
      <c r="E1080" s="19" t="s">
        <v>60</v>
      </c>
      <c r="F1080" s="20" t="s">
        <v>61</v>
      </c>
      <c r="G1080" s="21"/>
      <c r="M1080" s="62"/>
      <c r="N1080" s="57"/>
      <c r="O1080" s="56"/>
      <c r="P1080" s="56"/>
      <c r="Q1080" s="48"/>
      <c r="R1080" s="48"/>
      <c r="S1080" s="2"/>
    </row>
    <row r="1081" spans="1:22" ht="12.75" customHeight="1" x14ac:dyDescent="0.2">
      <c r="A1081" s="22"/>
      <c r="B1081" s="23" t="str">
        <f>IF(A1081="","",VLOOKUP(A1081,'6.A'!$A$11:$G$180,2,FALSE))</f>
        <v/>
      </c>
      <c r="C1081" s="99"/>
      <c r="D1081" s="57" t="str">
        <f>IF(A1081="","",VLOOKUP(A1081,'6.A'!$A$11:$G$180,4,FALSE))</f>
        <v/>
      </c>
      <c r="E1081" s="100" t="str">
        <f>IF(A1081="","",VLOOKUP(A1081,'6.A'!$A$11:$G$180,5,FALSE))</f>
        <v/>
      </c>
      <c r="F1081" s="24" t="str">
        <f t="shared" ref="F1081:F1100" si="480">IF(A1081="","0,00",ROUND(C1081*E1081,2))</f>
        <v>0,00</v>
      </c>
      <c r="G1081" s="52"/>
      <c r="H1081" s="52" t="str">
        <f>IF(A1081="","",VLOOKUP(A1081,'6.A'!$A$11:$E$7984,5,FALSE))</f>
        <v/>
      </c>
      <c r="I1081" s="52" t="str">
        <f t="shared" ref="I1081:I1100" si="481">IF(H1081="","",IF(E1081=H1081,"SIM","NÃO"))</f>
        <v/>
      </c>
      <c r="J1081" s="52" t="str">
        <f>IF(H1081="","",VLOOKUP(A1081,'6.A'!$A$11:$E$564,4,FALSE))</f>
        <v/>
      </c>
      <c r="K1081" s="52" t="str">
        <f t="shared" ref="K1081:K1100" si="482">IF(H1081="","",IF(J1081=D1081,"SIM","NÃO"))</f>
        <v/>
      </c>
      <c r="L1081" s="52" t="str">
        <f>IF(H1081="","",IF(C1081="","",G1052*C1081))</f>
        <v/>
      </c>
      <c r="M1081" s="117" t="str">
        <f>IF(A1081="","",VLOOKUP(A1081,'6.A'!$A$11:$C$564,2,FALSE))</f>
        <v/>
      </c>
      <c r="N1081" s="57" t="str">
        <f t="shared" ref="N1081:N1100" si="483">IF(A1081="","",IF(M1081=B1081,"si","no"))</f>
        <v/>
      </c>
      <c r="O1081" s="56"/>
      <c r="P1081" s="56"/>
      <c r="Q1081" s="48"/>
      <c r="R1081" s="48"/>
      <c r="S1081" s="2"/>
    </row>
    <row r="1082" spans="1:22" ht="12.75" customHeight="1" x14ac:dyDescent="0.2">
      <c r="A1082" s="22"/>
      <c r="B1082" s="23" t="str">
        <f>IF(A1082="","",VLOOKUP(A1082,'6.A'!$A$11:$G$180,2,FALSE))</f>
        <v/>
      </c>
      <c r="C1082" s="99"/>
      <c r="D1082" s="57" t="str">
        <f>IF(A1082="","",VLOOKUP(A1082,'6.A'!$A$11:$G$180,4,FALSE))</f>
        <v/>
      </c>
      <c r="E1082" s="100" t="str">
        <f>IF(A1082="","",VLOOKUP(A1082,'6.A'!$A$11:$G$180,5,FALSE))</f>
        <v/>
      </c>
      <c r="F1082" s="24" t="str">
        <f t="shared" si="480"/>
        <v>0,00</v>
      </c>
      <c r="G1082" s="52"/>
      <c r="H1082" s="52" t="str">
        <f>IF(A1082="","",VLOOKUP(A1082,'6.A'!$A$11:$E$7984,5,FALSE))</f>
        <v/>
      </c>
      <c r="I1082" s="52" t="str">
        <f t="shared" si="481"/>
        <v/>
      </c>
      <c r="J1082" s="52" t="str">
        <f>IF(H1082="","",VLOOKUP(A1082,'6.A'!$A$11:$E$564,4,FALSE))</f>
        <v/>
      </c>
      <c r="K1082" s="52" t="str">
        <f t="shared" si="482"/>
        <v/>
      </c>
      <c r="L1082" s="52" t="str">
        <f>IF(H1082="","",IF(C1082="","",G1052*C1082))</f>
        <v/>
      </c>
      <c r="M1082" s="117" t="str">
        <f>IF(A1082="","",VLOOKUP(A1082,'6.A'!$A$11:$C$564,2,FALSE))</f>
        <v/>
      </c>
      <c r="N1082" s="57" t="str">
        <f t="shared" si="483"/>
        <v/>
      </c>
      <c r="O1082" s="56"/>
      <c r="P1082" s="56"/>
      <c r="Q1082" s="48"/>
      <c r="R1082" s="48"/>
      <c r="S1082" s="2"/>
    </row>
    <row r="1083" spans="1:22" ht="12.75" customHeight="1" x14ac:dyDescent="0.2">
      <c r="A1083" s="22"/>
      <c r="B1083" s="23" t="str">
        <f>IF(A1083="","",VLOOKUP(A1083,'6.A'!$A$11:$G$180,2,FALSE))</f>
        <v/>
      </c>
      <c r="C1083" s="99"/>
      <c r="D1083" s="57" t="str">
        <f>IF(A1083="","",VLOOKUP(A1083,'6.A'!$A$11:$G$180,4,FALSE))</f>
        <v/>
      </c>
      <c r="E1083" s="100" t="str">
        <f>IF(A1083="","",VLOOKUP(A1083,'6.A'!$A$11:$G$180,5,FALSE))</f>
        <v/>
      </c>
      <c r="F1083" s="24" t="str">
        <f t="shared" si="480"/>
        <v>0,00</v>
      </c>
      <c r="G1083" s="52"/>
      <c r="H1083" s="52" t="str">
        <f>IF(A1083="","",VLOOKUP(A1083,'6.A'!$A$11:$E$7984,5,FALSE))</f>
        <v/>
      </c>
      <c r="I1083" s="52" t="str">
        <f t="shared" si="481"/>
        <v/>
      </c>
      <c r="J1083" s="52" t="str">
        <f>IF(H1083="","",VLOOKUP(A1083,'6.A'!$A$11:$E$564,4,FALSE))</f>
        <v/>
      </c>
      <c r="K1083" s="52" t="str">
        <f t="shared" si="482"/>
        <v/>
      </c>
      <c r="L1083" s="52" t="str">
        <f>IF(H1083="","",IF(C1083="","",G1052*C1083))</f>
        <v/>
      </c>
      <c r="M1083" s="117" t="str">
        <f>IF(A1083="","",VLOOKUP(A1083,'6.A'!$A$11:$C$564,2,FALSE))</f>
        <v/>
      </c>
      <c r="N1083" s="57" t="str">
        <f t="shared" si="483"/>
        <v/>
      </c>
      <c r="O1083" s="56"/>
      <c r="P1083" s="56"/>
      <c r="Q1083" s="48"/>
      <c r="R1083" s="48"/>
      <c r="S1083" s="2"/>
    </row>
    <row r="1084" spans="1:22" ht="12.75" customHeight="1" x14ac:dyDescent="0.2">
      <c r="A1084" s="22"/>
      <c r="B1084" s="23" t="str">
        <f>IF(A1084="","",VLOOKUP(A1084,'6.A'!$A$11:$G$180,2,FALSE))</f>
        <v/>
      </c>
      <c r="C1084" s="99"/>
      <c r="D1084" s="57" t="str">
        <f>IF(A1084="","",VLOOKUP(A1084,'6.A'!$A$11:$G$180,4,FALSE))</f>
        <v/>
      </c>
      <c r="E1084" s="100" t="str">
        <f>IF(A1084="","",VLOOKUP(A1084,'6.A'!$A$11:$G$180,5,FALSE))</f>
        <v/>
      </c>
      <c r="F1084" s="24" t="str">
        <f t="shared" si="480"/>
        <v>0,00</v>
      </c>
      <c r="G1084" s="52"/>
      <c r="H1084" s="52" t="str">
        <f>IF(A1084="","",VLOOKUP(A1084,'6.A'!$A$11:$E$7984,5,FALSE))</f>
        <v/>
      </c>
      <c r="I1084" s="52" t="str">
        <f t="shared" si="481"/>
        <v/>
      </c>
      <c r="J1084" s="52" t="str">
        <f>IF(H1084="","",VLOOKUP(A1084,'6.A'!$A$11:$E$564,4,FALSE))</f>
        <v/>
      </c>
      <c r="K1084" s="52" t="str">
        <f t="shared" si="482"/>
        <v/>
      </c>
      <c r="L1084" s="52" t="str">
        <f>IF(H1084="","",IF(C1084="","",G1052*C1084))</f>
        <v/>
      </c>
      <c r="M1084" s="117" t="str">
        <f>IF(A1084="","",VLOOKUP(A1084,'6.A'!$A$11:$C$564,2,FALSE))</f>
        <v/>
      </c>
      <c r="N1084" s="57" t="str">
        <f t="shared" si="483"/>
        <v/>
      </c>
      <c r="O1084" s="56"/>
      <c r="P1084" s="56"/>
      <c r="Q1084" s="48"/>
      <c r="R1084" s="48"/>
      <c r="S1084" s="2"/>
    </row>
    <row r="1085" spans="1:22" ht="12.75" customHeight="1" x14ac:dyDescent="0.2">
      <c r="A1085" s="22"/>
      <c r="B1085" s="23" t="str">
        <f>IF(A1085="","",VLOOKUP(A1085,'6.A'!$A$11:$G$180,2,FALSE))</f>
        <v/>
      </c>
      <c r="C1085" s="99"/>
      <c r="D1085" s="57" t="str">
        <f>IF(A1085="","",VLOOKUP(A1085,'6.A'!$A$11:$G$180,4,FALSE))</f>
        <v/>
      </c>
      <c r="E1085" s="100" t="str">
        <f>IF(A1085="","",VLOOKUP(A1085,'6.A'!$A$11:$G$180,5,FALSE))</f>
        <v/>
      </c>
      <c r="F1085" s="24" t="str">
        <f t="shared" si="480"/>
        <v>0,00</v>
      </c>
      <c r="G1085" s="52"/>
      <c r="H1085" s="52" t="str">
        <f>IF(A1085="","",VLOOKUP(A1085,'6.A'!$A$11:$E$7984,5,FALSE))</f>
        <v/>
      </c>
      <c r="I1085" s="52" t="str">
        <f t="shared" si="481"/>
        <v/>
      </c>
      <c r="J1085" s="52" t="str">
        <f>IF(H1085="","",VLOOKUP(A1085,'6.A'!$A$11:$E$564,4,FALSE))</f>
        <v/>
      </c>
      <c r="K1085" s="52" t="str">
        <f t="shared" si="482"/>
        <v/>
      </c>
      <c r="L1085" s="52" t="str">
        <f>IF(H1085="","",IF(C1085="","",G1052*C1085))</f>
        <v/>
      </c>
      <c r="M1085" s="117" t="str">
        <f>IF(A1085="","",VLOOKUP(A1085,'6.A'!$A$11:$C$564,2,FALSE))</f>
        <v/>
      </c>
      <c r="N1085" s="57" t="str">
        <f t="shared" si="483"/>
        <v/>
      </c>
      <c r="O1085" s="56"/>
      <c r="P1085" s="56"/>
      <c r="Q1085" s="48"/>
      <c r="R1085" s="48"/>
      <c r="S1085" s="2"/>
    </row>
    <row r="1086" spans="1:22" ht="12.75" customHeight="1" x14ac:dyDescent="0.2">
      <c r="A1086" s="22"/>
      <c r="B1086" s="23" t="str">
        <f>IF(A1086="","",VLOOKUP(A1086,'6.A'!$A$11:$G$180,2,FALSE))</f>
        <v/>
      </c>
      <c r="C1086" s="99"/>
      <c r="D1086" s="57" t="str">
        <f>IF(A1086="","",VLOOKUP(A1086,'6.A'!$A$11:$G$180,4,FALSE))</f>
        <v/>
      </c>
      <c r="E1086" s="100" t="str">
        <f>IF(A1086="","",VLOOKUP(A1086,'6.A'!$A$11:$G$180,5,FALSE))</f>
        <v/>
      </c>
      <c r="F1086" s="24" t="str">
        <f t="shared" si="480"/>
        <v>0,00</v>
      </c>
      <c r="G1086" s="52"/>
      <c r="H1086" s="52" t="str">
        <f>IF(A1086="","",VLOOKUP(A1086,'6.A'!$A$11:$E$7984,5,FALSE))</f>
        <v/>
      </c>
      <c r="I1086" s="52" t="str">
        <f t="shared" si="481"/>
        <v/>
      </c>
      <c r="J1086" s="52" t="str">
        <f>IF(H1086="","",VLOOKUP(A1086,'6.A'!$A$11:$E$564,4,FALSE))</f>
        <v/>
      </c>
      <c r="K1086" s="52" t="str">
        <f t="shared" si="482"/>
        <v/>
      </c>
      <c r="L1086" s="52" t="str">
        <f>IF(H1086="","",IF(C1086="","",G1052*C1086))</f>
        <v/>
      </c>
      <c r="M1086" s="117" t="str">
        <f>IF(A1086="","",VLOOKUP(A1086,'6.A'!$A$11:$C$564,2,FALSE))</f>
        <v/>
      </c>
      <c r="N1086" s="57" t="str">
        <f t="shared" si="483"/>
        <v/>
      </c>
      <c r="O1086" s="56"/>
      <c r="P1086" s="56"/>
      <c r="Q1086" s="48"/>
      <c r="R1086" s="48"/>
      <c r="S1086" s="2"/>
    </row>
    <row r="1087" spans="1:22" ht="12.75" customHeight="1" x14ac:dyDescent="0.2">
      <c r="A1087" s="22"/>
      <c r="B1087" s="23" t="str">
        <f>IF(A1087="","",VLOOKUP(A1087,'6.A'!$A$11:$G$180,2,FALSE))</f>
        <v/>
      </c>
      <c r="C1087" s="99"/>
      <c r="D1087" s="57" t="str">
        <f>IF(A1087="","",VLOOKUP(A1087,'6.A'!$A$11:$G$180,4,FALSE))</f>
        <v/>
      </c>
      <c r="E1087" s="100" t="str">
        <f>IF(A1087="","",VLOOKUP(A1087,'6.A'!$A$11:$G$180,5,FALSE))</f>
        <v/>
      </c>
      <c r="F1087" s="24" t="str">
        <f t="shared" si="480"/>
        <v>0,00</v>
      </c>
      <c r="G1087" s="52"/>
      <c r="H1087" s="52" t="str">
        <f>IF(A1087="","",VLOOKUP(A1087,'6.A'!$A$11:$E$7984,5,FALSE))</f>
        <v/>
      </c>
      <c r="I1087" s="52" t="str">
        <f t="shared" si="481"/>
        <v/>
      </c>
      <c r="J1087" s="52" t="str">
        <f>IF(H1087="","",VLOOKUP(A1087,'6.A'!$A$11:$E$564,4,FALSE))</f>
        <v/>
      </c>
      <c r="K1087" s="52" t="str">
        <f t="shared" si="482"/>
        <v/>
      </c>
      <c r="L1087" s="52" t="str">
        <f>IF(H1087="","",IF(C1087="","",G1052*C1087))</f>
        <v/>
      </c>
      <c r="M1087" s="117" t="str">
        <f>IF(A1087="","",VLOOKUP(A1087,'6.A'!$A$11:$C$564,2,FALSE))</f>
        <v/>
      </c>
      <c r="N1087" s="57" t="str">
        <f t="shared" si="483"/>
        <v/>
      </c>
      <c r="O1087" s="56"/>
      <c r="P1087" s="56"/>
      <c r="Q1087" s="48"/>
      <c r="R1087" s="48"/>
      <c r="S1087" s="2"/>
    </row>
    <row r="1088" spans="1:22" s="65" customFormat="1" ht="12.75" customHeight="1" x14ac:dyDescent="0.2">
      <c r="A1088" s="22"/>
      <c r="B1088" s="23" t="str">
        <f>IF(A1088="","",VLOOKUP(A1088,'6.A'!$A$11:$G$180,2,FALSE))</f>
        <v/>
      </c>
      <c r="C1088" s="99"/>
      <c r="D1088" s="57" t="str">
        <f>IF(A1088="","",VLOOKUP(A1088,'6.A'!$A$11:$G$180,4,FALSE))</f>
        <v/>
      </c>
      <c r="E1088" s="100" t="str">
        <f>IF(A1088="","",VLOOKUP(A1088,'6.A'!$A$11:$G$180,5,FALSE))</f>
        <v/>
      </c>
      <c r="F1088" s="24" t="str">
        <f t="shared" si="480"/>
        <v>0,00</v>
      </c>
      <c r="G1088" s="52"/>
      <c r="H1088" s="52" t="str">
        <f>IF(A1088="","",VLOOKUP(A1088,'6.A'!$A$11:$E$7984,5,FALSE))</f>
        <v/>
      </c>
      <c r="I1088" s="52" t="str">
        <f t="shared" si="481"/>
        <v/>
      </c>
      <c r="J1088" s="52" t="str">
        <f>IF(H1088="","",VLOOKUP(A1088,'6.A'!$A$11:$E$564,4,FALSE))</f>
        <v/>
      </c>
      <c r="K1088" s="52" t="str">
        <f t="shared" si="482"/>
        <v/>
      </c>
      <c r="L1088" s="52" t="str">
        <f>IF(H1088="","",IF(C1088="","",G1052*C1088))</f>
        <v/>
      </c>
      <c r="M1088" s="117" t="str">
        <f>IF(A1088="","",VLOOKUP(A1088,'6.A'!$A$11:$C$564,2,FALSE))</f>
        <v/>
      </c>
      <c r="N1088" s="57" t="str">
        <f t="shared" si="483"/>
        <v/>
      </c>
      <c r="O1088" s="56"/>
      <c r="P1088" s="56"/>
      <c r="Q1088" s="48"/>
      <c r="R1088" s="48"/>
      <c r="T1088" s="2"/>
      <c r="U1088" s="2"/>
      <c r="V1088" s="2"/>
    </row>
    <row r="1089" spans="1:23" s="65" customFormat="1" ht="12.75" customHeight="1" x14ac:dyDescent="0.2">
      <c r="A1089" s="22"/>
      <c r="B1089" s="23" t="str">
        <f>IF(A1089="","",VLOOKUP(A1089,'6.A'!$A$11:$G$180,2,FALSE))</f>
        <v/>
      </c>
      <c r="C1089" s="99"/>
      <c r="D1089" s="57" t="str">
        <f>IF(A1089="","",VLOOKUP(A1089,'6.A'!$A$11:$G$180,4,FALSE))</f>
        <v/>
      </c>
      <c r="E1089" s="100" t="str">
        <f>IF(A1089="","",VLOOKUP(A1089,'6.A'!$A$11:$G$180,5,FALSE))</f>
        <v/>
      </c>
      <c r="F1089" s="24" t="str">
        <f t="shared" si="480"/>
        <v>0,00</v>
      </c>
      <c r="G1089" s="52"/>
      <c r="H1089" s="52" t="str">
        <f>IF(A1089="","",VLOOKUP(A1089,'6.A'!$A$11:$E$7984,5,FALSE))</f>
        <v/>
      </c>
      <c r="I1089" s="52" t="str">
        <f t="shared" si="481"/>
        <v/>
      </c>
      <c r="J1089" s="52" t="str">
        <f>IF(H1089="","",VLOOKUP(A1089,'6.A'!$A$11:$E$564,4,FALSE))</f>
        <v/>
      </c>
      <c r="K1089" s="52" t="str">
        <f t="shared" si="482"/>
        <v/>
      </c>
      <c r="L1089" s="52" t="str">
        <f>IF(H1089="","",IF(C1089="","",G1052*C1089))</f>
        <v/>
      </c>
      <c r="M1089" s="117" t="str">
        <f>IF(A1089="","",VLOOKUP(A1089,'6.A'!$A$11:$C$564,2,FALSE))</f>
        <v/>
      </c>
      <c r="N1089" s="57" t="str">
        <f t="shared" si="483"/>
        <v/>
      </c>
      <c r="O1089" s="56"/>
      <c r="P1089" s="56"/>
      <c r="Q1089" s="48"/>
      <c r="R1089" s="48"/>
      <c r="T1089" s="2"/>
      <c r="U1089" s="2"/>
      <c r="V1089" s="2"/>
    </row>
    <row r="1090" spans="1:23" s="65" customFormat="1" ht="12.75" customHeight="1" x14ac:dyDescent="0.2">
      <c r="A1090" s="22"/>
      <c r="B1090" s="23" t="str">
        <f>IF(A1090="","",VLOOKUP(A1090,'6.A'!$A$11:$G$180,2,FALSE))</f>
        <v/>
      </c>
      <c r="C1090" s="99"/>
      <c r="D1090" s="57" t="str">
        <f>IF(A1090="","",VLOOKUP(A1090,'6.A'!$A$11:$G$180,4,FALSE))</f>
        <v/>
      </c>
      <c r="E1090" s="100" t="str">
        <f>IF(A1090="","",VLOOKUP(A1090,'6.A'!$A$11:$G$180,5,FALSE))</f>
        <v/>
      </c>
      <c r="F1090" s="24" t="str">
        <f t="shared" si="480"/>
        <v>0,00</v>
      </c>
      <c r="G1090" s="52"/>
      <c r="H1090" s="52" t="str">
        <f>IF(A1090="","",VLOOKUP(A1090,'6.A'!$A$11:$E$7984,5,FALSE))</f>
        <v/>
      </c>
      <c r="I1090" s="52" t="str">
        <f t="shared" si="481"/>
        <v/>
      </c>
      <c r="J1090" s="52" t="str">
        <f>IF(H1090="","",VLOOKUP(A1090,'6.A'!$A$11:$E$564,4,FALSE))</f>
        <v/>
      </c>
      <c r="K1090" s="52" t="str">
        <f t="shared" si="482"/>
        <v/>
      </c>
      <c r="L1090" s="52" t="str">
        <f>IF(H1090="","",IF(C1090="","",G1052*C1090))</f>
        <v/>
      </c>
      <c r="M1090" s="117" t="str">
        <f>IF(A1090="","",VLOOKUP(A1090,'6.A'!$A$11:$C$564,2,FALSE))</f>
        <v/>
      </c>
      <c r="N1090" s="57" t="str">
        <f t="shared" si="483"/>
        <v/>
      </c>
      <c r="O1090" s="56"/>
      <c r="P1090" s="56"/>
      <c r="Q1090" s="48"/>
      <c r="R1090" s="48"/>
      <c r="T1090" s="2"/>
      <c r="U1090" s="2"/>
      <c r="V1090" s="2"/>
    </row>
    <row r="1091" spans="1:23" s="65" customFormat="1" ht="12.75" customHeight="1" x14ac:dyDescent="0.2">
      <c r="A1091" s="22"/>
      <c r="B1091" s="23" t="str">
        <f>IF(A1091="","",VLOOKUP(A1091,'6.A'!$A$11:$G$180,2,FALSE))</f>
        <v/>
      </c>
      <c r="C1091" s="99"/>
      <c r="D1091" s="57" t="str">
        <f>IF(A1091="","",VLOOKUP(A1091,'6.A'!$A$11:$G$180,4,FALSE))</f>
        <v/>
      </c>
      <c r="E1091" s="100" t="str">
        <f>IF(A1091="","",VLOOKUP(A1091,'6.A'!$A$11:$G$180,5,FALSE))</f>
        <v/>
      </c>
      <c r="F1091" s="24" t="str">
        <f t="shared" si="480"/>
        <v>0,00</v>
      </c>
      <c r="G1091" s="52"/>
      <c r="H1091" s="52" t="str">
        <f>IF(A1091="","",VLOOKUP(A1091,'6.A'!$A$11:$E$7984,5,FALSE))</f>
        <v/>
      </c>
      <c r="I1091" s="52" t="str">
        <f t="shared" si="481"/>
        <v/>
      </c>
      <c r="J1091" s="52" t="str">
        <f>IF(H1091="","",VLOOKUP(A1091,'6.A'!$A$11:$E$564,4,FALSE))</f>
        <v/>
      </c>
      <c r="K1091" s="52" t="str">
        <f t="shared" si="482"/>
        <v/>
      </c>
      <c r="L1091" s="52" t="str">
        <f>IF(H1091="","",IF(C1091="","",G1052*C1091))</f>
        <v/>
      </c>
      <c r="M1091" s="117" t="str">
        <f>IF(A1091="","",VLOOKUP(A1091,'6.A'!$A$11:$C$564,2,FALSE))</f>
        <v/>
      </c>
      <c r="N1091" s="57" t="str">
        <f t="shared" si="483"/>
        <v/>
      </c>
      <c r="O1091" s="56"/>
      <c r="P1091" s="56"/>
      <c r="Q1091" s="48"/>
      <c r="R1091" s="48"/>
      <c r="T1091" s="2"/>
      <c r="U1091" s="2"/>
      <c r="V1091" s="2"/>
    </row>
    <row r="1092" spans="1:23" ht="12.75" customHeight="1" x14ac:dyDescent="0.2">
      <c r="A1092" s="22"/>
      <c r="B1092" s="23" t="str">
        <f>IF(A1092="","",VLOOKUP(A1092,'6.A'!$A$11:$G$180,2,FALSE))</f>
        <v/>
      </c>
      <c r="C1092" s="99"/>
      <c r="D1092" s="57" t="str">
        <f>IF(A1092="","",VLOOKUP(A1092,'6.A'!$A$11:$G$180,4,FALSE))</f>
        <v/>
      </c>
      <c r="E1092" s="100" t="str">
        <f>IF(A1092="","",VLOOKUP(A1092,'6.A'!$A$11:$G$180,5,FALSE))</f>
        <v/>
      </c>
      <c r="F1092" s="24" t="str">
        <f t="shared" si="480"/>
        <v>0,00</v>
      </c>
      <c r="G1092" s="52"/>
      <c r="H1092" s="52" t="str">
        <f>IF(A1092="","",VLOOKUP(A1092,'6.A'!$A$11:$E$7984,5,FALSE))</f>
        <v/>
      </c>
      <c r="I1092" s="52" t="str">
        <f t="shared" si="481"/>
        <v/>
      </c>
      <c r="J1092" s="52" t="str">
        <f>IF(H1092="","",VLOOKUP(A1092,'6.A'!$A$11:$E$564,4,FALSE))</f>
        <v/>
      </c>
      <c r="K1092" s="52" t="str">
        <f t="shared" si="482"/>
        <v/>
      </c>
      <c r="L1092" s="52" t="str">
        <f>IF(H1092="","",IF(C1092="","",G1052*C1092))</f>
        <v/>
      </c>
      <c r="M1092" s="117" t="str">
        <f>IF(A1092="","",VLOOKUP(A1092,'6.A'!$A$11:$C$564,2,FALSE))</f>
        <v/>
      </c>
      <c r="N1092" s="57" t="str">
        <f t="shared" si="483"/>
        <v/>
      </c>
      <c r="O1092" s="56"/>
      <c r="P1092" s="56"/>
      <c r="Q1092" s="48"/>
      <c r="R1092" s="48"/>
    </row>
    <row r="1093" spans="1:23" ht="12.75" customHeight="1" x14ac:dyDescent="0.2">
      <c r="A1093" s="22"/>
      <c r="B1093" s="23" t="str">
        <f>IF(A1093="","",VLOOKUP(A1093,'6.A'!$A$11:$G$180,2,FALSE))</f>
        <v/>
      </c>
      <c r="C1093" s="99"/>
      <c r="D1093" s="57" t="str">
        <f>IF(A1093="","",VLOOKUP(A1093,'6.A'!$A$11:$G$180,4,FALSE))</f>
        <v/>
      </c>
      <c r="E1093" s="100" t="str">
        <f>IF(A1093="","",VLOOKUP(A1093,'6.A'!$A$11:$G$180,5,FALSE))</f>
        <v/>
      </c>
      <c r="F1093" s="24" t="str">
        <f t="shared" si="480"/>
        <v>0,00</v>
      </c>
      <c r="G1093" s="52"/>
      <c r="H1093" s="52" t="str">
        <f>IF(A1093="","",VLOOKUP(A1093,'6.A'!$A$11:$E$7984,5,FALSE))</f>
        <v/>
      </c>
      <c r="I1093" s="52" t="str">
        <f t="shared" si="481"/>
        <v/>
      </c>
      <c r="J1093" s="52" t="str">
        <f>IF(H1093="","",VLOOKUP(A1093,'6.A'!$A$11:$E$564,4,FALSE))</f>
        <v/>
      </c>
      <c r="K1093" s="52" t="str">
        <f t="shared" si="482"/>
        <v/>
      </c>
      <c r="L1093" s="52" t="str">
        <f>IF(H1093="","",IF(C1093="","",G1052*C1093))</f>
        <v/>
      </c>
      <c r="M1093" s="117" t="str">
        <f>IF(A1093="","",VLOOKUP(A1093,'6.A'!$A$11:$C$564,2,FALSE))</f>
        <v/>
      </c>
      <c r="N1093" s="57" t="str">
        <f t="shared" si="483"/>
        <v/>
      </c>
      <c r="O1093" s="56"/>
      <c r="P1093" s="56"/>
      <c r="Q1093" s="48"/>
      <c r="R1093" s="48"/>
    </row>
    <row r="1094" spans="1:23" ht="12.75" customHeight="1" x14ac:dyDescent="0.2">
      <c r="A1094" s="22"/>
      <c r="B1094" s="23" t="str">
        <f>IF(A1094="","",VLOOKUP(A1094,'6.A'!$A$11:$G$180,2,FALSE))</f>
        <v/>
      </c>
      <c r="C1094" s="99"/>
      <c r="D1094" s="57" t="str">
        <f>IF(A1094="","",VLOOKUP(A1094,'6.A'!$A$11:$G$180,4,FALSE))</f>
        <v/>
      </c>
      <c r="E1094" s="100" t="str">
        <f>IF(A1094="","",VLOOKUP(A1094,'6.A'!$A$11:$G$180,5,FALSE))</f>
        <v/>
      </c>
      <c r="F1094" s="24" t="str">
        <f t="shared" si="480"/>
        <v>0,00</v>
      </c>
      <c r="G1094" s="52"/>
      <c r="H1094" s="52" t="str">
        <f>IF(A1094="","",VLOOKUP(A1094,'6.A'!$A$11:$E$7984,5,FALSE))</f>
        <v/>
      </c>
      <c r="I1094" s="52" t="str">
        <f t="shared" si="481"/>
        <v/>
      </c>
      <c r="J1094" s="52" t="str">
        <f>IF(H1094="","",VLOOKUP(A1094,'6.A'!$A$11:$E$564,4,FALSE))</f>
        <v/>
      </c>
      <c r="K1094" s="52" t="str">
        <f t="shared" si="482"/>
        <v/>
      </c>
      <c r="L1094" s="52" t="str">
        <f>IF(H1094="","",IF(C1094="","",G1052*C1094))</f>
        <v/>
      </c>
      <c r="M1094" s="117" t="str">
        <f>IF(A1094="","",VLOOKUP(A1094,'6.A'!$A$11:$C$564,2,FALSE))</f>
        <v/>
      </c>
      <c r="N1094" s="57" t="str">
        <f t="shared" si="483"/>
        <v/>
      </c>
      <c r="O1094" s="56"/>
      <c r="P1094" s="56"/>
      <c r="Q1094" s="48"/>
      <c r="R1094" s="48"/>
    </row>
    <row r="1095" spans="1:23" ht="12.75" customHeight="1" x14ac:dyDescent="0.2">
      <c r="A1095" s="22"/>
      <c r="B1095" s="23" t="str">
        <f>IF(A1095="","",VLOOKUP(A1095,'6.A'!$A$11:$G$180,2,FALSE))</f>
        <v/>
      </c>
      <c r="C1095" s="99"/>
      <c r="D1095" s="57" t="str">
        <f>IF(A1095="","",VLOOKUP(A1095,'6.A'!$A$11:$G$180,4,FALSE))</f>
        <v/>
      </c>
      <c r="E1095" s="100" t="str">
        <f>IF(A1095="","",VLOOKUP(A1095,'6.A'!$A$11:$G$180,5,FALSE))</f>
        <v/>
      </c>
      <c r="F1095" s="24" t="str">
        <f t="shared" si="480"/>
        <v>0,00</v>
      </c>
      <c r="G1095" s="52"/>
      <c r="H1095" s="52" t="str">
        <f>IF(A1095="","",VLOOKUP(A1095,'6.A'!$A$11:$E$7984,5,FALSE))</f>
        <v/>
      </c>
      <c r="I1095" s="52" t="str">
        <f t="shared" si="481"/>
        <v/>
      </c>
      <c r="J1095" s="52" t="str">
        <f>IF(H1095="","",VLOOKUP(A1095,'6.A'!$A$11:$E$564,4,FALSE))</f>
        <v/>
      </c>
      <c r="K1095" s="52" t="str">
        <f t="shared" si="482"/>
        <v/>
      </c>
      <c r="L1095" s="52" t="str">
        <f>IF(H1095="","",IF(C1095="","",G1052*C1095))</f>
        <v/>
      </c>
      <c r="M1095" s="117" t="str">
        <f>IF(A1095="","",VLOOKUP(A1095,'6.A'!$A$11:$C$564,2,FALSE))</f>
        <v/>
      </c>
      <c r="N1095" s="57" t="str">
        <f t="shared" si="483"/>
        <v/>
      </c>
      <c r="O1095" s="56"/>
      <c r="P1095" s="56"/>
      <c r="Q1095" s="48"/>
      <c r="R1095" s="48"/>
    </row>
    <row r="1096" spans="1:23" ht="12.75" customHeight="1" x14ac:dyDescent="0.2">
      <c r="A1096" s="22"/>
      <c r="B1096" s="23" t="str">
        <f>IF(A1096="","",VLOOKUP(A1096,'6.A'!$A$11:$G$180,2,FALSE))</f>
        <v/>
      </c>
      <c r="C1096" s="99"/>
      <c r="D1096" s="57" t="str">
        <f>IF(A1096="","",VLOOKUP(A1096,'6.A'!$A$11:$G$180,4,FALSE))</f>
        <v/>
      </c>
      <c r="E1096" s="100" t="str">
        <f>IF(A1096="","",VLOOKUP(A1096,'6.A'!$A$11:$G$180,5,FALSE))</f>
        <v/>
      </c>
      <c r="F1096" s="24" t="str">
        <f t="shared" si="480"/>
        <v>0,00</v>
      </c>
      <c r="G1096" s="52"/>
      <c r="H1096" s="52" t="str">
        <f>IF(A1096="","",VLOOKUP(A1096,'6.A'!$A$11:$E$7984,5,FALSE))</f>
        <v/>
      </c>
      <c r="I1096" s="52" t="str">
        <f t="shared" si="481"/>
        <v/>
      </c>
      <c r="J1096" s="52" t="str">
        <f>IF(H1096="","",VLOOKUP(A1096,'6.A'!$A$11:$E$564,4,FALSE))</f>
        <v/>
      </c>
      <c r="K1096" s="52" t="str">
        <f t="shared" si="482"/>
        <v/>
      </c>
      <c r="L1096" s="52" t="str">
        <f>IF(H1096="","",IF(C1096="","",G1052*C1096))</f>
        <v/>
      </c>
      <c r="M1096" s="117" t="str">
        <f>IF(A1096="","",VLOOKUP(A1096,'6.A'!$A$11:$C$564,2,FALSE))</f>
        <v/>
      </c>
      <c r="N1096" s="57" t="str">
        <f t="shared" si="483"/>
        <v/>
      </c>
      <c r="O1096" s="56"/>
      <c r="P1096" s="56"/>
      <c r="Q1096" s="48"/>
      <c r="R1096" s="48"/>
    </row>
    <row r="1097" spans="1:23" ht="12.75" customHeight="1" x14ac:dyDescent="0.2">
      <c r="A1097" s="22"/>
      <c r="B1097" s="23" t="str">
        <f>IF(A1097="","",VLOOKUP(A1097,'6.A'!$A$11:$G$180,2,FALSE))</f>
        <v/>
      </c>
      <c r="C1097" s="99"/>
      <c r="D1097" s="57" t="str">
        <f>IF(A1097="","",VLOOKUP(A1097,'6.A'!$A$11:$G$180,4,FALSE))</f>
        <v/>
      </c>
      <c r="E1097" s="100" t="str">
        <f>IF(A1097="","",VLOOKUP(A1097,'6.A'!$A$11:$G$180,5,FALSE))</f>
        <v/>
      </c>
      <c r="F1097" s="24" t="str">
        <f t="shared" si="480"/>
        <v>0,00</v>
      </c>
      <c r="G1097" s="52"/>
      <c r="H1097" s="52" t="str">
        <f>IF(A1097="","",VLOOKUP(A1097,'6.A'!$A$11:$E$7984,5,FALSE))</f>
        <v/>
      </c>
      <c r="I1097" s="52" t="str">
        <f t="shared" si="481"/>
        <v/>
      </c>
      <c r="J1097" s="52" t="str">
        <f>IF(H1097="","",VLOOKUP(A1097,'6.A'!$A$11:$E$564,4,FALSE))</f>
        <v/>
      </c>
      <c r="K1097" s="52" t="str">
        <f t="shared" si="482"/>
        <v/>
      </c>
      <c r="L1097" s="52" t="str">
        <f>IF(H1097="","",IF(C1097="","",G1052*C1097))</f>
        <v/>
      </c>
      <c r="M1097" s="117" t="str">
        <f>IF(A1097="","",VLOOKUP(A1097,'6.A'!$A$11:$C$564,2,FALSE))</f>
        <v/>
      </c>
      <c r="N1097" s="57" t="str">
        <f t="shared" si="483"/>
        <v/>
      </c>
      <c r="O1097" s="56"/>
      <c r="P1097" s="56"/>
      <c r="Q1097" s="48"/>
      <c r="R1097" s="48"/>
    </row>
    <row r="1098" spans="1:23" ht="12.75" customHeight="1" x14ac:dyDescent="0.2">
      <c r="A1098" s="22"/>
      <c r="B1098" s="39" t="str">
        <f>IF(A1098="","",VLOOKUP(A1098,'6.A'!$A$11:$G$180,2,FALSE))</f>
        <v/>
      </c>
      <c r="C1098" s="99"/>
      <c r="D1098" s="57" t="str">
        <f>IF(A1098="","",VLOOKUP(A1098,'6.A'!$A$11:$G$180,4,FALSE))</f>
        <v/>
      </c>
      <c r="E1098" s="100" t="str">
        <f>IF(A1098="","",VLOOKUP(A1098,'6.A'!$A$11:$G$180,5,FALSE))</f>
        <v/>
      </c>
      <c r="F1098" s="24" t="str">
        <f t="shared" si="480"/>
        <v>0,00</v>
      </c>
      <c r="G1098" s="52"/>
      <c r="H1098" s="52" t="str">
        <f>IF(A1098="","",VLOOKUP(A1098,'6.A'!$A$11:$E$7984,5,FALSE))</f>
        <v/>
      </c>
      <c r="I1098" s="52" t="str">
        <f t="shared" si="481"/>
        <v/>
      </c>
      <c r="J1098" s="52" t="str">
        <f>IF(H1098="","",VLOOKUP(A1098,'6.A'!$A$11:$E$564,4,FALSE))</f>
        <v/>
      </c>
      <c r="K1098" s="52" t="str">
        <f t="shared" si="482"/>
        <v/>
      </c>
      <c r="L1098" s="52" t="str">
        <f>IF(H1098="","",IF(C1098="","",G1052*C1098))</f>
        <v/>
      </c>
      <c r="M1098" s="117" t="str">
        <f>IF(A1098="","",VLOOKUP(A1098,'6.A'!$A$11:$C$564,2,FALSE))</f>
        <v/>
      </c>
      <c r="N1098" s="57" t="str">
        <f t="shared" si="483"/>
        <v/>
      </c>
      <c r="O1098" s="56"/>
      <c r="P1098" s="56"/>
      <c r="Q1098" s="48"/>
      <c r="R1098" s="48"/>
    </row>
    <row r="1099" spans="1:23" ht="12.75" customHeight="1" x14ac:dyDescent="0.2">
      <c r="A1099" s="22"/>
      <c r="B1099" s="39" t="str">
        <f>IF(A1099="","",VLOOKUP(A1099,'6.A'!$A$11:$G$180,2,FALSE))</f>
        <v/>
      </c>
      <c r="C1099" s="99"/>
      <c r="D1099" s="57" t="str">
        <f>IF(A1099="","",VLOOKUP(A1099,'6.A'!$A$11:$G$180,4,FALSE))</f>
        <v/>
      </c>
      <c r="E1099" s="100" t="str">
        <f>IF(A1099="","",VLOOKUP(A1099,'6.A'!$A$11:$G$180,5,FALSE))</f>
        <v/>
      </c>
      <c r="F1099" s="24" t="str">
        <f t="shared" si="480"/>
        <v>0,00</v>
      </c>
      <c r="G1099" s="52"/>
      <c r="H1099" s="52" t="str">
        <f>IF(A1099="","",VLOOKUP(A1099,'6.A'!$A$11:$E$7984,5,FALSE))</f>
        <v/>
      </c>
      <c r="I1099" s="52" t="str">
        <f t="shared" si="481"/>
        <v/>
      </c>
      <c r="J1099" s="52" t="str">
        <f>IF(H1099="","",VLOOKUP(A1099,'6.A'!$A$11:$E$564,4,FALSE))</f>
        <v/>
      </c>
      <c r="K1099" s="52" t="str">
        <f t="shared" si="482"/>
        <v/>
      </c>
      <c r="L1099" s="52" t="str">
        <f>IF(H1099="","",IF(C1099="","",G1052*C1099))</f>
        <v/>
      </c>
      <c r="M1099" s="117" t="str">
        <f>IF(A1099="","",VLOOKUP(A1099,'6.A'!$A$11:$C$564,2,FALSE))</f>
        <v/>
      </c>
      <c r="N1099" s="57" t="str">
        <f t="shared" si="483"/>
        <v/>
      </c>
      <c r="O1099" s="56"/>
      <c r="P1099" s="56"/>
      <c r="Q1099" s="48"/>
      <c r="R1099" s="48"/>
    </row>
    <row r="1100" spans="1:23" ht="12.75" customHeight="1" x14ac:dyDescent="0.2">
      <c r="A1100" s="22"/>
      <c r="B1100" s="39" t="str">
        <f>IF(A1100="","",VLOOKUP(A1100,'6.A'!$A$11:$G$180,2,FALSE))</f>
        <v/>
      </c>
      <c r="C1100" s="99"/>
      <c r="D1100" s="57" t="str">
        <f>IF(A1100="","",VLOOKUP(A1100,'6.A'!$A$11:$G$180,4,FALSE))</f>
        <v/>
      </c>
      <c r="E1100" s="100" t="str">
        <f>IF(A1100="","",VLOOKUP(A1100,'6.A'!$A$11:$G$180,5,FALSE))</f>
        <v/>
      </c>
      <c r="F1100" s="24" t="str">
        <f t="shared" si="480"/>
        <v>0,00</v>
      </c>
      <c r="G1100" s="52"/>
      <c r="H1100" s="52" t="str">
        <f>IF(A1100="","",VLOOKUP(A1100,'6.A'!$A$11:$E$7984,5,FALSE))</f>
        <v/>
      </c>
      <c r="I1100" s="52" t="str">
        <f t="shared" si="481"/>
        <v/>
      </c>
      <c r="J1100" s="52" t="str">
        <f>IF(H1100="","",VLOOKUP(A1100,'6.A'!$A$11:$E$564,4,FALSE))</f>
        <v/>
      </c>
      <c r="K1100" s="52" t="str">
        <f t="shared" si="482"/>
        <v/>
      </c>
      <c r="L1100" s="52" t="str">
        <f>IF(H1100="","",IF(C1100="","",G1052*C1100))</f>
        <v/>
      </c>
      <c r="M1100" s="117" t="str">
        <f>IF(A1100="","",VLOOKUP(A1100,'6.A'!$A$11:$C$564,2,FALSE))</f>
        <v/>
      </c>
      <c r="N1100" s="57" t="str">
        <f t="shared" si="483"/>
        <v/>
      </c>
      <c r="O1100" s="56"/>
      <c r="P1100" s="56"/>
      <c r="Q1100" s="48"/>
      <c r="R1100" s="48"/>
    </row>
    <row r="1101" spans="1:23" ht="12.75" customHeight="1" x14ac:dyDescent="0.2">
      <c r="A1101" s="22"/>
      <c r="B1101" s="26" t="str">
        <f>$A$9</f>
        <v>BDI</v>
      </c>
      <c r="C1101" s="40">
        <f>$C$9</f>
        <v>0</v>
      </c>
      <c r="D1101" s="57"/>
      <c r="F1101" s="28">
        <f>ROUND(SUM(F1081:F1100)*C1101,2)</f>
        <v>0</v>
      </c>
      <c r="G1101" s="63"/>
      <c r="M1101" s="57"/>
      <c r="N1101" s="57"/>
      <c r="O1101" s="56"/>
      <c r="P1101" s="56"/>
      <c r="Q1101" s="48"/>
      <c r="R1101" s="48"/>
    </row>
    <row r="1102" spans="1:23" ht="12.75" customHeight="1" thickBot="1" x14ac:dyDescent="0.25">
      <c r="A1102" s="41"/>
      <c r="B1102" s="42" t="s">
        <v>57</v>
      </c>
      <c r="C1102" s="43"/>
      <c r="D1102" s="44"/>
      <c r="E1102" s="45"/>
      <c r="F1102" s="46">
        <f>ROUND(SUM(F1081:F1101),2)</f>
        <v>0</v>
      </c>
      <c r="G1102" s="63"/>
      <c r="M1102" s="57"/>
      <c r="N1102" s="57"/>
      <c r="O1102" s="56"/>
      <c r="P1102" s="56"/>
      <c r="Q1102" s="48"/>
      <c r="R1102" s="48"/>
    </row>
    <row r="1103" spans="1:23" ht="12" customHeight="1" thickBot="1" x14ac:dyDescent="0.25">
      <c r="A1103" s="8"/>
      <c r="B1103" s="9"/>
      <c r="C1103" s="10"/>
      <c r="D1103" s="57"/>
      <c r="F1103" s="12"/>
      <c r="M1103" s="57"/>
      <c r="N1103" s="57"/>
      <c r="O1103" s="56"/>
      <c r="P1103" s="56"/>
    </row>
    <row r="1104" spans="1:23" ht="50.1" customHeight="1" x14ac:dyDescent="0.2">
      <c r="A1104" s="13" t="str">
        <f>'3.A'!$A$40</f>
        <v>3.1.10</v>
      </c>
      <c r="B1104" s="14" t="str">
        <f>IF(A1104="","",VLOOKUP(A1104,'3.A'!$A$17:$M$279,2,FALSE))</f>
        <v>CONCRETAGEM COMO PROTEÇÃO MECÂNICA NO REATERRO PARA REDE ENTERRADA DE DISTRIBUIÇÃO DE ENERGIA ELÉTRICA</v>
      </c>
      <c r="C1104" s="413" t="s">
        <v>62</v>
      </c>
      <c r="D1104" s="413"/>
      <c r="E1104" s="15" t="str">
        <f>IF(A1104="","",VLOOKUP(A1104,'3.A'!$A$17:$M$279,3,FALSE))</f>
        <v>M3</v>
      </c>
      <c r="F1104" s="16">
        <f>ROUND(F1118+F1131+F1154,2)</f>
        <v>0</v>
      </c>
      <c r="G1104" s="118">
        <f>VLOOKUP(A1104,'3.A'!$A$19:$I$279,4,FALSE)</f>
        <v>3</v>
      </c>
      <c r="H1104" s="47">
        <f>SUM(F1106:F1117)</f>
        <v>0</v>
      </c>
      <c r="I1104" s="47">
        <f>SUM(F1120:F1130)</f>
        <v>0</v>
      </c>
      <c r="J1104" s="47">
        <f>SUM(F1133:F1153)</f>
        <v>0</v>
      </c>
      <c r="K1104" s="47">
        <f>SUM(H1104:J1104)</f>
        <v>0</v>
      </c>
      <c r="L1104" s="47" t="str">
        <f>IF(K1104=F1104,"SIM","NÃO")</f>
        <v>SIM</v>
      </c>
      <c r="M1104" s="58">
        <f>ROUND(SUM(F1106:F1115)*C1116,2)+ROUND(SUM(F1106:F1116)*C1117,2)+ROUND(SUM(F1106:F1115),2)+ROUND(SUM(F1120:F1129)*C1130,2)+ROUND(SUM(F1120:F1129),2)+ROUND(SUM(F1133:F1152)*C1153,2)+ROUND(SUM(F1133:F1152),2)</f>
        <v>0</v>
      </c>
      <c r="N1104" s="50" t="str">
        <f>IF(M1104=F1104,"SIM","NÃO")</f>
        <v>SIM</v>
      </c>
      <c r="O1104" s="51" t="str">
        <f>VLOOKUP(A1104,'3.A'!$A$8:$E$279,3,FALSE)</f>
        <v>M3</v>
      </c>
      <c r="P1104" s="51" t="str">
        <f>IF(O1104=E1104,"SIM","NÃO")</f>
        <v>SIM</v>
      </c>
      <c r="Q1104" s="53">
        <f>ROUND(G1104*F1118,2)+ROUND(G1104*F1131,2)+ROUND(G1104*F1154,2)</f>
        <v>0</v>
      </c>
      <c r="R1104" s="59">
        <f>VLOOKUP(A1104,'3.A'!$A$17:$L$279,12,FALSE)</f>
        <v>0</v>
      </c>
      <c r="S1104" s="60" t="str">
        <f>IF(Q1104=R1104,"si","no")</f>
        <v>si</v>
      </c>
      <c r="T1104" s="61">
        <f>SUM(L1106:L1115)+SUM(L1120:L1129)+SUM(L1133:L1152)</f>
        <v>681.34590000000003</v>
      </c>
      <c r="U1104" s="52">
        <f>G1104*C1112+G1104*C1114+G1104*C1107+G1104*C1108+G1104*C1110+G1104*C1113+G1104*C1111+G1104*C1106+G1104*C1109+G1104*C1115+G1104*C1126+G1104*C1120+G1104*C1128+G1104*C1127+G1104*C1125+G1104*C1122+G1104*C1121+G1104*C1123+G1104*C1129+G1104*C1124+G1104*C1133+G1104*C1134+G1104*C1135+G1104*C1143+G1104*C1144+G1104*C1145+G1104*C1146+G1104*C1147+G1104*C1148+G1104*C1149+G1104*C1150+G1104*C1151+G1104*C1152+G1104*C1141+G1104*C1142+G1104*C1136+G1104*C1137+G1104*C1138+G1104*C1139+G1104*C1140</f>
        <v>681.34590000000003</v>
      </c>
      <c r="V1104" s="54" t="str">
        <f>IF(T1104=U1104,"si","no")</f>
        <v>si</v>
      </c>
      <c r="W1104" s="137"/>
    </row>
    <row r="1105" spans="1:19" ht="12.75" customHeight="1" x14ac:dyDescent="0.2">
      <c r="A1105" s="17" t="s">
        <v>3</v>
      </c>
      <c r="B1105" s="18" t="s">
        <v>58</v>
      </c>
      <c r="C1105" s="56" t="s">
        <v>59</v>
      </c>
      <c r="D1105" s="56" t="s">
        <v>16</v>
      </c>
      <c r="E1105" s="19" t="s">
        <v>60</v>
      </c>
      <c r="F1105" s="20" t="s">
        <v>61</v>
      </c>
      <c r="G1105" s="21"/>
      <c r="M1105" s="57"/>
      <c r="N1105" s="57"/>
      <c r="O1105" s="56"/>
      <c r="P1105" s="56"/>
      <c r="Q1105" s="48"/>
      <c r="R1105" s="48"/>
    </row>
    <row r="1106" spans="1:19" ht="12.75" customHeight="1" x14ac:dyDescent="0.2">
      <c r="A1106" s="22">
        <f>'6.A'!$A$15</f>
        <v>88247</v>
      </c>
      <c r="B1106" s="23" t="str">
        <f>IF(A1106="","",VLOOKUP(A1106,'6.A'!$A$11:$G$180,2,FALSE))</f>
        <v>AUXILIAR DE ELETRICISTA COM ENCARGOS COMPLEMENTARES</v>
      </c>
      <c r="C1106" s="99">
        <v>3.7393999999999998</v>
      </c>
      <c r="D1106" s="57" t="str">
        <f>IF(A1106="","",VLOOKUP(A1106,'6.A'!$A$11:$G$180,4,FALSE))</f>
        <v>H</v>
      </c>
      <c r="E1106" s="100">
        <f>IF(A1106="","",VLOOKUP(A1106,'6.A'!$A$11:$G$180,5,FALSE))</f>
        <v>0</v>
      </c>
      <c r="F1106" s="24">
        <f t="shared" ref="F1106:F1115" si="484">IF(A1106="","0,00",ROUND(C1106*E1106,2))</f>
        <v>0</v>
      </c>
      <c r="G1106" s="52"/>
      <c r="H1106" s="52">
        <f>IF(A1106="","",VLOOKUP(A1106,'6.A'!$A$11:$E$7984,5,FALSE))</f>
        <v>0</v>
      </c>
      <c r="I1106" s="52" t="str">
        <f>IF(H1106="","",IF(E1106=H1106,"SIM","NÃO"))</f>
        <v>SIM</v>
      </c>
      <c r="J1106" s="52" t="str">
        <f>IF(H1106="","",VLOOKUP(A1106,'6.A'!$A$11:$E$564,4,FALSE))</f>
        <v>H</v>
      </c>
      <c r="K1106" s="52" t="str">
        <f>IF(H1106="","",IF(J1106=D1106,"SIM","NÃO"))</f>
        <v>SIM</v>
      </c>
      <c r="L1106" s="52">
        <f>IF(H1106="","",IF(C1106="","",G1104*C1106))</f>
        <v>11.2182</v>
      </c>
      <c r="M1106" s="117" t="str">
        <f>IF(A1106="","",VLOOKUP(A1106,'6.A'!$A$11:$C$564,2,FALSE))</f>
        <v>AUXILIAR DE ELETRICISTA COM ENCARGOS COMPLEMENTARES</v>
      </c>
      <c r="N1106" s="57" t="str">
        <f>IF(A1106="","",IF(M1106=B1106,"si","no"))</f>
        <v>si</v>
      </c>
      <c r="O1106" s="56"/>
      <c r="P1106" s="56"/>
      <c r="Q1106" s="48"/>
      <c r="R1106" s="48"/>
    </row>
    <row r="1107" spans="1:19" ht="12.75" customHeight="1" x14ac:dyDescent="0.2">
      <c r="A1107" s="22">
        <f>'6.A'!$A$18</f>
        <v>88264</v>
      </c>
      <c r="B1107" s="23" t="str">
        <f>IF(A1107="","",VLOOKUP(A1107,'6.A'!$A$11:$G$180,2,FALSE))</f>
        <v>ELETRICISTA COM ENCARGOS COMPLEMENTARES</v>
      </c>
      <c r="C1107" s="99">
        <v>3.7393999999999998</v>
      </c>
      <c r="D1107" s="57" t="str">
        <f>IF(A1107="","",VLOOKUP(A1107,'6.A'!$A$11:$G$180,4,FALSE))</f>
        <v>H</v>
      </c>
      <c r="E1107" s="100">
        <f>IF(A1107="","",VLOOKUP(A1107,'6.A'!$A$11:$G$180,5,FALSE))</f>
        <v>0</v>
      </c>
      <c r="F1107" s="24">
        <f t="shared" si="484"/>
        <v>0</v>
      </c>
      <c r="G1107" s="52"/>
      <c r="H1107" s="52">
        <f>IF(A1107="","",VLOOKUP(A1107,'6.A'!$A$11:$E$7984,5,FALSE))</f>
        <v>0</v>
      </c>
      <c r="I1107" s="52" t="str">
        <f>IF(H1107="","",IF(E1107=H1107,"SIM","NÃO"))</f>
        <v>SIM</v>
      </c>
      <c r="J1107" s="52" t="str">
        <f>IF(H1107="","",VLOOKUP(A1107,'6.A'!$A$11:$E$564,4,FALSE))</f>
        <v>H</v>
      </c>
      <c r="K1107" s="52" t="str">
        <f>IF(H1107="","",IF(J1107=D1107,"SIM","NÃO"))</f>
        <v>SIM</v>
      </c>
      <c r="L1107" s="52">
        <f>IF(H1107="","",IF(C1107="","",G1104*C1107))</f>
        <v>11.2182</v>
      </c>
      <c r="M1107" s="117" t="str">
        <f>IF(A1107="","",VLOOKUP(A1107,'6.A'!$A$11:$C$564,2,FALSE))</f>
        <v>ELETRICISTA COM ENCARGOS COMPLEMENTARES</v>
      </c>
      <c r="N1107" s="57" t="str">
        <f>IF(A1107="","",IF(M1107=B1107,"si","no"))</f>
        <v>si</v>
      </c>
      <c r="O1107" s="56"/>
      <c r="P1107" s="56"/>
      <c r="Q1107" s="48"/>
      <c r="R1107" s="48"/>
    </row>
    <row r="1108" spans="1:19" ht="12.75" customHeight="1" x14ac:dyDescent="0.2">
      <c r="A1108" s="22">
        <f>'6.A'!$A$22</f>
        <v>88316</v>
      </c>
      <c r="B1108" s="23" t="str">
        <f>IF(A1108="","",VLOOKUP(A1108,'6.A'!$A$11:$G$180,2,FALSE))</f>
        <v>SERVENTE COM ENCARGOS COMPLEMENTARES</v>
      </c>
      <c r="C1108" s="99">
        <v>2.1057999999999999</v>
      </c>
      <c r="D1108" s="57" t="str">
        <f>IF(A1108="","",VLOOKUP(A1108,'6.A'!$A$11:$G$180,4,FALSE))</f>
        <v>H</v>
      </c>
      <c r="E1108" s="100">
        <f>IF(A1108="","",VLOOKUP(A1108,'6.A'!$A$11:$G$180,5,FALSE))</f>
        <v>0</v>
      </c>
      <c r="F1108" s="24">
        <f t="shared" si="484"/>
        <v>0</v>
      </c>
      <c r="G1108" s="52"/>
      <c r="H1108" s="52">
        <f>IF(A1108="","",VLOOKUP(A1108,'6.A'!$A$11:$E$7984,5,FALSE))</f>
        <v>0</v>
      </c>
      <c r="I1108" s="52" t="str">
        <f>IF(H1108="","",IF(E1108=H1108,"SIM","NÃO"))</f>
        <v>SIM</v>
      </c>
      <c r="J1108" s="52" t="str">
        <f>IF(H1108="","",VLOOKUP(A1108,'6.A'!$A$11:$E$564,4,FALSE))</f>
        <v>H</v>
      </c>
      <c r="K1108" s="52" t="str">
        <f t="shared" ref="K1108" si="485">IF(H1108="","",IF(J1108=D1108,"SIM","NÃO"))</f>
        <v>SIM</v>
      </c>
      <c r="L1108" s="52">
        <f>IF(H1108="","",IF(C1108="","",G1104*C1108))</f>
        <v>6.3173999999999992</v>
      </c>
      <c r="M1108" s="117" t="str">
        <f>IF(A1108="","",VLOOKUP(A1108,'6.A'!$A$11:$C$564,2,FALSE))</f>
        <v>SERVENTE COM ENCARGOS COMPLEMENTARES</v>
      </c>
      <c r="N1108" s="57" t="str">
        <f t="shared" ref="N1108" si="486">IF(A1108="","",IF(M1108=B1108,"si","no"))</f>
        <v>si</v>
      </c>
      <c r="O1108" s="56"/>
      <c r="P1108" s="56"/>
      <c r="Q1108" s="48"/>
      <c r="R1108" s="48"/>
      <c r="S1108" s="2"/>
    </row>
    <row r="1109" spans="1:19" ht="12.75" customHeight="1" x14ac:dyDescent="0.2">
      <c r="A1109" s="22">
        <f>'6.A'!$A$23</f>
        <v>88377</v>
      </c>
      <c r="B1109" s="23" t="str">
        <f>IF(A1109="","",VLOOKUP(A1109,'6.A'!$A$11:$G$180,2,FALSE))</f>
        <v>OPERADOR DE BETONEIRA ESTACIONÁRIA/MISTURADOR COM ENCARGOS COMPLEMENTARES</v>
      </c>
      <c r="C1109" s="99">
        <v>1.3314999999999999</v>
      </c>
      <c r="D1109" s="57" t="str">
        <f>IF(A1109="","",VLOOKUP(A1109,'6.A'!$A$11:$G$180,4,FALSE))</f>
        <v>H</v>
      </c>
      <c r="E1109" s="100">
        <f>IF(A1109="","",VLOOKUP(A1109,'6.A'!$A$11:$G$180,5,FALSE))</f>
        <v>0</v>
      </c>
      <c r="F1109" s="24">
        <f t="shared" si="484"/>
        <v>0</v>
      </c>
      <c r="G1109" s="52"/>
      <c r="H1109" s="52">
        <f>IF(A1109="","",VLOOKUP(A1109,'6.A'!$A$11:$E$7984,5,FALSE))</f>
        <v>0</v>
      </c>
      <c r="I1109" s="52" t="str">
        <f>IF(H1109="","",IF(E1109=H1109,"SIM","NÃO"))</f>
        <v>SIM</v>
      </c>
      <c r="J1109" s="52" t="str">
        <f>IF(H1109="","",VLOOKUP(A1109,'6.A'!$A$11:$E$564,4,FALSE))</f>
        <v>H</v>
      </c>
      <c r="K1109" s="52" t="str">
        <f>IF(H1109="","",IF(J1109=D1109,"SIM","NÃO"))</f>
        <v>SIM</v>
      </c>
      <c r="L1109" s="52">
        <f>IF(H1109="","",IF(C1109="","",G1104*C1109))</f>
        <v>3.9944999999999995</v>
      </c>
      <c r="M1109" s="117" t="str">
        <f>IF(A1109="","",VLOOKUP(A1109,'6.A'!$A$11:$C$564,2,FALSE))</f>
        <v>OPERADOR DE BETONEIRA ESTACIONÁRIA/MISTURADOR COM ENCARGOS COMPLEMENTARES</v>
      </c>
      <c r="N1109" s="57" t="str">
        <f>IF(A1109="","",IF(M1109=B1109,"si","no"))</f>
        <v>si</v>
      </c>
      <c r="O1109" s="56"/>
      <c r="P1109" s="56"/>
      <c r="Q1109" s="48"/>
      <c r="R1109" s="48"/>
      <c r="S1109" s="2"/>
    </row>
    <row r="1110" spans="1:19" ht="12.75" customHeight="1" x14ac:dyDescent="0.2">
      <c r="A1110" s="22"/>
      <c r="B1110" s="23" t="str">
        <f>IF(A1110="","",VLOOKUP(A1110,'6.A'!$A$11:$G$180,2,FALSE))</f>
        <v/>
      </c>
      <c r="C1110" s="99"/>
      <c r="D1110" s="57" t="str">
        <f>IF(A1110="","",VLOOKUP(A1110,'6.A'!$A$11:$G$180,4,FALSE))</f>
        <v/>
      </c>
      <c r="E1110" s="101" t="str">
        <f>IF(A1110="","",VLOOKUP(A1110,'6.A'!$A$11:$G$180,5,FALSE))</f>
        <v/>
      </c>
      <c r="F1110" s="24" t="str">
        <f t="shared" si="484"/>
        <v>0,00</v>
      </c>
      <c r="G1110" s="52"/>
      <c r="H1110" s="52" t="str">
        <f>IF(A1110="","",VLOOKUP(A1110,'6.A'!$A$11:$E$7984,5,FALSE))</f>
        <v/>
      </c>
      <c r="I1110" s="52" t="str">
        <f t="shared" ref="I1110" si="487">IF(H1110="","",IF(E1110=H1110,"SIM","NÃO"))</f>
        <v/>
      </c>
      <c r="J1110" s="52" t="str">
        <f>IF(H1110="","",VLOOKUP(A1110,'6.A'!$A$11:$E$564,4,FALSE))</f>
        <v/>
      </c>
      <c r="K1110" s="52" t="str">
        <f t="shared" ref="K1110" si="488">IF(H1110="","",IF(J1110=D1110,"SIM","NÃO"))</f>
        <v/>
      </c>
      <c r="L1110" s="52" t="str">
        <f>IF(H1110="","",IF(C1110="","",G1104*C1110))</f>
        <v/>
      </c>
      <c r="M1110" s="117" t="str">
        <f>IF(A1110="","",VLOOKUP(A1110,'6.A'!$A$11:$C$564,2,FALSE))</f>
        <v/>
      </c>
      <c r="N1110" s="57" t="str">
        <f t="shared" ref="N1110" si="489">IF(A1110="","",IF(M1110=B1110,"si","no"))</f>
        <v/>
      </c>
      <c r="O1110" s="56"/>
      <c r="P1110" s="56"/>
      <c r="Q1110" s="48"/>
      <c r="R1110" s="48"/>
      <c r="S1110" s="2"/>
    </row>
    <row r="1111" spans="1:19" ht="12.75" customHeight="1" x14ac:dyDescent="0.2">
      <c r="A1111" s="22"/>
      <c r="B1111" s="23" t="str">
        <f>IF(A1111="","",VLOOKUP(A1111,'6.A'!$A$11:$G$180,2,FALSE))</f>
        <v/>
      </c>
      <c r="C1111" s="99"/>
      <c r="D1111" s="57" t="str">
        <f>IF(A1111="","",VLOOKUP(A1111,'6.A'!$A$11:$G$180,4,FALSE))</f>
        <v/>
      </c>
      <c r="E1111" s="101" t="str">
        <f>IF(A1111="","",VLOOKUP(A1111,'6.A'!$A$11:$G$180,5,FALSE))</f>
        <v/>
      </c>
      <c r="F1111" s="24" t="str">
        <f t="shared" si="484"/>
        <v>0,00</v>
      </c>
      <c r="G1111" s="52"/>
      <c r="H1111" s="52" t="str">
        <f>IF(A1111="","",VLOOKUP(A1111,'6.A'!$A$11:$E$7984,5,FALSE))</f>
        <v/>
      </c>
      <c r="I1111" s="52" t="str">
        <f>IF(H1111="","",IF(E1111=H1111,"SIM","NÃO"))</f>
        <v/>
      </c>
      <c r="J1111" s="52" t="str">
        <f>IF(H1111="","",VLOOKUP(A1111,'6.A'!$A$11:$E$564,4,FALSE))</f>
        <v/>
      </c>
      <c r="K1111" s="52" t="str">
        <f>IF(H1111="","",IF(J1111=D1111,"SIM","NÃO"))</f>
        <v/>
      </c>
      <c r="L1111" s="52" t="str">
        <f>IF(H1111="","",IF(C1111="","",G1104*C1111))</f>
        <v/>
      </c>
      <c r="M1111" s="117" t="str">
        <f>IF(A1111="","",VLOOKUP(A1111,'6.A'!$A$11:$C$564,2,FALSE))</f>
        <v/>
      </c>
      <c r="N1111" s="57" t="str">
        <f>IF(A1111="","",IF(M1111=B1111,"si","no"))</f>
        <v/>
      </c>
      <c r="O1111" s="56"/>
      <c r="P1111" s="56"/>
      <c r="Q1111" s="48"/>
      <c r="R1111" s="48"/>
      <c r="S1111" s="2"/>
    </row>
    <row r="1112" spans="1:19" ht="12.75" customHeight="1" x14ac:dyDescent="0.2">
      <c r="A1112" s="22"/>
      <c r="B1112" s="23" t="str">
        <f>IF(A1112="","",VLOOKUP(A1112,'6.A'!$A$11:$G$180,2,FALSE))</f>
        <v/>
      </c>
      <c r="C1112" s="99"/>
      <c r="D1112" s="57" t="str">
        <f>IF(A1112="","",VLOOKUP(A1112,'6.A'!$A$11:$G$180,4,FALSE))</f>
        <v/>
      </c>
      <c r="E1112" s="100" t="str">
        <f>IF(A1112="","",VLOOKUP(A1112,'6.A'!$A$11:$G$180,5,FALSE))</f>
        <v/>
      </c>
      <c r="F1112" s="24" t="str">
        <f t="shared" si="484"/>
        <v>0,00</v>
      </c>
      <c r="G1112" s="52"/>
      <c r="H1112" s="52" t="str">
        <f>IF(A1112="","",VLOOKUP(A1112,'6.A'!$A$11:$E$7984,5,FALSE))</f>
        <v/>
      </c>
      <c r="I1112" s="52" t="str">
        <f>IF(H1112="","",IF(E1112=H1112,"SIM","NÃO"))</f>
        <v/>
      </c>
      <c r="J1112" s="52" t="str">
        <f>IF(H1112="","",VLOOKUP(A1112,'6.A'!$A$11:$E$564,4,FALSE))</f>
        <v/>
      </c>
      <c r="K1112" s="52" t="str">
        <f>IF(H1112="","",IF(J1112=D1112,"SIM","NÃO"))</f>
        <v/>
      </c>
      <c r="L1112" s="52" t="str">
        <f>IF(H1112="","",IF(C1112="","",G1104*C1112))</f>
        <v/>
      </c>
      <c r="M1112" s="117" t="str">
        <f>IF(A1112="","",VLOOKUP(A1112,'6.A'!$A$11:$C$564,2,FALSE))</f>
        <v/>
      </c>
      <c r="N1112" s="57" t="str">
        <f>IF(A1112="","",IF(M1112=B1112,"si","no"))</f>
        <v/>
      </c>
      <c r="O1112" s="56"/>
      <c r="P1112" s="56"/>
      <c r="Q1112" s="48"/>
      <c r="R1112" s="48"/>
      <c r="S1112" s="2"/>
    </row>
    <row r="1113" spans="1:19" ht="12.75" customHeight="1" x14ac:dyDescent="0.2">
      <c r="A1113" s="22"/>
      <c r="B1113" s="23" t="str">
        <f>IF(A1113="","",VLOOKUP(A1113,'6.A'!$A$11:$G$180,2,FALSE))</f>
        <v/>
      </c>
      <c r="C1113" s="99"/>
      <c r="D1113" s="57" t="str">
        <f>IF(A1113="","",VLOOKUP(A1113,'6.A'!$A$11:$G$180,4,FALSE))</f>
        <v/>
      </c>
      <c r="E1113" s="100" t="str">
        <f>IF(A1113="","",VLOOKUP(A1113,'6.A'!$A$11:$G$180,5,FALSE))</f>
        <v/>
      </c>
      <c r="F1113" s="24" t="str">
        <f t="shared" si="484"/>
        <v>0,00</v>
      </c>
      <c r="G1113" s="52"/>
      <c r="H1113" s="52" t="str">
        <f>IF(A1113="","",VLOOKUP(A1113,'6.A'!$A$11:$E$7984,5,FALSE))</f>
        <v/>
      </c>
      <c r="I1113" s="52" t="str">
        <f t="shared" ref="I1113" si="490">IF(H1113="","",IF(E1113=H1113,"SIM","NÃO"))</f>
        <v/>
      </c>
      <c r="J1113" s="52" t="str">
        <f>IF(H1113="","",VLOOKUP(A1113,'6.A'!$A$11:$E$564,4,FALSE))</f>
        <v/>
      </c>
      <c r="K1113" s="52" t="str">
        <f t="shared" ref="K1113" si="491">IF(H1113="","",IF(J1113=D1113,"SIM","NÃO"))</f>
        <v/>
      </c>
      <c r="L1113" s="52" t="str">
        <f>IF(H1113="","",IF(C1113="","",G1104*C1113))</f>
        <v/>
      </c>
      <c r="M1113" s="117" t="str">
        <f>IF(A1113="","",VLOOKUP(A1113,'6.A'!$A$11:$C$564,2,FALSE))</f>
        <v/>
      </c>
      <c r="N1113" s="57" t="str">
        <f t="shared" ref="N1113" si="492">IF(A1113="","",IF(M1113=B1113,"si","no"))</f>
        <v/>
      </c>
      <c r="O1113" s="56"/>
      <c r="P1113" s="56"/>
      <c r="Q1113" s="48"/>
      <c r="R1113" s="48"/>
      <c r="S1113" s="2"/>
    </row>
    <row r="1114" spans="1:19" ht="12.75" customHeight="1" x14ac:dyDescent="0.2">
      <c r="A1114" s="22"/>
      <c r="B1114" s="23" t="str">
        <f>IF(A1114="","",VLOOKUP(A1114,'6.A'!$A$11:$G$180,2,FALSE))</f>
        <v/>
      </c>
      <c r="C1114" s="99"/>
      <c r="D1114" s="73" t="str">
        <f>IF(A1114="","",VLOOKUP(A1114,'6.A'!$A$11:$G$180,4,FALSE))</f>
        <v/>
      </c>
      <c r="E1114" s="101" t="str">
        <f>IF(A1114="","",VLOOKUP(A1114,'6.A'!$A$11:$G$180,5,FALSE))</f>
        <v/>
      </c>
      <c r="F1114" s="24" t="str">
        <f t="shared" si="484"/>
        <v>0,00</v>
      </c>
      <c r="G1114" s="52"/>
      <c r="H1114" s="52" t="str">
        <f>IF(A1114="","",VLOOKUP(A1114,'6.A'!$A$11:$E$7984,5,FALSE))</f>
        <v/>
      </c>
      <c r="I1114" s="52" t="str">
        <f>IF(H1114="","",IF(E1114=H1114,"SIM","NÃO"))</f>
        <v/>
      </c>
      <c r="J1114" s="52" t="str">
        <f>IF(H1114="","",VLOOKUP(A1114,'6.A'!$A$11:$E$564,4,FALSE))</f>
        <v/>
      </c>
      <c r="K1114" s="52" t="str">
        <f>IF(H1114="","",IF(J1114=D1114,"SIM","NÃO"))</f>
        <v/>
      </c>
      <c r="L1114" s="52" t="str">
        <f>IF(H1114="","",IF(C1114="","",G1104*C1114))</f>
        <v/>
      </c>
      <c r="M1114" s="117" t="str">
        <f>IF(A1114="","",VLOOKUP(A1114,'6.A'!$A$11:$C$564,2,FALSE))</f>
        <v/>
      </c>
      <c r="N1114" s="57" t="str">
        <f>IF(A1114="","",IF(M1114=B1114,"si","no"))</f>
        <v/>
      </c>
      <c r="O1114" s="56"/>
      <c r="P1114" s="56"/>
      <c r="Q1114" s="48"/>
      <c r="R1114" s="48"/>
      <c r="S1114" s="2"/>
    </row>
    <row r="1115" spans="1:19" ht="12.75" customHeight="1" x14ac:dyDescent="0.2">
      <c r="A1115" s="22"/>
      <c r="B1115" s="23" t="str">
        <f>IF(A1115="","",VLOOKUP(A1115,'6.A'!$A$11:$G$180,2,FALSE))</f>
        <v/>
      </c>
      <c r="C1115" s="99"/>
      <c r="D1115" s="25" t="str">
        <f>IF(A1115="","",VLOOKUP(A1115,'6.A'!$A$11:$G$180,4,FALSE))</f>
        <v/>
      </c>
      <c r="E1115" s="101" t="str">
        <f>IF(A1115="","",VLOOKUP(A1115,'6.A'!$A$11:$G$180,5,FALSE))</f>
        <v/>
      </c>
      <c r="F1115" s="24" t="str">
        <f t="shared" si="484"/>
        <v>0,00</v>
      </c>
      <c r="G1115" s="52"/>
      <c r="H1115" s="52" t="str">
        <f>IF(A1115="","",VLOOKUP(A1115,'6.A'!$A$11:$E$7984,5,FALSE))</f>
        <v/>
      </c>
      <c r="I1115" s="52" t="str">
        <f t="shared" ref="I1115" si="493">IF(H1115="","",IF(E1115=H1115,"SIM","NÃO"))</f>
        <v/>
      </c>
      <c r="J1115" s="52" t="str">
        <f>IF(H1115="","",VLOOKUP(A1115,'6.A'!$A$11:$E$564,4,FALSE))</f>
        <v/>
      </c>
      <c r="K1115" s="52" t="str">
        <f t="shared" ref="K1115" si="494">IF(H1115="","",IF(J1115=D1115,"SIM","NÃO"))</f>
        <v/>
      </c>
      <c r="L1115" s="52" t="str">
        <f>IF(H1115="","",IF(C1115="","",G1104*C1115))</f>
        <v/>
      </c>
      <c r="M1115" s="117" t="str">
        <f>IF(A1115="","",VLOOKUP(A1115,'6.A'!$A$11:$C$564,2,FALSE))</f>
        <v/>
      </c>
      <c r="N1115" s="57" t="str">
        <f t="shared" ref="N1115" si="495">IF(A1115="","",IF(M1115=B1115,"si","no"))</f>
        <v/>
      </c>
      <c r="O1115" s="56"/>
      <c r="P1115" s="56"/>
      <c r="Q1115" s="48"/>
      <c r="R1115" s="48"/>
      <c r="S1115" s="2"/>
    </row>
    <row r="1116" spans="1:19" ht="12.75" customHeight="1" x14ac:dyDescent="0.2">
      <c r="A1116" s="17"/>
      <c r="B1116" s="26" t="str">
        <f>$A$8</f>
        <v>LEIS SOCIAIS HORISTA - JORNADA NORMAL</v>
      </c>
      <c r="C1116" s="27">
        <f>$C$8</f>
        <v>0</v>
      </c>
      <c r="D1116" s="57"/>
      <c r="F1116" s="28">
        <f>ROUND(SUM(F1106:F1115)*C1116,2)</f>
        <v>0</v>
      </c>
      <c r="G1116" s="63"/>
      <c r="M1116" s="62"/>
      <c r="N1116" s="57"/>
      <c r="O1116" s="56"/>
      <c r="P1116" s="56"/>
      <c r="Q1116" s="48"/>
      <c r="R1116" s="48"/>
      <c r="S1116" s="2"/>
    </row>
    <row r="1117" spans="1:19" ht="12.75" customHeight="1" x14ac:dyDescent="0.2">
      <c r="A1117" s="22"/>
      <c r="B1117" s="26" t="str">
        <f>$A$9</f>
        <v>BDI</v>
      </c>
      <c r="C1117" s="27">
        <f>$C$9</f>
        <v>0</v>
      </c>
      <c r="D1117" s="29"/>
      <c r="F1117" s="28">
        <f>ROUND(SUM(F1106:F1116)*C1117,2)</f>
        <v>0</v>
      </c>
      <c r="G1117" s="63"/>
      <c r="M1117" s="62"/>
      <c r="N1117" s="57"/>
      <c r="O1117" s="56"/>
      <c r="P1117" s="56"/>
      <c r="Q1117" s="48"/>
      <c r="R1117" s="48"/>
      <c r="S1117" s="2"/>
    </row>
    <row r="1118" spans="1:19" ht="12.75" customHeight="1" x14ac:dyDescent="0.2">
      <c r="A1118" s="30"/>
      <c r="B1118" s="31" t="s">
        <v>56</v>
      </c>
      <c r="C1118" s="32"/>
      <c r="D1118" s="33"/>
      <c r="E1118" s="34"/>
      <c r="F1118" s="35">
        <f>ROUND(SUM(F1106:F1117),2)</f>
        <v>0</v>
      </c>
      <c r="G1118" s="63"/>
      <c r="M1118" s="62"/>
      <c r="N1118" s="57"/>
      <c r="O1118" s="56"/>
      <c r="P1118" s="56"/>
      <c r="Q1118" s="48"/>
      <c r="R1118" s="48"/>
      <c r="S1118" s="2"/>
    </row>
    <row r="1119" spans="1:19" ht="12.75" customHeight="1" x14ac:dyDescent="0.2">
      <c r="A1119" s="17" t="s">
        <v>5</v>
      </c>
      <c r="B1119" s="153" t="s">
        <v>130</v>
      </c>
      <c r="C1119" s="56" t="s">
        <v>59</v>
      </c>
      <c r="D1119" s="56" t="s">
        <v>16</v>
      </c>
      <c r="E1119" s="19" t="s">
        <v>60</v>
      </c>
      <c r="F1119" s="20" t="s">
        <v>61</v>
      </c>
      <c r="G1119" s="21"/>
      <c r="M1119" s="62"/>
      <c r="N1119" s="57"/>
      <c r="O1119" s="56"/>
      <c r="P1119" s="56"/>
      <c r="Q1119" s="48"/>
      <c r="R1119" s="48"/>
      <c r="S1119" s="2"/>
    </row>
    <row r="1120" spans="1:19" ht="12.75" customHeight="1" x14ac:dyDescent="0.2">
      <c r="A1120" s="22">
        <f>'6.A'!$A$32</f>
        <v>88830</v>
      </c>
      <c r="B1120" s="23" t="str">
        <f>IF(A1120="","",VLOOKUP(A1120,'6.A'!$A$11:$G$180,2,FALSE))</f>
        <v>BETONEIRA CAPACIDADE 400 L, CAPACIDADE DE MISTURA 280 L, MOTOR ELÉTRICO POTÊNCIA 2 CV - CHP</v>
      </c>
      <c r="C1120" s="99">
        <v>0.68530000000000002</v>
      </c>
      <c r="D1120" s="57" t="str">
        <f>IF(A1120="","",VLOOKUP(A1120,'6.A'!$A$11:$G$180,4,FALSE))</f>
        <v>CHP</v>
      </c>
      <c r="E1120" s="100">
        <f>IF(A1120="","",VLOOKUP(A1120,'6.A'!$A$11:$G$180,5,FALSE))</f>
        <v>0</v>
      </c>
      <c r="F1120" s="24">
        <f t="shared" ref="F1120:F1129" si="496">IF(A1120="","0,00",ROUND(C1120*E1120,2))</f>
        <v>0</v>
      </c>
      <c r="G1120" s="52"/>
      <c r="H1120" s="52">
        <f>IF(A1120="","",VLOOKUP(A1120,'6.A'!$A$11:$E$7984,5,FALSE))</f>
        <v>0</v>
      </c>
      <c r="I1120" s="52" t="str">
        <f t="shared" ref="I1120:I1129" si="497">IF(H1120="","",IF(E1120=H1120,"SIM","NÃO"))</f>
        <v>SIM</v>
      </c>
      <c r="J1120" s="52" t="str">
        <f>IF(H1120="","",VLOOKUP(A1120,'6.A'!$A$11:$E$564,4,FALSE))</f>
        <v>CHP</v>
      </c>
      <c r="K1120" s="52" t="str">
        <f t="shared" ref="K1120:K1129" si="498">IF(H1120="","",IF(J1120=D1120,"SIM","NÃO"))</f>
        <v>SIM</v>
      </c>
      <c r="L1120" s="52">
        <f>IF(H1120="","",IF(C1120="","",G1104*C1120))</f>
        <v>2.0559000000000003</v>
      </c>
      <c r="M1120" s="117" t="str">
        <f>IF(A1120="","",VLOOKUP(A1120,'6.A'!$A$11:$C$564,2,FALSE))</f>
        <v>BETONEIRA CAPACIDADE 400 L, CAPACIDADE DE MISTURA 280 L, MOTOR ELÉTRICO POTÊNCIA 2 CV - CHP</v>
      </c>
      <c r="N1120" s="57" t="str">
        <f t="shared" ref="N1120:N1125" si="499">IF(A1120="","",IF(M1120=B1120,"si","no"))</f>
        <v>si</v>
      </c>
      <c r="O1120" s="56"/>
      <c r="P1120" s="56"/>
      <c r="Q1120" s="48"/>
      <c r="R1120" s="48"/>
      <c r="S1120" s="2"/>
    </row>
    <row r="1121" spans="1:19" ht="12.75" customHeight="1" x14ac:dyDescent="0.2">
      <c r="A1121" s="22">
        <f>'6.A'!$A$33</f>
        <v>88831</v>
      </c>
      <c r="B1121" s="23" t="str">
        <f>IF(A1121="","",VLOOKUP(A1121,'6.A'!$A$11:$G$180,2,FALSE))</f>
        <v>BETONEIRA CAPACIDADE 400 L, CAPACIDADE DE MISTURA 280 L, MOTOR ELÉTRICO POTÊNCIA 2 CV - CHI</v>
      </c>
      <c r="C1121" s="99">
        <v>0.6462</v>
      </c>
      <c r="D1121" s="57" t="str">
        <f>IF(A1121="","",VLOOKUP(A1121,'6.A'!$A$11:$G$180,4,FALSE))</f>
        <v>CHI</v>
      </c>
      <c r="E1121" s="100">
        <f>IF(A1121="","",VLOOKUP(A1121,'6.A'!$A$11:$G$180,5,FALSE))</f>
        <v>0</v>
      </c>
      <c r="F1121" s="24">
        <f t="shared" si="496"/>
        <v>0</v>
      </c>
      <c r="G1121" s="52"/>
      <c r="H1121" s="52">
        <f>IF(A1121="","",VLOOKUP(A1121,'6.A'!$A$11:$E$7984,5,FALSE))</f>
        <v>0</v>
      </c>
      <c r="I1121" s="52" t="str">
        <f t="shared" si="497"/>
        <v>SIM</v>
      </c>
      <c r="J1121" s="52" t="str">
        <f>IF(H1121="","",VLOOKUP(A1121,'6.A'!$A$11:$E$564,4,FALSE))</f>
        <v>CHI</v>
      </c>
      <c r="K1121" s="52" t="str">
        <f t="shared" si="498"/>
        <v>SIM</v>
      </c>
      <c r="L1121" s="52">
        <f>IF(H1121="","",IF(C1121="","",G1104*C1121))</f>
        <v>1.9386000000000001</v>
      </c>
      <c r="M1121" s="117" t="str">
        <f>IF(A1121="","",VLOOKUP(A1121,'6.A'!$A$11:$C$564,2,FALSE))</f>
        <v>BETONEIRA CAPACIDADE 400 L, CAPACIDADE DE MISTURA 280 L, MOTOR ELÉTRICO POTÊNCIA 2 CV - CHI</v>
      </c>
      <c r="N1121" s="57" t="str">
        <f t="shared" si="499"/>
        <v>si</v>
      </c>
      <c r="O1121" s="56"/>
      <c r="P1121" s="56"/>
      <c r="Q1121" s="48"/>
      <c r="R1121" s="48"/>
      <c r="S1121" s="2"/>
    </row>
    <row r="1122" spans="1:19" ht="12.75" customHeight="1" x14ac:dyDescent="0.2">
      <c r="A1122" s="22"/>
      <c r="B1122" s="23" t="str">
        <f>IF(A1122="","",VLOOKUP(A1122,'6.A'!$A$11:$G$180,2,FALSE))</f>
        <v/>
      </c>
      <c r="C1122" s="99"/>
      <c r="D1122" s="57" t="str">
        <f>IF(A1122="","",VLOOKUP(A1122,'6.A'!$A$11:$G$180,4,FALSE))</f>
        <v/>
      </c>
      <c r="E1122" s="100" t="str">
        <f>IF(A1122="","",VLOOKUP(A1122,'6.A'!$A$11:$G$180,5,FALSE))</f>
        <v/>
      </c>
      <c r="F1122" s="24" t="str">
        <f t="shared" si="496"/>
        <v>0,00</v>
      </c>
      <c r="G1122" s="52"/>
      <c r="H1122" s="52" t="str">
        <f>IF(A1122="","",VLOOKUP(A1122,'6.A'!$A$11:$E$7984,5,FALSE))</f>
        <v/>
      </c>
      <c r="I1122" s="52" t="str">
        <f t="shared" si="497"/>
        <v/>
      </c>
      <c r="J1122" s="52" t="str">
        <f>IF(H1122="","",VLOOKUP(A1122,'6.A'!$A$11:$E$564,4,FALSE))</f>
        <v/>
      </c>
      <c r="K1122" s="52" t="str">
        <f t="shared" si="498"/>
        <v/>
      </c>
      <c r="L1122" s="52" t="str">
        <f>IF(H1122="","",IF(C1122="","",G1104*C1122))</f>
        <v/>
      </c>
      <c r="M1122" s="117" t="str">
        <f>IF(A1122="","",VLOOKUP(A1122,'6.A'!$A$11:$C$564,2,FALSE))</f>
        <v/>
      </c>
      <c r="N1122" s="57" t="str">
        <f t="shared" si="499"/>
        <v/>
      </c>
      <c r="O1122" s="56"/>
      <c r="P1122" s="56"/>
      <c r="Q1122" s="48"/>
      <c r="R1122" s="48"/>
      <c r="S1122" s="2"/>
    </row>
    <row r="1123" spans="1:19" ht="12.75" customHeight="1" x14ac:dyDescent="0.2">
      <c r="A1123" s="22"/>
      <c r="B1123" s="55" t="str">
        <f>IF(A1123="","",VLOOKUP(A1123,'6.A'!$A$11:$G$180,2,FALSE))</f>
        <v/>
      </c>
      <c r="C1123" s="134"/>
      <c r="D1123" s="57" t="str">
        <f>IF(A1123="","",VLOOKUP(A1123,'6.A'!$A$11:$G$180,4,FALSE))</f>
        <v/>
      </c>
      <c r="E1123" s="100" t="str">
        <f>IF(A1123="","",VLOOKUP(A1123,'6.A'!$A$11:$G$180,5,FALSE))</f>
        <v/>
      </c>
      <c r="F1123" s="24" t="str">
        <f t="shared" si="496"/>
        <v>0,00</v>
      </c>
      <c r="G1123" s="52"/>
      <c r="H1123" s="52" t="str">
        <f>IF(A1123="","",VLOOKUP(A1123,'6.A'!$A$11:$E$7984,5,FALSE))</f>
        <v/>
      </c>
      <c r="I1123" s="52" t="str">
        <f t="shared" si="497"/>
        <v/>
      </c>
      <c r="J1123" s="52" t="str">
        <f>IF(H1123="","",VLOOKUP(A1123,'6.A'!$A$11:$E$564,4,FALSE))</f>
        <v/>
      </c>
      <c r="K1123" s="52" t="str">
        <f t="shared" si="498"/>
        <v/>
      </c>
      <c r="L1123" s="52" t="str">
        <f>IF(H1123="","",IF(C1123="","",G1104*C1123))</f>
        <v/>
      </c>
      <c r="M1123" s="117" t="str">
        <f>IF(A1123="","",VLOOKUP(A1123,'6.A'!$A$11:$C$564,2,FALSE))</f>
        <v/>
      </c>
      <c r="N1123" s="57" t="str">
        <f t="shared" si="499"/>
        <v/>
      </c>
      <c r="O1123" s="56"/>
      <c r="P1123" s="56"/>
      <c r="Q1123" s="48"/>
      <c r="R1123" s="48"/>
      <c r="S1123" s="2"/>
    </row>
    <row r="1124" spans="1:19" ht="12.75" customHeight="1" x14ac:dyDescent="0.2">
      <c r="A1124" s="22"/>
      <c r="B1124" s="23" t="str">
        <f>IF(A1124="","",VLOOKUP(A1124,'6.A'!$A$11:$G$180,2,FALSE))</f>
        <v/>
      </c>
      <c r="C1124" s="99"/>
      <c r="D1124" s="57" t="str">
        <f>IF(A1124="","",VLOOKUP(A1124,'6.A'!$A$11:$G$180,4,FALSE))</f>
        <v/>
      </c>
      <c r="E1124" s="100" t="str">
        <f>IF(A1124="","",VLOOKUP(A1124,'6.A'!$A$11:$G$180,5,FALSE))</f>
        <v/>
      </c>
      <c r="F1124" s="24" t="str">
        <f t="shared" si="496"/>
        <v>0,00</v>
      </c>
      <c r="G1124" s="52"/>
      <c r="H1124" s="52" t="str">
        <f>IF(A1124="","",VLOOKUP(A1124,'6.A'!$A$11:$E$7984,5,FALSE))</f>
        <v/>
      </c>
      <c r="I1124" s="52" t="str">
        <f t="shared" si="497"/>
        <v/>
      </c>
      <c r="J1124" s="52" t="str">
        <f>IF(H1124="","",VLOOKUP(A1124,'6.A'!$A$11:$E$564,4,FALSE))</f>
        <v/>
      </c>
      <c r="K1124" s="52" t="str">
        <f t="shared" si="498"/>
        <v/>
      </c>
      <c r="L1124" s="52" t="str">
        <f>IF(H1124="","",IF(C1124="","",G1104*C1124))</f>
        <v/>
      </c>
      <c r="M1124" s="117" t="str">
        <f>IF(A1124="","",VLOOKUP(A1124,'6.A'!$A$11:$C$564,2,FALSE))</f>
        <v/>
      </c>
      <c r="N1124" s="57" t="str">
        <f t="shared" si="499"/>
        <v/>
      </c>
      <c r="O1124" s="56"/>
      <c r="P1124" s="56"/>
      <c r="Q1124" s="48"/>
      <c r="R1124" s="48"/>
      <c r="S1124" s="2"/>
    </row>
    <row r="1125" spans="1:19" ht="12.75" customHeight="1" x14ac:dyDescent="0.2">
      <c r="A1125" s="22"/>
      <c r="B1125" s="23" t="str">
        <f>IF(A1125="","",VLOOKUP(A1125,'6.A'!$A$11:$G$180,2,FALSE))</f>
        <v/>
      </c>
      <c r="C1125" s="99"/>
      <c r="D1125" s="57" t="str">
        <f>IF(A1125="","",VLOOKUP(A1125,'6.A'!$A$11:$G$180,4,FALSE))</f>
        <v/>
      </c>
      <c r="E1125" s="100" t="str">
        <f>IF(A1125="","",VLOOKUP(A1125,'6.A'!$A$11:$G$180,5,FALSE))</f>
        <v/>
      </c>
      <c r="F1125" s="24" t="str">
        <f t="shared" si="496"/>
        <v>0,00</v>
      </c>
      <c r="G1125" s="52"/>
      <c r="H1125" s="52" t="str">
        <f>IF(A1125="","",VLOOKUP(A1125,'6.A'!$A$11:$E$7984,5,FALSE))</f>
        <v/>
      </c>
      <c r="I1125" s="52" t="str">
        <f t="shared" si="497"/>
        <v/>
      </c>
      <c r="J1125" s="52" t="str">
        <f>IF(H1125="","",VLOOKUP(A1125,'6.A'!$A$11:$E$564,4,FALSE))</f>
        <v/>
      </c>
      <c r="K1125" s="52" t="str">
        <f t="shared" si="498"/>
        <v/>
      </c>
      <c r="L1125" s="52" t="str">
        <f>IF(H1125="","",IF(C1125="","",G1104*C1125))</f>
        <v/>
      </c>
      <c r="M1125" s="117" t="str">
        <f>IF(A1125="","",VLOOKUP(A1125,'6.A'!$A$11:$C$564,2,FALSE))</f>
        <v/>
      </c>
      <c r="N1125" s="57" t="str">
        <f t="shared" si="499"/>
        <v/>
      </c>
      <c r="O1125" s="56"/>
      <c r="P1125" s="56"/>
      <c r="Q1125" s="48"/>
      <c r="R1125" s="48"/>
      <c r="S1125" s="2"/>
    </row>
    <row r="1126" spans="1:19" ht="12.75" customHeight="1" x14ac:dyDescent="0.2">
      <c r="A1126" s="22"/>
      <c r="B1126" s="23" t="str">
        <f>IF(A1126="","",VLOOKUP(A1126,'6.A'!$A$11:$G$180,2,FALSE))</f>
        <v/>
      </c>
      <c r="C1126" s="99"/>
      <c r="D1126" s="57" t="str">
        <f>IF(A1126="","",VLOOKUP(A1126,'6.A'!$A$11:$G$180,4,FALSE))</f>
        <v/>
      </c>
      <c r="E1126" s="100" t="str">
        <f>IF(A1126="","",VLOOKUP(A1126,'6.A'!$A$11:$G$180,5,FALSE))</f>
        <v/>
      </c>
      <c r="F1126" s="24" t="str">
        <f t="shared" si="496"/>
        <v>0,00</v>
      </c>
      <c r="G1126" s="52"/>
      <c r="H1126" s="52" t="str">
        <f>IF(A1126="","",VLOOKUP(A1126,'6.A'!$A$11:$E$7984,5,FALSE))</f>
        <v/>
      </c>
      <c r="I1126" s="52" t="str">
        <f t="shared" si="497"/>
        <v/>
      </c>
      <c r="J1126" s="52" t="str">
        <f>IF(H1126="","",VLOOKUP(A1126,'6.A'!$A$11:$E$564,4,FALSE))</f>
        <v/>
      </c>
      <c r="K1126" s="52" t="str">
        <f t="shared" si="498"/>
        <v/>
      </c>
      <c r="L1126" s="52" t="str">
        <f>IF(H1126="","",IF(C1126="","",G1104*C1126))</f>
        <v/>
      </c>
      <c r="M1126" s="117" t="str">
        <f>IF(A1126="","",VLOOKUP(A1126,'6.A'!$A$11:$C$564,2,FALSE))</f>
        <v/>
      </c>
      <c r="N1126" s="57" t="str">
        <f>IF(A1126="","",IF(M1126=B1126,"si","no"))</f>
        <v/>
      </c>
      <c r="O1126" s="56"/>
      <c r="P1126" s="56"/>
      <c r="Q1126" s="48"/>
      <c r="R1126" s="48"/>
      <c r="S1126" s="2"/>
    </row>
    <row r="1127" spans="1:19" ht="12.75" customHeight="1" x14ac:dyDescent="0.2">
      <c r="A1127" s="22"/>
      <c r="B1127" s="23" t="str">
        <f>IF(A1127="","",VLOOKUP(A1127,'6.A'!$A$11:$G$180,2,FALSE))</f>
        <v/>
      </c>
      <c r="C1127" s="99"/>
      <c r="D1127" s="57" t="str">
        <f>IF(A1127="","",VLOOKUP(A1127,'6.A'!$A$11:$G$180,4,FALSE))</f>
        <v/>
      </c>
      <c r="E1127" s="100" t="str">
        <f>IF(A1127="","",VLOOKUP(A1127,'6.A'!$A$11:$G$180,5,FALSE))</f>
        <v/>
      </c>
      <c r="F1127" s="24" t="str">
        <f t="shared" si="496"/>
        <v>0,00</v>
      </c>
      <c r="G1127" s="52"/>
      <c r="H1127" s="52" t="str">
        <f>IF(A1127="","",VLOOKUP(A1127,'6.A'!$A$11:$E$7984,5,FALSE))</f>
        <v/>
      </c>
      <c r="I1127" s="52" t="str">
        <f t="shared" si="497"/>
        <v/>
      </c>
      <c r="J1127" s="52" t="str">
        <f>IF(H1127="","",VLOOKUP(A1127,'6.A'!$A$11:$E$564,4,FALSE))</f>
        <v/>
      </c>
      <c r="K1127" s="52" t="str">
        <f t="shared" si="498"/>
        <v/>
      </c>
      <c r="L1127" s="52" t="str">
        <f>IF(H1127="","",IF(C1127="","",G1104*C1127))</f>
        <v/>
      </c>
      <c r="M1127" s="117" t="str">
        <f>IF(A1127="","",VLOOKUP(A1127,'6.A'!$A$11:$C$564,2,FALSE))</f>
        <v/>
      </c>
      <c r="N1127" s="57" t="str">
        <f>IF(A1127="","",IF(M1127=B1127,"si","no"))</f>
        <v/>
      </c>
      <c r="O1127" s="56"/>
      <c r="P1127" s="56"/>
      <c r="Q1127" s="48"/>
      <c r="R1127" s="48"/>
      <c r="S1127" s="2"/>
    </row>
    <row r="1128" spans="1:19" ht="12.75" customHeight="1" x14ac:dyDescent="0.2">
      <c r="A1128" s="22"/>
      <c r="B1128" s="23" t="str">
        <f>IF(A1128="","",VLOOKUP(A1128,'6.A'!$A$11:$G$180,2,FALSE))</f>
        <v/>
      </c>
      <c r="C1128" s="99"/>
      <c r="D1128" s="57" t="str">
        <f>IF(A1128="","",VLOOKUP(A1128,'6.A'!$A$11:$G$180,4,FALSE))</f>
        <v/>
      </c>
      <c r="E1128" s="100" t="str">
        <f>IF(A1128="","",VLOOKUP(A1128,'6.A'!$A$11:$G$180,5,FALSE))</f>
        <v/>
      </c>
      <c r="F1128" s="24" t="str">
        <f t="shared" si="496"/>
        <v>0,00</v>
      </c>
      <c r="G1128" s="52"/>
      <c r="H1128" s="52" t="str">
        <f>IF(A1128="","",VLOOKUP(A1128,'6.A'!$A$11:$E$7984,5,FALSE))</f>
        <v/>
      </c>
      <c r="I1128" s="52" t="str">
        <f t="shared" si="497"/>
        <v/>
      </c>
      <c r="J1128" s="52" t="str">
        <f>IF(H1128="","",VLOOKUP(A1128,'6.A'!$A$11:$E$564,4,FALSE))</f>
        <v/>
      </c>
      <c r="K1128" s="52" t="str">
        <f t="shared" si="498"/>
        <v/>
      </c>
      <c r="L1128" s="52" t="str">
        <f>IF(H1128="","",IF(C1128="","",G1104*C1128))</f>
        <v/>
      </c>
      <c r="M1128" s="117" t="str">
        <f>IF(A1128="","",VLOOKUP(A1128,'6.A'!$A$11:$C$564,2,FALSE))</f>
        <v/>
      </c>
      <c r="N1128" s="57" t="str">
        <f t="shared" ref="N1128:N1129" si="500">IF(A1128="","",IF(M1128=B1128,"si","no"))</f>
        <v/>
      </c>
      <c r="O1128" s="56"/>
      <c r="P1128" s="56"/>
      <c r="Q1128" s="48"/>
      <c r="R1128" s="48"/>
      <c r="S1128" s="2"/>
    </row>
    <row r="1129" spans="1:19" ht="12.75" customHeight="1" x14ac:dyDescent="0.2">
      <c r="A1129" s="22"/>
      <c r="B1129" s="23" t="str">
        <f>IF(A1129="","",VLOOKUP(A1129,'6.A'!$A$11:$G$180,2,FALSE))</f>
        <v/>
      </c>
      <c r="C1129" s="99"/>
      <c r="D1129" s="57" t="str">
        <f>IF(A1129="","",VLOOKUP(A1129,'6.A'!$A$11:$G$180,4,FALSE))</f>
        <v/>
      </c>
      <c r="E1129" s="100" t="str">
        <f>IF(A1129="","",VLOOKUP(A1129,'6.A'!$A$11:$G$180,5,FALSE))</f>
        <v/>
      </c>
      <c r="F1129" s="24" t="str">
        <f t="shared" si="496"/>
        <v>0,00</v>
      </c>
      <c r="G1129" s="52"/>
      <c r="H1129" s="52" t="str">
        <f>IF(A1129="","",VLOOKUP(A1129,'6.A'!$A$11:$E$7984,5,FALSE))</f>
        <v/>
      </c>
      <c r="I1129" s="52" t="str">
        <f t="shared" si="497"/>
        <v/>
      </c>
      <c r="J1129" s="52" t="str">
        <f>IF(H1129="","",VLOOKUP(A1129,'6.A'!$A$11:$E$564,4,FALSE))</f>
        <v/>
      </c>
      <c r="K1129" s="52" t="str">
        <f t="shared" si="498"/>
        <v/>
      </c>
      <c r="L1129" s="52" t="str">
        <f>IF(H1129="","",IF(C1129="","",G1104*C1129))</f>
        <v/>
      </c>
      <c r="M1129" s="117" t="str">
        <f>IF(A1129="","",VLOOKUP(A1129,'6.A'!$A$11:$C$564,2,FALSE))</f>
        <v/>
      </c>
      <c r="N1129" s="57" t="str">
        <f t="shared" si="500"/>
        <v/>
      </c>
      <c r="O1129" s="56"/>
      <c r="P1129" s="56"/>
      <c r="Q1129" s="48"/>
      <c r="R1129" s="48"/>
      <c r="S1129" s="2"/>
    </row>
    <row r="1130" spans="1:19" ht="12.75" customHeight="1" x14ac:dyDescent="0.2">
      <c r="A1130" s="22"/>
      <c r="B1130" s="26" t="str">
        <f>$A$9</f>
        <v>BDI</v>
      </c>
      <c r="C1130" s="27">
        <f>$C$9</f>
        <v>0</v>
      </c>
      <c r="D1130" s="57"/>
      <c r="F1130" s="28">
        <f>ROUND(SUM(F1120:F1129)*C1130,2)</f>
        <v>0</v>
      </c>
      <c r="G1130" s="63"/>
      <c r="M1130" s="62"/>
      <c r="N1130" s="57"/>
      <c r="O1130" s="56"/>
      <c r="P1130" s="56"/>
      <c r="Q1130" s="48"/>
      <c r="R1130" s="48"/>
      <c r="S1130" s="2"/>
    </row>
    <row r="1131" spans="1:19" ht="12.75" customHeight="1" x14ac:dyDescent="0.2">
      <c r="A1131" s="30"/>
      <c r="B1131" s="31" t="s">
        <v>117</v>
      </c>
      <c r="C1131" s="36"/>
      <c r="D1131" s="37"/>
      <c r="E1131" s="38"/>
      <c r="F1131" s="35">
        <f>ROUND(SUM(F1120:F1130),2)</f>
        <v>0</v>
      </c>
      <c r="G1131" s="63"/>
      <c r="M1131" s="62"/>
      <c r="N1131" s="57"/>
      <c r="O1131" s="56"/>
      <c r="P1131" s="56"/>
      <c r="Q1131" s="48"/>
      <c r="R1131" s="48"/>
      <c r="S1131" s="2"/>
    </row>
    <row r="1132" spans="1:19" ht="12.75" customHeight="1" x14ac:dyDescent="0.2">
      <c r="A1132" s="17" t="s">
        <v>6</v>
      </c>
      <c r="B1132" s="18" t="s">
        <v>17</v>
      </c>
      <c r="C1132" s="56" t="s">
        <v>59</v>
      </c>
      <c r="D1132" s="56" t="s">
        <v>16</v>
      </c>
      <c r="E1132" s="19" t="s">
        <v>60</v>
      </c>
      <c r="F1132" s="20" t="s">
        <v>61</v>
      </c>
      <c r="G1132" s="21"/>
      <c r="M1132" s="62"/>
      <c r="N1132" s="57"/>
      <c r="O1132" s="56"/>
      <c r="P1132" s="56"/>
      <c r="Q1132" s="48"/>
      <c r="R1132" s="48"/>
      <c r="S1132" s="2"/>
    </row>
    <row r="1133" spans="1:19" ht="12.75" customHeight="1" x14ac:dyDescent="0.2">
      <c r="A1133" s="22" t="str">
        <f>'6.A'!$A$52</f>
        <v>CV00182</v>
      </c>
      <c r="B1133" s="23" t="str">
        <f>IF(A1133="","",VLOOKUP(A1133,'6.A'!$A$11:$G$180,2,FALSE))</f>
        <v>AREIA MÉDIA GRANULOMETRIA ENTRE (0,42 E 1,2 MM) LAVADA</v>
      </c>
      <c r="C1133" s="99">
        <v>0.83250000000000002</v>
      </c>
      <c r="D1133" s="57" t="str">
        <f>IF(A1133="","",VLOOKUP(A1133,'6.A'!$A$11:$G$180,4,FALSE))</f>
        <v>M3</v>
      </c>
      <c r="E1133" s="100">
        <f>IF(A1133="","",VLOOKUP(A1133,'6.A'!$A$11:$G$180,5,FALSE))</f>
        <v>0</v>
      </c>
      <c r="F1133" s="24">
        <f t="shared" ref="F1133:F1152" si="501">IF(A1133="","0,00",ROUND(C1133*E1133,2))</f>
        <v>0</v>
      </c>
      <c r="G1133" s="52"/>
      <c r="H1133" s="52">
        <f>IF(A1133="","",VLOOKUP(A1133,'6.A'!$A$11:$E$7984,5,FALSE))</f>
        <v>0</v>
      </c>
      <c r="I1133" s="52" t="str">
        <f t="shared" ref="I1133:I1152" si="502">IF(H1133="","",IF(E1133=H1133,"SIM","NÃO"))</f>
        <v>SIM</v>
      </c>
      <c r="J1133" s="52" t="str">
        <f>IF(H1133="","",VLOOKUP(A1133,'6.A'!$A$11:$E$564,4,FALSE))</f>
        <v>M3</v>
      </c>
      <c r="K1133" s="52" t="str">
        <f t="shared" ref="K1133:K1152" si="503">IF(H1133="","",IF(J1133=D1133,"SIM","NÃO"))</f>
        <v>SIM</v>
      </c>
      <c r="L1133" s="52">
        <f>IF(H1133="","",IF(C1133="","",G1104*C1133))</f>
        <v>2.4975000000000001</v>
      </c>
      <c r="M1133" s="117" t="str">
        <f>IF(A1133="","",VLOOKUP(A1133,'6.A'!$A$11:$C$564,2,FALSE))</f>
        <v>AREIA MÉDIA GRANULOMETRIA ENTRE (0,42 E 1,2 MM) LAVADA</v>
      </c>
      <c r="N1133" s="57" t="str">
        <f t="shared" ref="N1133:N1152" si="504">IF(A1133="","",IF(M1133=B1133,"si","no"))</f>
        <v>si</v>
      </c>
      <c r="O1133" s="56"/>
      <c r="P1133" s="56"/>
      <c r="Q1133" s="48"/>
      <c r="R1133" s="48"/>
      <c r="S1133" s="2"/>
    </row>
    <row r="1134" spans="1:19" ht="12.75" customHeight="1" x14ac:dyDescent="0.2">
      <c r="A1134" s="22" t="str">
        <f>'6.A'!$A$54</f>
        <v>CV00208</v>
      </c>
      <c r="B1134" s="23" t="str">
        <f>IF(A1134="","",VLOOKUP(A1134,'6.A'!$A$11:$G$180,2,FALSE))</f>
        <v xml:space="preserve">PEDRA BRITADA Nº 1 GRANULOMETRIA ENTRE (9,5 E 25,00 MM) </v>
      </c>
      <c r="C1134" s="99">
        <v>0.58209999999999995</v>
      </c>
      <c r="D1134" s="57" t="str">
        <f>IF(A1134="","",VLOOKUP(A1134,'6.A'!$A$11:$G$180,4,FALSE))</f>
        <v>M3</v>
      </c>
      <c r="E1134" s="100">
        <f>IF(A1134="","",VLOOKUP(A1134,'6.A'!$A$11:$G$180,5,FALSE))</f>
        <v>0</v>
      </c>
      <c r="F1134" s="24">
        <f t="shared" si="501"/>
        <v>0</v>
      </c>
      <c r="G1134" s="52"/>
      <c r="H1134" s="52">
        <f>IF(A1134="","",VLOOKUP(A1134,'6.A'!$A$11:$E$7984,5,FALSE))</f>
        <v>0</v>
      </c>
      <c r="I1134" s="52" t="str">
        <f t="shared" si="502"/>
        <v>SIM</v>
      </c>
      <c r="J1134" s="52" t="str">
        <f>IF(H1134="","",VLOOKUP(A1134,'6.A'!$A$11:$E$564,4,FALSE))</f>
        <v>M3</v>
      </c>
      <c r="K1134" s="52" t="str">
        <f t="shared" si="503"/>
        <v>SIM</v>
      </c>
      <c r="L1134" s="52">
        <f>IF(H1134="","",IF(C1134="","",G1104*C1134))</f>
        <v>1.7462999999999997</v>
      </c>
      <c r="M1134" s="117" t="str">
        <f>IF(A1134="","",VLOOKUP(A1134,'6.A'!$A$11:$C$564,2,FALSE))</f>
        <v xml:space="preserve">PEDRA BRITADA Nº 1 GRANULOMETRIA ENTRE (9,5 E 25,00 MM) </v>
      </c>
      <c r="N1134" s="57" t="str">
        <f t="shared" si="504"/>
        <v>si</v>
      </c>
      <c r="O1134" s="56"/>
      <c r="P1134" s="56"/>
      <c r="Q1134" s="48"/>
      <c r="R1134" s="48"/>
      <c r="S1134" s="2"/>
    </row>
    <row r="1135" spans="1:19" ht="12.75" customHeight="1" x14ac:dyDescent="0.2">
      <c r="A1135" s="22">
        <f>'6.A'!$A$85</f>
        <v>1379</v>
      </c>
      <c r="B1135" s="23" t="str">
        <f>IF(A1135="","",VLOOKUP(A1135,'6.A'!$A$11:$G$180,2,FALSE))</f>
        <v>CIMENTO PORTLAND COMPOSTO CP II-32</v>
      </c>
      <c r="C1135" s="99">
        <v>213.45310000000001</v>
      </c>
      <c r="D1135" s="57" t="str">
        <f>IF(A1135="","",VLOOKUP(A1135,'6.A'!$A$11:$G$180,4,FALSE))</f>
        <v>KG</v>
      </c>
      <c r="E1135" s="100">
        <f>IF(A1135="","",VLOOKUP(A1135,'6.A'!$A$11:$G$180,5,FALSE))</f>
        <v>0</v>
      </c>
      <c r="F1135" s="24">
        <f>IF(A1135="","0,00",ROUND(C1135*E1135,2))</f>
        <v>0</v>
      </c>
      <c r="G1135" s="52"/>
      <c r="H1135" s="52">
        <f>IF(A1135="","",VLOOKUP(A1135,'6.A'!$A$11:$E$7984,5,FALSE))</f>
        <v>0</v>
      </c>
      <c r="I1135" s="52" t="str">
        <f>IF(H1135="","",IF(E1135=H1135,"SIM","NÃO"))</f>
        <v>SIM</v>
      </c>
      <c r="J1135" s="52" t="str">
        <f>IF(H1135="","",VLOOKUP(A1135,'6.A'!$A$11:$E$564,4,FALSE))</f>
        <v>KG</v>
      </c>
      <c r="K1135" s="52" t="str">
        <f>IF(H1135="","",IF(J1135=D1135,"SIM","NÃO"))</f>
        <v>SIM</v>
      </c>
      <c r="L1135" s="52">
        <f>IF(H1135="","",IF(C1135="","",G1104*C1135))</f>
        <v>640.35930000000008</v>
      </c>
      <c r="M1135" s="117" t="str">
        <f>IF(A1135="","",VLOOKUP(A1135,'6.A'!$A$11:$C$564,2,FALSE))</f>
        <v>CIMENTO PORTLAND COMPOSTO CP II-32</v>
      </c>
      <c r="N1135" s="57" t="str">
        <f>IF(A1135="","",IF(M1135=B1135,"si","no"))</f>
        <v>si</v>
      </c>
      <c r="O1135" s="56"/>
      <c r="P1135" s="56"/>
      <c r="Q1135" s="48"/>
      <c r="R1135" s="48"/>
      <c r="S1135" s="2"/>
    </row>
    <row r="1136" spans="1:19" ht="12.75" customHeight="1" x14ac:dyDescent="0.2">
      <c r="A1136" s="22"/>
      <c r="B1136" s="23" t="str">
        <f>IF(A1136="","",VLOOKUP(A1136,'6.A'!$A$11:$G$180,2,FALSE))</f>
        <v/>
      </c>
      <c r="C1136" s="99"/>
      <c r="D1136" s="57" t="str">
        <f>IF(A1136="","",VLOOKUP(A1136,'6.A'!$A$11:$G$180,4,FALSE))</f>
        <v/>
      </c>
      <c r="E1136" s="100" t="str">
        <f>IF(A1136="","",VLOOKUP(A1136,'6.A'!$A$11:$G$180,5,FALSE))</f>
        <v/>
      </c>
      <c r="F1136" s="24" t="str">
        <f t="shared" si="501"/>
        <v>0,00</v>
      </c>
      <c r="G1136" s="52"/>
      <c r="H1136" s="52" t="str">
        <f>IF(A1136="","",VLOOKUP(A1136,'6.A'!$A$11:$E$7984,5,FALSE))</f>
        <v/>
      </c>
      <c r="I1136" s="52" t="str">
        <f t="shared" si="502"/>
        <v/>
      </c>
      <c r="J1136" s="52" t="str">
        <f>IF(H1136="","",VLOOKUP(A1136,'6.A'!$A$11:$E$564,4,FALSE))</f>
        <v/>
      </c>
      <c r="K1136" s="52" t="str">
        <f t="shared" si="503"/>
        <v/>
      </c>
      <c r="L1136" s="52" t="str">
        <f>IF(H1136="","",IF(C1136="","",G1104*C1136))</f>
        <v/>
      </c>
      <c r="M1136" s="117" t="str">
        <f>IF(A1136="","",VLOOKUP(A1136,'6.A'!$A$11:$C$564,2,FALSE))</f>
        <v/>
      </c>
      <c r="N1136" s="57" t="str">
        <f t="shared" si="504"/>
        <v/>
      </c>
      <c r="O1136" s="56"/>
      <c r="P1136" s="56"/>
      <c r="Q1136" s="48"/>
      <c r="R1136" s="48"/>
      <c r="S1136" s="2"/>
    </row>
    <row r="1137" spans="1:22" ht="12.75" customHeight="1" x14ac:dyDescent="0.2">
      <c r="A1137" s="22"/>
      <c r="B1137" s="23" t="str">
        <f>IF(A1137="","",VLOOKUP(A1137,'6.A'!$A$11:$G$180,2,FALSE))</f>
        <v/>
      </c>
      <c r="C1137" s="99"/>
      <c r="D1137" s="57" t="str">
        <f>IF(A1137="","",VLOOKUP(A1137,'6.A'!$A$11:$G$180,4,FALSE))</f>
        <v/>
      </c>
      <c r="E1137" s="100" t="str">
        <f>IF(A1137="","",VLOOKUP(A1137,'6.A'!$A$11:$G$180,5,FALSE))</f>
        <v/>
      </c>
      <c r="F1137" s="24" t="str">
        <f t="shared" si="501"/>
        <v>0,00</v>
      </c>
      <c r="G1137" s="52"/>
      <c r="H1137" s="52" t="str">
        <f>IF(A1137="","",VLOOKUP(A1137,'6.A'!$A$11:$E$7984,5,FALSE))</f>
        <v/>
      </c>
      <c r="I1137" s="52" t="str">
        <f t="shared" si="502"/>
        <v/>
      </c>
      <c r="J1137" s="52" t="str">
        <f>IF(H1137="","",VLOOKUP(A1137,'6.A'!$A$11:$E$564,4,FALSE))</f>
        <v/>
      </c>
      <c r="K1137" s="52" t="str">
        <f t="shared" si="503"/>
        <v/>
      </c>
      <c r="L1137" s="52" t="str">
        <f>IF(H1137="","",IF(C1137="","",G1104*C1137))</f>
        <v/>
      </c>
      <c r="M1137" s="117" t="str">
        <f>IF(A1137="","",VLOOKUP(A1137,'6.A'!$A$11:$C$564,2,FALSE))</f>
        <v/>
      </c>
      <c r="N1137" s="57" t="str">
        <f t="shared" si="504"/>
        <v/>
      </c>
      <c r="O1137" s="56"/>
      <c r="P1137" s="56"/>
      <c r="Q1137" s="48"/>
      <c r="R1137" s="48"/>
      <c r="S1137" s="2"/>
    </row>
    <row r="1138" spans="1:22" ht="12.75" customHeight="1" x14ac:dyDescent="0.2">
      <c r="A1138" s="22"/>
      <c r="B1138" s="23" t="str">
        <f>IF(A1138="","",VLOOKUP(A1138,'6.A'!$A$11:$G$180,2,FALSE))</f>
        <v/>
      </c>
      <c r="C1138" s="99"/>
      <c r="D1138" s="57" t="str">
        <f>IF(A1138="","",VLOOKUP(A1138,'6.A'!$A$11:$G$180,4,FALSE))</f>
        <v/>
      </c>
      <c r="E1138" s="100" t="str">
        <f>IF(A1138="","",VLOOKUP(A1138,'6.A'!$A$11:$G$180,5,FALSE))</f>
        <v/>
      </c>
      <c r="F1138" s="24" t="str">
        <f t="shared" si="501"/>
        <v>0,00</v>
      </c>
      <c r="G1138" s="52"/>
      <c r="H1138" s="52" t="str">
        <f>IF(A1138="","",VLOOKUP(A1138,'6.A'!$A$11:$E$7984,5,FALSE))</f>
        <v/>
      </c>
      <c r="I1138" s="52" t="str">
        <f t="shared" si="502"/>
        <v/>
      </c>
      <c r="J1138" s="52" t="str">
        <f>IF(H1138="","",VLOOKUP(A1138,'6.A'!$A$11:$E$564,4,FALSE))</f>
        <v/>
      </c>
      <c r="K1138" s="52" t="str">
        <f t="shared" si="503"/>
        <v/>
      </c>
      <c r="L1138" s="52" t="str">
        <f>IF(H1138="","",IF(C1138="","",G1104*C1138))</f>
        <v/>
      </c>
      <c r="M1138" s="117" t="str">
        <f>IF(A1138="","",VLOOKUP(A1138,'6.A'!$A$11:$C$564,2,FALSE))</f>
        <v/>
      </c>
      <c r="N1138" s="57" t="str">
        <f t="shared" si="504"/>
        <v/>
      </c>
      <c r="O1138" s="56"/>
      <c r="P1138" s="56"/>
      <c r="Q1138" s="48"/>
      <c r="R1138" s="48"/>
      <c r="S1138" s="2"/>
    </row>
    <row r="1139" spans="1:22" ht="12.75" customHeight="1" x14ac:dyDescent="0.2">
      <c r="A1139" s="22"/>
      <c r="B1139" s="23" t="str">
        <f>IF(A1139="","",VLOOKUP(A1139,'6.A'!$A$11:$G$180,2,FALSE))</f>
        <v/>
      </c>
      <c r="C1139" s="99"/>
      <c r="D1139" s="57" t="str">
        <f>IF(A1139="","",VLOOKUP(A1139,'6.A'!$A$11:$G$180,4,FALSE))</f>
        <v/>
      </c>
      <c r="E1139" s="100" t="str">
        <f>IF(A1139="","",VLOOKUP(A1139,'6.A'!$A$11:$G$180,5,FALSE))</f>
        <v/>
      </c>
      <c r="F1139" s="24" t="str">
        <f t="shared" si="501"/>
        <v>0,00</v>
      </c>
      <c r="G1139" s="52"/>
      <c r="H1139" s="52" t="str">
        <f>IF(A1139="","",VLOOKUP(A1139,'6.A'!$A$11:$E$7984,5,FALSE))</f>
        <v/>
      </c>
      <c r="I1139" s="52" t="str">
        <f t="shared" si="502"/>
        <v/>
      </c>
      <c r="J1139" s="52" t="str">
        <f>IF(H1139="","",VLOOKUP(A1139,'6.A'!$A$11:$E$564,4,FALSE))</f>
        <v/>
      </c>
      <c r="K1139" s="52" t="str">
        <f t="shared" si="503"/>
        <v/>
      </c>
      <c r="L1139" s="52" t="str">
        <f>IF(H1139="","",IF(C1139="","",G1104*C1139))</f>
        <v/>
      </c>
      <c r="M1139" s="117" t="str">
        <f>IF(A1139="","",VLOOKUP(A1139,'6.A'!$A$11:$C$564,2,FALSE))</f>
        <v/>
      </c>
      <c r="N1139" s="57" t="str">
        <f t="shared" si="504"/>
        <v/>
      </c>
      <c r="O1139" s="56"/>
      <c r="P1139" s="56"/>
      <c r="Q1139" s="48"/>
      <c r="R1139" s="48"/>
      <c r="S1139" s="2"/>
    </row>
    <row r="1140" spans="1:22" s="65" customFormat="1" ht="12.75" customHeight="1" x14ac:dyDescent="0.2">
      <c r="A1140" s="22"/>
      <c r="B1140" s="23" t="str">
        <f>IF(A1140="","",VLOOKUP(A1140,'6.A'!$A$11:$G$180,2,FALSE))</f>
        <v/>
      </c>
      <c r="C1140" s="99"/>
      <c r="D1140" s="57" t="str">
        <f>IF(A1140="","",VLOOKUP(A1140,'6.A'!$A$11:$G$180,4,FALSE))</f>
        <v/>
      </c>
      <c r="E1140" s="100" t="str">
        <f>IF(A1140="","",VLOOKUP(A1140,'6.A'!$A$11:$G$180,5,FALSE))</f>
        <v/>
      </c>
      <c r="F1140" s="24" t="str">
        <f t="shared" si="501"/>
        <v>0,00</v>
      </c>
      <c r="G1140" s="52"/>
      <c r="H1140" s="52" t="str">
        <f>IF(A1140="","",VLOOKUP(A1140,'6.A'!$A$11:$E$7984,5,FALSE))</f>
        <v/>
      </c>
      <c r="I1140" s="52" t="str">
        <f t="shared" si="502"/>
        <v/>
      </c>
      <c r="J1140" s="52" t="str">
        <f>IF(H1140="","",VLOOKUP(A1140,'6.A'!$A$11:$E$564,4,FALSE))</f>
        <v/>
      </c>
      <c r="K1140" s="52" t="str">
        <f t="shared" si="503"/>
        <v/>
      </c>
      <c r="L1140" s="52" t="str">
        <f>IF(H1140="","",IF(C1140="","",G1104*C1140))</f>
        <v/>
      </c>
      <c r="M1140" s="117" t="str">
        <f>IF(A1140="","",VLOOKUP(A1140,'6.A'!$A$11:$C$564,2,FALSE))</f>
        <v/>
      </c>
      <c r="N1140" s="57" t="str">
        <f t="shared" si="504"/>
        <v/>
      </c>
      <c r="O1140" s="56"/>
      <c r="P1140" s="56"/>
      <c r="Q1140" s="48"/>
      <c r="R1140" s="48"/>
      <c r="T1140" s="2"/>
      <c r="U1140" s="2"/>
      <c r="V1140" s="2"/>
    </row>
    <row r="1141" spans="1:22" s="65" customFormat="1" ht="12.75" customHeight="1" x14ac:dyDescent="0.2">
      <c r="A1141" s="22"/>
      <c r="B1141" s="23" t="str">
        <f>IF(A1141="","",VLOOKUP(A1141,'6.A'!$A$11:$G$180,2,FALSE))</f>
        <v/>
      </c>
      <c r="C1141" s="99"/>
      <c r="D1141" s="57" t="str">
        <f>IF(A1141="","",VLOOKUP(A1141,'6.A'!$A$11:$G$180,4,FALSE))</f>
        <v/>
      </c>
      <c r="E1141" s="100" t="str">
        <f>IF(A1141="","",VLOOKUP(A1141,'6.A'!$A$11:$G$180,5,FALSE))</f>
        <v/>
      </c>
      <c r="F1141" s="24" t="str">
        <f t="shared" si="501"/>
        <v>0,00</v>
      </c>
      <c r="G1141" s="52"/>
      <c r="H1141" s="52" t="str">
        <f>IF(A1141="","",VLOOKUP(A1141,'6.A'!$A$11:$E$7984,5,FALSE))</f>
        <v/>
      </c>
      <c r="I1141" s="52" t="str">
        <f t="shared" si="502"/>
        <v/>
      </c>
      <c r="J1141" s="52" t="str">
        <f>IF(H1141="","",VLOOKUP(A1141,'6.A'!$A$11:$E$564,4,FALSE))</f>
        <v/>
      </c>
      <c r="K1141" s="52" t="str">
        <f t="shared" si="503"/>
        <v/>
      </c>
      <c r="L1141" s="52" t="str">
        <f>IF(H1141="","",IF(C1141="","",G1104*C1141))</f>
        <v/>
      </c>
      <c r="M1141" s="117" t="str">
        <f>IF(A1141="","",VLOOKUP(A1141,'6.A'!$A$11:$C$564,2,FALSE))</f>
        <v/>
      </c>
      <c r="N1141" s="57" t="str">
        <f t="shared" si="504"/>
        <v/>
      </c>
      <c r="O1141" s="56"/>
      <c r="P1141" s="56"/>
      <c r="Q1141" s="48"/>
      <c r="R1141" s="48"/>
      <c r="T1141" s="2"/>
      <c r="U1141" s="2"/>
      <c r="V1141" s="2"/>
    </row>
    <row r="1142" spans="1:22" s="65" customFormat="1" ht="12.75" customHeight="1" x14ac:dyDescent="0.2">
      <c r="A1142" s="22"/>
      <c r="B1142" s="23" t="str">
        <f>IF(A1142="","",VLOOKUP(A1142,'6.A'!$A$11:$G$180,2,FALSE))</f>
        <v/>
      </c>
      <c r="C1142" s="99"/>
      <c r="D1142" s="57" t="str">
        <f>IF(A1142="","",VLOOKUP(A1142,'6.A'!$A$11:$G$180,4,FALSE))</f>
        <v/>
      </c>
      <c r="E1142" s="100" t="str">
        <f>IF(A1142="","",VLOOKUP(A1142,'6.A'!$A$11:$G$180,5,FALSE))</f>
        <v/>
      </c>
      <c r="F1142" s="24" t="str">
        <f t="shared" si="501"/>
        <v>0,00</v>
      </c>
      <c r="G1142" s="52"/>
      <c r="H1142" s="52" t="str">
        <f>IF(A1142="","",VLOOKUP(A1142,'6.A'!$A$11:$E$7984,5,FALSE))</f>
        <v/>
      </c>
      <c r="I1142" s="52" t="str">
        <f t="shared" si="502"/>
        <v/>
      </c>
      <c r="J1142" s="52" t="str">
        <f>IF(H1142="","",VLOOKUP(A1142,'6.A'!$A$11:$E$564,4,FALSE))</f>
        <v/>
      </c>
      <c r="K1142" s="52" t="str">
        <f t="shared" si="503"/>
        <v/>
      </c>
      <c r="L1142" s="52" t="str">
        <f>IF(H1142="","",IF(C1142="","",G1104*C1142))</f>
        <v/>
      </c>
      <c r="M1142" s="117" t="str">
        <f>IF(A1142="","",VLOOKUP(A1142,'6.A'!$A$11:$C$564,2,FALSE))</f>
        <v/>
      </c>
      <c r="N1142" s="57" t="str">
        <f t="shared" si="504"/>
        <v/>
      </c>
      <c r="O1142" s="56"/>
      <c r="P1142" s="56"/>
      <c r="Q1142" s="48"/>
      <c r="R1142" s="48"/>
      <c r="T1142" s="2"/>
      <c r="U1142" s="2"/>
      <c r="V1142" s="2"/>
    </row>
    <row r="1143" spans="1:22" s="65" customFormat="1" ht="12.75" customHeight="1" x14ac:dyDescent="0.2">
      <c r="A1143" s="22"/>
      <c r="B1143" s="23" t="str">
        <f>IF(A1143="","",VLOOKUP(A1143,'6.A'!$A$11:$G$180,2,FALSE))</f>
        <v/>
      </c>
      <c r="C1143" s="99"/>
      <c r="D1143" s="57" t="str">
        <f>IF(A1143="","",VLOOKUP(A1143,'6.A'!$A$11:$G$180,4,FALSE))</f>
        <v/>
      </c>
      <c r="E1143" s="100" t="str">
        <f>IF(A1143="","",VLOOKUP(A1143,'6.A'!$A$11:$G$180,5,FALSE))</f>
        <v/>
      </c>
      <c r="F1143" s="24" t="str">
        <f t="shared" si="501"/>
        <v>0,00</v>
      </c>
      <c r="G1143" s="52"/>
      <c r="H1143" s="52" t="str">
        <f>IF(A1143="","",VLOOKUP(A1143,'6.A'!$A$11:$E$7984,5,FALSE))</f>
        <v/>
      </c>
      <c r="I1143" s="52" t="str">
        <f t="shared" si="502"/>
        <v/>
      </c>
      <c r="J1143" s="52" t="str">
        <f>IF(H1143="","",VLOOKUP(A1143,'6.A'!$A$11:$E$564,4,FALSE))</f>
        <v/>
      </c>
      <c r="K1143" s="52" t="str">
        <f t="shared" si="503"/>
        <v/>
      </c>
      <c r="L1143" s="52" t="str">
        <f>IF(H1143="","",IF(C1143="","",G1104*C1143))</f>
        <v/>
      </c>
      <c r="M1143" s="117" t="str">
        <f>IF(A1143="","",VLOOKUP(A1143,'6.A'!$A$11:$C$564,2,FALSE))</f>
        <v/>
      </c>
      <c r="N1143" s="57" t="str">
        <f t="shared" si="504"/>
        <v/>
      </c>
      <c r="O1143" s="56"/>
      <c r="P1143" s="56"/>
      <c r="Q1143" s="48"/>
      <c r="R1143" s="48"/>
      <c r="T1143" s="2"/>
      <c r="U1143" s="2"/>
      <c r="V1143" s="2"/>
    </row>
    <row r="1144" spans="1:22" ht="12.75" customHeight="1" x14ac:dyDescent="0.2">
      <c r="A1144" s="22"/>
      <c r="B1144" s="23" t="str">
        <f>IF(A1144="","",VLOOKUP(A1144,'6.A'!$A$11:$G$180,2,FALSE))</f>
        <v/>
      </c>
      <c r="C1144" s="99"/>
      <c r="D1144" s="57" t="str">
        <f>IF(A1144="","",VLOOKUP(A1144,'6.A'!$A$11:$G$180,4,FALSE))</f>
        <v/>
      </c>
      <c r="E1144" s="100" t="str">
        <f>IF(A1144="","",VLOOKUP(A1144,'6.A'!$A$11:$G$180,5,FALSE))</f>
        <v/>
      </c>
      <c r="F1144" s="24" t="str">
        <f t="shared" si="501"/>
        <v>0,00</v>
      </c>
      <c r="G1144" s="52"/>
      <c r="H1144" s="52" t="str">
        <f>IF(A1144="","",VLOOKUP(A1144,'6.A'!$A$11:$E$7984,5,FALSE))</f>
        <v/>
      </c>
      <c r="I1144" s="52" t="str">
        <f t="shared" si="502"/>
        <v/>
      </c>
      <c r="J1144" s="52" t="str">
        <f>IF(H1144="","",VLOOKUP(A1144,'6.A'!$A$11:$E$564,4,FALSE))</f>
        <v/>
      </c>
      <c r="K1144" s="52" t="str">
        <f t="shared" si="503"/>
        <v/>
      </c>
      <c r="L1144" s="52" t="str">
        <f>IF(H1144="","",IF(C1144="","",G1104*C1144))</f>
        <v/>
      </c>
      <c r="M1144" s="117" t="str">
        <f>IF(A1144="","",VLOOKUP(A1144,'6.A'!$A$11:$C$564,2,FALSE))</f>
        <v/>
      </c>
      <c r="N1144" s="57" t="str">
        <f t="shared" si="504"/>
        <v/>
      </c>
      <c r="O1144" s="56"/>
      <c r="P1144" s="56"/>
      <c r="Q1144" s="48"/>
      <c r="R1144" s="48"/>
    </row>
    <row r="1145" spans="1:22" ht="12.75" customHeight="1" x14ac:dyDescent="0.2">
      <c r="A1145" s="22"/>
      <c r="B1145" s="23" t="str">
        <f>IF(A1145="","",VLOOKUP(A1145,'6.A'!$A$11:$G$180,2,FALSE))</f>
        <v/>
      </c>
      <c r="C1145" s="99"/>
      <c r="D1145" s="57" t="str">
        <f>IF(A1145="","",VLOOKUP(A1145,'6.A'!$A$11:$G$180,4,FALSE))</f>
        <v/>
      </c>
      <c r="E1145" s="100" t="str">
        <f>IF(A1145="","",VLOOKUP(A1145,'6.A'!$A$11:$G$180,5,FALSE))</f>
        <v/>
      </c>
      <c r="F1145" s="24" t="str">
        <f t="shared" si="501"/>
        <v>0,00</v>
      </c>
      <c r="G1145" s="52"/>
      <c r="H1145" s="52" t="str">
        <f>IF(A1145="","",VLOOKUP(A1145,'6.A'!$A$11:$E$7984,5,FALSE))</f>
        <v/>
      </c>
      <c r="I1145" s="52" t="str">
        <f t="shared" si="502"/>
        <v/>
      </c>
      <c r="J1145" s="52" t="str">
        <f>IF(H1145="","",VLOOKUP(A1145,'6.A'!$A$11:$E$564,4,FALSE))</f>
        <v/>
      </c>
      <c r="K1145" s="52" t="str">
        <f t="shared" si="503"/>
        <v/>
      </c>
      <c r="L1145" s="52" t="str">
        <f>IF(H1145="","",IF(C1145="","",G1104*C1145))</f>
        <v/>
      </c>
      <c r="M1145" s="117" t="str">
        <f>IF(A1145="","",VLOOKUP(A1145,'6.A'!$A$11:$C$564,2,FALSE))</f>
        <v/>
      </c>
      <c r="N1145" s="57" t="str">
        <f t="shared" si="504"/>
        <v/>
      </c>
      <c r="O1145" s="56"/>
      <c r="P1145" s="56"/>
      <c r="Q1145" s="48"/>
      <c r="R1145" s="48"/>
    </row>
    <row r="1146" spans="1:22" ht="12.75" customHeight="1" x14ac:dyDescent="0.2">
      <c r="A1146" s="22"/>
      <c r="B1146" s="23" t="str">
        <f>IF(A1146="","",VLOOKUP(A1146,'6.A'!$A$11:$G$180,2,FALSE))</f>
        <v/>
      </c>
      <c r="C1146" s="99"/>
      <c r="D1146" s="57" t="str">
        <f>IF(A1146="","",VLOOKUP(A1146,'6.A'!$A$11:$G$180,4,FALSE))</f>
        <v/>
      </c>
      <c r="E1146" s="100" t="str">
        <f>IF(A1146="","",VLOOKUP(A1146,'6.A'!$A$11:$G$180,5,FALSE))</f>
        <v/>
      </c>
      <c r="F1146" s="24" t="str">
        <f t="shared" si="501"/>
        <v>0,00</v>
      </c>
      <c r="G1146" s="52"/>
      <c r="H1146" s="52" t="str">
        <f>IF(A1146="","",VLOOKUP(A1146,'6.A'!$A$11:$E$7984,5,FALSE))</f>
        <v/>
      </c>
      <c r="I1146" s="52" t="str">
        <f t="shared" si="502"/>
        <v/>
      </c>
      <c r="J1146" s="52" t="str">
        <f>IF(H1146="","",VLOOKUP(A1146,'6.A'!$A$11:$E$564,4,FALSE))</f>
        <v/>
      </c>
      <c r="K1146" s="52" t="str">
        <f t="shared" si="503"/>
        <v/>
      </c>
      <c r="L1146" s="52" t="str">
        <f>IF(H1146="","",IF(C1146="","",G1104*C1146))</f>
        <v/>
      </c>
      <c r="M1146" s="117" t="str">
        <f>IF(A1146="","",VLOOKUP(A1146,'6.A'!$A$11:$C$564,2,FALSE))</f>
        <v/>
      </c>
      <c r="N1146" s="57" t="str">
        <f t="shared" si="504"/>
        <v/>
      </c>
      <c r="O1146" s="56"/>
      <c r="P1146" s="56"/>
      <c r="Q1146" s="48"/>
      <c r="R1146" s="48"/>
    </row>
    <row r="1147" spans="1:22" ht="12.75" customHeight="1" x14ac:dyDescent="0.2">
      <c r="A1147" s="22"/>
      <c r="B1147" s="23" t="str">
        <f>IF(A1147="","",VLOOKUP(A1147,'6.A'!$A$11:$G$180,2,FALSE))</f>
        <v/>
      </c>
      <c r="C1147" s="99"/>
      <c r="D1147" s="57" t="str">
        <f>IF(A1147="","",VLOOKUP(A1147,'6.A'!$A$11:$G$180,4,FALSE))</f>
        <v/>
      </c>
      <c r="E1147" s="100" t="str">
        <f>IF(A1147="","",VLOOKUP(A1147,'6.A'!$A$11:$G$180,5,FALSE))</f>
        <v/>
      </c>
      <c r="F1147" s="24" t="str">
        <f t="shared" si="501"/>
        <v>0,00</v>
      </c>
      <c r="G1147" s="52"/>
      <c r="H1147" s="52" t="str">
        <f>IF(A1147="","",VLOOKUP(A1147,'6.A'!$A$11:$E$7984,5,FALSE))</f>
        <v/>
      </c>
      <c r="I1147" s="52" t="str">
        <f t="shared" si="502"/>
        <v/>
      </c>
      <c r="J1147" s="52" t="str">
        <f>IF(H1147="","",VLOOKUP(A1147,'6.A'!$A$11:$E$564,4,FALSE))</f>
        <v/>
      </c>
      <c r="K1147" s="52" t="str">
        <f t="shared" si="503"/>
        <v/>
      </c>
      <c r="L1147" s="52" t="str">
        <f>IF(H1147="","",IF(C1147="","",G1104*C1147))</f>
        <v/>
      </c>
      <c r="M1147" s="117" t="str">
        <f>IF(A1147="","",VLOOKUP(A1147,'6.A'!$A$11:$C$564,2,FALSE))</f>
        <v/>
      </c>
      <c r="N1147" s="57" t="str">
        <f t="shared" si="504"/>
        <v/>
      </c>
      <c r="O1147" s="56"/>
      <c r="P1147" s="56"/>
      <c r="Q1147" s="48"/>
      <c r="R1147" s="48"/>
    </row>
    <row r="1148" spans="1:22" ht="12.75" customHeight="1" x14ac:dyDescent="0.2">
      <c r="A1148" s="22"/>
      <c r="B1148" s="23" t="str">
        <f>IF(A1148="","",VLOOKUP(A1148,'6.A'!$A$11:$G$180,2,FALSE))</f>
        <v/>
      </c>
      <c r="C1148" s="99"/>
      <c r="D1148" s="57" t="str">
        <f>IF(A1148="","",VLOOKUP(A1148,'6.A'!$A$11:$G$180,4,FALSE))</f>
        <v/>
      </c>
      <c r="E1148" s="100" t="str">
        <f>IF(A1148="","",VLOOKUP(A1148,'6.A'!$A$11:$G$180,5,FALSE))</f>
        <v/>
      </c>
      <c r="F1148" s="24" t="str">
        <f t="shared" si="501"/>
        <v>0,00</v>
      </c>
      <c r="G1148" s="52"/>
      <c r="H1148" s="52" t="str">
        <f>IF(A1148="","",VLOOKUP(A1148,'6.A'!$A$11:$E$7984,5,FALSE))</f>
        <v/>
      </c>
      <c r="I1148" s="52" t="str">
        <f t="shared" si="502"/>
        <v/>
      </c>
      <c r="J1148" s="52" t="str">
        <f>IF(H1148="","",VLOOKUP(A1148,'6.A'!$A$11:$E$564,4,FALSE))</f>
        <v/>
      </c>
      <c r="K1148" s="52" t="str">
        <f t="shared" si="503"/>
        <v/>
      </c>
      <c r="L1148" s="52" t="str">
        <f>IF(H1148="","",IF(C1148="","",G1104*C1148))</f>
        <v/>
      </c>
      <c r="M1148" s="117" t="str">
        <f>IF(A1148="","",VLOOKUP(A1148,'6.A'!$A$11:$C$564,2,FALSE))</f>
        <v/>
      </c>
      <c r="N1148" s="57" t="str">
        <f t="shared" si="504"/>
        <v/>
      </c>
      <c r="O1148" s="56"/>
      <c r="P1148" s="56"/>
      <c r="Q1148" s="48"/>
      <c r="R1148" s="48"/>
    </row>
    <row r="1149" spans="1:22" ht="12.75" customHeight="1" x14ac:dyDescent="0.2">
      <c r="A1149" s="22"/>
      <c r="B1149" s="23" t="str">
        <f>IF(A1149="","",VLOOKUP(A1149,'6.A'!$A$11:$G$180,2,FALSE))</f>
        <v/>
      </c>
      <c r="C1149" s="99"/>
      <c r="D1149" s="57" t="str">
        <f>IF(A1149="","",VLOOKUP(A1149,'6.A'!$A$11:$G$180,4,FALSE))</f>
        <v/>
      </c>
      <c r="E1149" s="100" t="str">
        <f>IF(A1149="","",VLOOKUP(A1149,'6.A'!$A$11:$G$180,5,FALSE))</f>
        <v/>
      </c>
      <c r="F1149" s="24" t="str">
        <f t="shared" si="501"/>
        <v>0,00</v>
      </c>
      <c r="G1149" s="52"/>
      <c r="H1149" s="52" t="str">
        <f>IF(A1149="","",VLOOKUP(A1149,'6.A'!$A$11:$E$7984,5,FALSE))</f>
        <v/>
      </c>
      <c r="I1149" s="52" t="str">
        <f t="shared" si="502"/>
        <v/>
      </c>
      <c r="J1149" s="52" t="str">
        <f>IF(H1149="","",VLOOKUP(A1149,'6.A'!$A$11:$E$564,4,FALSE))</f>
        <v/>
      </c>
      <c r="K1149" s="52" t="str">
        <f t="shared" si="503"/>
        <v/>
      </c>
      <c r="L1149" s="52" t="str">
        <f>IF(H1149="","",IF(C1149="","",G1104*C1149))</f>
        <v/>
      </c>
      <c r="M1149" s="117" t="str">
        <f>IF(A1149="","",VLOOKUP(A1149,'6.A'!$A$11:$C$564,2,FALSE))</f>
        <v/>
      </c>
      <c r="N1149" s="57" t="str">
        <f t="shared" si="504"/>
        <v/>
      </c>
      <c r="O1149" s="56"/>
      <c r="P1149" s="56"/>
      <c r="Q1149" s="48"/>
      <c r="R1149" s="48"/>
    </row>
    <row r="1150" spans="1:22" ht="12.75" customHeight="1" x14ac:dyDescent="0.2">
      <c r="A1150" s="22"/>
      <c r="B1150" s="39" t="str">
        <f>IF(A1150="","",VLOOKUP(A1150,'6.A'!$A$11:$G$180,2,FALSE))</f>
        <v/>
      </c>
      <c r="C1150" s="99"/>
      <c r="D1150" s="57" t="str">
        <f>IF(A1150="","",VLOOKUP(A1150,'6.A'!$A$11:$G$180,4,FALSE))</f>
        <v/>
      </c>
      <c r="E1150" s="100" t="str">
        <f>IF(A1150="","",VLOOKUP(A1150,'6.A'!$A$11:$G$180,5,FALSE))</f>
        <v/>
      </c>
      <c r="F1150" s="24" t="str">
        <f t="shared" si="501"/>
        <v>0,00</v>
      </c>
      <c r="G1150" s="52"/>
      <c r="H1150" s="52" t="str">
        <f>IF(A1150="","",VLOOKUP(A1150,'6.A'!$A$11:$E$7984,5,FALSE))</f>
        <v/>
      </c>
      <c r="I1150" s="52" t="str">
        <f t="shared" si="502"/>
        <v/>
      </c>
      <c r="J1150" s="52" t="str">
        <f>IF(H1150="","",VLOOKUP(A1150,'6.A'!$A$11:$E$564,4,FALSE))</f>
        <v/>
      </c>
      <c r="K1150" s="52" t="str">
        <f t="shared" si="503"/>
        <v/>
      </c>
      <c r="L1150" s="52" t="str">
        <f>IF(H1150="","",IF(C1150="","",G1104*C1150))</f>
        <v/>
      </c>
      <c r="M1150" s="117" t="str">
        <f>IF(A1150="","",VLOOKUP(A1150,'6.A'!$A$11:$C$564,2,FALSE))</f>
        <v/>
      </c>
      <c r="N1150" s="57" t="str">
        <f t="shared" si="504"/>
        <v/>
      </c>
      <c r="O1150" s="56"/>
      <c r="P1150" s="56"/>
      <c r="Q1150" s="48"/>
      <c r="R1150" s="48"/>
    </row>
    <row r="1151" spans="1:22" ht="12.75" customHeight="1" x14ac:dyDescent="0.2">
      <c r="A1151" s="22"/>
      <c r="B1151" s="39" t="str">
        <f>IF(A1151="","",VLOOKUP(A1151,'6.A'!$A$11:$G$180,2,FALSE))</f>
        <v/>
      </c>
      <c r="C1151" s="99"/>
      <c r="D1151" s="57" t="str">
        <f>IF(A1151="","",VLOOKUP(A1151,'6.A'!$A$11:$G$180,4,FALSE))</f>
        <v/>
      </c>
      <c r="E1151" s="100" t="str">
        <f>IF(A1151="","",VLOOKUP(A1151,'6.A'!$A$11:$G$180,5,FALSE))</f>
        <v/>
      </c>
      <c r="F1151" s="24" t="str">
        <f t="shared" si="501"/>
        <v>0,00</v>
      </c>
      <c r="G1151" s="52"/>
      <c r="H1151" s="52" t="str">
        <f>IF(A1151="","",VLOOKUP(A1151,'6.A'!$A$11:$E$7984,5,FALSE))</f>
        <v/>
      </c>
      <c r="I1151" s="52" t="str">
        <f t="shared" si="502"/>
        <v/>
      </c>
      <c r="J1151" s="52" t="str">
        <f>IF(H1151="","",VLOOKUP(A1151,'6.A'!$A$11:$E$564,4,FALSE))</f>
        <v/>
      </c>
      <c r="K1151" s="52" t="str">
        <f t="shared" si="503"/>
        <v/>
      </c>
      <c r="L1151" s="52" t="str">
        <f>IF(H1151="","",IF(C1151="","",G1104*C1151))</f>
        <v/>
      </c>
      <c r="M1151" s="117" t="str">
        <f>IF(A1151="","",VLOOKUP(A1151,'6.A'!$A$11:$C$564,2,FALSE))</f>
        <v/>
      </c>
      <c r="N1151" s="57" t="str">
        <f t="shared" si="504"/>
        <v/>
      </c>
      <c r="O1151" s="56"/>
      <c r="P1151" s="56"/>
      <c r="Q1151" s="48"/>
      <c r="R1151" s="48"/>
    </row>
    <row r="1152" spans="1:22" ht="12.75" customHeight="1" x14ac:dyDescent="0.2">
      <c r="A1152" s="22"/>
      <c r="B1152" s="39" t="str">
        <f>IF(A1152="","",VLOOKUP(A1152,'6.A'!$A$11:$G$180,2,FALSE))</f>
        <v/>
      </c>
      <c r="C1152" s="99"/>
      <c r="D1152" s="57" t="str">
        <f>IF(A1152="","",VLOOKUP(A1152,'6.A'!$A$11:$G$180,4,FALSE))</f>
        <v/>
      </c>
      <c r="E1152" s="100" t="str">
        <f>IF(A1152="","",VLOOKUP(A1152,'6.A'!$A$11:$G$180,5,FALSE))</f>
        <v/>
      </c>
      <c r="F1152" s="24" t="str">
        <f t="shared" si="501"/>
        <v>0,00</v>
      </c>
      <c r="G1152" s="52"/>
      <c r="H1152" s="52" t="str">
        <f>IF(A1152="","",VLOOKUP(A1152,'6.A'!$A$11:$E$7984,5,FALSE))</f>
        <v/>
      </c>
      <c r="I1152" s="52" t="str">
        <f t="shared" si="502"/>
        <v/>
      </c>
      <c r="J1152" s="52" t="str">
        <f>IF(H1152="","",VLOOKUP(A1152,'6.A'!$A$11:$E$564,4,FALSE))</f>
        <v/>
      </c>
      <c r="K1152" s="52" t="str">
        <f t="shared" si="503"/>
        <v/>
      </c>
      <c r="L1152" s="52" t="str">
        <f>IF(H1152="","",IF(C1152="","",G1104*C1152))</f>
        <v/>
      </c>
      <c r="M1152" s="117" t="str">
        <f>IF(A1152="","",VLOOKUP(A1152,'6.A'!$A$11:$C$564,2,FALSE))</f>
        <v/>
      </c>
      <c r="N1152" s="57" t="str">
        <f t="shared" si="504"/>
        <v/>
      </c>
      <c r="O1152" s="56"/>
      <c r="P1152" s="56"/>
      <c r="Q1152" s="48"/>
      <c r="R1152" s="48"/>
    </row>
    <row r="1153" spans="1:23" ht="12.75" customHeight="1" x14ac:dyDescent="0.2">
      <c r="A1153" s="22"/>
      <c r="B1153" s="26" t="str">
        <f>$A$9</f>
        <v>BDI</v>
      </c>
      <c r="C1153" s="40">
        <f>$C$9</f>
        <v>0</v>
      </c>
      <c r="D1153" s="57"/>
      <c r="F1153" s="28">
        <f>ROUND(SUM(F1133:F1152)*C1153,2)</f>
        <v>0</v>
      </c>
      <c r="G1153" s="63"/>
      <c r="M1153" s="57"/>
      <c r="N1153" s="57"/>
      <c r="O1153" s="56"/>
      <c r="P1153" s="56"/>
      <c r="Q1153" s="48"/>
      <c r="R1153" s="48"/>
    </row>
    <row r="1154" spans="1:23" ht="12.75" customHeight="1" thickBot="1" x14ac:dyDescent="0.25">
      <c r="A1154" s="41"/>
      <c r="B1154" s="42" t="s">
        <v>57</v>
      </c>
      <c r="C1154" s="43"/>
      <c r="D1154" s="44"/>
      <c r="E1154" s="45"/>
      <c r="F1154" s="46">
        <f>ROUND(SUM(F1133:F1153),2)</f>
        <v>0</v>
      </c>
      <c r="G1154" s="63"/>
      <c r="M1154" s="57"/>
      <c r="N1154" s="57"/>
      <c r="O1154" s="56"/>
      <c r="P1154" s="56"/>
      <c r="Q1154" s="48"/>
      <c r="R1154" s="48"/>
    </row>
    <row r="1155" spans="1:23" ht="12" customHeight="1" thickBot="1" x14ac:dyDescent="0.25">
      <c r="A1155" s="8"/>
      <c r="B1155" s="9"/>
      <c r="C1155" s="10"/>
      <c r="D1155" s="57"/>
      <c r="F1155" s="12"/>
      <c r="M1155" s="57"/>
      <c r="N1155" s="57"/>
      <c r="O1155" s="56"/>
      <c r="P1155" s="56"/>
    </row>
    <row r="1156" spans="1:23" ht="50.1" customHeight="1" x14ac:dyDescent="0.2">
      <c r="A1156" s="13" t="str">
        <f>'3.A'!$A$41</f>
        <v>3.1.11</v>
      </c>
      <c r="B1156" s="14" t="str">
        <f>IF(A1156="","",VLOOKUP(A1156,'3.A'!$A$17:$M$279,2,FALSE))</f>
        <v>REATERRO MANUAL DE VALAS, COM COMPACTADOR DE SOLOS DE PERCUSSÃO</v>
      </c>
      <c r="C1156" s="413" t="s">
        <v>62</v>
      </c>
      <c r="D1156" s="413"/>
      <c r="E1156" s="15" t="str">
        <f>IF(A1156="","",VLOOKUP(A1156,'3.A'!$A$17:$M$279,3,FALSE))</f>
        <v>M3</v>
      </c>
      <c r="F1156" s="16">
        <f>ROUND(F1170+F1183+F1206,2)</f>
        <v>0</v>
      </c>
      <c r="G1156" s="118">
        <f>VLOOKUP(A1156,'3.A'!$A$19:$I$279,4,FALSE)</f>
        <v>23</v>
      </c>
      <c r="H1156" s="47">
        <f>SUM(F1158:F1169)</f>
        <v>0</v>
      </c>
      <c r="I1156" s="47">
        <f>SUM(F1172:F1182)</f>
        <v>0</v>
      </c>
      <c r="J1156" s="47">
        <f>SUM(F1185:F1205)</f>
        <v>0</v>
      </c>
      <c r="K1156" s="47">
        <f>SUM(H1156:J1156)</f>
        <v>0</v>
      </c>
      <c r="L1156" s="47" t="str">
        <f>IF(K1156=F1156,"SIM","NÃO")</f>
        <v>SIM</v>
      </c>
      <c r="M1156" s="58">
        <f>ROUND(SUM(F1158:F1167)*C1168,2)+ROUND(SUM(F1158:F1168)*C1169,2)+ROUND(SUM(F1158:F1167),2)+ROUND(SUM(F1172:F1181)*C1182,2)+ROUND(SUM(F1172:F1181),2)+ROUND(SUM(F1185:F1204)*C1205,2)+ROUND(SUM(F1185:F1204),2)</f>
        <v>0</v>
      </c>
      <c r="N1156" s="50" t="str">
        <f>IF(M1156=F1156,"SIM","NÃO")</f>
        <v>SIM</v>
      </c>
      <c r="O1156" s="51" t="str">
        <f>VLOOKUP(A1156,'3.A'!$A$8:$E$279,3,FALSE)</f>
        <v>M3</v>
      </c>
      <c r="P1156" s="51" t="str">
        <f>IF(O1156=E1156,"SIM","NÃO")</f>
        <v>SIM</v>
      </c>
      <c r="Q1156" s="53">
        <f>ROUND(G1156*F1170,2)+ROUND(G1156*F1183,2)+ROUND(G1156*F1206,2)</f>
        <v>0</v>
      </c>
      <c r="R1156" s="59">
        <f>VLOOKUP(A1156,'3.A'!$A$17:$L$279,12,FALSE)</f>
        <v>0</v>
      </c>
      <c r="S1156" s="60" t="str">
        <f>IF(Q1156=R1156,"si","no")</f>
        <v>si</v>
      </c>
      <c r="T1156" s="61">
        <f>SUM(L1158:L1167)+SUM(L1172:L1181)+SUM(L1185:L1204)</f>
        <v>22.604399999999998</v>
      </c>
      <c r="U1156" s="52">
        <f>G1156*C1164+G1156*C1166+G1156*C1159+G1156*C1160+G1156*C1162+G1156*C1165+G1156*C1163+G1156*C1158+G1156*C1161+G1156*C1167+G1156*C1178+G1156*C1172+G1156*C1180+G1156*C1179+G1156*C1177+G1156*C1174+G1156*C1173+G1156*C1175+G1156*C1181+G1156*C1176+G1156*C1185+G1156*C1186+G1156*C1187+G1156*C1195+G1156*C1196+G1156*C1197+G1156*C1198+G1156*C1199+G1156*C1200+G1156*C1201+G1156*C1202+G1156*C1203+G1156*C1204+G1156*C1193+G1156*C1194+G1156*C1188+G1156*C1189+G1156*C1190+G1156*C1191+G1156*C1192</f>
        <v>22.604399999999998</v>
      </c>
      <c r="V1156" s="54" t="str">
        <f>IF(T1156=U1156,"si","no")</f>
        <v>si</v>
      </c>
      <c r="W1156" s="137"/>
    </row>
    <row r="1157" spans="1:23" ht="12.75" customHeight="1" x14ac:dyDescent="0.2">
      <c r="A1157" s="17" t="s">
        <v>3</v>
      </c>
      <c r="B1157" s="18" t="s">
        <v>58</v>
      </c>
      <c r="C1157" s="56" t="s">
        <v>59</v>
      </c>
      <c r="D1157" s="56" t="s">
        <v>16</v>
      </c>
      <c r="E1157" s="19" t="s">
        <v>60</v>
      </c>
      <c r="F1157" s="20" t="s">
        <v>61</v>
      </c>
      <c r="G1157" s="21"/>
      <c r="M1157" s="57"/>
      <c r="N1157" s="57"/>
      <c r="O1157" s="56"/>
      <c r="P1157" s="56"/>
      <c r="Q1157" s="48"/>
      <c r="R1157" s="48"/>
    </row>
    <row r="1158" spans="1:23" ht="12.75" customHeight="1" x14ac:dyDescent="0.2">
      <c r="A1158" s="22">
        <f>'6.A'!$A$22</f>
        <v>88316</v>
      </c>
      <c r="B1158" s="23" t="str">
        <f>IF(A1158="","",VLOOKUP(A1158,'6.A'!$A$11:$G$180,2,FALSE))</f>
        <v>SERVENTE COM ENCARGOS COMPLEMENTARES</v>
      </c>
      <c r="C1158" s="99">
        <v>0.78659999999999997</v>
      </c>
      <c r="D1158" s="57" t="str">
        <f>IF(A1158="","",VLOOKUP(A1158,'6.A'!$A$11:$G$180,4,FALSE))</f>
        <v>H</v>
      </c>
      <c r="E1158" s="100">
        <f>IF(A1158="","",VLOOKUP(A1158,'6.A'!$A$11:$G$180,5,FALSE))</f>
        <v>0</v>
      </c>
      <c r="F1158" s="24">
        <f t="shared" ref="F1158:F1167" si="505">IF(A1158="","0,00",ROUND(C1158*E1158,2))</f>
        <v>0</v>
      </c>
      <c r="G1158" s="52"/>
      <c r="H1158" s="52">
        <f>IF(A1158="","",VLOOKUP(A1158,'6.A'!$A$11:$E$7984,5,FALSE))</f>
        <v>0</v>
      </c>
      <c r="I1158" s="52" t="str">
        <f>IF(H1158="","",IF(E1158=H1158,"SIM","NÃO"))</f>
        <v>SIM</v>
      </c>
      <c r="J1158" s="52" t="str">
        <f>IF(H1158="","",VLOOKUP(A1158,'6.A'!$A$11:$E$564,4,FALSE))</f>
        <v>H</v>
      </c>
      <c r="K1158" s="52" t="str">
        <f>IF(H1158="","",IF(J1158=D1158,"SIM","NÃO"))</f>
        <v>SIM</v>
      </c>
      <c r="L1158" s="52">
        <f>IF(H1158="","",IF(C1158="","",G1156*C1158))</f>
        <v>18.091799999999999</v>
      </c>
      <c r="M1158" s="117" t="str">
        <f>IF(A1158="","",VLOOKUP(A1158,'6.A'!$A$11:$C$564,2,FALSE))</f>
        <v>SERVENTE COM ENCARGOS COMPLEMENTARES</v>
      </c>
      <c r="N1158" s="57" t="str">
        <f>IF(A1158="","",IF(M1158=B1158,"si","no"))</f>
        <v>si</v>
      </c>
      <c r="O1158" s="56"/>
      <c r="P1158" s="56"/>
      <c r="Q1158" s="48"/>
      <c r="R1158" s="48"/>
    </row>
    <row r="1159" spans="1:23" ht="12.75" customHeight="1" x14ac:dyDescent="0.2">
      <c r="A1159" s="22"/>
      <c r="B1159" s="23" t="str">
        <f>IF(A1159="","",VLOOKUP(A1159,'6.A'!$A$11:$G$180,2,FALSE))</f>
        <v/>
      </c>
      <c r="C1159" s="99"/>
      <c r="D1159" s="57" t="str">
        <f>IF(A1159="","",VLOOKUP(A1159,'6.A'!$A$11:$G$180,4,FALSE))</f>
        <v/>
      </c>
      <c r="E1159" s="100" t="str">
        <f>IF(A1159="","",VLOOKUP(A1159,'6.A'!$A$11:$G$180,5,FALSE))</f>
        <v/>
      </c>
      <c r="F1159" s="24" t="str">
        <f t="shared" si="505"/>
        <v>0,00</v>
      </c>
      <c r="G1159" s="52"/>
      <c r="H1159" s="52" t="str">
        <f>IF(A1159="","",VLOOKUP(A1159,'6.A'!$A$11:$E$7984,5,FALSE))</f>
        <v/>
      </c>
      <c r="I1159" s="52" t="str">
        <f>IF(H1159="","",IF(E1159=H1159,"SIM","NÃO"))</f>
        <v/>
      </c>
      <c r="J1159" s="52" t="str">
        <f>IF(H1159="","",VLOOKUP(A1159,'6.A'!$A$11:$E$564,4,FALSE))</f>
        <v/>
      </c>
      <c r="K1159" s="52" t="str">
        <f>IF(H1159="","",IF(J1159=D1159,"SIM","NÃO"))</f>
        <v/>
      </c>
      <c r="L1159" s="52" t="str">
        <f>IF(H1159="","",IF(C1159="","",G1156*C1159))</f>
        <v/>
      </c>
      <c r="M1159" s="117" t="str">
        <f>IF(A1159="","",VLOOKUP(A1159,'6.A'!$A$11:$C$564,2,FALSE))</f>
        <v/>
      </c>
      <c r="N1159" s="57" t="str">
        <f>IF(A1159="","",IF(M1159=B1159,"si","no"))</f>
        <v/>
      </c>
      <c r="O1159" s="56"/>
      <c r="P1159" s="56"/>
      <c r="Q1159" s="48"/>
      <c r="R1159" s="48"/>
    </row>
    <row r="1160" spans="1:23" ht="12.75" customHeight="1" x14ac:dyDescent="0.2">
      <c r="A1160" s="22"/>
      <c r="B1160" s="23" t="str">
        <f>IF(A1160="","",VLOOKUP(A1160,'6.A'!$A$11:$G$180,2,FALSE))</f>
        <v/>
      </c>
      <c r="C1160" s="99"/>
      <c r="D1160" s="57" t="str">
        <f>IF(A1160="","",VLOOKUP(A1160,'6.A'!$A$11:$G$180,4,FALSE))</f>
        <v/>
      </c>
      <c r="E1160" s="100" t="str">
        <f>IF(A1160="","",VLOOKUP(A1160,'6.A'!$A$11:$G$180,5,FALSE))</f>
        <v/>
      </c>
      <c r="F1160" s="24" t="str">
        <f t="shared" si="505"/>
        <v>0,00</v>
      </c>
      <c r="G1160" s="52"/>
      <c r="H1160" s="52" t="str">
        <f>IF(A1160="","",VLOOKUP(A1160,'6.A'!$A$11:$E$7984,5,FALSE))</f>
        <v/>
      </c>
      <c r="I1160" s="52" t="str">
        <f>IF(H1160="","",IF(E1160=H1160,"SIM","NÃO"))</f>
        <v/>
      </c>
      <c r="J1160" s="52" t="str">
        <f>IF(H1160="","",VLOOKUP(A1160,'6.A'!$A$11:$E$564,4,FALSE))</f>
        <v/>
      </c>
      <c r="K1160" s="52" t="str">
        <f t="shared" ref="K1160" si="506">IF(H1160="","",IF(J1160=D1160,"SIM","NÃO"))</f>
        <v/>
      </c>
      <c r="L1160" s="52" t="str">
        <f>IF(H1160="","",IF(C1160="","",G1156*C1160))</f>
        <v/>
      </c>
      <c r="M1160" s="117" t="str">
        <f>IF(A1160="","",VLOOKUP(A1160,'6.A'!$A$11:$C$564,2,FALSE))</f>
        <v/>
      </c>
      <c r="N1160" s="57" t="str">
        <f t="shared" ref="N1160" si="507">IF(A1160="","",IF(M1160=B1160,"si","no"))</f>
        <v/>
      </c>
      <c r="O1160" s="56"/>
      <c r="P1160" s="56"/>
      <c r="Q1160" s="48"/>
      <c r="R1160" s="48"/>
      <c r="S1160" s="2"/>
    </row>
    <row r="1161" spans="1:23" ht="12.75" customHeight="1" x14ac:dyDescent="0.2">
      <c r="A1161" s="22"/>
      <c r="B1161" s="23" t="str">
        <f>IF(A1161="","",VLOOKUP(A1161,'6.A'!$A$11:$G$180,2,FALSE))</f>
        <v/>
      </c>
      <c r="C1161" s="99"/>
      <c r="D1161" s="57" t="str">
        <f>IF(A1161="","",VLOOKUP(A1161,'6.A'!$A$11:$G$180,4,FALSE))</f>
        <v/>
      </c>
      <c r="E1161" s="100" t="str">
        <f>IF(A1161="","",VLOOKUP(A1161,'6.A'!$A$11:$G$180,5,FALSE))</f>
        <v/>
      </c>
      <c r="F1161" s="24" t="str">
        <f t="shared" si="505"/>
        <v>0,00</v>
      </c>
      <c r="G1161" s="52"/>
      <c r="H1161" s="52" t="str">
        <f>IF(A1161="","",VLOOKUP(A1161,'6.A'!$A$11:$E$7984,5,FALSE))</f>
        <v/>
      </c>
      <c r="I1161" s="52" t="str">
        <f>IF(H1161="","",IF(E1161=H1161,"SIM","NÃO"))</f>
        <v/>
      </c>
      <c r="J1161" s="52" t="str">
        <f>IF(H1161="","",VLOOKUP(A1161,'6.A'!$A$11:$E$564,4,FALSE))</f>
        <v/>
      </c>
      <c r="K1161" s="52" t="str">
        <f>IF(H1161="","",IF(J1161=D1161,"SIM","NÃO"))</f>
        <v/>
      </c>
      <c r="L1161" s="52" t="str">
        <f>IF(H1161="","",IF(C1161="","",G1156*C1161))</f>
        <v/>
      </c>
      <c r="M1161" s="117" t="str">
        <f>IF(A1161="","",VLOOKUP(A1161,'6.A'!$A$11:$C$564,2,FALSE))</f>
        <v/>
      </c>
      <c r="N1161" s="57" t="str">
        <f>IF(A1161="","",IF(M1161=B1161,"si","no"))</f>
        <v/>
      </c>
      <c r="O1161" s="56"/>
      <c r="P1161" s="56"/>
      <c r="Q1161" s="48"/>
      <c r="R1161" s="48"/>
      <c r="S1161" s="2"/>
    </row>
    <row r="1162" spans="1:23" ht="12.75" customHeight="1" x14ac:dyDescent="0.2">
      <c r="A1162" s="22"/>
      <c r="B1162" s="23" t="str">
        <f>IF(A1162="","",VLOOKUP(A1162,'6.A'!$A$11:$G$180,2,FALSE))</f>
        <v/>
      </c>
      <c r="C1162" s="99"/>
      <c r="D1162" s="57" t="str">
        <f>IF(A1162="","",VLOOKUP(A1162,'6.A'!$A$11:$G$180,4,FALSE))</f>
        <v/>
      </c>
      <c r="E1162" s="101" t="str">
        <f>IF(A1162="","",VLOOKUP(A1162,'6.A'!$A$11:$G$180,5,FALSE))</f>
        <v/>
      </c>
      <c r="F1162" s="24" t="str">
        <f t="shared" si="505"/>
        <v>0,00</v>
      </c>
      <c r="G1162" s="52"/>
      <c r="H1162" s="52" t="str">
        <f>IF(A1162="","",VLOOKUP(A1162,'6.A'!$A$11:$E$7984,5,FALSE))</f>
        <v/>
      </c>
      <c r="I1162" s="52" t="str">
        <f t="shared" ref="I1162" si="508">IF(H1162="","",IF(E1162=H1162,"SIM","NÃO"))</f>
        <v/>
      </c>
      <c r="J1162" s="52" t="str">
        <f>IF(H1162="","",VLOOKUP(A1162,'6.A'!$A$11:$E$564,4,FALSE))</f>
        <v/>
      </c>
      <c r="K1162" s="52" t="str">
        <f t="shared" ref="K1162" si="509">IF(H1162="","",IF(J1162=D1162,"SIM","NÃO"))</f>
        <v/>
      </c>
      <c r="L1162" s="52" t="str">
        <f>IF(H1162="","",IF(C1162="","",G1156*C1162))</f>
        <v/>
      </c>
      <c r="M1162" s="117" t="str">
        <f>IF(A1162="","",VLOOKUP(A1162,'6.A'!$A$11:$C$564,2,FALSE))</f>
        <v/>
      </c>
      <c r="N1162" s="57" t="str">
        <f t="shared" ref="N1162" si="510">IF(A1162="","",IF(M1162=B1162,"si","no"))</f>
        <v/>
      </c>
      <c r="O1162" s="56"/>
      <c r="P1162" s="56"/>
      <c r="Q1162" s="48"/>
      <c r="R1162" s="48"/>
      <c r="S1162" s="2"/>
    </row>
    <row r="1163" spans="1:23" ht="12.75" customHeight="1" x14ac:dyDescent="0.2">
      <c r="A1163" s="22"/>
      <c r="B1163" s="23" t="str">
        <f>IF(A1163="","",VLOOKUP(A1163,'6.A'!$A$11:$G$180,2,FALSE))</f>
        <v/>
      </c>
      <c r="C1163" s="99"/>
      <c r="D1163" s="57" t="str">
        <f>IF(A1163="","",VLOOKUP(A1163,'6.A'!$A$11:$G$180,4,FALSE))</f>
        <v/>
      </c>
      <c r="E1163" s="101" t="str">
        <f>IF(A1163="","",VLOOKUP(A1163,'6.A'!$A$11:$G$180,5,FALSE))</f>
        <v/>
      </c>
      <c r="F1163" s="24" t="str">
        <f t="shared" si="505"/>
        <v>0,00</v>
      </c>
      <c r="G1163" s="52"/>
      <c r="H1163" s="52" t="str">
        <f>IF(A1163="","",VLOOKUP(A1163,'6.A'!$A$11:$E$7984,5,FALSE))</f>
        <v/>
      </c>
      <c r="I1163" s="52" t="str">
        <f>IF(H1163="","",IF(E1163=H1163,"SIM","NÃO"))</f>
        <v/>
      </c>
      <c r="J1163" s="52" t="str">
        <f>IF(H1163="","",VLOOKUP(A1163,'6.A'!$A$11:$E$564,4,FALSE))</f>
        <v/>
      </c>
      <c r="K1163" s="52" t="str">
        <f>IF(H1163="","",IF(J1163=D1163,"SIM","NÃO"))</f>
        <v/>
      </c>
      <c r="L1163" s="52" t="str">
        <f>IF(H1163="","",IF(C1163="","",G1156*C1163))</f>
        <v/>
      </c>
      <c r="M1163" s="117" t="str">
        <f>IF(A1163="","",VLOOKUP(A1163,'6.A'!$A$11:$C$564,2,FALSE))</f>
        <v/>
      </c>
      <c r="N1163" s="57" t="str">
        <f>IF(A1163="","",IF(M1163=B1163,"si","no"))</f>
        <v/>
      </c>
      <c r="O1163" s="56"/>
      <c r="P1163" s="56"/>
      <c r="Q1163" s="48"/>
      <c r="R1163" s="48"/>
      <c r="S1163" s="2"/>
    </row>
    <row r="1164" spans="1:23" ht="12.75" customHeight="1" x14ac:dyDescent="0.2">
      <c r="A1164" s="22"/>
      <c r="B1164" s="23" t="str">
        <f>IF(A1164="","",VLOOKUP(A1164,'6.A'!$A$11:$G$180,2,FALSE))</f>
        <v/>
      </c>
      <c r="C1164" s="99"/>
      <c r="D1164" s="57" t="str">
        <f>IF(A1164="","",VLOOKUP(A1164,'6.A'!$A$11:$G$180,4,FALSE))</f>
        <v/>
      </c>
      <c r="E1164" s="100" t="str">
        <f>IF(A1164="","",VLOOKUP(A1164,'6.A'!$A$11:$G$180,5,FALSE))</f>
        <v/>
      </c>
      <c r="F1164" s="24" t="str">
        <f t="shared" si="505"/>
        <v>0,00</v>
      </c>
      <c r="G1164" s="52"/>
      <c r="H1164" s="52" t="str">
        <f>IF(A1164="","",VLOOKUP(A1164,'6.A'!$A$11:$E$7984,5,FALSE))</f>
        <v/>
      </c>
      <c r="I1164" s="52" t="str">
        <f>IF(H1164="","",IF(E1164=H1164,"SIM","NÃO"))</f>
        <v/>
      </c>
      <c r="J1164" s="52" t="str">
        <f>IF(H1164="","",VLOOKUP(A1164,'6.A'!$A$11:$E$564,4,FALSE))</f>
        <v/>
      </c>
      <c r="K1164" s="52" t="str">
        <f>IF(H1164="","",IF(J1164=D1164,"SIM","NÃO"))</f>
        <v/>
      </c>
      <c r="L1164" s="52" t="str">
        <f>IF(H1164="","",IF(C1164="","",G1156*C1164))</f>
        <v/>
      </c>
      <c r="M1164" s="117" t="str">
        <f>IF(A1164="","",VLOOKUP(A1164,'6.A'!$A$11:$C$564,2,FALSE))</f>
        <v/>
      </c>
      <c r="N1164" s="57" t="str">
        <f>IF(A1164="","",IF(M1164=B1164,"si","no"))</f>
        <v/>
      </c>
      <c r="O1164" s="56"/>
      <c r="P1164" s="56"/>
      <c r="Q1164" s="48"/>
      <c r="R1164" s="48"/>
      <c r="S1164" s="2"/>
    </row>
    <row r="1165" spans="1:23" ht="12.75" customHeight="1" x14ac:dyDescent="0.2">
      <c r="A1165" s="22"/>
      <c r="B1165" s="23" t="str">
        <f>IF(A1165="","",VLOOKUP(A1165,'6.A'!$A$11:$G$180,2,FALSE))</f>
        <v/>
      </c>
      <c r="C1165" s="99"/>
      <c r="D1165" s="57" t="str">
        <f>IF(A1165="","",VLOOKUP(A1165,'6.A'!$A$11:$G$180,4,FALSE))</f>
        <v/>
      </c>
      <c r="E1165" s="100" t="str">
        <f>IF(A1165="","",VLOOKUP(A1165,'6.A'!$A$11:$G$180,5,FALSE))</f>
        <v/>
      </c>
      <c r="F1165" s="24" t="str">
        <f t="shared" si="505"/>
        <v>0,00</v>
      </c>
      <c r="G1165" s="52"/>
      <c r="H1165" s="52" t="str">
        <f>IF(A1165="","",VLOOKUP(A1165,'6.A'!$A$11:$E$7984,5,FALSE))</f>
        <v/>
      </c>
      <c r="I1165" s="52" t="str">
        <f t="shared" ref="I1165" si="511">IF(H1165="","",IF(E1165=H1165,"SIM","NÃO"))</f>
        <v/>
      </c>
      <c r="J1165" s="52" t="str">
        <f>IF(H1165="","",VLOOKUP(A1165,'6.A'!$A$11:$E$564,4,FALSE))</f>
        <v/>
      </c>
      <c r="K1165" s="52" t="str">
        <f t="shared" ref="K1165" si="512">IF(H1165="","",IF(J1165=D1165,"SIM","NÃO"))</f>
        <v/>
      </c>
      <c r="L1165" s="52" t="str">
        <f>IF(H1165="","",IF(C1165="","",G1156*C1165))</f>
        <v/>
      </c>
      <c r="M1165" s="117" t="str">
        <f>IF(A1165="","",VLOOKUP(A1165,'6.A'!$A$11:$C$564,2,FALSE))</f>
        <v/>
      </c>
      <c r="N1165" s="57" t="str">
        <f t="shared" ref="N1165" si="513">IF(A1165="","",IF(M1165=B1165,"si","no"))</f>
        <v/>
      </c>
      <c r="O1165" s="56"/>
      <c r="P1165" s="56"/>
      <c r="Q1165" s="48"/>
      <c r="R1165" s="48"/>
      <c r="S1165" s="2"/>
    </row>
    <row r="1166" spans="1:23" ht="12.75" customHeight="1" x14ac:dyDescent="0.2">
      <c r="A1166" s="22"/>
      <c r="B1166" s="23" t="str">
        <f>IF(A1166="","",VLOOKUP(A1166,'6.A'!$A$11:$G$180,2,FALSE))</f>
        <v/>
      </c>
      <c r="C1166" s="99"/>
      <c r="D1166" s="73" t="str">
        <f>IF(A1166="","",VLOOKUP(A1166,'6.A'!$A$11:$G$180,4,FALSE))</f>
        <v/>
      </c>
      <c r="E1166" s="101" t="str">
        <f>IF(A1166="","",VLOOKUP(A1166,'6.A'!$A$11:$G$180,5,FALSE))</f>
        <v/>
      </c>
      <c r="F1166" s="24" t="str">
        <f t="shared" si="505"/>
        <v>0,00</v>
      </c>
      <c r="G1166" s="52"/>
      <c r="H1166" s="52" t="str">
        <f>IF(A1166="","",VLOOKUP(A1166,'6.A'!$A$11:$E$7984,5,FALSE))</f>
        <v/>
      </c>
      <c r="I1166" s="52" t="str">
        <f>IF(H1166="","",IF(E1166=H1166,"SIM","NÃO"))</f>
        <v/>
      </c>
      <c r="J1166" s="52" t="str">
        <f>IF(H1166="","",VLOOKUP(A1166,'6.A'!$A$11:$E$564,4,FALSE))</f>
        <v/>
      </c>
      <c r="K1166" s="52" t="str">
        <f>IF(H1166="","",IF(J1166=D1166,"SIM","NÃO"))</f>
        <v/>
      </c>
      <c r="L1166" s="52" t="str">
        <f>IF(H1166="","",IF(C1166="","",G1156*C1166))</f>
        <v/>
      </c>
      <c r="M1166" s="117" t="str">
        <f>IF(A1166="","",VLOOKUP(A1166,'6.A'!$A$11:$C$564,2,FALSE))</f>
        <v/>
      </c>
      <c r="N1166" s="57" t="str">
        <f>IF(A1166="","",IF(M1166=B1166,"si","no"))</f>
        <v/>
      </c>
      <c r="O1166" s="56"/>
      <c r="P1166" s="56"/>
      <c r="Q1166" s="48"/>
      <c r="R1166" s="48"/>
      <c r="S1166" s="2"/>
    </row>
    <row r="1167" spans="1:23" ht="12.75" customHeight="1" x14ac:dyDescent="0.2">
      <c r="A1167" s="22"/>
      <c r="B1167" s="23" t="str">
        <f>IF(A1167="","",VLOOKUP(A1167,'6.A'!$A$11:$G$180,2,FALSE))</f>
        <v/>
      </c>
      <c r="C1167" s="99"/>
      <c r="D1167" s="25" t="str">
        <f>IF(A1167="","",VLOOKUP(A1167,'6.A'!$A$11:$G$180,4,FALSE))</f>
        <v/>
      </c>
      <c r="E1167" s="101" t="str">
        <f>IF(A1167="","",VLOOKUP(A1167,'6.A'!$A$11:$G$180,5,FALSE))</f>
        <v/>
      </c>
      <c r="F1167" s="24" t="str">
        <f t="shared" si="505"/>
        <v>0,00</v>
      </c>
      <c r="G1167" s="52"/>
      <c r="H1167" s="52" t="str">
        <f>IF(A1167="","",VLOOKUP(A1167,'6.A'!$A$11:$E$7984,5,FALSE))</f>
        <v/>
      </c>
      <c r="I1167" s="52" t="str">
        <f t="shared" ref="I1167" si="514">IF(H1167="","",IF(E1167=H1167,"SIM","NÃO"))</f>
        <v/>
      </c>
      <c r="J1167" s="52" t="str">
        <f>IF(H1167="","",VLOOKUP(A1167,'6.A'!$A$11:$E$564,4,FALSE))</f>
        <v/>
      </c>
      <c r="K1167" s="52" t="str">
        <f t="shared" ref="K1167" si="515">IF(H1167="","",IF(J1167=D1167,"SIM","NÃO"))</f>
        <v/>
      </c>
      <c r="L1167" s="52" t="str">
        <f>IF(H1167="","",IF(C1167="","",G1156*C1167))</f>
        <v/>
      </c>
      <c r="M1167" s="117" t="str">
        <f>IF(A1167="","",VLOOKUP(A1167,'6.A'!$A$11:$C$564,2,FALSE))</f>
        <v/>
      </c>
      <c r="N1167" s="57" t="str">
        <f t="shared" ref="N1167" si="516">IF(A1167="","",IF(M1167=B1167,"si","no"))</f>
        <v/>
      </c>
      <c r="O1167" s="56"/>
      <c r="P1167" s="56"/>
      <c r="Q1167" s="48"/>
      <c r="R1167" s="48"/>
      <c r="S1167" s="2"/>
    </row>
    <row r="1168" spans="1:23" ht="12.75" customHeight="1" x14ac:dyDescent="0.2">
      <c r="A1168" s="17"/>
      <c r="B1168" s="26" t="str">
        <f>$A$8</f>
        <v>LEIS SOCIAIS HORISTA - JORNADA NORMAL</v>
      </c>
      <c r="C1168" s="27">
        <f>$C$8</f>
        <v>0</v>
      </c>
      <c r="D1168" s="57"/>
      <c r="F1168" s="28">
        <f>ROUND(SUM(F1158:F1167)*C1168,2)</f>
        <v>0</v>
      </c>
      <c r="G1168" s="63"/>
      <c r="M1168" s="62"/>
      <c r="N1168" s="57"/>
      <c r="O1168" s="56"/>
      <c r="P1168" s="56"/>
      <c r="Q1168" s="48"/>
      <c r="R1168" s="48"/>
      <c r="S1168" s="2"/>
    </row>
    <row r="1169" spans="1:19" ht="12.75" customHeight="1" x14ac:dyDescent="0.2">
      <c r="A1169" s="22"/>
      <c r="B1169" s="26" t="str">
        <f>$A$9</f>
        <v>BDI</v>
      </c>
      <c r="C1169" s="27">
        <f>$C$9</f>
        <v>0</v>
      </c>
      <c r="D1169" s="29"/>
      <c r="F1169" s="28">
        <f>ROUND(SUM(F1158:F1168)*C1169,2)</f>
        <v>0</v>
      </c>
      <c r="G1169" s="63"/>
      <c r="M1169" s="62"/>
      <c r="N1169" s="57"/>
      <c r="O1169" s="56"/>
      <c r="P1169" s="56"/>
      <c r="Q1169" s="48"/>
      <c r="R1169" s="48"/>
      <c r="S1169" s="2"/>
    </row>
    <row r="1170" spans="1:19" ht="12.75" customHeight="1" x14ac:dyDescent="0.2">
      <c r="A1170" s="30"/>
      <c r="B1170" s="31" t="s">
        <v>56</v>
      </c>
      <c r="C1170" s="32"/>
      <c r="D1170" s="33"/>
      <c r="E1170" s="34"/>
      <c r="F1170" s="35">
        <f>ROUND(SUM(F1158:F1169),2)</f>
        <v>0</v>
      </c>
      <c r="G1170" s="63"/>
      <c r="M1170" s="62"/>
      <c r="N1170" s="57"/>
      <c r="O1170" s="56"/>
      <c r="P1170" s="56"/>
      <c r="Q1170" s="48"/>
      <c r="R1170" s="48"/>
      <c r="S1170" s="2"/>
    </row>
    <row r="1171" spans="1:19" ht="12.75" customHeight="1" x14ac:dyDescent="0.2">
      <c r="A1171" s="17" t="s">
        <v>5</v>
      </c>
      <c r="B1171" s="153" t="s">
        <v>130</v>
      </c>
      <c r="C1171" s="56" t="s">
        <v>59</v>
      </c>
      <c r="D1171" s="56" t="s">
        <v>16</v>
      </c>
      <c r="E1171" s="19" t="s">
        <v>60</v>
      </c>
      <c r="F1171" s="20" t="s">
        <v>61</v>
      </c>
      <c r="G1171" s="21"/>
      <c r="M1171" s="62"/>
      <c r="N1171" s="57"/>
      <c r="O1171" s="56"/>
      <c r="P1171" s="56"/>
      <c r="Q1171" s="48"/>
      <c r="R1171" s="48"/>
      <c r="S1171" s="2"/>
    </row>
    <row r="1172" spans="1:19" ht="12.75" customHeight="1" x14ac:dyDescent="0.2">
      <c r="A1172" s="22">
        <f>'6.A'!$A$36</f>
        <v>91533</v>
      </c>
      <c r="B1172" s="23" t="str">
        <f>IF(A1172="","",VLOOKUP(A1172,'6.A'!$A$11:$G$180,2,FALSE))</f>
        <v>COMPACTADOR DE SOLOS DE PERCUSSÃO COM MOTOR A GASOLINA 4 TEMPOS, POTÊNCIA 4 CV - CHP</v>
      </c>
      <c r="C1172" s="99">
        <v>0.19620000000000001</v>
      </c>
      <c r="D1172" s="57" t="str">
        <f>IF(A1172="","",VLOOKUP(A1172,'6.A'!$A$11:$G$180,4,FALSE))</f>
        <v>CHP</v>
      </c>
      <c r="E1172" s="100">
        <f>IF(A1172="","",VLOOKUP(A1172,'6.A'!$A$11:$G$180,5,FALSE))</f>
        <v>0</v>
      </c>
      <c r="F1172" s="24">
        <f t="shared" ref="F1172:F1181" si="517">IF(A1172="","0,00",ROUND(C1172*E1172,2))</f>
        <v>0</v>
      </c>
      <c r="G1172" s="52"/>
      <c r="H1172" s="52">
        <f>IF(A1172="","",VLOOKUP(A1172,'6.A'!$A$11:$E$7984,5,FALSE))</f>
        <v>0</v>
      </c>
      <c r="I1172" s="52" t="str">
        <f t="shared" ref="I1172:I1181" si="518">IF(H1172="","",IF(E1172=H1172,"SIM","NÃO"))</f>
        <v>SIM</v>
      </c>
      <c r="J1172" s="52" t="str">
        <f>IF(H1172="","",VLOOKUP(A1172,'6.A'!$A$11:$E$564,4,FALSE))</f>
        <v>CHP</v>
      </c>
      <c r="K1172" s="52" t="str">
        <f t="shared" ref="K1172:K1181" si="519">IF(H1172="","",IF(J1172=D1172,"SIM","NÃO"))</f>
        <v>SIM</v>
      </c>
      <c r="L1172" s="52">
        <f>IF(H1172="","",IF(C1172="","",G1156*C1172))</f>
        <v>4.5125999999999999</v>
      </c>
      <c r="M1172" s="117" t="str">
        <f>IF(A1172="","",VLOOKUP(A1172,'6.A'!$A$11:$C$564,2,FALSE))</f>
        <v>COMPACTADOR DE SOLOS DE PERCUSSÃO COM MOTOR A GASOLINA 4 TEMPOS, POTÊNCIA 4 CV - CHP</v>
      </c>
      <c r="N1172" s="57" t="str">
        <f t="shared" ref="N1172:N1177" si="520">IF(A1172="","",IF(M1172=B1172,"si","no"))</f>
        <v>si</v>
      </c>
      <c r="O1172" s="56"/>
      <c r="P1172" s="56"/>
      <c r="Q1172" s="48"/>
      <c r="R1172" s="48"/>
      <c r="S1172" s="2"/>
    </row>
    <row r="1173" spans="1:19" ht="12.75" customHeight="1" x14ac:dyDescent="0.2">
      <c r="A1173" s="22"/>
      <c r="B1173" s="23"/>
      <c r="C1173" s="99"/>
      <c r="D1173" s="57"/>
      <c r="E1173" s="100"/>
      <c r="F1173" s="24" t="str">
        <f>IF(A1173="","0,00",ROUND(C1173*E1173,2))</f>
        <v>0,00</v>
      </c>
      <c r="G1173" s="52"/>
      <c r="H1173" s="52" t="str">
        <f>IF(A1173="","",VLOOKUP(A1173,'6.A'!$A$11:$E$7984,5,FALSE))</f>
        <v/>
      </c>
      <c r="I1173" s="52" t="str">
        <f>IF(H1173="","",IF(E1173=H1173,"SIM","NÃO"))</f>
        <v/>
      </c>
      <c r="J1173" s="52" t="str">
        <f>IF(H1173="","",VLOOKUP(A1173,'6.A'!$A$11:$E$564,4,FALSE))</f>
        <v/>
      </c>
      <c r="K1173" s="52" t="str">
        <f>IF(H1173="","",IF(J1173=D1173,"SIM","NÃO"))</f>
        <v/>
      </c>
      <c r="L1173" s="52" t="str">
        <f>IF(H1173="","",IF(C1173="","",G1156*C1173))</f>
        <v/>
      </c>
      <c r="M1173" s="117" t="str">
        <f>IF(A1173="","",VLOOKUP(A1173,'6.A'!$A$11:$C$564,2,FALSE))</f>
        <v/>
      </c>
      <c r="N1173" s="57" t="str">
        <f>IF(A1173="","",IF(M1173=B1173,"si","no"))</f>
        <v/>
      </c>
      <c r="O1173" s="56"/>
      <c r="P1173" s="56"/>
      <c r="Q1173" s="48"/>
      <c r="R1173" s="48"/>
      <c r="S1173" s="2"/>
    </row>
    <row r="1174" spans="1:19" ht="12.75" customHeight="1" x14ac:dyDescent="0.2">
      <c r="A1174" s="22"/>
      <c r="B1174" s="23"/>
      <c r="C1174" s="99"/>
      <c r="D1174" s="57"/>
      <c r="E1174" s="100"/>
      <c r="F1174" s="24" t="str">
        <f>IF(A1174="","0,00",ROUND(C1174*E1174,2))</f>
        <v>0,00</v>
      </c>
      <c r="G1174" s="52"/>
      <c r="H1174" s="52" t="str">
        <f>IF(A1174="","",VLOOKUP(A1174,'6.A'!$A$11:$E$7984,5,FALSE))</f>
        <v/>
      </c>
      <c r="I1174" s="52" t="str">
        <f>IF(H1174="","",IF(E1174=H1174,"SIM","NÃO"))</f>
        <v/>
      </c>
      <c r="J1174" s="52" t="str">
        <f>IF(H1174="","",VLOOKUP(A1174,'6.A'!$A$11:$E$564,4,FALSE))</f>
        <v/>
      </c>
      <c r="K1174" s="52" t="str">
        <f>IF(H1174="","",IF(J1174=D1174,"SIM","NÃO"))</f>
        <v/>
      </c>
      <c r="L1174" s="52" t="str">
        <f>IF(H1174="","",IF(C1174="","",G1156*C1174))</f>
        <v/>
      </c>
      <c r="M1174" s="117" t="str">
        <f>IF(A1174="","",VLOOKUP(A1174,'6.A'!$A$11:$C$564,2,FALSE))</f>
        <v/>
      </c>
      <c r="N1174" s="57" t="str">
        <f>IF(A1174="","",IF(M1174=B1174,"si","no"))</f>
        <v/>
      </c>
      <c r="O1174" s="56"/>
      <c r="P1174" s="56"/>
      <c r="Q1174" s="48"/>
      <c r="R1174" s="48"/>
      <c r="S1174" s="2"/>
    </row>
    <row r="1175" spans="1:19" ht="12.75" customHeight="1" x14ac:dyDescent="0.2">
      <c r="A1175" s="22"/>
      <c r="B1175" s="55" t="str">
        <f>IF(A1175="","",VLOOKUP(A1175,'6.A'!$A$11:$G$180,2,FALSE))</f>
        <v/>
      </c>
      <c r="C1175" s="134"/>
      <c r="D1175" s="57" t="str">
        <f>IF(A1175="","",VLOOKUP(A1175,'6.A'!$A$11:$G$180,4,FALSE))</f>
        <v/>
      </c>
      <c r="E1175" s="100" t="str">
        <f>IF(A1175="","",VLOOKUP(A1175,'6.A'!$A$11:$G$180,5,FALSE))</f>
        <v/>
      </c>
      <c r="F1175" s="24" t="str">
        <f t="shared" si="517"/>
        <v>0,00</v>
      </c>
      <c r="G1175" s="52"/>
      <c r="H1175" s="52" t="str">
        <f>IF(A1175="","",VLOOKUP(A1175,'6.A'!$A$11:$E$7984,5,FALSE))</f>
        <v/>
      </c>
      <c r="I1175" s="52" t="str">
        <f t="shared" si="518"/>
        <v/>
      </c>
      <c r="J1175" s="52" t="str">
        <f>IF(H1175="","",VLOOKUP(A1175,'6.A'!$A$11:$E$564,4,FALSE))</f>
        <v/>
      </c>
      <c r="K1175" s="52" t="str">
        <f t="shared" si="519"/>
        <v/>
      </c>
      <c r="L1175" s="52" t="str">
        <f>IF(H1175="","",IF(C1175="","",G1156*C1175))</f>
        <v/>
      </c>
      <c r="M1175" s="117" t="str">
        <f>IF(A1175="","",VLOOKUP(A1175,'6.A'!$A$11:$C$564,2,FALSE))</f>
        <v/>
      </c>
      <c r="N1175" s="57" t="str">
        <f t="shared" si="520"/>
        <v/>
      </c>
      <c r="O1175" s="56"/>
      <c r="P1175" s="56"/>
      <c r="Q1175" s="48"/>
      <c r="R1175" s="48"/>
      <c r="S1175" s="2"/>
    </row>
    <row r="1176" spans="1:19" ht="12.75" customHeight="1" x14ac:dyDescent="0.2">
      <c r="A1176" s="22"/>
      <c r="B1176" s="23" t="str">
        <f>IF(A1176="","",VLOOKUP(A1176,'6.A'!$A$11:$G$180,2,FALSE))</f>
        <v/>
      </c>
      <c r="C1176" s="99"/>
      <c r="D1176" s="57" t="str">
        <f>IF(A1176="","",VLOOKUP(A1176,'6.A'!$A$11:$G$180,4,FALSE))</f>
        <v/>
      </c>
      <c r="E1176" s="100" t="str">
        <f>IF(A1176="","",VLOOKUP(A1176,'6.A'!$A$11:$G$180,5,FALSE))</f>
        <v/>
      </c>
      <c r="F1176" s="24" t="str">
        <f t="shared" si="517"/>
        <v>0,00</v>
      </c>
      <c r="G1176" s="52"/>
      <c r="H1176" s="52" t="str">
        <f>IF(A1176="","",VLOOKUP(A1176,'6.A'!$A$11:$E$7984,5,FALSE))</f>
        <v/>
      </c>
      <c r="I1176" s="52" t="str">
        <f t="shared" si="518"/>
        <v/>
      </c>
      <c r="J1176" s="52" t="str">
        <f>IF(H1176="","",VLOOKUP(A1176,'6.A'!$A$11:$E$564,4,FALSE))</f>
        <v/>
      </c>
      <c r="K1176" s="52" t="str">
        <f t="shared" si="519"/>
        <v/>
      </c>
      <c r="L1176" s="52" t="str">
        <f>IF(H1176="","",IF(C1176="","",G1156*C1176))</f>
        <v/>
      </c>
      <c r="M1176" s="117" t="str">
        <f>IF(A1176="","",VLOOKUP(A1176,'6.A'!$A$11:$C$564,2,FALSE))</f>
        <v/>
      </c>
      <c r="N1176" s="57" t="str">
        <f t="shared" si="520"/>
        <v/>
      </c>
      <c r="O1176" s="56"/>
      <c r="P1176" s="56"/>
      <c r="Q1176" s="48"/>
      <c r="R1176" s="48"/>
      <c r="S1176" s="2"/>
    </row>
    <row r="1177" spans="1:19" ht="12.75" customHeight="1" x14ac:dyDescent="0.2">
      <c r="A1177" s="22"/>
      <c r="B1177" s="23" t="str">
        <f>IF(A1177="","",VLOOKUP(A1177,'6.A'!$A$11:$G$180,2,FALSE))</f>
        <v/>
      </c>
      <c r="C1177" s="99"/>
      <c r="D1177" s="57" t="str">
        <f>IF(A1177="","",VLOOKUP(A1177,'6.A'!$A$11:$G$180,4,FALSE))</f>
        <v/>
      </c>
      <c r="E1177" s="100" t="str">
        <f>IF(A1177="","",VLOOKUP(A1177,'6.A'!$A$11:$G$180,5,FALSE))</f>
        <v/>
      </c>
      <c r="F1177" s="24" t="str">
        <f t="shared" si="517"/>
        <v>0,00</v>
      </c>
      <c r="G1177" s="52"/>
      <c r="H1177" s="52" t="str">
        <f>IF(A1177="","",VLOOKUP(A1177,'6.A'!$A$11:$E$7984,5,FALSE))</f>
        <v/>
      </c>
      <c r="I1177" s="52" t="str">
        <f t="shared" si="518"/>
        <v/>
      </c>
      <c r="J1177" s="52" t="str">
        <f>IF(H1177="","",VLOOKUP(A1177,'6.A'!$A$11:$E$564,4,FALSE))</f>
        <v/>
      </c>
      <c r="K1177" s="52" t="str">
        <f t="shared" si="519"/>
        <v/>
      </c>
      <c r="L1177" s="52" t="str">
        <f>IF(H1177="","",IF(C1177="","",G1156*C1177))</f>
        <v/>
      </c>
      <c r="M1177" s="117" t="str">
        <f>IF(A1177="","",VLOOKUP(A1177,'6.A'!$A$11:$C$564,2,FALSE))</f>
        <v/>
      </c>
      <c r="N1177" s="57" t="str">
        <f t="shared" si="520"/>
        <v/>
      </c>
      <c r="O1177" s="56"/>
      <c r="P1177" s="56"/>
      <c r="Q1177" s="48"/>
      <c r="R1177" s="48"/>
      <c r="S1177" s="2"/>
    </row>
    <row r="1178" spans="1:19" ht="12.75" customHeight="1" x14ac:dyDescent="0.2">
      <c r="A1178" s="22"/>
      <c r="B1178" s="23" t="str">
        <f>IF(A1178="","",VLOOKUP(A1178,'6.A'!$A$11:$G$180,2,FALSE))</f>
        <v/>
      </c>
      <c r="C1178" s="99"/>
      <c r="D1178" s="57" t="str">
        <f>IF(A1178="","",VLOOKUP(A1178,'6.A'!$A$11:$G$180,4,FALSE))</f>
        <v/>
      </c>
      <c r="E1178" s="100" t="str">
        <f>IF(A1178="","",VLOOKUP(A1178,'6.A'!$A$11:$G$180,5,FALSE))</f>
        <v/>
      </c>
      <c r="F1178" s="24" t="str">
        <f t="shared" si="517"/>
        <v>0,00</v>
      </c>
      <c r="G1178" s="52"/>
      <c r="H1178" s="52" t="str">
        <f>IF(A1178="","",VLOOKUP(A1178,'6.A'!$A$11:$E$7984,5,FALSE))</f>
        <v/>
      </c>
      <c r="I1178" s="52" t="str">
        <f t="shared" si="518"/>
        <v/>
      </c>
      <c r="J1178" s="52" t="str">
        <f>IF(H1178="","",VLOOKUP(A1178,'6.A'!$A$11:$E$564,4,FALSE))</f>
        <v/>
      </c>
      <c r="K1178" s="52" t="str">
        <f t="shared" si="519"/>
        <v/>
      </c>
      <c r="L1178" s="52" t="str">
        <f>IF(H1178="","",IF(C1178="","",G1156*C1178))</f>
        <v/>
      </c>
      <c r="M1178" s="117" t="str">
        <f>IF(A1178="","",VLOOKUP(A1178,'6.A'!$A$11:$C$564,2,FALSE))</f>
        <v/>
      </c>
      <c r="N1178" s="57" t="str">
        <f>IF(A1178="","",IF(M1178=B1178,"si","no"))</f>
        <v/>
      </c>
      <c r="O1178" s="56"/>
      <c r="P1178" s="56"/>
      <c r="Q1178" s="48"/>
      <c r="R1178" s="48"/>
      <c r="S1178" s="2"/>
    </row>
    <row r="1179" spans="1:19" ht="12.75" customHeight="1" x14ac:dyDescent="0.2">
      <c r="A1179" s="22"/>
      <c r="B1179" s="23" t="str">
        <f>IF(A1179="","",VLOOKUP(A1179,'6.A'!$A$11:$G$180,2,FALSE))</f>
        <v/>
      </c>
      <c r="C1179" s="99"/>
      <c r="D1179" s="57" t="str">
        <f>IF(A1179="","",VLOOKUP(A1179,'6.A'!$A$11:$G$180,4,FALSE))</f>
        <v/>
      </c>
      <c r="E1179" s="100" t="str">
        <f>IF(A1179="","",VLOOKUP(A1179,'6.A'!$A$11:$G$180,5,FALSE))</f>
        <v/>
      </c>
      <c r="F1179" s="24" t="str">
        <f t="shared" si="517"/>
        <v>0,00</v>
      </c>
      <c r="G1179" s="52"/>
      <c r="H1179" s="52" t="str">
        <f>IF(A1179="","",VLOOKUP(A1179,'6.A'!$A$11:$E$7984,5,FALSE))</f>
        <v/>
      </c>
      <c r="I1179" s="52" t="str">
        <f t="shared" si="518"/>
        <v/>
      </c>
      <c r="J1179" s="52" t="str">
        <f>IF(H1179="","",VLOOKUP(A1179,'6.A'!$A$11:$E$564,4,FALSE))</f>
        <v/>
      </c>
      <c r="K1179" s="52" t="str">
        <f t="shared" si="519"/>
        <v/>
      </c>
      <c r="L1179" s="52" t="str">
        <f>IF(H1179="","",IF(C1179="","",G1156*C1179))</f>
        <v/>
      </c>
      <c r="M1179" s="117" t="str">
        <f>IF(A1179="","",VLOOKUP(A1179,'6.A'!$A$11:$C$564,2,FALSE))</f>
        <v/>
      </c>
      <c r="N1179" s="57" t="str">
        <f>IF(A1179="","",IF(M1179=B1179,"si","no"))</f>
        <v/>
      </c>
      <c r="O1179" s="56"/>
      <c r="P1179" s="56"/>
      <c r="Q1179" s="48"/>
      <c r="R1179" s="48"/>
      <c r="S1179" s="2"/>
    </row>
    <row r="1180" spans="1:19" ht="12.75" customHeight="1" x14ac:dyDescent="0.2">
      <c r="A1180" s="22"/>
      <c r="B1180" s="23" t="str">
        <f>IF(A1180="","",VLOOKUP(A1180,'6.A'!$A$11:$G$180,2,FALSE))</f>
        <v/>
      </c>
      <c r="C1180" s="99"/>
      <c r="D1180" s="57" t="str">
        <f>IF(A1180="","",VLOOKUP(A1180,'6.A'!$A$11:$G$180,4,FALSE))</f>
        <v/>
      </c>
      <c r="E1180" s="100" t="str">
        <f>IF(A1180="","",VLOOKUP(A1180,'6.A'!$A$11:$G$180,5,FALSE))</f>
        <v/>
      </c>
      <c r="F1180" s="24" t="str">
        <f t="shared" si="517"/>
        <v>0,00</v>
      </c>
      <c r="G1180" s="52"/>
      <c r="H1180" s="52" t="str">
        <f>IF(A1180="","",VLOOKUP(A1180,'6.A'!$A$11:$E$7984,5,FALSE))</f>
        <v/>
      </c>
      <c r="I1180" s="52" t="str">
        <f t="shared" si="518"/>
        <v/>
      </c>
      <c r="J1180" s="52" t="str">
        <f>IF(H1180="","",VLOOKUP(A1180,'6.A'!$A$11:$E$564,4,FALSE))</f>
        <v/>
      </c>
      <c r="K1180" s="52" t="str">
        <f t="shared" si="519"/>
        <v/>
      </c>
      <c r="L1180" s="52" t="str">
        <f>IF(H1180="","",IF(C1180="","",G1156*C1180))</f>
        <v/>
      </c>
      <c r="M1180" s="117" t="str">
        <f>IF(A1180="","",VLOOKUP(A1180,'6.A'!$A$11:$C$564,2,FALSE))</f>
        <v/>
      </c>
      <c r="N1180" s="57" t="str">
        <f t="shared" ref="N1180:N1181" si="521">IF(A1180="","",IF(M1180=B1180,"si","no"))</f>
        <v/>
      </c>
      <c r="O1180" s="56"/>
      <c r="P1180" s="56"/>
      <c r="Q1180" s="48"/>
      <c r="R1180" s="48"/>
      <c r="S1180" s="2"/>
    </row>
    <row r="1181" spans="1:19" ht="12.75" customHeight="1" x14ac:dyDescent="0.2">
      <c r="A1181" s="22"/>
      <c r="B1181" s="23" t="str">
        <f>IF(A1181="","",VLOOKUP(A1181,'6.A'!$A$11:$G$180,2,FALSE))</f>
        <v/>
      </c>
      <c r="C1181" s="99"/>
      <c r="D1181" s="57" t="str">
        <f>IF(A1181="","",VLOOKUP(A1181,'6.A'!$A$11:$G$180,4,FALSE))</f>
        <v/>
      </c>
      <c r="E1181" s="100" t="str">
        <f>IF(A1181="","",VLOOKUP(A1181,'6.A'!$A$11:$G$180,5,FALSE))</f>
        <v/>
      </c>
      <c r="F1181" s="24" t="str">
        <f t="shared" si="517"/>
        <v>0,00</v>
      </c>
      <c r="G1181" s="52"/>
      <c r="H1181" s="52" t="str">
        <f>IF(A1181="","",VLOOKUP(A1181,'6.A'!$A$11:$E$7984,5,FALSE))</f>
        <v/>
      </c>
      <c r="I1181" s="52" t="str">
        <f t="shared" si="518"/>
        <v/>
      </c>
      <c r="J1181" s="52" t="str">
        <f>IF(H1181="","",VLOOKUP(A1181,'6.A'!$A$11:$E$564,4,FALSE))</f>
        <v/>
      </c>
      <c r="K1181" s="52" t="str">
        <f t="shared" si="519"/>
        <v/>
      </c>
      <c r="L1181" s="52" t="str">
        <f>IF(H1181="","",IF(C1181="","",G1156*C1181))</f>
        <v/>
      </c>
      <c r="M1181" s="117" t="str">
        <f>IF(A1181="","",VLOOKUP(A1181,'6.A'!$A$11:$C$564,2,FALSE))</f>
        <v/>
      </c>
      <c r="N1181" s="57" t="str">
        <f t="shared" si="521"/>
        <v/>
      </c>
      <c r="O1181" s="56"/>
      <c r="P1181" s="56"/>
      <c r="Q1181" s="48"/>
      <c r="R1181" s="48"/>
      <c r="S1181" s="2"/>
    </row>
    <row r="1182" spans="1:19" ht="12.75" customHeight="1" x14ac:dyDescent="0.2">
      <c r="A1182" s="22"/>
      <c r="B1182" s="26" t="str">
        <f>$A$9</f>
        <v>BDI</v>
      </c>
      <c r="C1182" s="27">
        <f>$C$9</f>
        <v>0</v>
      </c>
      <c r="D1182" s="57"/>
      <c r="F1182" s="28">
        <f>ROUND(SUM(F1172:F1181)*C1182,2)</f>
        <v>0</v>
      </c>
      <c r="G1182" s="63"/>
      <c r="M1182" s="62"/>
      <c r="N1182" s="57"/>
      <c r="O1182" s="56"/>
      <c r="P1182" s="56"/>
      <c r="Q1182" s="48"/>
      <c r="R1182" s="48"/>
      <c r="S1182" s="2"/>
    </row>
    <row r="1183" spans="1:19" ht="12.75" customHeight="1" x14ac:dyDescent="0.2">
      <c r="A1183" s="30"/>
      <c r="B1183" s="31" t="s">
        <v>117</v>
      </c>
      <c r="C1183" s="36"/>
      <c r="D1183" s="37"/>
      <c r="E1183" s="38"/>
      <c r="F1183" s="35">
        <f>ROUND(SUM(F1172:F1182),2)</f>
        <v>0</v>
      </c>
      <c r="G1183" s="63"/>
      <c r="M1183" s="62"/>
      <c r="N1183" s="57"/>
      <c r="O1183" s="56"/>
      <c r="P1183" s="56"/>
      <c r="Q1183" s="48"/>
      <c r="R1183" s="48"/>
      <c r="S1183" s="2"/>
    </row>
    <row r="1184" spans="1:19" ht="12.75" customHeight="1" x14ac:dyDescent="0.2">
      <c r="A1184" s="17" t="s">
        <v>6</v>
      </c>
      <c r="B1184" s="18" t="s">
        <v>17</v>
      </c>
      <c r="C1184" s="56" t="s">
        <v>59</v>
      </c>
      <c r="D1184" s="56" t="s">
        <v>16</v>
      </c>
      <c r="E1184" s="19" t="s">
        <v>60</v>
      </c>
      <c r="F1184" s="20" t="s">
        <v>61</v>
      </c>
      <c r="G1184" s="21"/>
      <c r="M1184" s="62"/>
      <c r="N1184" s="57"/>
      <c r="O1184" s="56"/>
      <c r="P1184" s="56"/>
      <c r="Q1184" s="48"/>
      <c r="R1184" s="48"/>
      <c r="S1184" s="2"/>
    </row>
    <row r="1185" spans="1:22" ht="12.75" customHeight="1" x14ac:dyDescent="0.2">
      <c r="A1185" s="22"/>
      <c r="B1185" s="23" t="str">
        <f>IF(A1185="","",VLOOKUP(A1185,'6.A'!$A$11:$G$180,2,FALSE))</f>
        <v/>
      </c>
      <c r="C1185" s="99"/>
      <c r="D1185" s="57" t="str">
        <f>IF(A1185="","",VLOOKUP(A1185,'6.A'!$A$11:$G$180,4,FALSE))</f>
        <v/>
      </c>
      <c r="E1185" s="100" t="str">
        <f>IF(A1185="","",VLOOKUP(A1185,'6.A'!$A$11:$G$180,5,FALSE))</f>
        <v/>
      </c>
      <c r="F1185" s="24" t="str">
        <f t="shared" ref="F1185:F1204" si="522">IF(A1185="","0,00",ROUND(C1185*E1185,2))</f>
        <v>0,00</v>
      </c>
      <c r="G1185" s="52"/>
      <c r="H1185" s="52" t="str">
        <f>IF(A1185="","",VLOOKUP(A1185,'6.A'!$A$11:$E$7984,5,FALSE))</f>
        <v/>
      </c>
      <c r="I1185" s="52" t="str">
        <f t="shared" ref="I1185:I1204" si="523">IF(H1185="","",IF(E1185=H1185,"SIM","NÃO"))</f>
        <v/>
      </c>
      <c r="J1185" s="52" t="str">
        <f>IF(H1185="","",VLOOKUP(A1185,'6.A'!$A$11:$E$564,4,FALSE))</f>
        <v/>
      </c>
      <c r="K1185" s="52" t="str">
        <f t="shared" ref="K1185:K1204" si="524">IF(H1185="","",IF(J1185=D1185,"SIM","NÃO"))</f>
        <v/>
      </c>
      <c r="L1185" s="52" t="str">
        <f>IF(H1185="","",IF(C1185="","",G1156*C1185))</f>
        <v/>
      </c>
      <c r="M1185" s="117" t="str">
        <f>IF(A1185="","",VLOOKUP(A1185,'6.A'!$A$11:$C$564,2,FALSE))</f>
        <v/>
      </c>
      <c r="N1185" s="57" t="str">
        <f t="shared" ref="N1185:N1204" si="525">IF(A1185="","",IF(M1185=B1185,"si","no"))</f>
        <v/>
      </c>
      <c r="O1185" s="56"/>
      <c r="P1185" s="56"/>
      <c r="Q1185" s="48"/>
      <c r="R1185" s="48"/>
      <c r="S1185" s="2"/>
    </row>
    <row r="1186" spans="1:22" ht="12.75" customHeight="1" x14ac:dyDescent="0.2">
      <c r="A1186" s="22"/>
      <c r="B1186" s="23" t="str">
        <f>IF(A1186="","",VLOOKUP(A1186,'6.A'!$A$11:$G$180,2,FALSE))</f>
        <v/>
      </c>
      <c r="C1186" s="99"/>
      <c r="D1186" s="57" t="str">
        <f>IF(A1186="","",VLOOKUP(A1186,'6.A'!$A$11:$G$180,4,FALSE))</f>
        <v/>
      </c>
      <c r="E1186" s="100" t="str">
        <f>IF(A1186="","",VLOOKUP(A1186,'6.A'!$A$11:$G$180,5,FALSE))</f>
        <v/>
      </c>
      <c r="F1186" s="24" t="str">
        <f t="shared" si="522"/>
        <v>0,00</v>
      </c>
      <c r="G1186" s="52"/>
      <c r="H1186" s="52" t="str">
        <f>IF(A1186="","",VLOOKUP(A1186,'6.A'!$A$11:$E$7984,5,FALSE))</f>
        <v/>
      </c>
      <c r="I1186" s="52" t="str">
        <f t="shared" si="523"/>
        <v/>
      </c>
      <c r="J1186" s="52" t="str">
        <f>IF(H1186="","",VLOOKUP(A1186,'6.A'!$A$11:$E$564,4,FALSE))</f>
        <v/>
      </c>
      <c r="K1186" s="52" t="str">
        <f t="shared" si="524"/>
        <v/>
      </c>
      <c r="L1186" s="52" t="str">
        <f>IF(H1186="","",IF(C1186="","",G1156*C1186))</f>
        <v/>
      </c>
      <c r="M1186" s="117" t="str">
        <f>IF(A1186="","",VLOOKUP(A1186,'6.A'!$A$11:$C$564,2,FALSE))</f>
        <v/>
      </c>
      <c r="N1186" s="57" t="str">
        <f t="shared" si="525"/>
        <v/>
      </c>
      <c r="O1186" s="56"/>
      <c r="P1186" s="56"/>
      <c r="Q1186" s="48"/>
      <c r="R1186" s="48"/>
      <c r="S1186" s="2"/>
    </row>
    <row r="1187" spans="1:22" ht="12.75" customHeight="1" x14ac:dyDescent="0.2">
      <c r="A1187" s="22"/>
      <c r="B1187" s="23" t="str">
        <f>IF(A1187="","",VLOOKUP(A1187,'6.A'!$A$11:$G$180,2,FALSE))</f>
        <v/>
      </c>
      <c r="C1187" s="99"/>
      <c r="D1187" s="57" t="str">
        <f>IF(A1187="","",VLOOKUP(A1187,'6.A'!$A$11:$G$180,4,FALSE))</f>
        <v/>
      </c>
      <c r="E1187" s="100" t="str">
        <f>IF(A1187="","",VLOOKUP(A1187,'6.A'!$A$11:$G$180,5,FALSE))</f>
        <v/>
      </c>
      <c r="F1187" s="24" t="str">
        <f t="shared" si="522"/>
        <v>0,00</v>
      </c>
      <c r="G1187" s="52"/>
      <c r="H1187" s="52" t="str">
        <f>IF(A1187="","",VLOOKUP(A1187,'6.A'!$A$11:$E$7984,5,FALSE))</f>
        <v/>
      </c>
      <c r="I1187" s="52" t="str">
        <f t="shared" si="523"/>
        <v/>
      </c>
      <c r="J1187" s="52" t="str">
        <f>IF(H1187="","",VLOOKUP(A1187,'6.A'!$A$11:$E$564,4,FALSE))</f>
        <v/>
      </c>
      <c r="K1187" s="52" t="str">
        <f t="shared" si="524"/>
        <v/>
      </c>
      <c r="L1187" s="52" t="str">
        <f>IF(H1187="","",IF(C1187="","",G1156*C1187))</f>
        <v/>
      </c>
      <c r="M1187" s="117" t="str">
        <f>IF(A1187="","",VLOOKUP(A1187,'6.A'!$A$11:$C$564,2,FALSE))</f>
        <v/>
      </c>
      <c r="N1187" s="57" t="str">
        <f t="shared" si="525"/>
        <v/>
      </c>
      <c r="O1187" s="56"/>
      <c r="P1187" s="56"/>
      <c r="Q1187" s="48"/>
      <c r="R1187" s="48"/>
      <c r="S1187" s="2"/>
    </row>
    <row r="1188" spans="1:22" ht="12.75" customHeight="1" x14ac:dyDescent="0.2">
      <c r="A1188" s="22"/>
      <c r="B1188" s="23" t="str">
        <f>IF(A1188="","",VLOOKUP(A1188,'6.A'!$A$11:$G$180,2,FALSE))</f>
        <v/>
      </c>
      <c r="C1188" s="99"/>
      <c r="D1188" s="57" t="str">
        <f>IF(A1188="","",VLOOKUP(A1188,'6.A'!$A$11:$G$180,4,FALSE))</f>
        <v/>
      </c>
      <c r="E1188" s="100" t="str">
        <f>IF(A1188="","",VLOOKUP(A1188,'6.A'!$A$11:$G$180,5,FALSE))</f>
        <v/>
      </c>
      <c r="F1188" s="24" t="str">
        <f t="shared" si="522"/>
        <v>0,00</v>
      </c>
      <c r="G1188" s="52"/>
      <c r="H1188" s="52" t="str">
        <f>IF(A1188="","",VLOOKUP(A1188,'6.A'!$A$11:$E$7984,5,FALSE))</f>
        <v/>
      </c>
      <c r="I1188" s="52" t="str">
        <f t="shared" si="523"/>
        <v/>
      </c>
      <c r="J1188" s="52" t="str">
        <f>IF(H1188="","",VLOOKUP(A1188,'6.A'!$A$11:$E$564,4,FALSE))</f>
        <v/>
      </c>
      <c r="K1188" s="52" t="str">
        <f t="shared" si="524"/>
        <v/>
      </c>
      <c r="L1188" s="52" t="str">
        <f>IF(H1188="","",IF(C1188="","",G1156*C1188))</f>
        <v/>
      </c>
      <c r="M1188" s="117" t="str">
        <f>IF(A1188="","",VLOOKUP(A1188,'6.A'!$A$11:$C$564,2,FALSE))</f>
        <v/>
      </c>
      <c r="N1188" s="57" t="str">
        <f t="shared" si="525"/>
        <v/>
      </c>
      <c r="O1188" s="56"/>
      <c r="P1188" s="56"/>
      <c r="Q1188" s="48"/>
      <c r="R1188" s="48"/>
      <c r="S1188" s="2"/>
    </row>
    <row r="1189" spans="1:22" ht="12.75" customHeight="1" x14ac:dyDescent="0.2">
      <c r="A1189" s="22"/>
      <c r="B1189" s="23" t="str">
        <f>IF(A1189="","",VLOOKUP(A1189,'6.A'!$A$11:$G$180,2,FALSE))</f>
        <v/>
      </c>
      <c r="C1189" s="99"/>
      <c r="D1189" s="57" t="str">
        <f>IF(A1189="","",VLOOKUP(A1189,'6.A'!$A$11:$G$180,4,FALSE))</f>
        <v/>
      </c>
      <c r="E1189" s="100" t="str">
        <f>IF(A1189="","",VLOOKUP(A1189,'6.A'!$A$11:$G$180,5,FALSE))</f>
        <v/>
      </c>
      <c r="F1189" s="24" t="str">
        <f t="shared" si="522"/>
        <v>0,00</v>
      </c>
      <c r="G1189" s="52"/>
      <c r="H1189" s="52" t="str">
        <f>IF(A1189="","",VLOOKUP(A1189,'6.A'!$A$11:$E$7984,5,FALSE))</f>
        <v/>
      </c>
      <c r="I1189" s="52" t="str">
        <f t="shared" si="523"/>
        <v/>
      </c>
      <c r="J1189" s="52" t="str">
        <f>IF(H1189="","",VLOOKUP(A1189,'6.A'!$A$11:$E$564,4,FALSE))</f>
        <v/>
      </c>
      <c r="K1189" s="52" t="str">
        <f t="shared" si="524"/>
        <v/>
      </c>
      <c r="L1189" s="52" t="str">
        <f>IF(H1189="","",IF(C1189="","",G1156*C1189))</f>
        <v/>
      </c>
      <c r="M1189" s="117" t="str">
        <f>IF(A1189="","",VLOOKUP(A1189,'6.A'!$A$11:$C$564,2,FALSE))</f>
        <v/>
      </c>
      <c r="N1189" s="57" t="str">
        <f t="shared" si="525"/>
        <v/>
      </c>
      <c r="O1189" s="56"/>
      <c r="P1189" s="56"/>
      <c r="Q1189" s="48"/>
      <c r="R1189" s="48"/>
      <c r="S1189" s="2"/>
    </row>
    <row r="1190" spans="1:22" ht="12.75" customHeight="1" x14ac:dyDescent="0.2">
      <c r="A1190" s="22"/>
      <c r="B1190" s="23" t="str">
        <f>IF(A1190="","",VLOOKUP(A1190,'6.A'!$A$11:$G$180,2,FALSE))</f>
        <v/>
      </c>
      <c r="C1190" s="99"/>
      <c r="D1190" s="57" t="str">
        <f>IF(A1190="","",VLOOKUP(A1190,'6.A'!$A$11:$G$180,4,FALSE))</f>
        <v/>
      </c>
      <c r="E1190" s="100" t="str">
        <f>IF(A1190="","",VLOOKUP(A1190,'6.A'!$A$11:$G$180,5,FALSE))</f>
        <v/>
      </c>
      <c r="F1190" s="24" t="str">
        <f t="shared" si="522"/>
        <v>0,00</v>
      </c>
      <c r="G1190" s="52"/>
      <c r="H1190" s="52" t="str">
        <f>IF(A1190="","",VLOOKUP(A1190,'6.A'!$A$11:$E$7984,5,FALSE))</f>
        <v/>
      </c>
      <c r="I1190" s="52" t="str">
        <f t="shared" si="523"/>
        <v/>
      </c>
      <c r="J1190" s="52" t="str">
        <f>IF(H1190="","",VLOOKUP(A1190,'6.A'!$A$11:$E$564,4,FALSE))</f>
        <v/>
      </c>
      <c r="K1190" s="52" t="str">
        <f t="shared" si="524"/>
        <v/>
      </c>
      <c r="L1190" s="52" t="str">
        <f>IF(H1190="","",IF(C1190="","",G1156*C1190))</f>
        <v/>
      </c>
      <c r="M1190" s="117" t="str">
        <f>IF(A1190="","",VLOOKUP(A1190,'6.A'!$A$11:$C$564,2,FALSE))</f>
        <v/>
      </c>
      <c r="N1190" s="57" t="str">
        <f t="shared" si="525"/>
        <v/>
      </c>
      <c r="O1190" s="56"/>
      <c r="P1190" s="56"/>
      <c r="Q1190" s="48"/>
      <c r="R1190" s="48"/>
      <c r="S1190" s="2"/>
    </row>
    <row r="1191" spans="1:22" ht="12.75" customHeight="1" x14ac:dyDescent="0.2">
      <c r="A1191" s="22"/>
      <c r="B1191" s="23" t="str">
        <f>IF(A1191="","",VLOOKUP(A1191,'6.A'!$A$11:$G$180,2,FALSE))</f>
        <v/>
      </c>
      <c r="C1191" s="99"/>
      <c r="D1191" s="57" t="str">
        <f>IF(A1191="","",VLOOKUP(A1191,'6.A'!$A$11:$G$180,4,FALSE))</f>
        <v/>
      </c>
      <c r="E1191" s="100" t="str">
        <f>IF(A1191="","",VLOOKUP(A1191,'6.A'!$A$11:$G$180,5,FALSE))</f>
        <v/>
      </c>
      <c r="F1191" s="24" t="str">
        <f t="shared" si="522"/>
        <v>0,00</v>
      </c>
      <c r="G1191" s="52"/>
      <c r="H1191" s="52" t="str">
        <f>IF(A1191="","",VLOOKUP(A1191,'6.A'!$A$11:$E$7984,5,FALSE))</f>
        <v/>
      </c>
      <c r="I1191" s="52" t="str">
        <f t="shared" si="523"/>
        <v/>
      </c>
      <c r="J1191" s="52" t="str">
        <f>IF(H1191="","",VLOOKUP(A1191,'6.A'!$A$11:$E$564,4,FALSE))</f>
        <v/>
      </c>
      <c r="K1191" s="52" t="str">
        <f t="shared" si="524"/>
        <v/>
      </c>
      <c r="L1191" s="52" t="str">
        <f>IF(H1191="","",IF(C1191="","",G1156*C1191))</f>
        <v/>
      </c>
      <c r="M1191" s="117" t="str">
        <f>IF(A1191="","",VLOOKUP(A1191,'6.A'!$A$11:$C$564,2,FALSE))</f>
        <v/>
      </c>
      <c r="N1191" s="57" t="str">
        <f t="shared" si="525"/>
        <v/>
      </c>
      <c r="O1191" s="56"/>
      <c r="P1191" s="56"/>
      <c r="Q1191" s="48"/>
      <c r="R1191" s="48"/>
      <c r="S1191" s="2"/>
    </row>
    <row r="1192" spans="1:22" s="65" customFormat="1" ht="12.75" customHeight="1" x14ac:dyDescent="0.2">
      <c r="A1192" s="22"/>
      <c r="B1192" s="23" t="str">
        <f>IF(A1192="","",VLOOKUP(A1192,'6.A'!$A$11:$G$180,2,FALSE))</f>
        <v/>
      </c>
      <c r="C1192" s="99"/>
      <c r="D1192" s="57" t="str">
        <f>IF(A1192="","",VLOOKUP(A1192,'6.A'!$A$11:$G$180,4,FALSE))</f>
        <v/>
      </c>
      <c r="E1192" s="100" t="str">
        <f>IF(A1192="","",VLOOKUP(A1192,'6.A'!$A$11:$G$180,5,FALSE))</f>
        <v/>
      </c>
      <c r="F1192" s="24" t="str">
        <f t="shared" si="522"/>
        <v>0,00</v>
      </c>
      <c r="G1192" s="52"/>
      <c r="H1192" s="52" t="str">
        <f>IF(A1192="","",VLOOKUP(A1192,'6.A'!$A$11:$E$7984,5,FALSE))</f>
        <v/>
      </c>
      <c r="I1192" s="52" t="str">
        <f t="shared" si="523"/>
        <v/>
      </c>
      <c r="J1192" s="52" t="str">
        <f>IF(H1192="","",VLOOKUP(A1192,'6.A'!$A$11:$E$564,4,FALSE))</f>
        <v/>
      </c>
      <c r="K1192" s="52" t="str">
        <f t="shared" si="524"/>
        <v/>
      </c>
      <c r="L1192" s="52" t="str">
        <f>IF(H1192="","",IF(C1192="","",G1156*C1192))</f>
        <v/>
      </c>
      <c r="M1192" s="117" t="str">
        <f>IF(A1192="","",VLOOKUP(A1192,'6.A'!$A$11:$C$564,2,FALSE))</f>
        <v/>
      </c>
      <c r="N1192" s="57" t="str">
        <f t="shared" si="525"/>
        <v/>
      </c>
      <c r="O1192" s="56"/>
      <c r="P1192" s="56"/>
      <c r="Q1192" s="48"/>
      <c r="R1192" s="48"/>
      <c r="T1192" s="2"/>
      <c r="U1192" s="2"/>
      <c r="V1192" s="2"/>
    </row>
    <row r="1193" spans="1:22" s="65" customFormat="1" ht="12.75" customHeight="1" x14ac:dyDescent="0.2">
      <c r="A1193" s="22"/>
      <c r="B1193" s="23" t="str">
        <f>IF(A1193="","",VLOOKUP(A1193,'6.A'!$A$11:$G$180,2,FALSE))</f>
        <v/>
      </c>
      <c r="C1193" s="99"/>
      <c r="D1193" s="57" t="str">
        <f>IF(A1193="","",VLOOKUP(A1193,'6.A'!$A$11:$G$180,4,FALSE))</f>
        <v/>
      </c>
      <c r="E1193" s="100" t="str">
        <f>IF(A1193="","",VLOOKUP(A1193,'6.A'!$A$11:$G$180,5,FALSE))</f>
        <v/>
      </c>
      <c r="F1193" s="24" t="str">
        <f t="shared" si="522"/>
        <v>0,00</v>
      </c>
      <c r="G1193" s="52"/>
      <c r="H1193" s="52" t="str">
        <f>IF(A1193="","",VLOOKUP(A1193,'6.A'!$A$11:$E$7984,5,FALSE))</f>
        <v/>
      </c>
      <c r="I1193" s="52" t="str">
        <f t="shared" si="523"/>
        <v/>
      </c>
      <c r="J1193" s="52" t="str">
        <f>IF(H1193="","",VLOOKUP(A1193,'6.A'!$A$11:$E$564,4,FALSE))</f>
        <v/>
      </c>
      <c r="K1193" s="52" t="str">
        <f t="shared" si="524"/>
        <v/>
      </c>
      <c r="L1193" s="52" t="str">
        <f>IF(H1193="","",IF(C1193="","",G1156*C1193))</f>
        <v/>
      </c>
      <c r="M1193" s="117" t="str">
        <f>IF(A1193="","",VLOOKUP(A1193,'6.A'!$A$11:$C$564,2,FALSE))</f>
        <v/>
      </c>
      <c r="N1193" s="57" t="str">
        <f t="shared" si="525"/>
        <v/>
      </c>
      <c r="O1193" s="56"/>
      <c r="P1193" s="56"/>
      <c r="Q1193" s="48"/>
      <c r="R1193" s="48"/>
      <c r="T1193" s="2"/>
      <c r="U1193" s="2"/>
      <c r="V1193" s="2"/>
    </row>
    <row r="1194" spans="1:22" s="65" customFormat="1" ht="12.75" customHeight="1" x14ac:dyDescent="0.2">
      <c r="A1194" s="22"/>
      <c r="B1194" s="23" t="str">
        <f>IF(A1194="","",VLOOKUP(A1194,'6.A'!$A$11:$G$180,2,FALSE))</f>
        <v/>
      </c>
      <c r="C1194" s="99"/>
      <c r="D1194" s="57" t="str">
        <f>IF(A1194="","",VLOOKUP(A1194,'6.A'!$A$11:$G$180,4,FALSE))</f>
        <v/>
      </c>
      <c r="E1194" s="100" t="str">
        <f>IF(A1194="","",VLOOKUP(A1194,'6.A'!$A$11:$G$180,5,FALSE))</f>
        <v/>
      </c>
      <c r="F1194" s="24" t="str">
        <f t="shared" si="522"/>
        <v>0,00</v>
      </c>
      <c r="G1194" s="52"/>
      <c r="H1194" s="52" t="str">
        <f>IF(A1194="","",VLOOKUP(A1194,'6.A'!$A$11:$E$7984,5,FALSE))</f>
        <v/>
      </c>
      <c r="I1194" s="52" t="str">
        <f t="shared" si="523"/>
        <v/>
      </c>
      <c r="J1194" s="52" t="str">
        <f>IF(H1194="","",VLOOKUP(A1194,'6.A'!$A$11:$E$564,4,FALSE))</f>
        <v/>
      </c>
      <c r="K1194" s="52" t="str">
        <f t="shared" si="524"/>
        <v/>
      </c>
      <c r="L1194" s="52" t="str">
        <f>IF(H1194="","",IF(C1194="","",G1156*C1194))</f>
        <v/>
      </c>
      <c r="M1194" s="117" t="str">
        <f>IF(A1194="","",VLOOKUP(A1194,'6.A'!$A$11:$C$564,2,FALSE))</f>
        <v/>
      </c>
      <c r="N1194" s="57" t="str">
        <f t="shared" si="525"/>
        <v/>
      </c>
      <c r="O1194" s="56"/>
      <c r="P1194" s="56"/>
      <c r="Q1194" s="48"/>
      <c r="R1194" s="48"/>
      <c r="T1194" s="2"/>
      <c r="U1194" s="2"/>
      <c r="V1194" s="2"/>
    </row>
    <row r="1195" spans="1:22" s="65" customFormat="1" ht="12.75" customHeight="1" x14ac:dyDescent="0.2">
      <c r="A1195" s="22"/>
      <c r="B1195" s="23" t="str">
        <f>IF(A1195="","",VLOOKUP(A1195,'6.A'!$A$11:$G$180,2,FALSE))</f>
        <v/>
      </c>
      <c r="C1195" s="99"/>
      <c r="D1195" s="57" t="str">
        <f>IF(A1195="","",VLOOKUP(A1195,'6.A'!$A$11:$G$180,4,FALSE))</f>
        <v/>
      </c>
      <c r="E1195" s="100" t="str">
        <f>IF(A1195="","",VLOOKUP(A1195,'6.A'!$A$11:$G$180,5,FALSE))</f>
        <v/>
      </c>
      <c r="F1195" s="24" t="str">
        <f t="shared" si="522"/>
        <v>0,00</v>
      </c>
      <c r="G1195" s="52"/>
      <c r="H1195" s="52" t="str">
        <f>IF(A1195="","",VLOOKUP(A1195,'6.A'!$A$11:$E$7984,5,FALSE))</f>
        <v/>
      </c>
      <c r="I1195" s="52" t="str">
        <f t="shared" si="523"/>
        <v/>
      </c>
      <c r="J1195" s="52" t="str">
        <f>IF(H1195="","",VLOOKUP(A1195,'6.A'!$A$11:$E$564,4,FALSE))</f>
        <v/>
      </c>
      <c r="K1195" s="52" t="str">
        <f t="shared" si="524"/>
        <v/>
      </c>
      <c r="L1195" s="52" t="str">
        <f>IF(H1195="","",IF(C1195="","",G1156*C1195))</f>
        <v/>
      </c>
      <c r="M1195" s="117" t="str">
        <f>IF(A1195="","",VLOOKUP(A1195,'6.A'!$A$11:$C$564,2,FALSE))</f>
        <v/>
      </c>
      <c r="N1195" s="57" t="str">
        <f t="shared" si="525"/>
        <v/>
      </c>
      <c r="O1195" s="56"/>
      <c r="P1195" s="56"/>
      <c r="Q1195" s="48"/>
      <c r="R1195" s="48"/>
      <c r="T1195" s="2"/>
      <c r="U1195" s="2"/>
      <c r="V1195" s="2"/>
    </row>
    <row r="1196" spans="1:22" ht="12.75" customHeight="1" x14ac:dyDescent="0.2">
      <c r="A1196" s="22"/>
      <c r="B1196" s="23" t="str">
        <f>IF(A1196="","",VLOOKUP(A1196,'6.A'!$A$11:$G$180,2,FALSE))</f>
        <v/>
      </c>
      <c r="C1196" s="99"/>
      <c r="D1196" s="57" t="str">
        <f>IF(A1196="","",VLOOKUP(A1196,'6.A'!$A$11:$G$180,4,FALSE))</f>
        <v/>
      </c>
      <c r="E1196" s="100" t="str">
        <f>IF(A1196="","",VLOOKUP(A1196,'6.A'!$A$11:$G$180,5,FALSE))</f>
        <v/>
      </c>
      <c r="F1196" s="24" t="str">
        <f t="shared" si="522"/>
        <v>0,00</v>
      </c>
      <c r="G1196" s="52"/>
      <c r="H1196" s="52" t="str">
        <f>IF(A1196="","",VLOOKUP(A1196,'6.A'!$A$11:$E$7984,5,FALSE))</f>
        <v/>
      </c>
      <c r="I1196" s="52" t="str">
        <f t="shared" si="523"/>
        <v/>
      </c>
      <c r="J1196" s="52" t="str">
        <f>IF(H1196="","",VLOOKUP(A1196,'6.A'!$A$11:$E$564,4,FALSE))</f>
        <v/>
      </c>
      <c r="K1196" s="52" t="str">
        <f t="shared" si="524"/>
        <v/>
      </c>
      <c r="L1196" s="52" t="str">
        <f>IF(H1196="","",IF(C1196="","",G1156*C1196))</f>
        <v/>
      </c>
      <c r="M1196" s="117" t="str">
        <f>IF(A1196="","",VLOOKUP(A1196,'6.A'!$A$11:$C$564,2,FALSE))</f>
        <v/>
      </c>
      <c r="N1196" s="57" t="str">
        <f t="shared" si="525"/>
        <v/>
      </c>
      <c r="O1196" s="56"/>
      <c r="P1196" s="56"/>
      <c r="Q1196" s="48"/>
      <c r="R1196" s="48"/>
    </row>
    <row r="1197" spans="1:22" ht="12.75" customHeight="1" x14ac:dyDescent="0.2">
      <c r="A1197" s="22"/>
      <c r="B1197" s="23" t="str">
        <f>IF(A1197="","",VLOOKUP(A1197,'6.A'!$A$11:$G$180,2,FALSE))</f>
        <v/>
      </c>
      <c r="C1197" s="99"/>
      <c r="D1197" s="57" t="str">
        <f>IF(A1197="","",VLOOKUP(A1197,'6.A'!$A$11:$G$180,4,FALSE))</f>
        <v/>
      </c>
      <c r="E1197" s="100" t="str">
        <f>IF(A1197="","",VLOOKUP(A1197,'6.A'!$A$11:$G$180,5,FALSE))</f>
        <v/>
      </c>
      <c r="F1197" s="24" t="str">
        <f t="shared" si="522"/>
        <v>0,00</v>
      </c>
      <c r="G1197" s="52"/>
      <c r="H1197" s="52" t="str">
        <f>IF(A1197="","",VLOOKUP(A1197,'6.A'!$A$11:$E$7984,5,FALSE))</f>
        <v/>
      </c>
      <c r="I1197" s="52" t="str">
        <f t="shared" si="523"/>
        <v/>
      </c>
      <c r="J1197" s="52" t="str">
        <f>IF(H1197="","",VLOOKUP(A1197,'6.A'!$A$11:$E$564,4,FALSE))</f>
        <v/>
      </c>
      <c r="K1197" s="52" t="str">
        <f t="shared" si="524"/>
        <v/>
      </c>
      <c r="L1197" s="52" t="str">
        <f>IF(H1197="","",IF(C1197="","",G1156*C1197))</f>
        <v/>
      </c>
      <c r="M1197" s="117" t="str">
        <f>IF(A1197="","",VLOOKUP(A1197,'6.A'!$A$11:$C$564,2,FALSE))</f>
        <v/>
      </c>
      <c r="N1197" s="57" t="str">
        <f t="shared" si="525"/>
        <v/>
      </c>
      <c r="O1197" s="56"/>
      <c r="P1197" s="56"/>
      <c r="Q1197" s="48"/>
      <c r="R1197" s="48"/>
    </row>
    <row r="1198" spans="1:22" ht="12.75" customHeight="1" x14ac:dyDescent="0.2">
      <c r="A1198" s="22"/>
      <c r="B1198" s="23" t="str">
        <f>IF(A1198="","",VLOOKUP(A1198,'6.A'!$A$11:$G$180,2,FALSE))</f>
        <v/>
      </c>
      <c r="C1198" s="99"/>
      <c r="D1198" s="57" t="str">
        <f>IF(A1198="","",VLOOKUP(A1198,'6.A'!$A$11:$G$180,4,FALSE))</f>
        <v/>
      </c>
      <c r="E1198" s="100" t="str">
        <f>IF(A1198="","",VLOOKUP(A1198,'6.A'!$A$11:$G$180,5,FALSE))</f>
        <v/>
      </c>
      <c r="F1198" s="24" t="str">
        <f t="shared" si="522"/>
        <v>0,00</v>
      </c>
      <c r="G1198" s="52"/>
      <c r="H1198" s="52" t="str">
        <f>IF(A1198="","",VLOOKUP(A1198,'6.A'!$A$11:$E$7984,5,FALSE))</f>
        <v/>
      </c>
      <c r="I1198" s="52" t="str">
        <f t="shared" si="523"/>
        <v/>
      </c>
      <c r="J1198" s="52" t="str">
        <f>IF(H1198="","",VLOOKUP(A1198,'6.A'!$A$11:$E$564,4,FALSE))</f>
        <v/>
      </c>
      <c r="K1198" s="52" t="str">
        <f t="shared" si="524"/>
        <v/>
      </c>
      <c r="L1198" s="52" t="str">
        <f>IF(H1198="","",IF(C1198="","",G1156*C1198))</f>
        <v/>
      </c>
      <c r="M1198" s="117" t="str">
        <f>IF(A1198="","",VLOOKUP(A1198,'6.A'!$A$11:$C$564,2,FALSE))</f>
        <v/>
      </c>
      <c r="N1198" s="57" t="str">
        <f t="shared" si="525"/>
        <v/>
      </c>
      <c r="O1198" s="56"/>
      <c r="P1198" s="56"/>
      <c r="Q1198" s="48"/>
      <c r="R1198" s="48"/>
    </row>
    <row r="1199" spans="1:22" ht="12.75" customHeight="1" x14ac:dyDescent="0.2">
      <c r="A1199" s="22"/>
      <c r="B1199" s="23" t="str">
        <f>IF(A1199="","",VLOOKUP(A1199,'6.A'!$A$11:$G$180,2,FALSE))</f>
        <v/>
      </c>
      <c r="C1199" s="99"/>
      <c r="D1199" s="57" t="str">
        <f>IF(A1199="","",VLOOKUP(A1199,'6.A'!$A$11:$G$180,4,FALSE))</f>
        <v/>
      </c>
      <c r="E1199" s="100" t="str">
        <f>IF(A1199="","",VLOOKUP(A1199,'6.A'!$A$11:$G$180,5,FALSE))</f>
        <v/>
      </c>
      <c r="F1199" s="24" t="str">
        <f t="shared" si="522"/>
        <v>0,00</v>
      </c>
      <c r="G1199" s="52"/>
      <c r="H1199" s="52" t="str">
        <f>IF(A1199="","",VLOOKUP(A1199,'6.A'!$A$11:$E$7984,5,FALSE))</f>
        <v/>
      </c>
      <c r="I1199" s="52" t="str">
        <f t="shared" si="523"/>
        <v/>
      </c>
      <c r="J1199" s="52" t="str">
        <f>IF(H1199="","",VLOOKUP(A1199,'6.A'!$A$11:$E$564,4,FALSE))</f>
        <v/>
      </c>
      <c r="K1199" s="52" t="str">
        <f t="shared" si="524"/>
        <v/>
      </c>
      <c r="L1199" s="52" t="str">
        <f>IF(H1199="","",IF(C1199="","",G1156*C1199))</f>
        <v/>
      </c>
      <c r="M1199" s="117" t="str">
        <f>IF(A1199="","",VLOOKUP(A1199,'6.A'!$A$11:$C$564,2,FALSE))</f>
        <v/>
      </c>
      <c r="N1199" s="57" t="str">
        <f t="shared" si="525"/>
        <v/>
      </c>
      <c r="O1199" s="56"/>
      <c r="P1199" s="56"/>
      <c r="Q1199" s="48"/>
      <c r="R1199" s="48"/>
    </row>
    <row r="1200" spans="1:22" ht="12.75" customHeight="1" x14ac:dyDescent="0.2">
      <c r="A1200" s="22"/>
      <c r="B1200" s="23" t="str">
        <f>IF(A1200="","",VLOOKUP(A1200,'6.A'!$A$11:$G$180,2,FALSE))</f>
        <v/>
      </c>
      <c r="C1200" s="99"/>
      <c r="D1200" s="57" t="str">
        <f>IF(A1200="","",VLOOKUP(A1200,'6.A'!$A$11:$G$180,4,FALSE))</f>
        <v/>
      </c>
      <c r="E1200" s="100" t="str">
        <f>IF(A1200="","",VLOOKUP(A1200,'6.A'!$A$11:$G$180,5,FALSE))</f>
        <v/>
      </c>
      <c r="F1200" s="24" t="str">
        <f t="shared" si="522"/>
        <v>0,00</v>
      </c>
      <c r="G1200" s="52"/>
      <c r="H1200" s="52" t="str">
        <f>IF(A1200="","",VLOOKUP(A1200,'6.A'!$A$11:$E$7984,5,FALSE))</f>
        <v/>
      </c>
      <c r="I1200" s="52" t="str">
        <f t="shared" si="523"/>
        <v/>
      </c>
      <c r="J1200" s="52" t="str">
        <f>IF(H1200="","",VLOOKUP(A1200,'6.A'!$A$11:$E$564,4,FALSE))</f>
        <v/>
      </c>
      <c r="K1200" s="52" t="str">
        <f t="shared" si="524"/>
        <v/>
      </c>
      <c r="L1200" s="52" t="str">
        <f>IF(H1200="","",IF(C1200="","",G1156*C1200))</f>
        <v/>
      </c>
      <c r="M1200" s="117" t="str">
        <f>IF(A1200="","",VLOOKUP(A1200,'6.A'!$A$11:$C$564,2,FALSE))</f>
        <v/>
      </c>
      <c r="N1200" s="57" t="str">
        <f t="shared" si="525"/>
        <v/>
      </c>
      <c r="O1200" s="56"/>
      <c r="P1200" s="56"/>
      <c r="Q1200" s="48"/>
      <c r="R1200" s="48"/>
    </row>
    <row r="1201" spans="1:23" ht="12.75" customHeight="1" x14ac:dyDescent="0.2">
      <c r="A1201" s="22"/>
      <c r="B1201" s="23" t="str">
        <f>IF(A1201="","",VLOOKUP(A1201,'6.A'!$A$11:$G$180,2,FALSE))</f>
        <v/>
      </c>
      <c r="C1201" s="99"/>
      <c r="D1201" s="57" t="str">
        <f>IF(A1201="","",VLOOKUP(A1201,'6.A'!$A$11:$G$180,4,FALSE))</f>
        <v/>
      </c>
      <c r="E1201" s="100" t="str">
        <f>IF(A1201="","",VLOOKUP(A1201,'6.A'!$A$11:$G$180,5,FALSE))</f>
        <v/>
      </c>
      <c r="F1201" s="24" t="str">
        <f t="shared" si="522"/>
        <v>0,00</v>
      </c>
      <c r="G1201" s="52"/>
      <c r="H1201" s="52" t="str">
        <f>IF(A1201="","",VLOOKUP(A1201,'6.A'!$A$11:$E$7984,5,FALSE))</f>
        <v/>
      </c>
      <c r="I1201" s="52" t="str">
        <f t="shared" si="523"/>
        <v/>
      </c>
      <c r="J1201" s="52" t="str">
        <f>IF(H1201="","",VLOOKUP(A1201,'6.A'!$A$11:$E$564,4,FALSE))</f>
        <v/>
      </c>
      <c r="K1201" s="52" t="str">
        <f t="shared" si="524"/>
        <v/>
      </c>
      <c r="L1201" s="52" t="str">
        <f>IF(H1201="","",IF(C1201="","",G1156*C1201))</f>
        <v/>
      </c>
      <c r="M1201" s="117" t="str">
        <f>IF(A1201="","",VLOOKUP(A1201,'6.A'!$A$11:$C$564,2,FALSE))</f>
        <v/>
      </c>
      <c r="N1201" s="57" t="str">
        <f t="shared" si="525"/>
        <v/>
      </c>
      <c r="O1201" s="56"/>
      <c r="P1201" s="56"/>
      <c r="Q1201" s="48"/>
      <c r="R1201" s="48"/>
    </row>
    <row r="1202" spans="1:23" ht="12.75" customHeight="1" x14ac:dyDescent="0.2">
      <c r="A1202" s="22"/>
      <c r="B1202" s="39" t="str">
        <f>IF(A1202="","",VLOOKUP(A1202,'6.A'!$A$11:$G$180,2,FALSE))</f>
        <v/>
      </c>
      <c r="C1202" s="99"/>
      <c r="D1202" s="57" t="str">
        <f>IF(A1202="","",VLOOKUP(A1202,'6.A'!$A$11:$G$180,4,FALSE))</f>
        <v/>
      </c>
      <c r="E1202" s="100" t="str">
        <f>IF(A1202="","",VLOOKUP(A1202,'6.A'!$A$11:$G$180,5,FALSE))</f>
        <v/>
      </c>
      <c r="F1202" s="24" t="str">
        <f t="shared" si="522"/>
        <v>0,00</v>
      </c>
      <c r="G1202" s="52"/>
      <c r="H1202" s="52" t="str">
        <f>IF(A1202="","",VLOOKUP(A1202,'6.A'!$A$11:$E$7984,5,FALSE))</f>
        <v/>
      </c>
      <c r="I1202" s="52" t="str">
        <f t="shared" si="523"/>
        <v/>
      </c>
      <c r="J1202" s="52" t="str">
        <f>IF(H1202="","",VLOOKUP(A1202,'6.A'!$A$11:$E$564,4,FALSE))</f>
        <v/>
      </c>
      <c r="K1202" s="52" t="str">
        <f t="shared" si="524"/>
        <v/>
      </c>
      <c r="L1202" s="52" t="str">
        <f>IF(H1202="","",IF(C1202="","",G1156*C1202))</f>
        <v/>
      </c>
      <c r="M1202" s="117" t="str">
        <f>IF(A1202="","",VLOOKUP(A1202,'6.A'!$A$11:$C$564,2,FALSE))</f>
        <v/>
      </c>
      <c r="N1202" s="57" t="str">
        <f t="shared" si="525"/>
        <v/>
      </c>
      <c r="O1202" s="56"/>
      <c r="P1202" s="56"/>
      <c r="Q1202" s="48"/>
      <c r="R1202" s="48"/>
    </row>
    <row r="1203" spans="1:23" ht="12.75" customHeight="1" x14ac:dyDescent="0.2">
      <c r="A1203" s="22"/>
      <c r="B1203" s="39" t="str">
        <f>IF(A1203="","",VLOOKUP(A1203,'6.A'!$A$11:$G$180,2,FALSE))</f>
        <v/>
      </c>
      <c r="C1203" s="99"/>
      <c r="D1203" s="57" t="str">
        <f>IF(A1203="","",VLOOKUP(A1203,'6.A'!$A$11:$G$180,4,FALSE))</f>
        <v/>
      </c>
      <c r="E1203" s="100" t="str">
        <f>IF(A1203="","",VLOOKUP(A1203,'6.A'!$A$11:$G$180,5,FALSE))</f>
        <v/>
      </c>
      <c r="F1203" s="24" t="str">
        <f t="shared" si="522"/>
        <v>0,00</v>
      </c>
      <c r="G1203" s="52"/>
      <c r="H1203" s="52" t="str">
        <f>IF(A1203="","",VLOOKUP(A1203,'6.A'!$A$11:$E$7984,5,FALSE))</f>
        <v/>
      </c>
      <c r="I1203" s="52" t="str">
        <f t="shared" si="523"/>
        <v/>
      </c>
      <c r="J1203" s="52" t="str">
        <f>IF(H1203="","",VLOOKUP(A1203,'6.A'!$A$11:$E$564,4,FALSE))</f>
        <v/>
      </c>
      <c r="K1203" s="52" t="str">
        <f t="shared" si="524"/>
        <v/>
      </c>
      <c r="L1203" s="52" t="str">
        <f>IF(H1203="","",IF(C1203="","",G1156*C1203))</f>
        <v/>
      </c>
      <c r="M1203" s="117" t="str">
        <f>IF(A1203="","",VLOOKUP(A1203,'6.A'!$A$11:$C$564,2,FALSE))</f>
        <v/>
      </c>
      <c r="N1203" s="57" t="str">
        <f t="shared" si="525"/>
        <v/>
      </c>
      <c r="O1203" s="56"/>
      <c r="P1203" s="56"/>
      <c r="Q1203" s="48"/>
      <c r="R1203" s="48"/>
    </row>
    <row r="1204" spans="1:23" ht="12.75" customHeight="1" x14ac:dyDescent="0.2">
      <c r="A1204" s="22"/>
      <c r="B1204" s="39" t="str">
        <f>IF(A1204="","",VLOOKUP(A1204,'6.A'!$A$11:$G$180,2,FALSE))</f>
        <v/>
      </c>
      <c r="C1204" s="99"/>
      <c r="D1204" s="57" t="str">
        <f>IF(A1204="","",VLOOKUP(A1204,'6.A'!$A$11:$G$180,4,FALSE))</f>
        <v/>
      </c>
      <c r="E1204" s="100" t="str">
        <f>IF(A1204="","",VLOOKUP(A1204,'6.A'!$A$11:$G$180,5,FALSE))</f>
        <v/>
      </c>
      <c r="F1204" s="24" t="str">
        <f t="shared" si="522"/>
        <v>0,00</v>
      </c>
      <c r="G1204" s="52"/>
      <c r="H1204" s="52" t="str">
        <f>IF(A1204="","",VLOOKUP(A1204,'6.A'!$A$11:$E$7984,5,FALSE))</f>
        <v/>
      </c>
      <c r="I1204" s="52" t="str">
        <f t="shared" si="523"/>
        <v/>
      </c>
      <c r="J1204" s="52" t="str">
        <f>IF(H1204="","",VLOOKUP(A1204,'6.A'!$A$11:$E$564,4,FALSE))</f>
        <v/>
      </c>
      <c r="K1204" s="52" t="str">
        <f t="shared" si="524"/>
        <v/>
      </c>
      <c r="L1204" s="52" t="str">
        <f>IF(H1204="","",IF(C1204="","",G1156*C1204))</f>
        <v/>
      </c>
      <c r="M1204" s="117" t="str">
        <f>IF(A1204="","",VLOOKUP(A1204,'6.A'!$A$11:$C$564,2,FALSE))</f>
        <v/>
      </c>
      <c r="N1204" s="57" t="str">
        <f t="shared" si="525"/>
        <v/>
      </c>
      <c r="O1204" s="56"/>
      <c r="P1204" s="56"/>
      <c r="Q1204" s="48"/>
      <c r="R1204" s="48"/>
    </row>
    <row r="1205" spans="1:23" ht="12.75" customHeight="1" x14ac:dyDescent="0.2">
      <c r="A1205" s="22"/>
      <c r="B1205" s="26" t="str">
        <f>$A$9</f>
        <v>BDI</v>
      </c>
      <c r="C1205" s="40">
        <f>$C$9</f>
        <v>0</v>
      </c>
      <c r="D1205" s="57"/>
      <c r="F1205" s="28">
        <f>ROUND(SUM(F1185:F1204)*C1205,2)</f>
        <v>0</v>
      </c>
      <c r="G1205" s="63"/>
      <c r="M1205" s="57"/>
      <c r="N1205" s="57"/>
      <c r="O1205" s="56"/>
      <c r="P1205" s="56"/>
      <c r="Q1205" s="48"/>
      <c r="R1205" s="48"/>
    </row>
    <row r="1206" spans="1:23" ht="12.75" customHeight="1" thickBot="1" x14ac:dyDescent="0.25">
      <c r="A1206" s="41"/>
      <c r="B1206" s="42" t="s">
        <v>57</v>
      </c>
      <c r="C1206" s="43"/>
      <c r="D1206" s="44"/>
      <c r="E1206" s="45"/>
      <c r="F1206" s="46">
        <f>ROUND(SUM(F1185:F1205),2)</f>
        <v>0</v>
      </c>
      <c r="G1206" s="63"/>
      <c r="M1206" s="57"/>
      <c r="N1206" s="57"/>
      <c r="O1206" s="56"/>
      <c r="P1206" s="56"/>
      <c r="Q1206" s="48"/>
      <c r="R1206" s="48"/>
    </row>
    <row r="1207" spans="1:23" ht="12" customHeight="1" thickBot="1" x14ac:dyDescent="0.25">
      <c r="A1207" s="8"/>
      <c r="B1207" s="9"/>
      <c r="C1207" s="10"/>
      <c r="D1207" s="57"/>
      <c r="F1207" s="12"/>
      <c r="M1207" s="57"/>
      <c r="N1207" s="57"/>
      <c r="O1207" s="56"/>
      <c r="P1207" s="56"/>
    </row>
    <row r="1208" spans="1:23" ht="50.1" customHeight="1" x14ac:dyDescent="0.2">
      <c r="A1208" s="13" t="str">
        <f>'3.A'!$A$131</f>
        <v>3.1.12</v>
      </c>
      <c r="B1208" s="14" t="str">
        <f>IF(A1208="","",VLOOKUP(A1208,'3.A'!$A$17:$M$279,2,FALSE))</f>
        <v>ELETRODUTO RÍGIDO EM AÇO GALVANIZADO A QUENTE DN 40 MM (1 1/2")</v>
      </c>
      <c r="C1208" s="413" t="s">
        <v>62</v>
      </c>
      <c r="D1208" s="413"/>
      <c r="E1208" s="15" t="str">
        <f>IF(A1208="","",VLOOKUP(A1208,'3.A'!$A$17:$M$279,3,FALSE))</f>
        <v>M</v>
      </c>
      <c r="F1208" s="16">
        <f>ROUND(F1222+F1235+F1258,2)</f>
        <v>0</v>
      </c>
      <c r="G1208" s="118">
        <f>VLOOKUP(A1208,'3.A'!$A$19:$I$279,4,FALSE)</f>
        <v>3</v>
      </c>
      <c r="H1208" s="47">
        <f>SUM(F1210:F1221)</f>
        <v>0</v>
      </c>
      <c r="I1208" s="47">
        <f>SUM(F1224:F1234)</f>
        <v>0</v>
      </c>
      <c r="J1208" s="47">
        <f>SUM(F1237:F1257)</f>
        <v>0</v>
      </c>
      <c r="K1208" s="47">
        <f>SUM(H1208:J1208)</f>
        <v>0</v>
      </c>
      <c r="L1208" s="47" t="str">
        <f>IF(K1208=F1208,"SIM","NÃO")</f>
        <v>SIM</v>
      </c>
      <c r="M1208" s="58">
        <f>ROUND(SUM(F1210:F1219)*C1220,2)+ROUND(SUM(F1210:F1220)*C1221,2)+ROUND(SUM(F1210:F1219),2)+ROUND(SUM(F1224:F1233)*C1234,2)+ROUND(SUM(F1224:F1233),2)+ROUND(SUM(F1237:F1256)*C1257,2)+ROUND(SUM(F1237:F1256),2)</f>
        <v>0</v>
      </c>
      <c r="N1208" s="50" t="str">
        <f>IF(M1208=F1208,"SIM","NÃO")</f>
        <v>SIM</v>
      </c>
      <c r="O1208" s="51" t="str">
        <f>VLOOKUP(A1208,'3.A'!$A$8:$E$279,3,FALSE)</f>
        <v>M</v>
      </c>
      <c r="P1208" s="51" t="str">
        <f>IF(O1208=E1208,"SIM","NÃO")</f>
        <v>SIM</v>
      </c>
      <c r="Q1208" s="53">
        <f>ROUND(G1208*F1222,2)+ROUND(G1208*F1235,2)+ROUND(G1208*F1258,2)</f>
        <v>0</v>
      </c>
      <c r="R1208" s="59">
        <f>VLOOKUP(A1208,'3.A'!$A$17:$L$279,12,FALSE)</f>
        <v>0</v>
      </c>
      <c r="S1208" s="60" t="str">
        <f>IF(Q1208=R1208,"si","no")</f>
        <v>si</v>
      </c>
      <c r="T1208" s="61">
        <f>SUM(L1210:L1219)+SUM(L1224:L1233)+SUM(L1237:L1256)</f>
        <v>8.5500000000000007</v>
      </c>
      <c r="U1208" s="52">
        <f>G1208*C1216+G1208*C1218+G1208*C1211+G1208*C1212+G1208*C1214+G1208*C1217+G1208*C1215+G1208*C1210+G1208*C1213+G1208*C1219+G1208*C1230+G1208*C1224+G1208*C1232+G1208*C1231+G1208*C1229+G1208*C1226+G1208*C1225+G1208*C1227+G1208*C1233+G1208*C1228+G1208*C1237+G1208*C1238+G1208*C1239+G1208*C1247+G1208*C1248+G1208*C1249+G1208*C1250+G1208*C1251+G1208*C1252+G1208*C1253+G1208*C1254+G1208*C1255+G1208*C1256+G1208*C1245+G1208*C1246+G1208*C1240+G1208*C1241+G1208*C1242+G1208*C1243+G1208*C1244</f>
        <v>8.5500000000000007</v>
      </c>
      <c r="V1208" s="54" t="str">
        <f>IF(T1208=U1208,"si","no")</f>
        <v>si</v>
      </c>
      <c r="W1208" s="137"/>
    </row>
    <row r="1209" spans="1:23" ht="12.75" customHeight="1" x14ac:dyDescent="0.2">
      <c r="A1209" s="17" t="s">
        <v>3</v>
      </c>
      <c r="B1209" s="18" t="s">
        <v>58</v>
      </c>
      <c r="C1209" s="56" t="s">
        <v>59</v>
      </c>
      <c r="D1209" s="56" t="s">
        <v>16</v>
      </c>
      <c r="E1209" s="19" t="s">
        <v>60</v>
      </c>
      <c r="F1209" s="20" t="s">
        <v>61</v>
      </c>
      <c r="G1209" s="21"/>
      <c r="M1209" s="57"/>
      <c r="N1209" s="57"/>
      <c r="O1209" s="56"/>
      <c r="P1209" s="56"/>
      <c r="Q1209" s="48"/>
      <c r="R1209" s="48"/>
    </row>
    <row r="1210" spans="1:23" ht="12.75" customHeight="1" x14ac:dyDescent="0.2">
      <c r="A1210" s="22">
        <f>'6.A'!$A$15</f>
        <v>88247</v>
      </c>
      <c r="B1210" s="23" t="str">
        <f>IF(A1210="","",VLOOKUP(A1210,'6.A'!$A$11:$G$180,2,FALSE))</f>
        <v>AUXILIAR DE ELETRICISTA COM ENCARGOS COMPLEMENTARES</v>
      </c>
      <c r="C1210" s="99">
        <v>0.9</v>
      </c>
      <c r="D1210" s="57" t="str">
        <f>IF(A1210="","",VLOOKUP(A1210,'6.A'!$A$11:$G$180,4,FALSE))</f>
        <v>H</v>
      </c>
      <c r="E1210" s="100">
        <f>IF(A1210="","",VLOOKUP(A1210,'6.A'!$A$11:$G$180,5,FALSE))</f>
        <v>0</v>
      </c>
      <c r="F1210" s="24">
        <f t="shared" ref="F1210:F1219" si="526">IF(A1210="","0,00",ROUND(C1210*E1210,2))</f>
        <v>0</v>
      </c>
      <c r="G1210" s="52"/>
      <c r="H1210" s="52">
        <f>IF(A1210="","",VLOOKUP(A1210,'6.A'!$A$11:$E$7984,5,FALSE))</f>
        <v>0</v>
      </c>
      <c r="I1210" s="52" t="str">
        <f>IF(H1210="","",IF(E1210=H1210,"SIM","NÃO"))</f>
        <v>SIM</v>
      </c>
      <c r="J1210" s="52" t="str">
        <f>IF(H1210="","",VLOOKUP(A1210,'6.A'!$A$11:$E$564,4,FALSE))</f>
        <v>H</v>
      </c>
      <c r="K1210" s="52" t="str">
        <f>IF(H1210="","",IF(J1210=D1210,"SIM","NÃO"))</f>
        <v>SIM</v>
      </c>
      <c r="L1210" s="52">
        <f>IF(H1210="","",IF(C1210="","",G1208*C1210))</f>
        <v>2.7</v>
      </c>
      <c r="M1210" s="117" t="str">
        <f>IF(A1210="","",VLOOKUP(A1210,'6.A'!$A$11:$C$564,2,FALSE))</f>
        <v>AUXILIAR DE ELETRICISTA COM ENCARGOS COMPLEMENTARES</v>
      </c>
      <c r="N1210" s="57" t="str">
        <f>IF(A1210="","",IF(M1210=B1210,"si","no"))</f>
        <v>si</v>
      </c>
      <c r="O1210" s="56"/>
      <c r="P1210" s="56"/>
      <c r="Q1210" s="48"/>
      <c r="R1210" s="48"/>
    </row>
    <row r="1211" spans="1:23" ht="12.75" customHeight="1" x14ac:dyDescent="0.2">
      <c r="A1211" s="22">
        <f>'6.A'!$A$18</f>
        <v>88264</v>
      </c>
      <c r="B1211" s="23" t="str">
        <f>IF(A1211="","",VLOOKUP(A1211,'6.A'!$A$11:$G$180,2,FALSE))</f>
        <v>ELETRICISTA COM ENCARGOS COMPLEMENTARES</v>
      </c>
      <c r="C1211" s="99">
        <v>0.9</v>
      </c>
      <c r="D1211" s="57" t="str">
        <f>IF(A1211="","",VLOOKUP(A1211,'6.A'!$A$11:$G$180,4,FALSE))</f>
        <v>H</v>
      </c>
      <c r="E1211" s="100">
        <f>IF(A1211="","",VLOOKUP(A1211,'6.A'!$A$11:$G$180,5,FALSE))</f>
        <v>0</v>
      </c>
      <c r="F1211" s="24">
        <f t="shared" si="526"/>
        <v>0</v>
      </c>
      <c r="G1211" s="52"/>
      <c r="H1211" s="52">
        <f>IF(A1211="","",VLOOKUP(A1211,'6.A'!$A$11:$E$7984,5,FALSE))</f>
        <v>0</v>
      </c>
      <c r="I1211" s="52" t="str">
        <f>IF(H1211="","",IF(E1211=H1211,"SIM","NÃO"))</f>
        <v>SIM</v>
      </c>
      <c r="J1211" s="52" t="str">
        <f>IF(H1211="","",VLOOKUP(A1211,'6.A'!$A$11:$E$564,4,FALSE))</f>
        <v>H</v>
      </c>
      <c r="K1211" s="52" t="str">
        <f>IF(H1211="","",IF(J1211=D1211,"SIM","NÃO"))</f>
        <v>SIM</v>
      </c>
      <c r="L1211" s="52">
        <f>IF(H1211="","",IF(C1211="","",G1208*C1211))</f>
        <v>2.7</v>
      </c>
      <c r="M1211" s="117" t="str">
        <f>IF(A1211="","",VLOOKUP(A1211,'6.A'!$A$11:$C$564,2,FALSE))</f>
        <v>ELETRICISTA COM ENCARGOS COMPLEMENTARES</v>
      </c>
      <c r="N1211" s="57" t="str">
        <f>IF(A1211="","",IF(M1211=B1211,"si","no"))</f>
        <v>si</v>
      </c>
      <c r="O1211" s="56"/>
      <c r="P1211" s="56"/>
      <c r="Q1211" s="48"/>
      <c r="R1211" s="48"/>
    </row>
    <row r="1212" spans="1:23" ht="12.75" customHeight="1" x14ac:dyDescent="0.2">
      <c r="A1212" s="22"/>
      <c r="B1212" s="23" t="str">
        <f>IF(A1212="","",VLOOKUP(A1212,'6.A'!$A$11:$G$180,2,FALSE))</f>
        <v/>
      </c>
      <c r="C1212" s="99"/>
      <c r="D1212" s="57" t="str">
        <f>IF(A1212="","",VLOOKUP(A1212,'6.A'!$A$11:$G$180,4,FALSE))</f>
        <v/>
      </c>
      <c r="E1212" s="100" t="str">
        <f>IF(A1212="","",VLOOKUP(A1212,'6.A'!$A$11:$G$180,5,FALSE))</f>
        <v/>
      </c>
      <c r="F1212" s="24" t="str">
        <f t="shared" si="526"/>
        <v>0,00</v>
      </c>
      <c r="G1212" s="52"/>
      <c r="H1212" s="52" t="str">
        <f>IF(A1212="","",VLOOKUP(A1212,'6.A'!$A$11:$E$7984,5,FALSE))</f>
        <v/>
      </c>
      <c r="I1212" s="52" t="str">
        <f>IF(H1212="","",IF(E1212=H1212,"SIM","NÃO"))</f>
        <v/>
      </c>
      <c r="J1212" s="52" t="str">
        <f>IF(H1212="","",VLOOKUP(A1212,'6.A'!$A$11:$E$564,4,FALSE))</f>
        <v/>
      </c>
      <c r="K1212" s="52" t="str">
        <f t="shared" ref="K1212" si="527">IF(H1212="","",IF(J1212=D1212,"SIM","NÃO"))</f>
        <v/>
      </c>
      <c r="L1212" s="52" t="str">
        <f>IF(H1212="","",IF(C1212="","",G1208*C1212))</f>
        <v/>
      </c>
      <c r="M1212" s="117" t="str">
        <f>IF(A1212="","",VLOOKUP(A1212,'6.A'!$A$11:$C$564,2,FALSE))</f>
        <v/>
      </c>
      <c r="N1212" s="57" t="str">
        <f t="shared" ref="N1212" si="528">IF(A1212="","",IF(M1212=B1212,"si","no"))</f>
        <v/>
      </c>
      <c r="O1212" s="56"/>
      <c r="P1212" s="56"/>
      <c r="Q1212" s="48"/>
      <c r="R1212" s="48"/>
      <c r="S1212" s="2"/>
    </row>
    <row r="1213" spans="1:23" ht="12.75" customHeight="1" x14ac:dyDescent="0.2">
      <c r="A1213" s="22"/>
      <c r="B1213" s="23" t="str">
        <f>IF(A1213="","",VLOOKUP(A1213,'6.A'!$A$11:$G$180,2,FALSE))</f>
        <v/>
      </c>
      <c r="C1213" s="99"/>
      <c r="D1213" s="57" t="str">
        <f>IF(A1213="","",VLOOKUP(A1213,'6.A'!$A$11:$G$180,4,FALSE))</f>
        <v/>
      </c>
      <c r="E1213" s="100" t="str">
        <f>IF(A1213="","",VLOOKUP(A1213,'6.A'!$A$11:$G$180,5,FALSE))</f>
        <v/>
      </c>
      <c r="F1213" s="24" t="str">
        <f t="shared" si="526"/>
        <v>0,00</v>
      </c>
      <c r="G1213" s="52"/>
      <c r="H1213" s="52" t="str">
        <f>IF(A1213="","",VLOOKUP(A1213,'6.A'!$A$11:$E$7984,5,FALSE))</f>
        <v/>
      </c>
      <c r="I1213" s="52" t="str">
        <f>IF(H1213="","",IF(E1213=H1213,"SIM","NÃO"))</f>
        <v/>
      </c>
      <c r="J1213" s="52" t="str">
        <f>IF(H1213="","",VLOOKUP(A1213,'6.A'!$A$11:$E$564,4,FALSE))</f>
        <v/>
      </c>
      <c r="K1213" s="52" t="str">
        <f>IF(H1213="","",IF(J1213=D1213,"SIM","NÃO"))</f>
        <v/>
      </c>
      <c r="L1213" s="52" t="str">
        <f>IF(H1213="","",IF(C1213="","",G1208*C1213))</f>
        <v/>
      </c>
      <c r="M1213" s="117" t="str">
        <f>IF(A1213="","",VLOOKUP(A1213,'6.A'!$A$11:$C$564,2,FALSE))</f>
        <v/>
      </c>
      <c r="N1213" s="57" t="str">
        <f>IF(A1213="","",IF(M1213=B1213,"si","no"))</f>
        <v/>
      </c>
      <c r="O1213" s="56"/>
      <c r="P1213" s="56"/>
      <c r="Q1213" s="48"/>
      <c r="R1213" s="48"/>
      <c r="S1213" s="2"/>
    </row>
    <row r="1214" spans="1:23" ht="12.75" customHeight="1" x14ac:dyDescent="0.2">
      <c r="A1214" s="22"/>
      <c r="B1214" s="23" t="str">
        <f>IF(A1214="","",VLOOKUP(A1214,'6.A'!$A$11:$G$180,2,FALSE))</f>
        <v/>
      </c>
      <c r="C1214" s="99"/>
      <c r="D1214" s="57" t="str">
        <f>IF(A1214="","",VLOOKUP(A1214,'6.A'!$A$11:$G$180,4,FALSE))</f>
        <v/>
      </c>
      <c r="E1214" s="101" t="str">
        <f>IF(A1214="","",VLOOKUP(A1214,'6.A'!$A$11:$G$180,5,FALSE))</f>
        <v/>
      </c>
      <c r="F1214" s="24" t="str">
        <f t="shared" si="526"/>
        <v>0,00</v>
      </c>
      <c r="G1214" s="52"/>
      <c r="H1214" s="52" t="str">
        <f>IF(A1214="","",VLOOKUP(A1214,'6.A'!$A$11:$E$7984,5,FALSE))</f>
        <v/>
      </c>
      <c r="I1214" s="52" t="str">
        <f t="shared" ref="I1214" si="529">IF(H1214="","",IF(E1214=H1214,"SIM","NÃO"))</f>
        <v/>
      </c>
      <c r="J1214" s="52" t="str">
        <f>IF(H1214="","",VLOOKUP(A1214,'6.A'!$A$11:$E$564,4,FALSE))</f>
        <v/>
      </c>
      <c r="K1214" s="52" t="str">
        <f t="shared" ref="K1214" si="530">IF(H1214="","",IF(J1214=D1214,"SIM","NÃO"))</f>
        <v/>
      </c>
      <c r="L1214" s="52" t="str">
        <f>IF(H1214="","",IF(C1214="","",G1208*C1214))</f>
        <v/>
      </c>
      <c r="M1214" s="117" t="str">
        <f>IF(A1214="","",VLOOKUP(A1214,'6.A'!$A$11:$C$564,2,FALSE))</f>
        <v/>
      </c>
      <c r="N1214" s="57" t="str">
        <f t="shared" ref="N1214" si="531">IF(A1214="","",IF(M1214=B1214,"si","no"))</f>
        <v/>
      </c>
      <c r="O1214" s="56"/>
      <c r="P1214" s="56"/>
      <c r="Q1214" s="48"/>
      <c r="R1214" s="48"/>
      <c r="S1214" s="2"/>
    </row>
    <row r="1215" spans="1:23" ht="12.75" customHeight="1" x14ac:dyDescent="0.2">
      <c r="A1215" s="22"/>
      <c r="B1215" s="23" t="str">
        <f>IF(A1215="","",VLOOKUP(A1215,'6.A'!$A$11:$G$180,2,FALSE))</f>
        <v/>
      </c>
      <c r="C1215" s="99"/>
      <c r="D1215" s="57" t="str">
        <f>IF(A1215="","",VLOOKUP(A1215,'6.A'!$A$11:$G$180,4,FALSE))</f>
        <v/>
      </c>
      <c r="E1215" s="101" t="str">
        <f>IF(A1215="","",VLOOKUP(A1215,'6.A'!$A$11:$G$180,5,FALSE))</f>
        <v/>
      </c>
      <c r="F1215" s="24" t="str">
        <f t="shared" si="526"/>
        <v>0,00</v>
      </c>
      <c r="G1215" s="52"/>
      <c r="H1215" s="52" t="str">
        <f>IF(A1215="","",VLOOKUP(A1215,'6.A'!$A$11:$E$7984,5,FALSE))</f>
        <v/>
      </c>
      <c r="I1215" s="52" t="str">
        <f>IF(H1215="","",IF(E1215=H1215,"SIM","NÃO"))</f>
        <v/>
      </c>
      <c r="J1215" s="52" t="str">
        <f>IF(H1215="","",VLOOKUP(A1215,'6.A'!$A$11:$E$564,4,FALSE))</f>
        <v/>
      </c>
      <c r="K1215" s="52" t="str">
        <f>IF(H1215="","",IF(J1215=D1215,"SIM","NÃO"))</f>
        <v/>
      </c>
      <c r="L1215" s="52" t="str">
        <f>IF(H1215="","",IF(C1215="","",G1208*C1215))</f>
        <v/>
      </c>
      <c r="M1215" s="117" t="str">
        <f>IF(A1215="","",VLOOKUP(A1215,'6.A'!$A$11:$C$564,2,FALSE))</f>
        <v/>
      </c>
      <c r="N1215" s="57" t="str">
        <f>IF(A1215="","",IF(M1215=B1215,"si","no"))</f>
        <v/>
      </c>
      <c r="O1215" s="56"/>
      <c r="P1215" s="56"/>
      <c r="Q1215" s="48"/>
      <c r="R1215" s="48"/>
      <c r="S1215" s="2"/>
    </row>
    <row r="1216" spans="1:23" ht="12.75" customHeight="1" x14ac:dyDescent="0.2">
      <c r="A1216" s="22"/>
      <c r="B1216" s="23" t="str">
        <f>IF(A1216="","",VLOOKUP(A1216,'6.A'!$A$11:$G$180,2,FALSE))</f>
        <v/>
      </c>
      <c r="C1216" s="99"/>
      <c r="D1216" s="57" t="str">
        <f>IF(A1216="","",VLOOKUP(A1216,'6.A'!$A$11:$G$180,4,FALSE))</f>
        <v/>
      </c>
      <c r="E1216" s="100" t="str">
        <f>IF(A1216="","",VLOOKUP(A1216,'6.A'!$A$11:$G$180,5,FALSE))</f>
        <v/>
      </c>
      <c r="F1216" s="24" t="str">
        <f t="shared" si="526"/>
        <v>0,00</v>
      </c>
      <c r="G1216" s="52"/>
      <c r="H1216" s="52" t="str">
        <f>IF(A1216="","",VLOOKUP(A1216,'6.A'!$A$11:$E$7984,5,FALSE))</f>
        <v/>
      </c>
      <c r="I1216" s="52" t="str">
        <f>IF(H1216="","",IF(E1216=H1216,"SIM","NÃO"))</f>
        <v/>
      </c>
      <c r="J1216" s="52" t="str">
        <f>IF(H1216="","",VLOOKUP(A1216,'6.A'!$A$11:$E$564,4,FALSE))</f>
        <v/>
      </c>
      <c r="K1216" s="52" t="str">
        <f>IF(H1216="","",IF(J1216=D1216,"SIM","NÃO"))</f>
        <v/>
      </c>
      <c r="L1216" s="52" t="str">
        <f>IF(H1216="","",IF(C1216="","",G1208*C1216))</f>
        <v/>
      </c>
      <c r="M1216" s="117" t="str">
        <f>IF(A1216="","",VLOOKUP(A1216,'6.A'!$A$11:$C$564,2,FALSE))</f>
        <v/>
      </c>
      <c r="N1216" s="57" t="str">
        <f>IF(A1216="","",IF(M1216=B1216,"si","no"))</f>
        <v/>
      </c>
      <c r="O1216" s="56"/>
      <c r="P1216" s="56"/>
      <c r="Q1216" s="48"/>
      <c r="R1216" s="48"/>
      <c r="S1216" s="2"/>
    </row>
    <row r="1217" spans="1:19" ht="12.75" customHeight="1" x14ac:dyDescent="0.2">
      <c r="A1217" s="22"/>
      <c r="B1217" s="23" t="str">
        <f>IF(A1217="","",VLOOKUP(A1217,'6.A'!$A$11:$G$180,2,FALSE))</f>
        <v/>
      </c>
      <c r="C1217" s="99"/>
      <c r="D1217" s="57" t="str">
        <f>IF(A1217="","",VLOOKUP(A1217,'6.A'!$A$11:$G$180,4,FALSE))</f>
        <v/>
      </c>
      <c r="E1217" s="100" t="str">
        <f>IF(A1217="","",VLOOKUP(A1217,'6.A'!$A$11:$G$180,5,FALSE))</f>
        <v/>
      </c>
      <c r="F1217" s="24" t="str">
        <f t="shared" si="526"/>
        <v>0,00</v>
      </c>
      <c r="G1217" s="52"/>
      <c r="H1217" s="52" t="str">
        <f>IF(A1217="","",VLOOKUP(A1217,'6.A'!$A$11:$E$7984,5,FALSE))</f>
        <v/>
      </c>
      <c r="I1217" s="52" t="str">
        <f t="shared" ref="I1217" si="532">IF(H1217="","",IF(E1217=H1217,"SIM","NÃO"))</f>
        <v/>
      </c>
      <c r="J1217" s="52" t="str">
        <f>IF(H1217="","",VLOOKUP(A1217,'6.A'!$A$11:$E$564,4,FALSE))</f>
        <v/>
      </c>
      <c r="K1217" s="52" t="str">
        <f t="shared" ref="K1217" si="533">IF(H1217="","",IF(J1217=D1217,"SIM","NÃO"))</f>
        <v/>
      </c>
      <c r="L1217" s="52" t="str">
        <f>IF(H1217="","",IF(C1217="","",G1208*C1217))</f>
        <v/>
      </c>
      <c r="M1217" s="117" t="str">
        <f>IF(A1217="","",VLOOKUP(A1217,'6.A'!$A$11:$C$564,2,FALSE))</f>
        <v/>
      </c>
      <c r="N1217" s="57" t="str">
        <f t="shared" ref="N1217" si="534">IF(A1217="","",IF(M1217=B1217,"si","no"))</f>
        <v/>
      </c>
      <c r="O1217" s="56"/>
      <c r="P1217" s="56"/>
      <c r="Q1217" s="48"/>
      <c r="R1217" s="48"/>
      <c r="S1217" s="2"/>
    </row>
    <row r="1218" spans="1:19" ht="12.75" customHeight="1" x14ac:dyDescent="0.2">
      <c r="A1218" s="22"/>
      <c r="B1218" s="23" t="str">
        <f>IF(A1218="","",VLOOKUP(A1218,'6.A'!$A$11:$G$180,2,FALSE))</f>
        <v/>
      </c>
      <c r="C1218" s="99"/>
      <c r="D1218" s="73" t="str">
        <f>IF(A1218="","",VLOOKUP(A1218,'6.A'!$A$11:$G$180,4,FALSE))</f>
        <v/>
      </c>
      <c r="E1218" s="101" t="str">
        <f>IF(A1218="","",VLOOKUP(A1218,'6.A'!$A$11:$G$180,5,FALSE))</f>
        <v/>
      </c>
      <c r="F1218" s="24" t="str">
        <f t="shared" si="526"/>
        <v>0,00</v>
      </c>
      <c r="G1218" s="52"/>
      <c r="H1218" s="52" t="str">
        <f>IF(A1218="","",VLOOKUP(A1218,'6.A'!$A$11:$E$7984,5,FALSE))</f>
        <v/>
      </c>
      <c r="I1218" s="52" t="str">
        <f>IF(H1218="","",IF(E1218=H1218,"SIM","NÃO"))</f>
        <v/>
      </c>
      <c r="J1218" s="52" t="str">
        <f>IF(H1218="","",VLOOKUP(A1218,'6.A'!$A$11:$E$564,4,FALSE))</f>
        <v/>
      </c>
      <c r="K1218" s="52" t="str">
        <f>IF(H1218="","",IF(J1218=D1218,"SIM","NÃO"))</f>
        <v/>
      </c>
      <c r="L1218" s="52" t="str">
        <f>IF(H1218="","",IF(C1218="","",G1208*C1218))</f>
        <v/>
      </c>
      <c r="M1218" s="117" t="str">
        <f>IF(A1218="","",VLOOKUP(A1218,'6.A'!$A$11:$C$564,2,FALSE))</f>
        <v/>
      </c>
      <c r="N1218" s="57" t="str">
        <f>IF(A1218="","",IF(M1218=B1218,"si","no"))</f>
        <v/>
      </c>
      <c r="O1218" s="56"/>
      <c r="P1218" s="56"/>
      <c r="Q1218" s="48"/>
      <c r="R1218" s="48"/>
      <c r="S1218" s="2"/>
    </row>
    <row r="1219" spans="1:19" ht="12.75" customHeight="1" x14ac:dyDescent="0.2">
      <c r="A1219" s="22"/>
      <c r="B1219" s="23" t="str">
        <f>IF(A1219="","",VLOOKUP(A1219,'6.A'!$A$11:$G$180,2,FALSE))</f>
        <v/>
      </c>
      <c r="C1219" s="99"/>
      <c r="D1219" s="25" t="str">
        <f>IF(A1219="","",VLOOKUP(A1219,'6.A'!$A$11:$G$180,4,FALSE))</f>
        <v/>
      </c>
      <c r="E1219" s="101" t="str">
        <f>IF(A1219="","",VLOOKUP(A1219,'6.A'!$A$11:$G$180,5,FALSE))</f>
        <v/>
      </c>
      <c r="F1219" s="24" t="str">
        <f t="shared" si="526"/>
        <v>0,00</v>
      </c>
      <c r="G1219" s="52"/>
      <c r="H1219" s="52" t="str">
        <f>IF(A1219="","",VLOOKUP(A1219,'6.A'!$A$11:$E$7984,5,FALSE))</f>
        <v/>
      </c>
      <c r="I1219" s="52" t="str">
        <f t="shared" ref="I1219" si="535">IF(H1219="","",IF(E1219=H1219,"SIM","NÃO"))</f>
        <v/>
      </c>
      <c r="J1219" s="52" t="str">
        <f>IF(H1219="","",VLOOKUP(A1219,'6.A'!$A$11:$E$564,4,FALSE))</f>
        <v/>
      </c>
      <c r="K1219" s="52" t="str">
        <f t="shared" ref="K1219" si="536">IF(H1219="","",IF(J1219=D1219,"SIM","NÃO"))</f>
        <v/>
      </c>
      <c r="L1219" s="52" t="str">
        <f>IF(H1219="","",IF(C1219="","",G1208*C1219))</f>
        <v/>
      </c>
      <c r="M1219" s="117" t="str">
        <f>IF(A1219="","",VLOOKUP(A1219,'6.A'!$A$11:$C$564,2,FALSE))</f>
        <v/>
      </c>
      <c r="N1219" s="57" t="str">
        <f t="shared" ref="N1219" si="537">IF(A1219="","",IF(M1219=B1219,"si","no"))</f>
        <v/>
      </c>
      <c r="O1219" s="56"/>
      <c r="P1219" s="56"/>
      <c r="Q1219" s="48"/>
      <c r="R1219" s="48"/>
      <c r="S1219" s="2"/>
    </row>
    <row r="1220" spans="1:19" ht="12.75" customHeight="1" x14ac:dyDescent="0.2">
      <c r="A1220" s="17"/>
      <c r="B1220" s="26" t="str">
        <f>$A$8</f>
        <v>LEIS SOCIAIS HORISTA - JORNADA NORMAL</v>
      </c>
      <c r="C1220" s="27">
        <f>$C$8</f>
        <v>0</v>
      </c>
      <c r="D1220" s="57"/>
      <c r="F1220" s="28">
        <f>ROUND(SUM(F1210:F1219)*C1220,2)</f>
        <v>0</v>
      </c>
      <c r="G1220" s="63"/>
      <c r="M1220" s="62"/>
      <c r="N1220" s="57"/>
      <c r="O1220" s="56"/>
      <c r="P1220" s="56"/>
      <c r="Q1220" s="48"/>
      <c r="R1220" s="48"/>
      <c r="S1220" s="2"/>
    </row>
    <row r="1221" spans="1:19" ht="12.75" customHeight="1" x14ac:dyDescent="0.2">
      <c r="A1221" s="22"/>
      <c r="B1221" s="26" t="str">
        <f>$A$9</f>
        <v>BDI</v>
      </c>
      <c r="C1221" s="27">
        <f>$C$9</f>
        <v>0</v>
      </c>
      <c r="D1221" s="29"/>
      <c r="F1221" s="28">
        <f>ROUND(SUM(F1210:F1220)*C1221,2)</f>
        <v>0</v>
      </c>
      <c r="G1221" s="63"/>
      <c r="M1221" s="62"/>
      <c r="N1221" s="57"/>
      <c r="O1221" s="56"/>
      <c r="P1221" s="56"/>
      <c r="Q1221" s="48"/>
      <c r="R1221" s="48"/>
      <c r="S1221" s="2"/>
    </row>
    <row r="1222" spans="1:19" ht="12.75" customHeight="1" x14ac:dyDescent="0.2">
      <c r="A1222" s="30"/>
      <c r="B1222" s="31" t="s">
        <v>56</v>
      </c>
      <c r="C1222" s="32"/>
      <c r="D1222" s="33"/>
      <c r="E1222" s="34"/>
      <c r="F1222" s="35">
        <f>ROUND(SUM(F1210:F1221),2)</f>
        <v>0</v>
      </c>
      <c r="G1222" s="63"/>
      <c r="M1222" s="62"/>
      <c r="N1222" s="57"/>
      <c r="O1222" s="56"/>
      <c r="P1222" s="56"/>
      <c r="Q1222" s="48"/>
      <c r="R1222" s="48"/>
      <c r="S1222" s="2"/>
    </row>
    <row r="1223" spans="1:19" ht="12.75" customHeight="1" x14ac:dyDescent="0.2">
      <c r="A1223" s="17" t="s">
        <v>5</v>
      </c>
      <c r="B1223" s="153" t="s">
        <v>130</v>
      </c>
      <c r="C1223" s="56" t="s">
        <v>59</v>
      </c>
      <c r="D1223" s="56" t="s">
        <v>16</v>
      </c>
      <c r="E1223" s="19" t="s">
        <v>60</v>
      </c>
      <c r="F1223" s="20" t="s">
        <v>61</v>
      </c>
      <c r="G1223" s="21"/>
      <c r="M1223" s="62"/>
      <c r="N1223" s="57"/>
      <c r="O1223" s="56"/>
      <c r="P1223" s="56"/>
      <c r="Q1223" s="48"/>
      <c r="R1223" s="48"/>
      <c r="S1223" s="2"/>
    </row>
    <row r="1224" spans="1:19" ht="12.75" customHeight="1" x14ac:dyDescent="0.2">
      <c r="A1224" s="22"/>
      <c r="B1224" s="23" t="str">
        <f>IF(A1224="","",VLOOKUP(A1224,'6.A'!$A$11:$G$180,2,FALSE))</f>
        <v/>
      </c>
      <c r="C1224" s="99"/>
      <c r="D1224" s="57" t="str">
        <f>IF(A1224="","",VLOOKUP(A1224,'6.A'!$A$11:$G$180,4,FALSE))</f>
        <v/>
      </c>
      <c r="E1224" s="100" t="str">
        <f>IF(A1224="","",VLOOKUP(A1224,'6.A'!$A$11:$G$180,5,FALSE))</f>
        <v/>
      </c>
      <c r="F1224" s="24" t="str">
        <f t="shared" ref="F1224:F1233" si="538">IF(A1224="","0,00",ROUND(C1224*E1224,2))</f>
        <v>0,00</v>
      </c>
      <c r="G1224" s="52"/>
      <c r="H1224" s="52" t="str">
        <f>IF(A1224="","",VLOOKUP(A1224,'6.A'!$A$11:$E$7984,5,FALSE))</f>
        <v/>
      </c>
      <c r="I1224" s="52" t="str">
        <f t="shared" ref="I1224:I1233" si="539">IF(H1224="","",IF(E1224=H1224,"SIM","NÃO"))</f>
        <v/>
      </c>
      <c r="J1224" s="52" t="str">
        <f>IF(H1224="","",VLOOKUP(A1224,'6.A'!$A$11:$E$564,4,FALSE))</f>
        <v/>
      </c>
      <c r="K1224" s="52" t="str">
        <f t="shared" ref="K1224:K1233" si="540">IF(H1224="","",IF(J1224=D1224,"SIM","NÃO"))</f>
        <v/>
      </c>
      <c r="L1224" s="52" t="str">
        <f>IF(H1224="","",IF(C1224="","",G1208*C1224))</f>
        <v/>
      </c>
      <c r="M1224" s="117" t="str">
        <f>IF(A1224="","",VLOOKUP(A1224,'6.A'!$A$11:$C$564,2,FALSE))</f>
        <v/>
      </c>
      <c r="N1224" s="57" t="str">
        <f t="shared" ref="N1224:N1229" si="541">IF(A1224="","",IF(M1224=B1224,"si","no"))</f>
        <v/>
      </c>
      <c r="O1224" s="56"/>
      <c r="P1224" s="56"/>
      <c r="Q1224" s="48"/>
      <c r="R1224" s="48"/>
      <c r="S1224" s="2"/>
    </row>
    <row r="1225" spans="1:19" ht="12.75" customHeight="1" x14ac:dyDescent="0.2">
      <c r="A1225" s="22"/>
      <c r="B1225" s="23" t="str">
        <f>IF(A1225="","",VLOOKUP(A1225,'6.A'!$A$11:$G$180,2,FALSE))</f>
        <v/>
      </c>
      <c r="C1225" s="99"/>
      <c r="D1225" s="57" t="str">
        <f>IF(A1225="","",VLOOKUP(A1225,'6.A'!$A$11:$G$180,4,FALSE))</f>
        <v/>
      </c>
      <c r="E1225" s="100" t="str">
        <f>IF(A1225="","",VLOOKUP(A1225,'6.A'!$A$11:$G$180,5,FALSE))</f>
        <v/>
      </c>
      <c r="F1225" s="24" t="str">
        <f t="shared" si="538"/>
        <v>0,00</v>
      </c>
      <c r="G1225" s="52"/>
      <c r="H1225" s="52" t="str">
        <f>IF(A1225="","",VLOOKUP(A1225,'6.A'!$A$11:$E$7984,5,FALSE))</f>
        <v/>
      </c>
      <c r="I1225" s="52" t="str">
        <f t="shared" si="539"/>
        <v/>
      </c>
      <c r="J1225" s="52" t="str">
        <f>IF(H1225="","",VLOOKUP(A1225,'6.A'!$A$11:$E$564,4,FALSE))</f>
        <v/>
      </c>
      <c r="K1225" s="52" t="str">
        <f t="shared" si="540"/>
        <v/>
      </c>
      <c r="L1225" s="52" t="str">
        <f>IF(H1225="","",IF(C1225="","",G1208*C1225))</f>
        <v/>
      </c>
      <c r="M1225" s="117" t="str">
        <f>IF(A1225="","",VLOOKUP(A1225,'6.A'!$A$11:$C$564,2,FALSE))</f>
        <v/>
      </c>
      <c r="N1225" s="57" t="str">
        <f t="shared" si="541"/>
        <v/>
      </c>
      <c r="O1225" s="56"/>
      <c r="P1225" s="56"/>
      <c r="Q1225" s="48"/>
      <c r="R1225" s="48"/>
      <c r="S1225" s="2"/>
    </row>
    <row r="1226" spans="1:19" ht="12.75" customHeight="1" x14ac:dyDescent="0.2">
      <c r="A1226" s="22"/>
      <c r="B1226" s="23" t="str">
        <f>IF(A1226="","",VLOOKUP(A1226,'6.A'!$A$11:$G$180,2,FALSE))</f>
        <v/>
      </c>
      <c r="C1226" s="99"/>
      <c r="D1226" s="57" t="str">
        <f>IF(A1226="","",VLOOKUP(A1226,'6.A'!$A$11:$G$180,4,FALSE))</f>
        <v/>
      </c>
      <c r="E1226" s="100" t="str">
        <f>IF(A1226="","",VLOOKUP(A1226,'6.A'!$A$11:$G$180,5,FALSE))</f>
        <v/>
      </c>
      <c r="F1226" s="24" t="str">
        <f t="shared" si="538"/>
        <v>0,00</v>
      </c>
      <c r="G1226" s="52"/>
      <c r="H1226" s="52" t="str">
        <f>IF(A1226="","",VLOOKUP(A1226,'6.A'!$A$11:$E$7984,5,FALSE))</f>
        <v/>
      </c>
      <c r="I1226" s="52" t="str">
        <f t="shared" si="539"/>
        <v/>
      </c>
      <c r="J1226" s="52" t="str">
        <f>IF(H1226="","",VLOOKUP(A1226,'6.A'!$A$11:$E$564,4,FALSE))</f>
        <v/>
      </c>
      <c r="K1226" s="52" t="str">
        <f t="shared" si="540"/>
        <v/>
      </c>
      <c r="L1226" s="52" t="str">
        <f>IF(H1226="","",IF(C1226="","",G1208*C1226))</f>
        <v/>
      </c>
      <c r="M1226" s="117" t="str">
        <f>IF(A1226="","",VLOOKUP(A1226,'6.A'!$A$11:$C$564,2,FALSE))</f>
        <v/>
      </c>
      <c r="N1226" s="57" t="str">
        <f t="shared" si="541"/>
        <v/>
      </c>
      <c r="O1226" s="56"/>
      <c r="P1226" s="56"/>
      <c r="Q1226" s="48"/>
      <c r="R1226" s="48"/>
      <c r="S1226" s="2"/>
    </row>
    <row r="1227" spans="1:19" ht="12.75" customHeight="1" x14ac:dyDescent="0.2">
      <c r="A1227" s="22"/>
      <c r="B1227" s="55" t="str">
        <f>IF(A1227="","",VLOOKUP(A1227,'6.A'!$A$11:$G$180,2,FALSE))</f>
        <v/>
      </c>
      <c r="C1227" s="134"/>
      <c r="D1227" s="57" t="str">
        <f>IF(A1227="","",VLOOKUP(A1227,'6.A'!$A$11:$G$180,4,FALSE))</f>
        <v/>
      </c>
      <c r="E1227" s="100" t="str">
        <f>IF(A1227="","",VLOOKUP(A1227,'6.A'!$A$11:$G$180,5,FALSE))</f>
        <v/>
      </c>
      <c r="F1227" s="24" t="str">
        <f t="shared" si="538"/>
        <v>0,00</v>
      </c>
      <c r="G1227" s="52"/>
      <c r="H1227" s="52" t="str">
        <f>IF(A1227="","",VLOOKUP(A1227,'6.A'!$A$11:$E$7984,5,FALSE))</f>
        <v/>
      </c>
      <c r="I1227" s="52" t="str">
        <f t="shared" si="539"/>
        <v/>
      </c>
      <c r="J1227" s="52" t="str">
        <f>IF(H1227="","",VLOOKUP(A1227,'6.A'!$A$11:$E$564,4,FALSE))</f>
        <v/>
      </c>
      <c r="K1227" s="52" t="str">
        <f t="shared" si="540"/>
        <v/>
      </c>
      <c r="L1227" s="52" t="str">
        <f>IF(H1227="","",IF(C1227="","",G1208*C1227))</f>
        <v/>
      </c>
      <c r="M1227" s="117" t="str">
        <f>IF(A1227="","",VLOOKUP(A1227,'6.A'!$A$11:$C$564,2,FALSE))</f>
        <v/>
      </c>
      <c r="N1227" s="57" t="str">
        <f t="shared" si="541"/>
        <v/>
      </c>
      <c r="O1227" s="56"/>
      <c r="P1227" s="56"/>
      <c r="Q1227" s="48"/>
      <c r="R1227" s="48"/>
      <c r="S1227" s="2"/>
    </row>
    <row r="1228" spans="1:19" ht="12.75" customHeight="1" x14ac:dyDescent="0.2">
      <c r="A1228" s="22"/>
      <c r="B1228" s="23" t="str">
        <f>IF(A1228="","",VLOOKUP(A1228,'6.A'!$A$11:$G$180,2,FALSE))</f>
        <v/>
      </c>
      <c r="C1228" s="99"/>
      <c r="D1228" s="57" t="str">
        <f>IF(A1228="","",VLOOKUP(A1228,'6.A'!$A$11:$G$180,4,FALSE))</f>
        <v/>
      </c>
      <c r="E1228" s="100" t="str">
        <f>IF(A1228="","",VLOOKUP(A1228,'6.A'!$A$11:$G$180,5,FALSE))</f>
        <v/>
      </c>
      <c r="F1228" s="24" t="str">
        <f t="shared" si="538"/>
        <v>0,00</v>
      </c>
      <c r="G1228" s="52"/>
      <c r="H1228" s="52" t="str">
        <f>IF(A1228="","",VLOOKUP(A1228,'6.A'!$A$11:$E$7984,5,FALSE))</f>
        <v/>
      </c>
      <c r="I1228" s="52" t="str">
        <f t="shared" si="539"/>
        <v/>
      </c>
      <c r="J1228" s="52" t="str">
        <f>IF(H1228="","",VLOOKUP(A1228,'6.A'!$A$11:$E$564,4,FALSE))</f>
        <v/>
      </c>
      <c r="K1228" s="52" t="str">
        <f t="shared" si="540"/>
        <v/>
      </c>
      <c r="L1228" s="52" t="str">
        <f>IF(H1228="","",IF(C1228="","",G1208*C1228))</f>
        <v/>
      </c>
      <c r="M1228" s="117" t="str">
        <f>IF(A1228="","",VLOOKUP(A1228,'6.A'!$A$11:$C$564,2,FALSE))</f>
        <v/>
      </c>
      <c r="N1228" s="57" t="str">
        <f t="shared" si="541"/>
        <v/>
      </c>
      <c r="O1228" s="56"/>
      <c r="P1228" s="56"/>
      <c r="Q1228" s="48"/>
      <c r="R1228" s="48"/>
      <c r="S1228" s="2"/>
    </row>
    <row r="1229" spans="1:19" ht="12.75" customHeight="1" x14ac:dyDescent="0.2">
      <c r="A1229" s="22"/>
      <c r="B1229" s="23" t="str">
        <f>IF(A1229="","",VLOOKUP(A1229,'6.A'!$A$11:$G$180,2,FALSE))</f>
        <v/>
      </c>
      <c r="C1229" s="99"/>
      <c r="D1229" s="57" t="str">
        <f>IF(A1229="","",VLOOKUP(A1229,'6.A'!$A$11:$G$180,4,FALSE))</f>
        <v/>
      </c>
      <c r="E1229" s="100" t="str">
        <f>IF(A1229="","",VLOOKUP(A1229,'6.A'!$A$11:$G$180,5,FALSE))</f>
        <v/>
      </c>
      <c r="F1229" s="24" t="str">
        <f t="shared" si="538"/>
        <v>0,00</v>
      </c>
      <c r="G1229" s="52"/>
      <c r="H1229" s="52" t="str">
        <f>IF(A1229="","",VLOOKUP(A1229,'6.A'!$A$11:$E$7984,5,FALSE))</f>
        <v/>
      </c>
      <c r="I1229" s="52" t="str">
        <f t="shared" si="539"/>
        <v/>
      </c>
      <c r="J1229" s="52" t="str">
        <f>IF(H1229="","",VLOOKUP(A1229,'6.A'!$A$11:$E$564,4,FALSE))</f>
        <v/>
      </c>
      <c r="K1229" s="52" t="str">
        <f t="shared" si="540"/>
        <v/>
      </c>
      <c r="L1229" s="52" t="str">
        <f>IF(H1229="","",IF(C1229="","",G1208*C1229))</f>
        <v/>
      </c>
      <c r="M1229" s="117" t="str">
        <f>IF(A1229="","",VLOOKUP(A1229,'6.A'!$A$11:$C$564,2,FALSE))</f>
        <v/>
      </c>
      <c r="N1229" s="57" t="str">
        <f t="shared" si="541"/>
        <v/>
      </c>
      <c r="O1229" s="56"/>
      <c r="P1229" s="56"/>
      <c r="Q1229" s="48"/>
      <c r="R1229" s="48"/>
      <c r="S1229" s="2"/>
    </row>
    <row r="1230" spans="1:19" ht="12.75" customHeight="1" x14ac:dyDescent="0.2">
      <c r="A1230" s="22"/>
      <c r="B1230" s="23" t="str">
        <f>IF(A1230="","",VLOOKUP(A1230,'6.A'!$A$11:$G$180,2,FALSE))</f>
        <v/>
      </c>
      <c r="C1230" s="99"/>
      <c r="D1230" s="57" t="str">
        <f>IF(A1230="","",VLOOKUP(A1230,'6.A'!$A$11:$G$180,4,FALSE))</f>
        <v/>
      </c>
      <c r="E1230" s="100" t="str">
        <f>IF(A1230="","",VLOOKUP(A1230,'6.A'!$A$11:$G$180,5,FALSE))</f>
        <v/>
      </c>
      <c r="F1230" s="24" t="str">
        <f t="shared" si="538"/>
        <v>0,00</v>
      </c>
      <c r="G1230" s="52"/>
      <c r="H1230" s="52" t="str">
        <f>IF(A1230="","",VLOOKUP(A1230,'6.A'!$A$11:$E$7984,5,FALSE))</f>
        <v/>
      </c>
      <c r="I1230" s="52" t="str">
        <f t="shared" si="539"/>
        <v/>
      </c>
      <c r="J1230" s="52" t="str">
        <f>IF(H1230="","",VLOOKUP(A1230,'6.A'!$A$11:$E$564,4,FALSE))</f>
        <v/>
      </c>
      <c r="K1230" s="52" t="str">
        <f t="shared" si="540"/>
        <v/>
      </c>
      <c r="L1230" s="52" t="str">
        <f>IF(H1230="","",IF(C1230="","",G1208*C1230))</f>
        <v/>
      </c>
      <c r="M1230" s="117" t="str">
        <f>IF(A1230="","",VLOOKUP(A1230,'6.A'!$A$11:$C$564,2,FALSE))</f>
        <v/>
      </c>
      <c r="N1230" s="57" t="str">
        <f>IF(A1230="","",IF(M1230=B1230,"si","no"))</f>
        <v/>
      </c>
      <c r="O1230" s="56"/>
      <c r="P1230" s="56"/>
      <c r="Q1230" s="48"/>
      <c r="R1230" s="48"/>
      <c r="S1230" s="2"/>
    </row>
    <row r="1231" spans="1:19" ht="12.75" customHeight="1" x14ac:dyDescent="0.2">
      <c r="A1231" s="22"/>
      <c r="B1231" s="23" t="str">
        <f>IF(A1231="","",VLOOKUP(A1231,'6.A'!$A$11:$G$180,2,FALSE))</f>
        <v/>
      </c>
      <c r="C1231" s="99"/>
      <c r="D1231" s="57" t="str">
        <f>IF(A1231="","",VLOOKUP(A1231,'6.A'!$A$11:$G$180,4,FALSE))</f>
        <v/>
      </c>
      <c r="E1231" s="100" t="str">
        <f>IF(A1231="","",VLOOKUP(A1231,'6.A'!$A$11:$G$180,5,FALSE))</f>
        <v/>
      </c>
      <c r="F1231" s="24" t="str">
        <f t="shared" si="538"/>
        <v>0,00</v>
      </c>
      <c r="G1231" s="52"/>
      <c r="H1231" s="52" t="str">
        <f>IF(A1231="","",VLOOKUP(A1231,'6.A'!$A$11:$E$7984,5,FALSE))</f>
        <v/>
      </c>
      <c r="I1231" s="52" t="str">
        <f t="shared" si="539"/>
        <v/>
      </c>
      <c r="J1231" s="52" t="str">
        <f>IF(H1231="","",VLOOKUP(A1231,'6.A'!$A$11:$E$564,4,FALSE))</f>
        <v/>
      </c>
      <c r="K1231" s="52" t="str">
        <f t="shared" si="540"/>
        <v/>
      </c>
      <c r="L1231" s="52" t="str">
        <f>IF(H1231="","",IF(C1231="","",G1208*C1231))</f>
        <v/>
      </c>
      <c r="M1231" s="117" t="str">
        <f>IF(A1231="","",VLOOKUP(A1231,'6.A'!$A$11:$C$564,2,FALSE))</f>
        <v/>
      </c>
      <c r="N1231" s="57" t="str">
        <f>IF(A1231="","",IF(M1231=B1231,"si","no"))</f>
        <v/>
      </c>
      <c r="O1231" s="56"/>
      <c r="P1231" s="56"/>
      <c r="Q1231" s="48"/>
      <c r="R1231" s="48"/>
      <c r="S1231" s="2"/>
    </row>
    <row r="1232" spans="1:19" ht="12.75" customHeight="1" x14ac:dyDescent="0.2">
      <c r="A1232" s="22"/>
      <c r="B1232" s="23" t="str">
        <f>IF(A1232="","",VLOOKUP(A1232,'6.A'!$A$11:$G$180,2,FALSE))</f>
        <v/>
      </c>
      <c r="C1232" s="99"/>
      <c r="D1232" s="57" t="str">
        <f>IF(A1232="","",VLOOKUP(A1232,'6.A'!$A$11:$G$180,4,FALSE))</f>
        <v/>
      </c>
      <c r="E1232" s="100" t="str">
        <f>IF(A1232="","",VLOOKUP(A1232,'6.A'!$A$11:$G$180,5,FALSE))</f>
        <v/>
      </c>
      <c r="F1232" s="24" t="str">
        <f t="shared" si="538"/>
        <v>0,00</v>
      </c>
      <c r="G1232" s="52"/>
      <c r="H1232" s="52" t="str">
        <f>IF(A1232="","",VLOOKUP(A1232,'6.A'!$A$11:$E$7984,5,FALSE))</f>
        <v/>
      </c>
      <c r="I1232" s="52" t="str">
        <f t="shared" si="539"/>
        <v/>
      </c>
      <c r="J1232" s="52" t="str">
        <f>IF(H1232="","",VLOOKUP(A1232,'6.A'!$A$11:$E$564,4,FALSE))</f>
        <v/>
      </c>
      <c r="K1232" s="52" t="str">
        <f t="shared" si="540"/>
        <v/>
      </c>
      <c r="L1232" s="52" t="str">
        <f>IF(H1232="","",IF(C1232="","",G1208*C1232))</f>
        <v/>
      </c>
      <c r="M1232" s="117" t="str">
        <f>IF(A1232="","",VLOOKUP(A1232,'6.A'!$A$11:$C$564,2,FALSE))</f>
        <v/>
      </c>
      <c r="N1232" s="57" t="str">
        <f t="shared" ref="N1232:N1233" si="542">IF(A1232="","",IF(M1232=B1232,"si","no"))</f>
        <v/>
      </c>
      <c r="O1232" s="56"/>
      <c r="P1232" s="56"/>
      <c r="Q1232" s="48"/>
      <c r="R1232" s="48"/>
      <c r="S1232" s="2"/>
    </row>
    <row r="1233" spans="1:22" ht="12.75" customHeight="1" x14ac:dyDescent="0.2">
      <c r="A1233" s="22"/>
      <c r="B1233" s="23" t="str">
        <f>IF(A1233="","",VLOOKUP(A1233,'6.A'!$A$11:$G$180,2,FALSE))</f>
        <v/>
      </c>
      <c r="C1233" s="99"/>
      <c r="D1233" s="57" t="str">
        <f>IF(A1233="","",VLOOKUP(A1233,'6.A'!$A$11:$G$180,4,FALSE))</f>
        <v/>
      </c>
      <c r="E1233" s="100" t="str">
        <f>IF(A1233="","",VLOOKUP(A1233,'6.A'!$A$11:$G$180,5,FALSE))</f>
        <v/>
      </c>
      <c r="F1233" s="24" t="str">
        <f t="shared" si="538"/>
        <v>0,00</v>
      </c>
      <c r="G1233" s="52"/>
      <c r="H1233" s="52" t="str">
        <f>IF(A1233="","",VLOOKUP(A1233,'6.A'!$A$11:$E$7984,5,FALSE))</f>
        <v/>
      </c>
      <c r="I1233" s="52" t="str">
        <f t="shared" si="539"/>
        <v/>
      </c>
      <c r="J1233" s="52" t="str">
        <f>IF(H1233="","",VLOOKUP(A1233,'6.A'!$A$11:$E$564,4,FALSE))</f>
        <v/>
      </c>
      <c r="K1233" s="52" t="str">
        <f t="shared" si="540"/>
        <v/>
      </c>
      <c r="L1233" s="52" t="str">
        <f>IF(H1233="","",IF(C1233="","",G1208*C1233))</f>
        <v/>
      </c>
      <c r="M1233" s="117" t="str">
        <f>IF(A1233="","",VLOOKUP(A1233,'6.A'!$A$11:$C$564,2,FALSE))</f>
        <v/>
      </c>
      <c r="N1233" s="57" t="str">
        <f t="shared" si="542"/>
        <v/>
      </c>
      <c r="O1233" s="56"/>
      <c r="P1233" s="56"/>
      <c r="Q1233" s="48"/>
      <c r="R1233" s="48"/>
      <c r="S1233" s="2"/>
    </row>
    <row r="1234" spans="1:22" ht="12.75" customHeight="1" x14ac:dyDescent="0.2">
      <c r="A1234" s="22"/>
      <c r="B1234" s="26" t="str">
        <f>$A$9</f>
        <v>BDI</v>
      </c>
      <c r="C1234" s="27">
        <f>$C$9</f>
        <v>0</v>
      </c>
      <c r="D1234" s="57"/>
      <c r="F1234" s="28">
        <f>ROUND(SUM(F1224:F1233)*C1234,2)</f>
        <v>0</v>
      </c>
      <c r="G1234" s="63"/>
      <c r="M1234" s="62"/>
      <c r="N1234" s="57"/>
      <c r="O1234" s="56"/>
      <c r="P1234" s="56"/>
      <c r="Q1234" s="48"/>
      <c r="R1234" s="48"/>
      <c r="S1234" s="2"/>
    </row>
    <row r="1235" spans="1:22" ht="12.75" customHeight="1" x14ac:dyDescent="0.2">
      <c r="A1235" s="30"/>
      <c r="B1235" s="31" t="s">
        <v>117</v>
      </c>
      <c r="C1235" s="36"/>
      <c r="D1235" s="37"/>
      <c r="E1235" s="38"/>
      <c r="F1235" s="35">
        <f>ROUND(SUM(F1224:F1234),2)</f>
        <v>0</v>
      </c>
      <c r="G1235" s="63"/>
      <c r="M1235" s="62"/>
      <c r="N1235" s="57"/>
      <c r="O1235" s="56"/>
      <c r="P1235" s="56"/>
      <c r="Q1235" s="48"/>
      <c r="R1235" s="48"/>
      <c r="S1235" s="2"/>
    </row>
    <row r="1236" spans="1:22" ht="12.75" customHeight="1" x14ac:dyDescent="0.2">
      <c r="A1236" s="17" t="s">
        <v>6</v>
      </c>
      <c r="B1236" s="18" t="s">
        <v>17</v>
      </c>
      <c r="C1236" s="56" t="s">
        <v>59</v>
      </c>
      <c r="D1236" s="56" t="s">
        <v>16</v>
      </c>
      <c r="E1236" s="19" t="s">
        <v>60</v>
      </c>
      <c r="F1236" s="20" t="s">
        <v>61</v>
      </c>
      <c r="G1236" s="21"/>
      <c r="M1236" s="62"/>
      <c r="N1236" s="57"/>
      <c r="O1236" s="56"/>
      <c r="P1236" s="56"/>
      <c r="Q1236" s="48"/>
      <c r="R1236" s="48"/>
      <c r="S1236" s="2"/>
    </row>
    <row r="1237" spans="1:22" ht="12.75" customHeight="1" x14ac:dyDescent="0.2">
      <c r="A1237" s="22">
        <f>'6.A'!$A$150</f>
        <v>42117</v>
      </c>
      <c r="B1237" s="23" t="str">
        <f>IF(A1237="","",VLOOKUP(A1237,'6.A'!$A$11:$G$180,2,FALSE))</f>
        <v xml:space="preserve">ELETRODUTO GALVANIZADO POR IMERSÃO A QUENTE - DN = 1 1/2" - NBR5598 </v>
      </c>
      <c r="C1237" s="99">
        <v>1.05</v>
      </c>
      <c r="D1237" s="57" t="str">
        <f>IF(A1237="","",VLOOKUP(A1237,'6.A'!$A$11:$G$180,4,FALSE))</f>
        <v>M</v>
      </c>
      <c r="E1237" s="100">
        <f>IF(A1237="","",VLOOKUP(A1237,'6.A'!$A$11:$G$180,5,FALSE))</f>
        <v>0</v>
      </c>
      <c r="F1237" s="24">
        <f t="shared" ref="F1237:F1256" si="543">IF(A1237="","0,00",ROUND(C1237*E1237,2))</f>
        <v>0</v>
      </c>
      <c r="G1237" s="52"/>
      <c r="H1237" s="52">
        <f>IF(A1237="","",VLOOKUP(A1237,'6.A'!$A$11:$E$7984,5,FALSE))</f>
        <v>0</v>
      </c>
      <c r="I1237" s="52" t="str">
        <f t="shared" ref="I1237:I1256" si="544">IF(H1237="","",IF(E1237=H1237,"SIM","NÃO"))</f>
        <v>SIM</v>
      </c>
      <c r="J1237" s="52" t="str">
        <f>IF(H1237="","",VLOOKUP(A1237,'6.A'!$A$11:$E$564,4,FALSE))</f>
        <v>M</v>
      </c>
      <c r="K1237" s="52" t="str">
        <f t="shared" ref="K1237:K1256" si="545">IF(H1237="","",IF(J1237=D1237,"SIM","NÃO"))</f>
        <v>SIM</v>
      </c>
      <c r="L1237" s="52">
        <f>IF(H1237="","",IF(C1237="","",G1208*C1237))</f>
        <v>3.1500000000000004</v>
      </c>
      <c r="M1237" s="117" t="str">
        <f>IF(A1237="","",VLOOKUP(A1237,'6.A'!$A$11:$C$564,2,FALSE))</f>
        <v xml:space="preserve">ELETRODUTO GALVANIZADO POR IMERSÃO A QUENTE - DN = 1 1/2" - NBR5598 </v>
      </c>
      <c r="N1237" s="57" t="str">
        <f t="shared" ref="N1237:N1256" si="546">IF(A1237="","",IF(M1237=B1237,"si","no"))</f>
        <v>si</v>
      </c>
      <c r="O1237" s="56"/>
      <c r="P1237" s="56"/>
      <c r="Q1237" s="48"/>
      <c r="R1237" s="48"/>
      <c r="S1237" s="2"/>
    </row>
    <row r="1238" spans="1:22" ht="12.75" customHeight="1" x14ac:dyDescent="0.2">
      <c r="A1238" s="22"/>
      <c r="B1238" s="23" t="str">
        <f>IF(A1238="","",VLOOKUP(A1238,'6.A'!$A$11:$G$180,2,FALSE))</f>
        <v/>
      </c>
      <c r="C1238" s="99"/>
      <c r="D1238" s="57" t="str">
        <f>IF(A1238="","",VLOOKUP(A1238,'6.A'!$A$11:$G$180,4,FALSE))</f>
        <v/>
      </c>
      <c r="E1238" s="100" t="str">
        <f>IF(A1238="","",VLOOKUP(A1238,'6.A'!$A$11:$G$180,5,FALSE))</f>
        <v/>
      </c>
      <c r="F1238" s="24" t="str">
        <f t="shared" si="543"/>
        <v>0,00</v>
      </c>
      <c r="G1238" s="52"/>
      <c r="H1238" s="52" t="str">
        <f>IF(A1238="","",VLOOKUP(A1238,'6.A'!$A$11:$E$7984,5,FALSE))</f>
        <v/>
      </c>
      <c r="I1238" s="52" t="str">
        <f t="shared" si="544"/>
        <v/>
      </c>
      <c r="J1238" s="52" t="str">
        <f>IF(H1238="","",VLOOKUP(A1238,'6.A'!$A$11:$E$564,4,FALSE))</f>
        <v/>
      </c>
      <c r="K1238" s="52" t="str">
        <f t="shared" si="545"/>
        <v/>
      </c>
      <c r="L1238" s="52" t="str">
        <f>IF(H1238="","",IF(C1238="","",G1208*C1238))</f>
        <v/>
      </c>
      <c r="M1238" s="117" t="str">
        <f>IF(A1238="","",VLOOKUP(A1238,'6.A'!$A$11:$C$564,2,FALSE))</f>
        <v/>
      </c>
      <c r="N1238" s="57" t="str">
        <f t="shared" si="546"/>
        <v/>
      </c>
      <c r="O1238" s="56"/>
      <c r="P1238" s="56"/>
      <c r="Q1238" s="48"/>
      <c r="R1238" s="48"/>
      <c r="S1238" s="2"/>
    </row>
    <row r="1239" spans="1:22" ht="12.75" customHeight="1" x14ac:dyDescent="0.2">
      <c r="A1239" s="22"/>
      <c r="B1239" s="23" t="str">
        <f>IF(A1239="","",VLOOKUP(A1239,'6.A'!$A$11:$G$180,2,FALSE))</f>
        <v/>
      </c>
      <c r="C1239" s="99"/>
      <c r="D1239" s="57" t="str">
        <f>IF(A1239="","",VLOOKUP(A1239,'6.A'!$A$11:$G$180,4,FALSE))</f>
        <v/>
      </c>
      <c r="E1239" s="100" t="str">
        <f>IF(A1239="","",VLOOKUP(A1239,'6.A'!$A$11:$G$180,5,FALSE))</f>
        <v/>
      </c>
      <c r="F1239" s="24" t="str">
        <f t="shared" si="543"/>
        <v>0,00</v>
      </c>
      <c r="G1239" s="52"/>
      <c r="H1239" s="52" t="str">
        <f>IF(A1239="","",VLOOKUP(A1239,'6.A'!$A$11:$E$7984,5,FALSE))</f>
        <v/>
      </c>
      <c r="I1239" s="52" t="str">
        <f t="shared" si="544"/>
        <v/>
      </c>
      <c r="J1239" s="52" t="str">
        <f>IF(H1239="","",VLOOKUP(A1239,'6.A'!$A$11:$E$564,4,FALSE))</f>
        <v/>
      </c>
      <c r="K1239" s="52" t="str">
        <f t="shared" si="545"/>
        <v/>
      </c>
      <c r="L1239" s="52" t="str">
        <f>IF(H1239="","",IF(C1239="","",G1208*C1239))</f>
        <v/>
      </c>
      <c r="M1239" s="117" t="str">
        <f>IF(A1239="","",VLOOKUP(A1239,'6.A'!$A$11:$C$564,2,FALSE))</f>
        <v/>
      </c>
      <c r="N1239" s="57" t="str">
        <f t="shared" si="546"/>
        <v/>
      </c>
      <c r="O1239" s="56"/>
      <c r="P1239" s="56"/>
      <c r="Q1239" s="48"/>
      <c r="R1239" s="48"/>
      <c r="S1239" s="2"/>
    </row>
    <row r="1240" spans="1:22" ht="12.75" customHeight="1" x14ac:dyDescent="0.2">
      <c r="A1240" s="22"/>
      <c r="B1240" s="23" t="str">
        <f>IF(A1240="","",VLOOKUP(A1240,'6.A'!$A$11:$G$180,2,FALSE))</f>
        <v/>
      </c>
      <c r="C1240" s="99"/>
      <c r="D1240" s="57" t="str">
        <f>IF(A1240="","",VLOOKUP(A1240,'6.A'!$A$11:$G$180,4,FALSE))</f>
        <v/>
      </c>
      <c r="E1240" s="100" t="str">
        <f>IF(A1240="","",VLOOKUP(A1240,'6.A'!$A$11:$G$180,5,FALSE))</f>
        <v/>
      </c>
      <c r="F1240" s="24" t="str">
        <f t="shared" si="543"/>
        <v>0,00</v>
      </c>
      <c r="G1240" s="52"/>
      <c r="H1240" s="52" t="str">
        <f>IF(A1240="","",VLOOKUP(A1240,'6.A'!$A$11:$E$7984,5,FALSE))</f>
        <v/>
      </c>
      <c r="I1240" s="52" t="str">
        <f t="shared" si="544"/>
        <v/>
      </c>
      <c r="J1240" s="52" t="str">
        <f>IF(H1240="","",VLOOKUP(A1240,'6.A'!$A$11:$E$564,4,FALSE))</f>
        <v/>
      </c>
      <c r="K1240" s="52" t="str">
        <f t="shared" si="545"/>
        <v/>
      </c>
      <c r="L1240" s="52" t="str">
        <f>IF(H1240="","",IF(C1240="","",G1208*C1240))</f>
        <v/>
      </c>
      <c r="M1240" s="117" t="str">
        <f>IF(A1240="","",VLOOKUP(A1240,'6.A'!$A$11:$C$564,2,FALSE))</f>
        <v/>
      </c>
      <c r="N1240" s="57" t="str">
        <f t="shared" si="546"/>
        <v/>
      </c>
      <c r="O1240" s="56"/>
      <c r="P1240" s="56"/>
      <c r="Q1240" s="48"/>
      <c r="R1240" s="48"/>
      <c r="S1240" s="2"/>
    </row>
    <row r="1241" spans="1:22" ht="12.75" customHeight="1" x14ac:dyDescent="0.2">
      <c r="A1241" s="22"/>
      <c r="B1241" s="23" t="str">
        <f>IF(A1241="","",VLOOKUP(A1241,'6.A'!$A$11:$G$180,2,FALSE))</f>
        <v/>
      </c>
      <c r="C1241" s="99"/>
      <c r="D1241" s="57" t="str">
        <f>IF(A1241="","",VLOOKUP(A1241,'6.A'!$A$11:$G$180,4,FALSE))</f>
        <v/>
      </c>
      <c r="E1241" s="100" t="str">
        <f>IF(A1241="","",VLOOKUP(A1241,'6.A'!$A$11:$G$180,5,FALSE))</f>
        <v/>
      </c>
      <c r="F1241" s="24" t="str">
        <f t="shared" si="543"/>
        <v>0,00</v>
      </c>
      <c r="G1241" s="52"/>
      <c r="H1241" s="52" t="str">
        <f>IF(A1241="","",VLOOKUP(A1241,'6.A'!$A$11:$E$7984,5,FALSE))</f>
        <v/>
      </c>
      <c r="I1241" s="52" t="str">
        <f t="shared" si="544"/>
        <v/>
      </c>
      <c r="J1241" s="52" t="str">
        <f>IF(H1241="","",VLOOKUP(A1241,'6.A'!$A$11:$E$564,4,FALSE))</f>
        <v/>
      </c>
      <c r="K1241" s="52" t="str">
        <f t="shared" si="545"/>
        <v/>
      </c>
      <c r="L1241" s="52" t="str">
        <f>IF(H1241="","",IF(C1241="","",G1208*C1241))</f>
        <v/>
      </c>
      <c r="M1241" s="117" t="str">
        <f>IF(A1241="","",VLOOKUP(A1241,'6.A'!$A$11:$C$564,2,FALSE))</f>
        <v/>
      </c>
      <c r="N1241" s="57" t="str">
        <f t="shared" si="546"/>
        <v/>
      </c>
      <c r="O1241" s="56"/>
      <c r="P1241" s="56"/>
      <c r="Q1241" s="48"/>
      <c r="R1241" s="48"/>
      <c r="S1241" s="2"/>
    </row>
    <row r="1242" spans="1:22" ht="12.75" customHeight="1" x14ac:dyDescent="0.2">
      <c r="A1242" s="22"/>
      <c r="B1242" s="23" t="str">
        <f>IF(A1242="","",VLOOKUP(A1242,'6.A'!$A$11:$G$180,2,FALSE))</f>
        <v/>
      </c>
      <c r="C1242" s="99"/>
      <c r="D1242" s="57" t="str">
        <f>IF(A1242="","",VLOOKUP(A1242,'6.A'!$A$11:$G$180,4,FALSE))</f>
        <v/>
      </c>
      <c r="E1242" s="100" t="str">
        <f>IF(A1242="","",VLOOKUP(A1242,'6.A'!$A$11:$G$180,5,FALSE))</f>
        <v/>
      </c>
      <c r="F1242" s="24" t="str">
        <f t="shared" si="543"/>
        <v>0,00</v>
      </c>
      <c r="G1242" s="52"/>
      <c r="H1242" s="52" t="str">
        <f>IF(A1242="","",VLOOKUP(A1242,'6.A'!$A$11:$E$7984,5,FALSE))</f>
        <v/>
      </c>
      <c r="I1242" s="52" t="str">
        <f t="shared" si="544"/>
        <v/>
      </c>
      <c r="J1242" s="52" t="str">
        <f>IF(H1242="","",VLOOKUP(A1242,'6.A'!$A$11:$E$564,4,FALSE))</f>
        <v/>
      </c>
      <c r="K1242" s="52" t="str">
        <f t="shared" si="545"/>
        <v/>
      </c>
      <c r="L1242" s="52" t="str">
        <f>IF(H1242="","",IF(C1242="","",G1208*C1242))</f>
        <v/>
      </c>
      <c r="M1242" s="117" t="str">
        <f>IF(A1242="","",VLOOKUP(A1242,'6.A'!$A$11:$C$564,2,FALSE))</f>
        <v/>
      </c>
      <c r="N1242" s="57" t="str">
        <f t="shared" si="546"/>
        <v/>
      </c>
      <c r="O1242" s="56"/>
      <c r="P1242" s="56"/>
      <c r="Q1242" s="48"/>
      <c r="R1242" s="48"/>
      <c r="S1242" s="2"/>
    </row>
    <row r="1243" spans="1:22" ht="12.75" customHeight="1" x14ac:dyDescent="0.2">
      <c r="A1243" s="22"/>
      <c r="B1243" s="23" t="str">
        <f>IF(A1243="","",VLOOKUP(A1243,'6.A'!$A$11:$G$180,2,FALSE))</f>
        <v/>
      </c>
      <c r="C1243" s="99"/>
      <c r="D1243" s="57" t="str">
        <f>IF(A1243="","",VLOOKUP(A1243,'6.A'!$A$11:$G$180,4,FALSE))</f>
        <v/>
      </c>
      <c r="E1243" s="100" t="str">
        <f>IF(A1243="","",VLOOKUP(A1243,'6.A'!$A$11:$G$180,5,FALSE))</f>
        <v/>
      </c>
      <c r="F1243" s="24" t="str">
        <f t="shared" si="543"/>
        <v>0,00</v>
      </c>
      <c r="G1243" s="52"/>
      <c r="H1243" s="52" t="str">
        <f>IF(A1243="","",VLOOKUP(A1243,'6.A'!$A$11:$E$7984,5,FALSE))</f>
        <v/>
      </c>
      <c r="I1243" s="52" t="str">
        <f t="shared" si="544"/>
        <v/>
      </c>
      <c r="J1243" s="52" t="str">
        <f>IF(H1243="","",VLOOKUP(A1243,'6.A'!$A$11:$E$564,4,FALSE))</f>
        <v/>
      </c>
      <c r="K1243" s="52" t="str">
        <f t="shared" si="545"/>
        <v/>
      </c>
      <c r="L1243" s="52" t="str">
        <f>IF(H1243="","",IF(C1243="","",G1208*C1243))</f>
        <v/>
      </c>
      <c r="M1243" s="117" t="str">
        <f>IF(A1243="","",VLOOKUP(A1243,'6.A'!$A$11:$C$564,2,FALSE))</f>
        <v/>
      </c>
      <c r="N1243" s="57" t="str">
        <f t="shared" si="546"/>
        <v/>
      </c>
      <c r="O1243" s="56"/>
      <c r="P1243" s="56"/>
      <c r="Q1243" s="48"/>
      <c r="R1243" s="48"/>
      <c r="S1243" s="2"/>
    </row>
    <row r="1244" spans="1:22" s="65" customFormat="1" ht="12.75" customHeight="1" x14ac:dyDescent="0.2">
      <c r="A1244" s="22"/>
      <c r="B1244" s="23" t="str">
        <f>IF(A1244="","",VLOOKUP(A1244,'6.A'!$A$11:$G$180,2,FALSE))</f>
        <v/>
      </c>
      <c r="C1244" s="99"/>
      <c r="D1244" s="57" t="str">
        <f>IF(A1244="","",VLOOKUP(A1244,'6.A'!$A$11:$G$180,4,FALSE))</f>
        <v/>
      </c>
      <c r="E1244" s="100" t="str">
        <f>IF(A1244="","",VLOOKUP(A1244,'6.A'!$A$11:$G$180,5,FALSE))</f>
        <v/>
      </c>
      <c r="F1244" s="24" t="str">
        <f t="shared" si="543"/>
        <v>0,00</v>
      </c>
      <c r="G1244" s="52"/>
      <c r="H1244" s="52" t="str">
        <f>IF(A1244="","",VLOOKUP(A1244,'6.A'!$A$11:$E$7984,5,FALSE))</f>
        <v/>
      </c>
      <c r="I1244" s="52" t="str">
        <f t="shared" si="544"/>
        <v/>
      </c>
      <c r="J1244" s="52" t="str">
        <f>IF(H1244="","",VLOOKUP(A1244,'6.A'!$A$11:$E$564,4,FALSE))</f>
        <v/>
      </c>
      <c r="K1244" s="52" t="str">
        <f t="shared" si="545"/>
        <v/>
      </c>
      <c r="L1244" s="52" t="str">
        <f>IF(H1244="","",IF(C1244="","",G1208*C1244))</f>
        <v/>
      </c>
      <c r="M1244" s="117" t="str">
        <f>IF(A1244="","",VLOOKUP(A1244,'6.A'!$A$11:$C$564,2,FALSE))</f>
        <v/>
      </c>
      <c r="N1244" s="57" t="str">
        <f t="shared" si="546"/>
        <v/>
      </c>
      <c r="O1244" s="56"/>
      <c r="P1244" s="56"/>
      <c r="Q1244" s="48"/>
      <c r="R1244" s="48"/>
      <c r="T1244" s="2"/>
      <c r="U1244" s="2"/>
      <c r="V1244" s="2"/>
    </row>
    <row r="1245" spans="1:22" s="65" customFormat="1" ht="12.75" customHeight="1" x14ac:dyDescent="0.2">
      <c r="A1245" s="22"/>
      <c r="B1245" s="23" t="str">
        <f>IF(A1245="","",VLOOKUP(A1245,'6.A'!$A$11:$G$180,2,FALSE))</f>
        <v/>
      </c>
      <c r="C1245" s="99"/>
      <c r="D1245" s="57" t="str">
        <f>IF(A1245="","",VLOOKUP(A1245,'6.A'!$A$11:$G$180,4,FALSE))</f>
        <v/>
      </c>
      <c r="E1245" s="100" t="str">
        <f>IF(A1245="","",VLOOKUP(A1245,'6.A'!$A$11:$G$180,5,FALSE))</f>
        <v/>
      </c>
      <c r="F1245" s="24" t="str">
        <f t="shared" si="543"/>
        <v>0,00</v>
      </c>
      <c r="G1245" s="52"/>
      <c r="H1245" s="52" t="str">
        <f>IF(A1245="","",VLOOKUP(A1245,'6.A'!$A$11:$E$7984,5,FALSE))</f>
        <v/>
      </c>
      <c r="I1245" s="52" t="str">
        <f t="shared" si="544"/>
        <v/>
      </c>
      <c r="J1245" s="52" t="str">
        <f>IF(H1245="","",VLOOKUP(A1245,'6.A'!$A$11:$E$564,4,FALSE))</f>
        <v/>
      </c>
      <c r="K1245" s="52" t="str">
        <f t="shared" si="545"/>
        <v/>
      </c>
      <c r="L1245" s="52" t="str">
        <f>IF(H1245="","",IF(C1245="","",G1208*C1245))</f>
        <v/>
      </c>
      <c r="M1245" s="117" t="str">
        <f>IF(A1245="","",VLOOKUP(A1245,'6.A'!$A$11:$C$564,2,FALSE))</f>
        <v/>
      </c>
      <c r="N1245" s="57" t="str">
        <f t="shared" si="546"/>
        <v/>
      </c>
      <c r="O1245" s="56"/>
      <c r="P1245" s="56"/>
      <c r="Q1245" s="48"/>
      <c r="R1245" s="48"/>
      <c r="T1245" s="2"/>
      <c r="U1245" s="2"/>
      <c r="V1245" s="2"/>
    </row>
    <row r="1246" spans="1:22" s="65" customFormat="1" ht="12.75" customHeight="1" x14ac:dyDescent="0.2">
      <c r="A1246" s="22"/>
      <c r="B1246" s="23" t="str">
        <f>IF(A1246="","",VLOOKUP(A1246,'6.A'!$A$11:$G$180,2,FALSE))</f>
        <v/>
      </c>
      <c r="C1246" s="99"/>
      <c r="D1246" s="57" t="str">
        <f>IF(A1246="","",VLOOKUP(A1246,'6.A'!$A$11:$G$180,4,FALSE))</f>
        <v/>
      </c>
      <c r="E1246" s="100" t="str">
        <f>IF(A1246="","",VLOOKUP(A1246,'6.A'!$A$11:$G$180,5,FALSE))</f>
        <v/>
      </c>
      <c r="F1246" s="24" t="str">
        <f t="shared" si="543"/>
        <v>0,00</v>
      </c>
      <c r="G1246" s="52"/>
      <c r="H1246" s="52" t="str">
        <f>IF(A1246="","",VLOOKUP(A1246,'6.A'!$A$11:$E$7984,5,FALSE))</f>
        <v/>
      </c>
      <c r="I1246" s="52" t="str">
        <f t="shared" si="544"/>
        <v/>
      </c>
      <c r="J1246" s="52" t="str">
        <f>IF(H1246="","",VLOOKUP(A1246,'6.A'!$A$11:$E$564,4,FALSE))</f>
        <v/>
      </c>
      <c r="K1246" s="52" t="str">
        <f t="shared" si="545"/>
        <v/>
      </c>
      <c r="L1246" s="52" t="str">
        <f>IF(H1246="","",IF(C1246="","",G1208*C1246))</f>
        <v/>
      </c>
      <c r="M1246" s="117" t="str">
        <f>IF(A1246="","",VLOOKUP(A1246,'6.A'!$A$11:$C$564,2,FALSE))</f>
        <v/>
      </c>
      <c r="N1246" s="57" t="str">
        <f t="shared" si="546"/>
        <v/>
      </c>
      <c r="O1246" s="56"/>
      <c r="P1246" s="56"/>
      <c r="Q1246" s="48"/>
      <c r="R1246" s="48"/>
      <c r="T1246" s="2"/>
      <c r="U1246" s="2"/>
      <c r="V1246" s="2"/>
    </row>
    <row r="1247" spans="1:22" s="65" customFormat="1" ht="12.75" customHeight="1" x14ac:dyDescent="0.2">
      <c r="A1247" s="22"/>
      <c r="B1247" s="23" t="str">
        <f>IF(A1247="","",VLOOKUP(A1247,'6.A'!$A$11:$G$180,2,FALSE))</f>
        <v/>
      </c>
      <c r="C1247" s="99"/>
      <c r="D1247" s="57" t="str">
        <f>IF(A1247="","",VLOOKUP(A1247,'6.A'!$A$11:$G$180,4,FALSE))</f>
        <v/>
      </c>
      <c r="E1247" s="100" t="str">
        <f>IF(A1247="","",VLOOKUP(A1247,'6.A'!$A$11:$G$180,5,FALSE))</f>
        <v/>
      </c>
      <c r="F1247" s="24" t="str">
        <f t="shared" si="543"/>
        <v>0,00</v>
      </c>
      <c r="G1247" s="52"/>
      <c r="H1247" s="52" t="str">
        <f>IF(A1247="","",VLOOKUP(A1247,'6.A'!$A$11:$E$7984,5,FALSE))</f>
        <v/>
      </c>
      <c r="I1247" s="52" t="str">
        <f t="shared" si="544"/>
        <v/>
      </c>
      <c r="J1247" s="52" t="str">
        <f>IF(H1247="","",VLOOKUP(A1247,'6.A'!$A$11:$E$564,4,FALSE))</f>
        <v/>
      </c>
      <c r="K1247" s="52" t="str">
        <f t="shared" si="545"/>
        <v/>
      </c>
      <c r="L1247" s="52" t="str">
        <f>IF(H1247="","",IF(C1247="","",G1208*C1247))</f>
        <v/>
      </c>
      <c r="M1247" s="117" t="str">
        <f>IF(A1247="","",VLOOKUP(A1247,'6.A'!$A$11:$C$564,2,FALSE))</f>
        <v/>
      </c>
      <c r="N1247" s="57" t="str">
        <f t="shared" si="546"/>
        <v/>
      </c>
      <c r="O1247" s="56"/>
      <c r="P1247" s="56"/>
      <c r="Q1247" s="48"/>
      <c r="R1247" s="48"/>
      <c r="T1247" s="2"/>
      <c r="U1247" s="2"/>
      <c r="V1247" s="2"/>
    </row>
    <row r="1248" spans="1:22" ht="12.75" customHeight="1" x14ac:dyDescent="0.2">
      <c r="A1248" s="22"/>
      <c r="B1248" s="23" t="str">
        <f>IF(A1248="","",VLOOKUP(A1248,'6.A'!$A$11:$G$180,2,FALSE))</f>
        <v/>
      </c>
      <c r="C1248" s="99"/>
      <c r="D1248" s="57" t="str">
        <f>IF(A1248="","",VLOOKUP(A1248,'6.A'!$A$11:$G$180,4,FALSE))</f>
        <v/>
      </c>
      <c r="E1248" s="100" t="str">
        <f>IF(A1248="","",VLOOKUP(A1248,'6.A'!$A$11:$G$180,5,FALSE))</f>
        <v/>
      </c>
      <c r="F1248" s="24" t="str">
        <f t="shared" si="543"/>
        <v>0,00</v>
      </c>
      <c r="G1248" s="52"/>
      <c r="H1248" s="52" t="str">
        <f>IF(A1248="","",VLOOKUP(A1248,'6.A'!$A$11:$E$7984,5,FALSE))</f>
        <v/>
      </c>
      <c r="I1248" s="52" t="str">
        <f t="shared" si="544"/>
        <v/>
      </c>
      <c r="J1248" s="52" t="str">
        <f>IF(H1248="","",VLOOKUP(A1248,'6.A'!$A$11:$E$564,4,FALSE))</f>
        <v/>
      </c>
      <c r="K1248" s="52" t="str">
        <f t="shared" si="545"/>
        <v/>
      </c>
      <c r="L1248" s="52" t="str">
        <f>IF(H1248="","",IF(C1248="","",G1208*C1248))</f>
        <v/>
      </c>
      <c r="M1248" s="117" t="str">
        <f>IF(A1248="","",VLOOKUP(A1248,'6.A'!$A$11:$C$564,2,FALSE))</f>
        <v/>
      </c>
      <c r="N1248" s="57" t="str">
        <f t="shared" si="546"/>
        <v/>
      </c>
      <c r="O1248" s="56"/>
      <c r="P1248" s="56"/>
      <c r="Q1248" s="48"/>
      <c r="R1248" s="48"/>
    </row>
    <row r="1249" spans="1:23" ht="12.75" customHeight="1" x14ac:dyDescent="0.2">
      <c r="A1249" s="22"/>
      <c r="B1249" s="23" t="str">
        <f>IF(A1249="","",VLOOKUP(A1249,'6.A'!$A$11:$G$180,2,FALSE))</f>
        <v/>
      </c>
      <c r="C1249" s="99"/>
      <c r="D1249" s="57" t="str">
        <f>IF(A1249="","",VLOOKUP(A1249,'6.A'!$A$11:$G$180,4,FALSE))</f>
        <v/>
      </c>
      <c r="E1249" s="100" t="str">
        <f>IF(A1249="","",VLOOKUP(A1249,'6.A'!$A$11:$G$180,5,FALSE))</f>
        <v/>
      </c>
      <c r="F1249" s="24" t="str">
        <f t="shared" si="543"/>
        <v>0,00</v>
      </c>
      <c r="G1249" s="52"/>
      <c r="H1249" s="52" t="str">
        <f>IF(A1249="","",VLOOKUP(A1249,'6.A'!$A$11:$E$7984,5,FALSE))</f>
        <v/>
      </c>
      <c r="I1249" s="52" t="str">
        <f t="shared" si="544"/>
        <v/>
      </c>
      <c r="J1249" s="52" t="str">
        <f>IF(H1249="","",VLOOKUP(A1249,'6.A'!$A$11:$E$564,4,FALSE))</f>
        <v/>
      </c>
      <c r="K1249" s="52" t="str">
        <f t="shared" si="545"/>
        <v/>
      </c>
      <c r="L1249" s="52" t="str">
        <f>IF(H1249="","",IF(C1249="","",G1208*C1249))</f>
        <v/>
      </c>
      <c r="M1249" s="117" t="str">
        <f>IF(A1249="","",VLOOKUP(A1249,'6.A'!$A$11:$C$564,2,FALSE))</f>
        <v/>
      </c>
      <c r="N1249" s="57" t="str">
        <f t="shared" si="546"/>
        <v/>
      </c>
      <c r="O1249" s="56"/>
      <c r="P1249" s="56"/>
      <c r="Q1249" s="48"/>
      <c r="R1249" s="48"/>
    </row>
    <row r="1250" spans="1:23" ht="12.75" customHeight="1" x14ac:dyDescent="0.2">
      <c r="A1250" s="22"/>
      <c r="B1250" s="23" t="str">
        <f>IF(A1250="","",VLOOKUP(A1250,'6.A'!$A$11:$G$180,2,FALSE))</f>
        <v/>
      </c>
      <c r="C1250" s="99"/>
      <c r="D1250" s="57" t="str">
        <f>IF(A1250="","",VLOOKUP(A1250,'6.A'!$A$11:$G$180,4,FALSE))</f>
        <v/>
      </c>
      <c r="E1250" s="100" t="str">
        <f>IF(A1250="","",VLOOKUP(A1250,'6.A'!$A$11:$G$180,5,FALSE))</f>
        <v/>
      </c>
      <c r="F1250" s="24" t="str">
        <f t="shared" si="543"/>
        <v>0,00</v>
      </c>
      <c r="G1250" s="52"/>
      <c r="H1250" s="52" t="str">
        <f>IF(A1250="","",VLOOKUP(A1250,'6.A'!$A$11:$E$7984,5,FALSE))</f>
        <v/>
      </c>
      <c r="I1250" s="52" t="str">
        <f t="shared" si="544"/>
        <v/>
      </c>
      <c r="J1250" s="52" t="str">
        <f>IF(H1250="","",VLOOKUP(A1250,'6.A'!$A$11:$E$564,4,FALSE))</f>
        <v/>
      </c>
      <c r="K1250" s="52" t="str">
        <f t="shared" si="545"/>
        <v/>
      </c>
      <c r="L1250" s="52" t="str">
        <f>IF(H1250="","",IF(C1250="","",G1208*C1250))</f>
        <v/>
      </c>
      <c r="M1250" s="117" t="str">
        <f>IF(A1250="","",VLOOKUP(A1250,'6.A'!$A$11:$C$564,2,FALSE))</f>
        <v/>
      </c>
      <c r="N1250" s="57" t="str">
        <f t="shared" si="546"/>
        <v/>
      </c>
      <c r="O1250" s="56"/>
      <c r="P1250" s="56"/>
      <c r="Q1250" s="48"/>
      <c r="R1250" s="48"/>
    </row>
    <row r="1251" spans="1:23" ht="12.75" customHeight="1" x14ac:dyDescent="0.2">
      <c r="A1251" s="22"/>
      <c r="B1251" s="23" t="str">
        <f>IF(A1251="","",VLOOKUP(A1251,'6.A'!$A$11:$G$180,2,FALSE))</f>
        <v/>
      </c>
      <c r="C1251" s="99"/>
      <c r="D1251" s="57" t="str">
        <f>IF(A1251="","",VLOOKUP(A1251,'6.A'!$A$11:$G$180,4,FALSE))</f>
        <v/>
      </c>
      <c r="E1251" s="100" t="str">
        <f>IF(A1251="","",VLOOKUP(A1251,'6.A'!$A$11:$G$180,5,FALSE))</f>
        <v/>
      </c>
      <c r="F1251" s="24" t="str">
        <f t="shared" si="543"/>
        <v>0,00</v>
      </c>
      <c r="G1251" s="52"/>
      <c r="H1251" s="52" t="str">
        <f>IF(A1251="","",VLOOKUP(A1251,'6.A'!$A$11:$E$7984,5,FALSE))</f>
        <v/>
      </c>
      <c r="I1251" s="52" t="str">
        <f t="shared" si="544"/>
        <v/>
      </c>
      <c r="J1251" s="52" t="str">
        <f>IF(H1251="","",VLOOKUP(A1251,'6.A'!$A$11:$E$564,4,FALSE))</f>
        <v/>
      </c>
      <c r="K1251" s="52" t="str">
        <f t="shared" si="545"/>
        <v/>
      </c>
      <c r="L1251" s="52" t="str">
        <f>IF(H1251="","",IF(C1251="","",G1208*C1251))</f>
        <v/>
      </c>
      <c r="M1251" s="117" t="str">
        <f>IF(A1251="","",VLOOKUP(A1251,'6.A'!$A$11:$C$564,2,FALSE))</f>
        <v/>
      </c>
      <c r="N1251" s="57" t="str">
        <f t="shared" si="546"/>
        <v/>
      </c>
      <c r="O1251" s="56"/>
      <c r="P1251" s="56"/>
      <c r="Q1251" s="48"/>
      <c r="R1251" s="48"/>
    </row>
    <row r="1252" spans="1:23" ht="12.75" customHeight="1" x14ac:dyDescent="0.2">
      <c r="A1252" s="22"/>
      <c r="B1252" s="23" t="str">
        <f>IF(A1252="","",VLOOKUP(A1252,'6.A'!$A$11:$G$180,2,FALSE))</f>
        <v/>
      </c>
      <c r="C1252" s="99"/>
      <c r="D1252" s="57" t="str">
        <f>IF(A1252="","",VLOOKUP(A1252,'6.A'!$A$11:$G$180,4,FALSE))</f>
        <v/>
      </c>
      <c r="E1252" s="100" t="str">
        <f>IF(A1252="","",VLOOKUP(A1252,'6.A'!$A$11:$G$180,5,FALSE))</f>
        <v/>
      </c>
      <c r="F1252" s="24" t="str">
        <f t="shared" si="543"/>
        <v>0,00</v>
      </c>
      <c r="G1252" s="52"/>
      <c r="H1252" s="52" t="str">
        <f>IF(A1252="","",VLOOKUP(A1252,'6.A'!$A$11:$E$7984,5,FALSE))</f>
        <v/>
      </c>
      <c r="I1252" s="52" t="str">
        <f t="shared" si="544"/>
        <v/>
      </c>
      <c r="J1252" s="52" t="str">
        <f>IF(H1252="","",VLOOKUP(A1252,'6.A'!$A$11:$E$564,4,FALSE))</f>
        <v/>
      </c>
      <c r="K1252" s="52" t="str">
        <f t="shared" si="545"/>
        <v/>
      </c>
      <c r="L1252" s="52" t="str">
        <f>IF(H1252="","",IF(C1252="","",G1208*C1252))</f>
        <v/>
      </c>
      <c r="M1252" s="117" t="str">
        <f>IF(A1252="","",VLOOKUP(A1252,'6.A'!$A$11:$C$564,2,FALSE))</f>
        <v/>
      </c>
      <c r="N1252" s="57" t="str">
        <f t="shared" si="546"/>
        <v/>
      </c>
      <c r="O1252" s="56"/>
      <c r="P1252" s="56"/>
      <c r="Q1252" s="48"/>
      <c r="R1252" s="48"/>
    </row>
    <row r="1253" spans="1:23" ht="12.75" customHeight="1" x14ac:dyDescent="0.2">
      <c r="A1253" s="22"/>
      <c r="B1253" s="23" t="str">
        <f>IF(A1253="","",VLOOKUP(A1253,'6.A'!$A$11:$G$180,2,FALSE))</f>
        <v/>
      </c>
      <c r="C1253" s="99"/>
      <c r="D1253" s="57" t="str">
        <f>IF(A1253="","",VLOOKUP(A1253,'6.A'!$A$11:$G$180,4,FALSE))</f>
        <v/>
      </c>
      <c r="E1253" s="100" t="str">
        <f>IF(A1253="","",VLOOKUP(A1253,'6.A'!$A$11:$G$180,5,FALSE))</f>
        <v/>
      </c>
      <c r="F1253" s="24" t="str">
        <f t="shared" si="543"/>
        <v>0,00</v>
      </c>
      <c r="G1253" s="52"/>
      <c r="H1253" s="52" t="str">
        <f>IF(A1253="","",VLOOKUP(A1253,'6.A'!$A$11:$E$7984,5,FALSE))</f>
        <v/>
      </c>
      <c r="I1253" s="52" t="str">
        <f t="shared" si="544"/>
        <v/>
      </c>
      <c r="J1253" s="52" t="str">
        <f>IF(H1253="","",VLOOKUP(A1253,'6.A'!$A$11:$E$564,4,FALSE))</f>
        <v/>
      </c>
      <c r="K1253" s="52" t="str">
        <f t="shared" si="545"/>
        <v/>
      </c>
      <c r="L1253" s="52" t="str">
        <f>IF(H1253="","",IF(C1253="","",G1208*C1253))</f>
        <v/>
      </c>
      <c r="M1253" s="117" t="str">
        <f>IF(A1253="","",VLOOKUP(A1253,'6.A'!$A$11:$C$564,2,FALSE))</f>
        <v/>
      </c>
      <c r="N1253" s="57" t="str">
        <f t="shared" si="546"/>
        <v/>
      </c>
      <c r="O1253" s="56"/>
      <c r="P1253" s="56"/>
      <c r="Q1253" s="48"/>
      <c r="R1253" s="48"/>
    </row>
    <row r="1254" spans="1:23" ht="12.75" customHeight="1" x14ac:dyDescent="0.2">
      <c r="A1254" s="22"/>
      <c r="B1254" s="39" t="str">
        <f>IF(A1254="","",VLOOKUP(A1254,'6.A'!$A$11:$G$180,2,FALSE))</f>
        <v/>
      </c>
      <c r="C1254" s="99"/>
      <c r="D1254" s="57" t="str">
        <f>IF(A1254="","",VLOOKUP(A1254,'6.A'!$A$11:$G$180,4,FALSE))</f>
        <v/>
      </c>
      <c r="E1254" s="100" t="str">
        <f>IF(A1254="","",VLOOKUP(A1254,'6.A'!$A$11:$G$180,5,FALSE))</f>
        <v/>
      </c>
      <c r="F1254" s="24" t="str">
        <f t="shared" si="543"/>
        <v>0,00</v>
      </c>
      <c r="G1254" s="52"/>
      <c r="H1254" s="52" t="str">
        <f>IF(A1254="","",VLOOKUP(A1254,'6.A'!$A$11:$E$7984,5,FALSE))</f>
        <v/>
      </c>
      <c r="I1254" s="52" t="str">
        <f t="shared" si="544"/>
        <v/>
      </c>
      <c r="J1254" s="52" t="str">
        <f>IF(H1254="","",VLOOKUP(A1254,'6.A'!$A$11:$E$564,4,FALSE))</f>
        <v/>
      </c>
      <c r="K1254" s="52" t="str">
        <f t="shared" si="545"/>
        <v/>
      </c>
      <c r="L1254" s="52" t="str">
        <f>IF(H1254="","",IF(C1254="","",G1208*C1254))</f>
        <v/>
      </c>
      <c r="M1254" s="117" t="str">
        <f>IF(A1254="","",VLOOKUP(A1254,'6.A'!$A$11:$C$564,2,FALSE))</f>
        <v/>
      </c>
      <c r="N1254" s="57" t="str">
        <f t="shared" si="546"/>
        <v/>
      </c>
      <c r="O1254" s="56"/>
      <c r="P1254" s="56"/>
      <c r="Q1254" s="48"/>
      <c r="R1254" s="48"/>
    </row>
    <row r="1255" spans="1:23" ht="12.75" customHeight="1" x14ac:dyDescent="0.2">
      <c r="A1255" s="22"/>
      <c r="B1255" s="39" t="str">
        <f>IF(A1255="","",VLOOKUP(A1255,'6.A'!$A$11:$G$180,2,FALSE))</f>
        <v/>
      </c>
      <c r="C1255" s="99"/>
      <c r="D1255" s="57" t="str">
        <f>IF(A1255="","",VLOOKUP(A1255,'6.A'!$A$11:$G$180,4,FALSE))</f>
        <v/>
      </c>
      <c r="E1255" s="100" t="str">
        <f>IF(A1255="","",VLOOKUP(A1255,'6.A'!$A$11:$G$180,5,FALSE))</f>
        <v/>
      </c>
      <c r="F1255" s="24" t="str">
        <f t="shared" si="543"/>
        <v>0,00</v>
      </c>
      <c r="G1255" s="52"/>
      <c r="H1255" s="52" t="str">
        <f>IF(A1255="","",VLOOKUP(A1255,'6.A'!$A$11:$E$7984,5,FALSE))</f>
        <v/>
      </c>
      <c r="I1255" s="52" t="str">
        <f t="shared" si="544"/>
        <v/>
      </c>
      <c r="J1255" s="52" t="str">
        <f>IF(H1255="","",VLOOKUP(A1255,'6.A'!$A$11:$E$564,4,FALSE))</f>
        <v/>
      </c>
      <c r="K1255" s="52" t="str">
        <f t="shared" si="545"/>
        <v/>
      </c>
      <c r="L1255" s="52" t="str">
        <f>IF(H1255="","",IF(C1255="","",G1208*C1255))</f>
        <v/>
      </c>
      <c r="M1255" s="117" t="str">
        <f>IF(A1255="","",VLOOKUP(A1255,'6.A'!$A$11:$C$564,2,FALSE))</f>
        <v/>
      </c>
      <c r="N1255" s="57" t="str">
        <f t="shared" si="546"/>
        <v/>
      </c>
      <c r="O1255" s="56"/>
      <c r="P1255" s="56"/>
      <c r="Q1255" s="48"/>
      <c r="R1255" s="48"/>
    </row>
    <row r="1256" spans="1:23" ht="12.75" customHeight="1" x14ac:dyDescent="0.2">
      <c r="A1256" s="22"/>
      <c r="B1256" s="39" t="str">
        <f>IF(A1256="","",VLOOKUP(A1256,'6.A'!$A$11:$G$180,2,FALSE))</f>
        <v/>
      </c>
      <c r="C1256" s="99"/>
      <c r="D1256" s="57" t="str">
        <f>IF(A1256="","",VLOOKUP(A1256,'6.A'!$A$11:$G$180,4,FALSE))</f>
        <v/>
      </c>
      <c r="E1256" s="100" t="str">
        <f>IF(A1256="","",VLOOKUP(A1256,'6.A'!$A$11:$G$180,5,FALSE))</f>
        <v/>
      </c>
      <c r="F1256" s="24" t="str">
        <f t="shared" si="543"/>
        <v>0,00</v>
      </c>
      <c r="G1256" s="52"/>
      <c r="H1256" s="52" t="str">
        <f>IF(A1256="","",VLOOKUP(A1256,'6.A'!$A$11:$E$7984,5,FALSE))</f>
        <v/>
      </c>
      <c r="I1256" s="52" t="str">
        <f t="shared" si="544"/>
        <v/>
      </c>
      <c r="J1256" s="52" t="str">
        <f>IF(H1256="","",VLOOKUP(A1256,'6.A'!$A$11:$E$564,4,FALSE))</f>
        <v/>
      </c>
      <c r="K1256" s="52" t="str">
        <f t="shared" si="545"/>
        <v/>
      </c>
      <c r="L1256" s="52" t="str">
        <f>IF(H1256="","",IF(C1256="","",G1208*C1256))</f>
        <v/>
      </c>
      <c r="M1256" s="117" t="str">
        <f>IF(A1256="","",VLOOKUP(A1256,'6.A'!$A$11:$C$564,2,FALSE))</f>
        <v/>
      </c>
      <c r="N1256" s="57" t="str">
        <f t="shared" si="546"/>
        <v/>
      </c>
      <c r="O1256" s="56"/>
      <c r="P1256" s="56"/>
      <c r="Q1256" s="48"/>
      <c r="R1256" s="48"/>
    </row>
    <row r="1257" spans="1:23" ht="12.75" customHeight="1" x14ac:dyDescent="0.2">
      <c r="A1257" s="22"/>
      <c r="B1257" s="26" t="str">
        <f>$A$9</f>
        <v>BDI</v>
      </c>
      <c r="C1257" s="40">
        <f>$C$9</f>
        <v>0</v>
      </c>
      <c r="D1257" s="57"/>
      <c r="F1257" s="28">
        <f>ROUND(SUM(F1237:F1256)*C1257,2)</f>
        <v>0</v>
      </c>
      <c r="G1257" s="63"/>
      <c r="M1257" s="57"/>
      <c r="N1257" s="57"/>
      <c r="O1257" s="56"/>
      <c r="P1257" s="56"/>
      <c r="Q1257" s="48"/>
      <c r="R1257" s="48"/>
    </row>
    <row r="1258" spans="1:23" ht="12.75" customHeight="1" thickBot="1" x14ac:dyDescent="0.25">
      <c r="A1258" s="41"/>
      <c r="B1258" s="42" t="s">
        <v>57</v>
      </c>
      <c r="C1258" s="43"/>
      <c r="D1258" s="44"/>
      <c r="E1258" s="45"/>
      <c r="F1258" s="46">
        <f>ROUND(SUM(F1237:F1257),2)</f>
        <v>0</v>
      </c>
      <c r="G1258" s="63"/>
      <c r="M1258" s="57"/>
      <c r="N1258" s="57"/>
      <c r="O1258" s="56"/>
      <c r="P1258" s="56"/>
      <c r="Q1258" s="48"/>
      <c r="R1258" s="48"/>
    </row>
    <row r="1259" spans="1:23" ht="12" customHeight="1" thickBot="1" x14ac:dyDescent="0.25">
      <c r="A1259" s="8"/>
      <c r="B1259" s="9"/>
      <c r="C1259" s="10"/>
      <c r="D1259" s="57"/>
      <c r="F1259" s="12"/>
      <c r="M1259" s="57"/>
      <c r="N1259" s="57"/>
      <c r="O1259" s="56"/>
      <c r="P1259" s="56"/>
    </row>
    <row r="1260" spans="1:23" ht="50.1" customHeight="1" x14ac:dyDescent="0.2">
      <c r="A1260" s="13" t="str">
        <f>'3.A'!$A$42</f>
        <v>3.1.13</v>
      </c>
      <c r="B1260" s="14" t="str">
        <f>IF(A1260="","",VLOOKUP(A1260,'3.A'!$A$17:$M$279,2,FALSE))</f>
        <v>ELETRODUTO RÍGIDO EM AÇO GALVANIZADO A QUENTE DN 50 MM (2")</v>
      </c>
      <c r="C1260" s="413" t="s">
        <v>62</v>
      </c>
      <c r="D1260" s="413"/>
      <c r="E1260" s="15" t="str">
        <f>IF(A1260="","",VLOOKUP(A1260,'3.A'!$A$17:$M$279,3,FALSE))</f>
        <v>M</v>
      </c>
      <c r="F1260" s="16">
        <f>ROUND(F1274+F1287+F1310,2)</f>
        <v>0</v>
      </c>
      <c r="G1260" s="118">
        <f>VLOOKUP(A1260,'3.A'!$A$19:$I$279,4,FALSE)</f>
        <v>3</v>
      </c>
      <c r="H1260" s="47">
        <f>SUM(F1262:F1273)</f>
        <v>0</v>
      </c>
      <c r="I1260" s="47">
        <f>SUM(F1276:F1286)</f>
        <v>0</v>
      </c>
      <c r="J1260" s="47">
        <f>SUM(F1289:F1309)</f>
        <v>0</v>
      </c>
      <c r="K1260" s="47">
        <f>SUM(H1260:J1260)</f>
        <v>0</v>
      </c>
      <c r="L1260" s="47" t="str">
        <f>IF(K1260=F1260,"SIM","NÃO")</f>
        <v>SIM</v>
      </c>
      <c r="M1260" s="58">
        <f>ROUND(SUM(F1262:F1271)*C1272,2)+ROUND(SUM(F1262:F1272)*C1273,2)+ROUND(SUM(F1262:F1271),2)+ROUND(SUM(F1276:F1285)*C1286,2)+ROUND(SUM(F1276:F1285),2)+ROUND(SUM(F1289:F1308)*C1309,2)+ROUND(SUM(F1289:F1308),2)</f>
        <v>0</v>
      </c>
      <c r="N1260" s="50" t="str">
        <f>IF(M1260=F1260,"SIM","NÃO")</f>
        <v>SIM</v>
      </c>
      <c r="O1260" s="51" t="str">
        <f>VLOOKUP(A1260,'3.A'!$A$8:$E$279,3,FALSE)</f>
        <v>M</v>
      </c>
      <c r="P1260" s="51" t="str">
        <f>IF(O1260=E1260,"SIM","NÃO")</f>
        <v>SIM</v>
      </c>
      <c r="Q1260" s="53">
        <f>ROUND(G1260*F1274,2)+ROUND(G1260*F1287,2)+ROUND(G1260*F1310,2)</f>
        <v>0</v>
      </c>
      <c r="R1260" s="59">
        <f>VLOOKUP(A1260,'3.A'!$A$17:$L$279,12,FALSE)</f>
        <v>0</v>
      </c>
      <c r="S1260" s="60" t="str">
        <f>IF(Q1260=R1260,"si","no")</f>
        <v>si</v>
      </c>
      <c r="T1260" s="61">
        <f>SUM(L1262:L1271)+SUM(L1276:L1285)+SUM(L1289:L1308)</f>
        <v>9.15</v>
      </c>
      <c r="U1260" s="52">
        <f>G1260*C1268+G1260*C1270+G1260*C1263+G1260*C1264+G1260*C1266+G1260*C1269+G1260*C1267+G1260*C1262+G1260*C1265+G1260*C1271+G1260*C1282+G1260*C1276+G1260*C1284+G1260*C1283+G1260*C1281+G1260*C1278+G1260*C1277+G1260*C1279+G1260*C1285+G1260*C1280+G1260*C1289+G1260*C1290+G1260*C1291+G1260*C1299+G1260*C1300+G1260*C1301+G1260*C1302+G1260*C1303+G1260*C1304+G1260*C1305+G1260*C1306+G1260*C1307+G1260*C1308+G1260*C1297+G1260*C1298+G1260*C1292+G1260*C1293+G1260*C1294+G1260*C1295+G1260*C1296</f>
        <v>9.15</v>
      </c>
      <c r="V1260" s="54" t="str">
        <f>IF(T1260=U1260,"si","no")</f>
        <v>si</v>
      </c>
      <c r="W1260" s="137"/>
    </row>
    <row r="1261" spans="1:23" ht="12.75" customHeight="1" x14ac:dyDescent="0.2">
      <c r="A1261" s="17" t="s">
        <v>3</v>
      </c>
      <c r="B1261" s="18" t="s">
        <v>58</v>
      </c>
      <c r="C1261" s="56" t="s">
        <v>59</v>
      </c>
      <c r="D1261" s="56" t="s">
        <v>16</v>
      </c>
      <c r="E1261" s="19" t="s">
        <v>60</v>
      </c>
      <c r="F1261" s="20" t="s">
        <v>61</v>
      </c>
      <c r="G1261" s="21"/>
      <c r="M1261" s="57"/>
      <c r="N1261" s="57"/>
      <c r="O1261" s="56"/>
      <c r="P1261" s="56"/>
      <c r="Q1261" s="48"/>
      <c r="R1261" s="48"/>
    </row>
    <row r="1262" spans="1:23" ht="12.75" customHeight="1" x14ac:dyDescent="0.2">
      <c r="A1262" s="22">
        <f>'6.A'!$A$15</f>
        <v>88247</v>
      </c>
      <c r="B1262" s="23" t="str">
        <f>IF(A1262="","",VLOOKUP(A1262,'6.A'!$A$11:$G$180,2,FALSE))</f>
        <v>AUXILIAR DE ELETRICISTA COM ENCARGOS COMPLEMENTARES</v>
      </c>
      <c r="C1262" s="99">
        <v>1</v>
      </c>
      <c r="D1262" s="57" t="str">
        <f>IF(A1262="","",VLOOKUP(A1262,'6.A'!$A$11:$G$180,4,FALSE))</f>
        <v>H</v>
      </c>
      <c r="E1262" s="100">
        <f>IF(A1262="","",VLOOKUP(A1262,'6.A'!$A$11:$G$180,5,FALSE))</f>
        <v>0</v>
      </c>
      <c r="F1262" s="24">
        <f t="shared" ref="F1262:F1271" si="547">IF(A1262="","0,00",ROUND(C1262*E1262,2))</f>
        <v>0</v>
      </c>
      <c r="G1262" s="52"/>
      <c r="H1262" s="52">
        <f>IF(A1262="","",VLOOKUP(A1262,'6.A'!$A$11:$E$7984,5,FALSE))</f>
        <v>0</v>
      </c>
      <c r="I1262" s="52" t="str">
        <f>IF(H1262="","",IF(E1262=H1262,"SIM","NÃO"))</f>
        <v>SIM</v>
      </c>
      <c r="J1262" s="52" t="str">
        <f>IF(H1262="","",VLOOKUP(A1262,'6.A'!$A$11:$E$564,4,FALSE))</f>
        <v>H</v>
      </c>
      <c r="K1262" s="52" t="str">
        <f>IF(H1262="","",IF(J1262=D1262,"SIM","NÃO"))</f>
        <v>SIM</v>
      </c>
      <c r="L1262" s="52">
        <f>IF(H1262="","",IF(C1262="","",G1260*C1262))</f>
        <v>3</v>
      </c>
      <c r="M1262" s="117" t="str">
        <f>IF(A1262="","",VLOOKUP(A1262,'6.A'!$A$11:$C$564,2,FALSE))</f>
        <v>AUXILIAR DE ELETRICISTA COM ENCARGOS COMPLEMENTARES</v>
      </c>
      <c r="N1262" s="57" t="str">
        <f>IF(A1262="","",IF(M1262=B1262,"si","no"))</f>
        <v>si</v>
      </c>
      <c r="O1262" s="56"/>
      <c r="P1262" s="56"/>
      <c r="Q1262" s="48"/>
      <c r="R1262" s="48"/>
    </row>
    <row r="1263" spans="1:23" ht="12.75" customHeight="1" x14ac:dyDescent="0.2">
      <c r="A1263" s="22">
        <f>'6.A'!$A$18</f>
        <v>88264</v>
      </c>
      <c r="B1263" s="23" t="str">
        <f>IF(A1263="","",VLOOKUP(A1263,'6.A'!$A$11:$G$180,2,FALSE))</f>
        <v>ELETRICISTA COM ENCARGOS COMPLEMENTARES</v>
      </c>
      <c r="C1263" s="99">
        <v>1</v>
      </c>
      <c r="D1263" s="57" t="str">
        <f>IF(A1263="","",VLOOKUP(A1263,'6.A'!$A$11:$G$180,4,FALSE))</f>
        <v>H</v>
      </c>
      <c r="E1263" s="100">
        <f>IF(A1263="","",VLOOKUP(A1263,'6.A'!$A$11:$G$180,5,FALSE))</f>
        <v>0</v>
      </c>
      <c r="F1263" s="24">
        <f t="shared" si="547"/>
        <v>0</v>
      </c>
      <c r="G1263" s="52"/>
      <c r="H1263" s="52">
        <f>IF(A1263="","",VLOOKUP(A1263,'6.A'!$A$11:$E$7984,5,FALSE))</f>
        <v>0</v>
      </c>
      <c r="I1263" s="52" t="str">
        <f>IF(H1263="","",IF(E1263=H1263,"SIM","NÃO"))</f>
        <v>SIM</v>
      </c>
      <c r="J1263" s="52" t="str">
        <f>IF(H1263="","",VLOOKUP(A1263,'6.A'!$A$11:$E$564,4,FALSE))</f>
        <v>H</v>
      </c>
      <c r="K1263" s="52" t="str">
        <f>IF(H1263="","",IF(J1263=D1263,"SIM","NÃO"))</f>
        <v>SIM</v>
      </c>
      <c r="L1263" s="52">
        <f>IF(H1263="","",IF(C1263="","",G1260*C1263))</f>
        <v>3</v>
      </c>
      <c r="M1263" s="117" t="str">
        <f>IF(A1263="","",VLOOKUP(A1263,'6.A'!$A$11:$C$564,2,FALSE))</f>
        <v>ELETRICISTA COM ENCARGOS COMPLEMENTARES</v>
      </c>
      <c r="N1263" s="57" t="str">
        <f>IF(A1263="","",IF(M1263=B1263,"si","no"))</f>
        <v>si</v>
      </c>
      <c r="O1263" s="56"/>
      <c r="P1263" s="56"/>
      <c r="Q1263" s="48"/>
      <c r="R1263" s="48"/>
    </row>
    <row r="1264" spans="1:23" ht="12.75" customHeight="1" x14ac:dyDescent="0.2">
      <c r="A1264" s="22"/>
      <c r="B1264" s="23" t="str">
        <f>IF(A1264="","",VLOOKUP(A1264,'6.A'!$A$11:$G$180,2,FALSE))</f>
        <v/>
      </c>
      <c r="C1264" s="99"/>
      <c r="D1264" s="57" t="str">
        <f>IF(A1264="","",VLOOKUP(A1264,'6.A'!$A$11:$G$180,4,FALSE))</f>
        <v/>
      </c>
      <c r="E1264" s="100" t="str">
        <f>IF(A1264="","",VLOOKUP(A1264,'6.A'!$A$11:$G$180,5,FALSE))</f>
        <v/>
      </c>
      <c r="F1264" s="24" t="str">
        <f t="shared" si="547"/>
        <v>0,00</v>
      </c>
      <c r="G1264" s="52"/>
      <c r="H1264" s="52" t="str">
        <f>IF(A1264="","",VLOOKUP(A1264,'6.A'!$A$11:$E$7984,5,FALSE))</f>
        <v/>
      </c>
      <c r="I1264" s="52" t="str">
        <f>IF(H1264="","",IF(E1264=H1264,"SIM","NÃO"))</f>
        <v/>
      </c>
      <c r="J1264" s="52" t="str">
        <f>IF(H1264="","",VLOOKUP(A1264,'6.A'!$A$11:$E$564,4,FALSE))</f>
        <v/>
      </c>
      <c r="K1264" s="52" t="str">
        <f t="shared" ref="K1264" si="548">IF(H1264="","",IF(J1264=D1264,"SIM","NÃO"))</f>
        <v/>
      </c>
      <c r="L1264" s="52" t="str">
        <f>IF(H1264="","",IF(C1264="","",G1260*C1264))</f>
        <v/>
      </c>
      <c r="M1264" s="117" t="str">
        <f>IF(A1264="","",VLOOKUP(A1264,'6.A'!$A$11:$C$564,2,FALSE))</f>
        <v/>
      </c>
      <c r="N1264" s="57" t="str">
        <f t="shared" ref="N1264" si="549">IF(A1264="","",IF(M1264=B1264,"si","no"))</f>
        <v/>
      </c>
      <c r="O1264" s="56"/>
      <c r="P1264" s="56"/>
      <c r="Q1264" s="48"/>
      <c r="R1264" s="48"/>
      <c r="S1264" s="2"/>
    </row>
    <row r="1265" spans="1:19" ht="12.75" customHeight="1" x14ac:dyDescent="0.2">
      <c r="A1265" s="22"/>
      <c r="B1265" s="23" t="str">
        <f>IF(A1265="","",VLOOKUP(A1265,'6.A'!$A$11:$G$180,2,FALSE))</f>
        <v/>
      </c>
      <c r="C1265" s="99"/>
      <c r="D1265" s="57" t="str">
        <f>IF(A1265="","",VLOOKUP(A1265,'6.A'!$A$11:$G$180,4,FALSE))</f>
        <v/>
      </c>
      <c r="E1265" s="100" t="str">
        <f>IF(A1265="","",VLOOKUP(A1265,'6.A'!$A$11:$G$180,5,FALSE))</f>
        <v/>
      </c>
      <c r="F1265" s="24" t="str">
        <f t="shared" si="547"/>
        <v>0,00</v>
      </c>
      <c r="G1265" s="52"/>
      <c r="H1265" s="52" t="str">
        <f>IF(A1265="","",VLOOKUP(A1265,'6.A'!$A$11:$E$7984,5,FALSE))</f>
        <v/>
      </c>
      <c r="I1265" s="52" t="str">
        <f>IF(H1265="","",IF(E1265=H1265,"SIM","NÃO"))</f>
        <v/>
      </c>
      <c r="J1265" s="52" t="str">
        <f>IF(H1265="","",VLOOKUP(A1265,'6.A'!$A$11:$E$564,4,FALSE))</f>
        <v/>
      </c>
      <c r="K1265" s="52" t="str">
        <f>IF(H1265="","",IF(J1265=D1265,"SIM","NÃO"))</f>
        <v/>
      </c>
      <c r="L1265" s="52" t="str">
        <f>IF(H1265="","",IF(C1265="","",G1260*C1265))</f>
        <v/>
      </c>
      <c r="M1265" s="117" t="str">
        <f>IF(A1265="","",VLOOKUP(A1265,'6.A'!$A$11:$C$564,2,FALSE))</f>
        <v/>
      </c>
      <c r="N1265" s="57" t="str">
        <f>IF(A1265="","",IF(M1265=B1265,"si","no"))</f>
        <v/>
      </c>
      <c r="O1265" s="56"/>
      <c r="P1265" s="56"/>
      <c r="Q1265" s="48"/>
      <c r="R1265" s="48"/>
      <c r="S1265" s="2"/>
    </row>
    <row r="1266" spans="1:19" ht="12.75" customHeight="1" x14ac:dyDescent="0.2">
      <c r="A1266" s="22"/>
      <c r="B1266" s="23" t="str">
        <f>IF(A1266="","",VLOOKUP(A1266,'6.A'!$A$11:$G$180,2,FALSE))</f>
        <v/>
      </c>
      <c r="C1266" s="99"/>
      <c r="D1266" s="57" t="str">
        <f>IF(A1266="","",VLOOKUP(A1266,'6.A'!$A$11:$G$180,4,FALSE))</f>
        <v/>
      </c>
      <c r="E1266" s="101" t="str">
        <f>IF(A1266="","",VLOOKUP(A1266,'6.A'!$A$11:$G$180,5,FALSE))</f>
        <v/>
      </c>
      <c r="F1266" s="24" t="str">
        <f t="shared" si="547"/>
        <v>0,00</v>
      </c>
      <c r="G1266" s="52"/>
      <c r="H1266" s="52" t="str">
        <f>IF(A1266="","",VLOOKUP(A1266,'6.A'!$A$11:$E$7984,5,FALSE))</f>
        <v/>
      </c>
      <c r="I1266" s="52" t="str">
        <f t="shared" ref="I1266" si="550">IF(H1266="","",IF(E1266=H1266,"SIM","NÃO"))</f>
        <v/>
      </c>
      <c r="J1266" s="52" t="str">
        <f>IF(H1266="","",VLOOKUP(A1266,'6.A'!$A$11:$E$564,4,FALSE))</f>
        <v/>
      </c>
      <c r="K1266" s="52" t="str">
        <f t="shared" ref="K1266" si="551">IF(H1266="","",IF(J1266=D1266,"SIM","NÃO"))</f>
        <v/>
      </c>
      <c r="L1266" s="52" t="str">
        <f>IF(H1266="","",IF(C1266="","",G1260*C1266))</f>
        <v/>
      </c>
      <c r="M1266" s="117" t="str">
        <f>IF(A1266="","",VLOOKUP(A1266,'6.A'!$A$11:$C$564,2,FALSE))</f>
        <v/>
      </c>
      <c r="N1266" s="57" t="str">
        <f t="shared" ref="N1266" si="552">IF(A1266="","",IF(M1266=B1266,"si","no"))</f>
        <v/>
      </c>
      <c r="O1266" s="56"/>
      <c r="P1266" s="56"/>
      <c r="Q1266" s="48"/>
      <c r="R1266" s="48"/>
      <c r="S1266" s="2"/>
    </row>
    <row r="1267" spans="1:19" ht="12.75" customHeight="1" x14ac:dyDescent="0.2">
      <c r="A1267" s="22"/>
      <c r="B1267" s="23" t="str">
        <f>IF(A1267="","",VLOOKUP(A1267,'6.A'!$A$11:$G$180,2,FALSE))</f>
        <v/>
      </c>
      <c r="C1267" s="99"/>
      <c r="D1267" s="57" t="str">
        <f>IF(A1267="","",VLOOKUP(A1267,'6.A'!$A$11:$G$180,4,FALSE))</f>
        <v/>
      </c>
      <c r="E1267" s="101" t="str">
        <f>IF(A1267="","",VLOOKUP(A1267,'6.A'!$A$11:$G$180,5,FALSE))</f>
        <v/>
      </c>
      <c r="F1267" s="24" t="str">
        <f t="shared" si="547"/>
        <v>0,00</v>
      </c>
      <c r="G1267" s="52"/>
      <c r="H1267" s="52" t="str">
        <f>IF(A1267="","",VLOOKUP(A1267,'6.A'!$A$11:$E$7984,5,FALSE))</f>
        <v/>
      </c>
      <c r="I1267" s="52" t="str">
        <f>IF(H1267="","",IF(E1267=H1267,"SIM","NÃO"))</f>
        <v/>
      </c>
      <c r="J1267" s="52" t="str">
        <f>IF(H1267="","",VLOOKUP(A1267,'6.A'!$A$11:$E$564,4,FALSE))</f>
        <v/>
      </c>
      <c r="K1267" s="52" t="str">
        <f>IF(H1267="","",IF(J1267=D1267,"SIM","NÃO"))</f>
        <v/>
      </c>
      <c r="L1267" s="52" t="str">
        <f>IF(H1267="","",IF(C1267="","",G1260*C1267))</f>
        <v/>
      </c>
      <c r="M1267" s="117" t="str">
        <f>IF(A1267="","",VLOOKUP(A1267,'6.A'!$A$11:$C$564,2,FALSE))</f>
        <v/>
      </c>
      <c r="N1267" s="57" t="str">
        <f>IF(A1267="","",IF(M1267=B1267,"si","no"))</f>
        <v/>
      </c>
      <c r="O1267" s="56"/>
      <c r="P1267" s="56"/>
      <c r="Q1267" s="48"/>
      <c r="R1267" s="48"/>
      <c r="S1267" s="2"/>
    </row>
    <row r="1268" spans="1:19" ht="12.75" customHeight="1" x14ac:dyDescent="0.2">
      <c r="A1268" s="22"/>
      <c r="B1268" s="23" t="str">
        <f>IF(A1268="","",VLOOKUP(A1268,'6.A'!$A$11:$G$180,2,FALSE))</f>
        <v/>
      </c>
      <c r="C1268" s="99"/>
      <c r="D1268" s="57" t="str">
        <f>IF(A1268="","",VLOOKUP(A1268,'6.A'!$A$11:$G$180,4,FALSE))</f>
        <v/>
      </c>
      <c r="E1268" s="100" t="str">
        <f>IF(A1268="","",VLOOKUP(A1268,'6.A'!$A$11:$G$180,5,FALSE))</f>
        <v/>
      </c>
      <c r="F1268" s="24" t="str">
        <f t="shared" si="547"/>
        <v>0,00</v>
      </c>
      <c r="G1268" s="52"/>
      <c r="H1268" s="52" t="str">
        <f>IF(A1268="","",VLOOKUP(A1268,'6.A'!$A$11:$E$7984,5,FALSE))</f>
        <v/>
      </c>
      <c r="I1268" s="52" t="str">
        <f>IF(H1268="","",IF(E1268=H1268,"SIM","NÃO"))</f>
        <v/>
      </c>
      <c r="J1268" s="52" t="str">
        <f>IF(H1268="","",VLOOKUP(A1268,'6.A'!$A$11:$E$564,4,FALSE))</f>
        <v/>
      </c>
      <c r="K1268" s="52" t="str">
        <f>IF(H1268="","",IF(J1268=D1268,"SIM","NÃO"))</f>
        <v/>
      </c>
      <c r="L1268" s="52" t="str">
        <f>IF(H1268="","",IF(C1268="","",G1260*C1268))</f>
        <v/>
      </c>
      <c r="M1268" s="117" t="str">
        <f>IF(A1268="","",VLOOKUP(A1268,'6.A'!$A$11:$C$564,2,FALSE))</f>
        <v/>
      </c>
      <c r="N1268" s="57" t="str">
        <f>IF(A1268="","",IF(M1268=B1268,"si","no"))</f>
        <v/>
      </c>
      <c r="O1268" s="56"/>
      <c r="P1268" s="56"/>
      <c r="Q1268" s="48"/>
      <c r="R1268" s="48"/>
      <c r="S1268" s="2"/>
    </row>
    <row r="1269" spans="1:19" ht="12.75" customHeight="1" x14ac:dyDescent="0.2">
      <c r="A1269" s="22"/>
      <c r="B1269" s="23" t="str">
        <f>IF(A1269="","",VLOOKUP(A1269,'6.A'!$A$11:$G$180,2,FALSE))</f>
        <v/>
      </c>
      <c r="C1269" s="99"/>
      <c r="D1269" s="57" t="str">
        <f>IF(A1269="","",VLOOKUP(A1269,'6.A'!$A$11:$G$180,4,FALSE))</f>
        <v/>
      </c>
      <c r="E1269" s="100" t="str">
        <f>IF(A1269="","",VLOOKUP(A1269,'6.A'!$A$11:$G$180,5,FALSE))</f>
        <v/>
      </c>
      <c r="F1269" s="24" t="str">
        <f t="shared" si="547"/>
        <v>0,00</v>
      </c>
      <c r="G1269" s="52"/>
      <c r="H1269" s="52" t="str">
        <f>IF(A1269="","",VLOOKUP(A1269,'6.A'!$A$11:$E$7984,5,FALSE))</f>
        <v/>
      </c>
      <c r="I1269" s="52" t="str">
        <f t="shared" ref="I1269" si="553">IF(H1269="","",IF(E1269=H1269,"SIM","NÃO"))</f>
        <v/>
      </c>
      <c r="J1269" s="52" t="str">
        <f>IF(H1269="","",VLOOKUP(A1269,'6.A'!$A$11:$E$564,4,FALSE))</f>
        <v/>
      </c>
      <c r="K1269" s="52" t="str">
        <f t="shared" ref="K1269" si="554">IF(H1269="","",IF(J1269=D1269,"SIM","NÃO"))</f>
        <v/>
      </c>
      <c r="L1269" s="52" t="str">
        <f>IF(H1269="","",IF(C1269="","",G1260*C1269))</f>
        <v/>
      </c>
      <c r="M1269" s="117" t="str">
        <f>IF(A1269="","",VLOOKUP(A1269,'6.A'!$A$11:$C$564,2,FALSE))</f>
        <v/>
      </c>
      <c r="N1269" s="57" t="str">
        <f t="shared" ref="N1269" si="555">IF(A1269="","",IF(M1269=B1269,"si","no"))</f>
        <v/>
      </c>
      <c r="O1269" s="56"/>
      <c r="P1269" s="56"/>
      <c r="Q1269" s="48"/>
      <c r="R1269" s="48"/>
      <c r="S1269" s="2"/>
    </row>
    <row r="1270" spans="1:19" ht="12.75" customHeight="1" x14ac:dyDescent="0.2">
      <c r="A1270" s="22"/>
      <c r="B1270" s="23" t="str">
        <f>IF(A1270="","",VLOOKUP(A1270,'6.A'!$A$11:$G$180,2,FALSE))</f>
        <v/>
      </c>
      <c r="C1270" s="99"/>
      <c r="D1270" s="73" t="str">
        <f>IF(A1270="","",VLOOKUP(A1270,'6.A'!$A$11:$G$180,4,FALSE))</f>
        <v/>
      </c>
      <c r="E1270" s="101" t="str">
        <f>IF(A1270="","",VLOOKUP(A1270,'6.A'!$A$11:$G$180,5,FALSE))</f>
        <v/>
      </c>
      <c r="F1270" s="24" t="str">
        <f t="shared" si="547"/>
        <v>0,00</v>
      </c>
      <c r="G1270" s="52"/>
      <c r="H1270" s="52" t="str">
        <f>IF(A1270="","",VLOOKUP(A1270,'6.A'!$A$11:$E$7984,5,FALSE))</f>
        <v/>
      </c>
      <c r="I1270" s="52" t="str">
        <f>IF(H1270="","",IF(E1270=H1270,"SIM","NÃO"))</f>
        <v/>
      </c>
      <c r="J1270" s="52" t="str">
        <f>IF(H1270="","",VLOOKUP(A1270,'6.A'!$A$11:$E$564,4,FALSE))</f>
        <v/>
      </c>
      <c r="K1270" s="52" t="str">
        <f>IF(H1270="","",IF(J1270=D1270,"SIM","NÃO"))</f>
        <v/>
      </c>
      <c r="L1270" s="52" t="str">
        <f>IF(H1270="","",IF(C1270="","",G1260*C1270))</f>
        <v/>
      </c>
      <c r="M1270" s="117" t="str">
        <f>IF(A1270="","",VLOOKUP(A1270,'6.A'!$A$11:$C$564,2,FALSE))</f>
        <v/>
      </c>
      <c r="N1270" s="57" t="str">
        <f>IF(A1270="","",IF(M1270=B1270,"si","no"))</f>
        <v/>
      </c>
      <c r="O1270" s="56"/>
      <c r="P1270" s="56"/>
      <c r="Q1270" s="48"/>
      <c r="R1270" s="48"/>
      <c r="S1270" s="2"/>
    </row>
    <row r="1271" spans="1:19" ht="12.75" customHeight="1" x14ac:dyDescent="0.2">
      <c r="A1271" s="22"/>
      <c r="B1271" s="23" t="str">
        <f>IF(A1271="","",VLOOKUP(A1271,'6.A'!$A$11:$G$180,2,FALSE))</f>
        <v/>
      </c>
      <c r="C1271" s="99"/>
      <c r="D1271" s="25" t="str">
        <f>IF(A1271="","",VLOOKUP(A1271,'6.A'!$A$11:$G$180,4,FALSE))</f>
        <v/>
      </c>
      <c r="E1271" s="101" t="str">
        <f>IF(A1271="","",VLOOKUP(A1271,'6.A'!$A$11:$G$180,5,FALSE))</f>
        <v/>
      </c>
      <c r="F1271" s="24" t="str">
        <f t="shared" si="547"/>
        <v>0,00</v>
      </c>
      <c r="G1271" s="52"/>
      <c r="H1271" s="52" t="str">
        <f>IF(A1271="","",VLOOKUP(A1271,'6.A'!$A$11:$E$7984,5,FALSE))</f>
        <v/>
      </c>
      <c r="I1271" s="52" t="str">
        <f t="shared" ref="I1271" si="556">IF(H1271="","",IF(E1271=H1271,"SIM","NÃO"))</f>
        <v/>
      </c>
      <c r="J1271" s="52" t="str">
        <f>IF(H1271="","",VLOOKUP(A1271,'6.A'!$A$11:$E$564,4,FALSE))</f>
        <v/>
      </c>
      <c r="K1271" s="52" t="str">
        <f t="shared" ref="K1271" si="557">IF(H1271="","",IF(J1271=D1271,"SIM","NÃO"))</f>
        <v/>
      </c>
      <c r="L1271" s="52" t="str">
        <f>IF(H1271="","",IF(C1271="","",G1260*C1271))</f>
        <v/>
      </c>
      <c r="M1271" s="117" t="str">
        <f>IF(A1271="","",VLOOKUP(A1271,'6.A'!$A$11:$C$564,2,FALSE))</f>
        <v/>
      </c>
      <c r="N1271" s="57" t="str">
        <f t="shared" ref="N1271" si="558">IF(A1271="","",IF(M1271=B1271,"si","no"))</f>
        <v/>
      </c>
      <c r="O1271" s="56"/>
      <c r="P1271" s="56"/>
      <c r="Q1271" s="48"/>
      <c r="R1271" s="48"/>
      <c r="S1271" s="2"/>
    </row>
    <row r="1272" spans="1:19" ht="12.75" customHeight="1" x14ac:dyDescent="0.2">
      <c r="A1272" s="17"/>
      <c r="B1272" s="26" t="str">
        <f>$A$8</f>
        <v>LEIS SOCIAIS HORISTA - JORNADA NORMAL</v>
      </c>
      <c r="C1272" s="27">
        <f>$C$8</f>
        <v>0</v>
      </c>
      <c r="D1272" s="57"/>
      <c r="F1272" s="28">
        <f>ROUND(SUM(F1262:F1271)*C1272,2)</f>
        <v>0</v>
      </c>
      <c r="G1272" s="63"/>
      <c r="M1272" s="62"/>
      <c r="N1272" s="57"/>
      <c r="O1272" s="56"/>
      <c r="P1272" s="56"/>
      <c r="Q1272" s="48"/>
      <c r="R1272" s="48"/>
      <c r="S1272" s="2"/>
    </row>
    <row r="1273" spans="1:19" ht="12.75" customHeight="1" x14ac:dyDescent="0.2">
      <c r="A1273" s="22"/>
      <c r="B1273" s="26" t="str">
        <f>$A$9</f>
        <v>BDI</v>
      </c>
      <c r="C1273" s="27">
        <f>$C$9</f>
        <v>0</v>
      </c>
      <c r="D1273" s="29"/>
      <c r="F1273" s="28">
        <f>ROUND(SUM(F1262:F1272)*C1273,2)</f>
        <v>0</v>
      </c>
      <c r="G1273" s="63"/>
      <c r="M1273" s="62"/>
      <c r="N1273" s="57"/>
      <c r="O1273" s="56"/>
      <c r="P1273" s="56"/>
      <c r="Q1273" s="48"/>
      <c r="R1273" s="48"/>
      <c r="S1273" s="2"/>
    </row>
    <row r="1274" spans="1:19" ht="12.75" customHeight="1" x14ac:dyDescent="0.2">
      <c r="A1274" s="30"/>
      <c r="B1274" s="31" t="s">
        <v>56</v>
      </c>
      <c r="C1274" s="32"/>
      <c r="D1274" s="33"/>
      <c r="E1274" s="34"/>
      <c r="F1274" s="35">
        <f>ROUND(SUM(F1262:F1273),2)</f>
        <v>0</v>
      </c>
      <c r="G1274" s="63"/>
      <c r="M1274" s="62"/>
      <c r="N1274" s="57"/>
      <c r="O1274" s="56"/>
      <c r="P1274" s="56"/>
      <c r="Q1274" s="48"/>
      <c r="R1274" s="48"/>
      <c r="S1274" s="2"/>
    </row>
    <row r="1275" spans="1:19" ht="12.75" customHeight="1" x14ac:dyDescent="0.2">
      <c r="A1275" s="17" t="s">
        <v>5</v>
      </c>
      <c r="B1275" s="153" t="s">
        <v>130</v>
      </c>
      <c r="C1275" s="56" t="s">
        <v>59</v>
      </c>
      <c r="D1275" s="56" t="s">
        <v>16</v>
      </c>
      <c r="E1275" s="19" t="s">
        <v>60</v>
      </c>
      <c r="F1275" s="20" t="s">
        <v>61</v>
      </c>
      <c r="G1275" s="21"/>
      <c r="M1275" s="62"/>
      <c r="N1275" s="57"/>
      <c r="O1275" s="56"/>
      <c r="P1275" s="56"/>
      <c r="Q1275" s="48"/>
      <c r="R1275" s="48"/>
      <c r="S1275" s="2"/>
    </row>
    <row r="1276" spans="1:19" ht="12.75" customHeight="1" x14ac:dyDescent="0.2">
      <c r="A1276" s="22"/>
      <c r="B1276" s="23" t="str">
        <f>IF(A1276="","",VLOOKUP(A1276,'6.A'!$A$11:$G$180,2,FALSE))</f>
        <v/>
      </c>
      <c r="C1276" s="99"/>
      <c r="D1276" s="57" t="str">
        <f>IF(A1276="","",VLOOKUP(A1276,'6.A'!$A$11:$G$180,4,FALSE))</f>
        <v/>
      </c>
      <c r="E1276" s="100" t="str">
        <f>IF(A1276="","",VLOOKUP(A1276,'6.A'!$A$11:$G$180,5,FALSE))</f>
        <v/>
      </c>
      <c r="F1276" s="24" t="str">
        <f t="shared" ref="F1276:F1285" si="559">IF(A1276="","0,00",ROUND(C1276*E1276,2))</f>
        <v>0,00</v>
      </c>
      <c r="G1276" s="52"/>
      <c r="H1276" s="52" t="str">
        <f>IF(A1276="","",VLOOKUP(A1276,'6.A'!$A$11:$E$7984,5,FALSE))</f>
        <v/>
      </c>
      <c r="I1276" s="52" t="str">
        <f t="shared" ref="I1276:I1285" si="560">IF(H1276="","",IF(E1276=H1276,"SIM","NÃO"))</f>
        <v/>
      </c>
      <c r="J1276" s="52" t="str">
        <f>IF(H1276="","",VLOOKUP(A1276,'6.A'!$A$11:$E$564,4,FALSE))</f>
        <v/>
      </c>
      <c r="K1276" s="52" t="str">
        <f t="shared" ref="K1276:K1285" si="561">IF(H1276="","",IF(J1276=D1276,"SIM","NÃO"))</f>
        <v/>
      </c>
      <c r="L1276" s="52" t="str">
        <f>IF(H1276="","",IF(C1276="","",G1260*C1276))</f>
        <v/>
      </c>
      <c r="M1276" s="117" t="str">
        <f>IF(A1276="","",VLOOKUP(A1276,'6.A'!$A$11:$C$564,2,FALSE))</f>
        <v/>
      </c>
      <c r="N1276" s="57" t="str">
        <f t="shared" ref="N1276:N1281" si="562">IF(A1276="","",IF(M1276=B1276,"si","no"))</f>
        <v/>
      </c>
      <c r="O1276" s="56"/>
      <c r="P1276" s="56"/>
      <c r="Q1276" s="48"/>
      <c r="R1276" s="48"/>
      <c r="S1276" s="2"/>
    </row>
    <row r="1277" spans="1:19" ht="12.75" customHeight="1" x14ac:dyDescent="0.2">
      <c r="A1277" s="22"/>
      <c r="B1277" s="23" t="str">
        <f>IF(A1277="","",VLOOKUP(A1277,'6.A'!$A$11:$G$180,2,FALSE))</f>
        <v/>
      </c>
      <c r="C1277" s="99"/>
      <c r="D1277" s="57" t="str">
        <f>IF(A1277="","",VLOOKUP(A1277,'6.A'!$A$11:$G$180,4,FALSE))</f>
        <v/>
      </c>
      <c r="E1277" s="100" t="str">
        <f>IF(A1277="","",VLOOKUP(A1277,'6.A'!$A$11:$G$180,5,FALSE))</f>
        <v/>
      </c>
      <c r="F1277" s="24" t="str">
        <f t="shared" si="559"/>
        <v>0,00</v>
      </c>
      <c r="G1277" s="52"/>
      <c r="H1277" s="52" t="str">
        <f>IF(A1277="","",VLOOKUP(A1277,'6.A'!$A$11:$E$7984,5,FALSE))</f>
        <v/>
      </c>
      <c r="I1277" s="52" t="str">
        <f t="shared" si="560"/>
        <v/>
      </c>
      <c r="J1277" s="52" t="str">
        <f>IF(H1277="","",VLOOKUP(A1277,'6.A'!$A$11:$E$564,4,FALSE))</f>
        <v/>
      </c>
      <c r="K1277" s="52" t="str">
        <f t="shared" si="561"/>
        <v/>
      </c>
      <c r="L1277" s="52" t="str">
        <f>IF(H1277="","",IF(C1277="","",G1260*C1277))</f>
        <v/>
      </c>
      <c r="M1277" s="117" t="str">
        <f>IF(A1277="","",VLOOKUP(A1277,'6.A'!$A$11:$C$564,2,FALSE))</f>
        <v/>
      </c>
      <c r="N1277" s="57" t="str">
        <f t="shared" si="562"/>
        <v/>
      </c>
      <c r="O1277" s="56"/>
      <c r="P1277" s="56"/>
      <c r="Q1277" s="48"/>
      <c r="R1277" s="48"/>
      <c r="S1277" s="2"/>
    </row>
    <row r="1278" spans="1:19" ht="12.75" customHeight="1" x14ac:dyDescent="0.2">
      <c r="A1278" s="22"/>
      <c r="B1278" s="23" t="str">
        <f>IF(A1278="","",VLOOKUP(A1278,'6.A'!$A$11:$G$180,2,FALSE))</f>
        <v/>
      </c>
      <c r="C1278" s="99"/>
      <c r="D1278" s="57" t="str">
        <f>IF(A1278="","",VLOOKUP(A1278,'6.A'!$A$11:$G$180,4,FALSE))</f>
        <v/>
      </c>
      <c r="E1278" s="100" t="str">
        <f>IF(A1278="","",VLOOKUP(A1278,'6.A'!$A$11:$G$180,5,FALSE))</f>
        <v/>
      </c>
      <c r="F1278" s="24" t="str">
        <f t="shared" si="559"/>
        <v>0,00</v>
      </c>
      <c r="G1278" s="52"/>
      <c r="H1278" s="52" t="str">
        <f>IF(A1278="","",VLOOKUP(A1278,'6.A'!$A$11:$E$7984,5,FALSE))</f>
        <v/>
      </c>
      <c r="I1278" s="52" t="str">
        <f t="shared" si="560"/>
        <v/>
      </c>
      <c r="J1278" s="52" t="str">
        <f>IF(H1278="","",VLOOKUP(A1278,'6.A'!$A$11:$E$564,4,FALSE))</f>
        <v/>
      </c>
      <c r="K1278" s="52" t="str">
        <f t="shared" si="561"/>
        <v/>
      </c>
      <c r="L1278" s="52" t="str">
        <f>IF(H1278="","",IF(C1278="","",G1260*C1278))</f>
        <v/>
      </c>
      <c r="M1278" s="117" t="str">
        <f>IF(A1278="","",VLOOKUP(A1278,'6.A'!$A$11:$C$564,2,FALSE))</f>
        <v/>
      </c>
      <c r="N1278" s="57" t="str">
        <f t="shared" si="562"/>
        <v/>
      </c>
      <c r="O1278" s="56"/>
      <c r="P1278" s="56"/>
      <c r="Q1278" s="48"/>
      <c r="R1278" s="48"/>
      <c r="S1278" s="2"/>
    </row>
    <row r="1279" spans="1:19" ht="12.75" customHeight="1" x14ac:dyDescent="0.2">
      <c r="A1279" s="22"/>
      <c r="B1279" s="55" t="str">
        <f>IF(A1279="","",VLOOKUP(A1279,'6.A'!$A$11:$G$180,2,FALSE))</f>
        <v/>
      </c>
      <c r="C1279" s="134"/>
      <c r="D1279" s="57" t="str">
        <f>IF(A1279="","",VLOOKUP(A1279,'6.A'!$A$11:$G$180,4,FALSE))</f>
        <v/>
      </c>
      <c r="E1279" s="100" t="str">
        <f>IF(A1279="","",VLOOKUP(A1279,'6.A'!$A$11:$G$180,5,FALSE))</f>
        <v/>
      </c>
      <c r="F1279" s="24" t="str">
        <f t="shared" si="559"/>
        <v>0,00</v>
      </c>
      <c r="G1279" s="52"/>
      <c r="H1279" s="52" t="str">
        <f>IF(A1279="","",VLOOKUP(A1279,'6.A'!$A$11:$E$7984,5,FALSE))</f>
        <v/>
      </c>
      <c r="I1279" s="52" t="str">
        <f t="shared" si="560"/>
        <v/>
      </c>
      <c r="J1279" s="52" t="str">
        <f>IF(H1279="","",VLOOKUP(A1279,'6.A'!$A$11:$E$564,4,FALSE))</f>
        <v/>
      </c>
      <c r="K1279" s="52" t="str">
        <f t="shared" si="561"/>
        <v/>
      </c>
      <c r="L1279" s="52" t="str">
        <f>IF(H1279="","",IF(C1279="","",G1260*C1279))</f>
        <v/>
      </c>
      <c r="M1279" s="117" t="str">
        <f>IF(A1279="","",VLOOKUP(A1279,'6.A'!$A$11:$C$564,2,FALSE))</f>
        <v/>
      </c>
      <c r="N1279" s="57" t="str">
        <f t="shared" si="562"/>
        <v/>
      </c>
      <c r="O1279" s="56"/>
      <c r="P1279" s="56"/>
      <c r="Q1279" s="48"/>
      <c r="R1279" s="48"/>
      <c r="S1279" s="2"/>
    </row>
    <row r="1280" spans="1:19" ht="12.75" customHeight="1" x14ac:dyDescent="0.2">
      <c r="A1280" s="22"/>
      <c r="B1280" s="23" t="str">
        <f>IF(A1280="","",VLOOKUP(A1280,'6.A'!$A$11:$G$180,2,FALSE))</f>
        <v/>
      </c>
      <c r="C1280" s="99"/>
      <c r="D1280" s="57" t="str">
        <f>IF(A1280="","",VLOOKUP(A1280,'6.A'!$A$11:$G$180,4,FALSE))</f>
        <v/>
      </c>
      <c r="E1280" s="100" t="str">
        <f>IF(A1280="","",VLOOKUP(A1280,'6.A'!$A$11:$G$180,5,FALSE))</f>
        <v/>
      </c>
      <c r="F1280" s="24" t="str">
        <f t="shared" si="559"/>
        <v>0,00</v>
      </c>
      <c r="G1280" s="52"/>
      <c r="H1280" s="52" t="str">
        <f>IF(A1280="","",VLOOKUP(A1280,'6.A'!$A$11:$E$7984,5,FALSE))</f>
        <v/>
      </c>
      <c r="I1280" s="52" t="str">
        <f t="shared" si="560"/>
        <v/>
      </c>
      <c r="J1280" s="52" t="str">
        <f>IF(H1280="","",VLOOKUP(A1280,'6.A'!$A$11:$E$564,4,FALSE))</f>
        <v/>
      </c>
      <c r="K1280" s="52" t="str">
        <f t="shared" si="561"/>
        <v/>
      </c>
      <c r="L1280" s="52" t="str">
        <f>IF(H1280="","",IF(C1280="","",G1260*C1280))</f>
        <v/>
      </c>
      <c r="M1280" s="117" t="str">
        <f>IF(A1280="","",VLOOKUP(A1280,'6.A'!$A$11:$C$564,2,FALSE))</f>
        <v/>
      </c>
      <c r="N1280" s="57" t="str">
        <f t="shared" si="562"/>
        <v/>
      </c>
      <c r="O1280" s="56"/>
      <c r="P1280" s="56"/>
      <c r="Q1280" s="48"/>
      <c r="R1280" s="48"/>
      <c r="S1280" s="2"/>
    </row>
    <row r="1281" spans="1:22" ht="12.75" customHeight="1" x14ac:dyDescent="0.2">
      <c r="A1281" s="22"/>
      <c r="B1281" s="23" t="str">
        <f>IF(A1281="","",VLOOKUP(A1281,'6.A'!$A$11:$G$180,2,FALSE))</f>
        <v/>
      </c>
      <c r="C1281" s="99"/>
      <c r="D1281" s="57" t="str">
        <f>IF(A1281="","",VLOOKUP(A1281,'6.A'!$A$11:$G$180,4,FALSE))</f>
        <v/>
      </c>
      <c r="E1281" s="100" t="str">
        <f>IF(A1281="","",VLOOKUP(A1281,'6.A'!$A$11:$G$180,5,FALSE))</f>
        <v/>
      </c>
      <c r="F1281" s="24" t="str">
        <f t="shared" si="559"/>
        <v>0,00</v>
      </c>
      <c r="G1281" s="52"/>
      <c r="H1281" s="52" t="str">
        <f>IF(A1281="","",VLOOKUP(A1281,'6.A'!$A$11:$E$7984,5,FALSE))</f>
        <v/>
      </c>
      <c r="I1281" s="52" t="str">
        <f t="shared" si="560"/>
        <v/>
      </c>
      <c r="J1281" s="52" t="str">
        <f>IF(H1281="","",VLOOKUP(A1281,'6.A'!$A$11:$E$564,4,FALSE))</f>
        <v/>
      </c>
      <c r="K1281" s="52" t="str">
        <f t="shared" si="561"/>
        <v/>
      </c>
      <c r="L1281" s="52" t="str">
        <f>IF(H1281="","",IF(C1281="","",G1260*C1281))</f>
        <v/>
      </c>
      <c r="M1281" s="117" t="str">
        <f>IF(A1281="","",VLOOKUP(A1281,'6.A'!$A$11:$C$564,2,FALSE))</f>
        <v/>
      </c>
      <c r="N1281" s="57" t="str">
        <f t="shared" si="562"/>
        <v/>
      </c>
      <c r="O1281" s="56"/>
      <c r="P1281" s="56"/>
      <c r="Q1281" s="48"/>
      <c r="R1281" s="48"/>
      <c r="S1281" s="2"/>
    </row>
    <row r="1282" spans="1:22" ht="12.75" customHeight="1" x14ac:dyDescent="0.2">
      <c r="A1282" s="22"/>
      <c r="B1282" s="23" t="str">
        <f>IF(A1282="","",VLOOKUP(A1282,'6.A'!$A$11:$G$180,2,FALSE))</f>
        <v/>
      </c>
      <c r="C1282" s="99"/>
      <c r="D1282" s="57" t="str">
        <f>IF(A1282="","",VLOOKUP(A1282,'6.A'!$A$11:$G$180,4,FALSE))</f>
        <v/>
      </c>
      <c r="E1282" s="100" t="str">
        <f>IF(A1282="","",VLOOKUP(A1282,'6.A'!$A$11:$G$180,5,FALSE))</f>
        <v/>
      </c>
      <c r="F1282" s="24" t="str">
        <f t="shared" si="559"/>
        <v>0,00</v>
      </c>
      <c r="G1282" s="52"/>
      <c r="H1282" s="52" t="str">
        <f>IF(A1282="","",VLOOKUP(A1282,'6.A'!$A$11:$E$7984,5,FALSE))</f>
        <v/>
      </c>
      <c r="I1282" s="52" t="str">
        <f t="shared" si="560"/>
        <v/>
      </c>
      <c r="J1282" s="52" t="str">
        <f>IF(H1282="","",VLOOKUP(A1282,'6.A'!$A$11:$E$564,4,FALSE))</f>
        <v/>
      </c>
      <c r="K1282" s="52" t="str">
        <f t="shared" si="561"/>
        <v/>
      </c>
      <c r="L1282" s="52" t="str">
        <f>IF(H1282="","",IF(C1282="","",G1260*C1282))</f>
        <v/>
      </c>
      <c r="M1282" s="117" t="str">
        <f>IF(A1282="","",VLOOKUP(A1282,'6.A'!$A$11:$C$564,2,FALSE))</f>
        <v/>
      </c>
      <c r="N1282" s="57" t="str">
        <f>IF(A1282="","",IF(M1282=B1282,"si","no"))</f>
        <v/>
      </c>
      <c r="O1282" s="56"/>
      <c r="P1282" s="56"/>
      <c r="Q1282" s="48"/>
      <c r="R1282" s="48"/>
      <c r="S1282" s="2"/>
    </row>
    <row r="1283" spans="1:22" ht="12.75" customHeight="1" x14ac:dyDescent="0.2">
      <c r="A1283" s="22"/>
      <c r="B1283" s="23" t="str">
        <f>IF(A1283="","",VLOOKUP(A1283,'6.A'!$A$11:$G$180,2,FALSE))</f>
        <v/>
      </c>
      <c r="C1283" s="99"/>
      <c r="D1283" s="57" t="str">
        <f>IF(A1283="","",VLOOKUP(A1283,'6.A'!$A$11:$G$180,4,FALSE))</f>
        <v/>
      </c>
      <c r="E1283" s="100" t="str">
        <f>IF(A1283="","",VLOOKUP(A1283,'6.A'!$A$11:$G$180,5,FALSE))</f>
        <v/>
      </c>
      <c r="F1283" s="24" t="str">
        <f t="shared" si="559"/>
        <v>0,00</v>
      </c>
      <c r="G1283" s="52"/>
      <c r="H1283" s="52" t="str">
        <f>IF(A1283="","",VLOOKUP(A1283,'6.A'!$A$11:$E$7984,5,FALSE))</f>
        <v/>
      </c>
      <c r="I1283" s="52" t="str">
        <f t="shared" si="560"/>
        <v/>
      </c>
      <c r="J1283" s="52" t="str">
        <f>IF(H1283="","",VLOOKUP(A1283,'6.A'!$A$11:$E$564,4,FALSE))</f>
        <v/>
      </c>
      <c r="K1283" s="52" t="str">
        <f t="shared" si="561"/>
        <v/>
      </c>
      <c r="L1283" s="52" t="str">
        <f>IF(H1283="","",IF(C1283="","",G1260*C1283))</f>
        <v/>
      </c>
      <c r="M1283" s="117" t="str">
        <f>IF(A1283="","",VLOOKUP(A1283,'6.A'!$A$11:$C$564,2,FALSE))</f>
        <v/>
      </c>
      <c r="N1283" s="57" t="str">
        <f>IF(A1283="","",IF(M1283=B1283,"si","no"))</f>
        <v/>
      </c>
      <c r="O1283" s="56"/>
      <c r="P1283" s="56"/>
      <c r="Q1283" s="48"/>
      <c r="R1283" s="48"/>
      <c r="S1283" s="2"/>
    </row>
    <row r="1284" spans="1:22" ht="12.75" customHeight="1" x14ac:dyDescent="0.2">
      <c r="A1284" s="22"/>
      <c r="B1284" s="23" t="str">
        <f>IF(A1284="","",VLOOKUP(A1284,'6.A'!$A$11:$G$180,2,FALSE))</f>
        <v/>
      </c>
      <c r="C1284" s="99"/>
      <c r="D1284" s="57" t="str">
        <f>IF(A1284="","",VLOOKUP(A1284,'6.A'!$A$11:$G$180,4,FALSE))</f>
        <v/>
      </c>
      <c r="E1284" s="100" t="str">
        <f>IF(A1284="","",VLOOKUP(A1284,'6.A'!$A$11:$G$180,5,FALSE))</f>
        <v/>
      </c>
      <c r="F1284" s="24" t="str">
        <f t="shared" si="559"/>
        <v>0,00</v>
      </c>
      <c r="G1284" s="52"/>
      <c r="H1284" s="52" t="str">
        <f>IF(A1284="","",VLOOKUP(A1284,'6.A'!$A$11:$E$7984,5,FALSE))</f>
        <v/>
      </c>
      <c r="I1284" s="52" t="str">
        <f t="shared" si="560"/>
        <v/>
      </c>
      <c r="J1284" s="52" t="str">
        <f>IF(H1284="","",VLOOKUP(A1284,'6.A'!$A$11:$E$564,4,FALSE))</f>
        <v/>
      </c>
      <c r="K1284" s="52" t="str">
        <f t="shared" si="561"/>
        <v/>
      </c>
      <c r="L1284" s="52" t="str">
        <f>IF(H1284="","",IF(C1284="","",G1260*C1284))</f>
        <v/>
      </c>
      <c r="M1284" s="117" t="str">
        <f>IF(A1284="","",VLOOKUP(A1284,'6.A'!$A$11:$C$564,2,FALSE))</f>
        <v/>
      </c>
      <c r="N1284" s="57" t="str">
        <f t="shared" ref="N1284:N1285" si="563">IF(A1284="","",IF(M1284=B1284,"si","no"))</f>
        <v/>
      </c>
      <c r="O1284" s="56"/>
      <c r="P1284" s="56"/>
      <c r="Q1284" s="48"/>
      <c r="R1284" s="48"/>
      <c r="S1284" s="2"/>
    </row>
    <row r="1285" spans="1:22" ht="12.75" customHeight="1" x14ac:dyDescent="0.2">
      <c r="A1285" s="22"/>
      <c r="B1285" s="23" t="str">
        <f>IF(A1285="","",VLOOKUP(A1285,'6.A'!$A$11:$G$180,2,FALSE))</f>
        <v/>
      </c>
      <c r="C1285" s="99"/>
      <c r="D1285" s="57" t="str">
        <f>IF(A1285="","",VLOOKUP(A1285,'6.A'!$A$11:$G$180,4,FALSE))</f>
        <v/>
      </c>
      <c r="E1285" s="100" t="str">
        <f>IF(A1285="","",VLOOKUP(A1285,'6.A'!$A$11:$G$180,5,FALSE))</f>
        <v/>
      </c>
      <c r="F1285" s="24" t="str">
        <f t="shared" si="559"/>
        <v>0,00</v>
      </c>
      <c r="G1285" s="52"/>
      <c r="H1285" s="52" t="str">
        <f>IF(A1285="","",VLOOKUP(A1285,'6.A'!$A$11:$E$7984,5,FALSE))</f>
        <v/>
      </c>
      <c r="I1285" s="52" t="str">
        <f t="shared" si="560"/>
        <v/>
      </c>
      <c r="J1285" s="52" t="str">
        <f>IF(H1285="","",VLOOKUP(A1285,'6.A'!$A$11:$E$564,4,FALSE))</f>
        <v/>
      </c>
      <c r="K1285" s="52" t="str">
        <f t="shared" si="561"/>
        <v/>
      </c>
      <c r="L1285" s="52" t="str">
        <f>IF(H1285="","",IF(C1285="","",G1260*C1285))</f>
        <v/>
      </c>
      <c r="M1285" s="117" t="str">
        <f>IF(A1285="","",VLOOKUP(A1285,'6.A'!$A$11:$C$564,2,FALSE))</f>
        <v/>
      </c>
      <c r="N1285" s="57" t="str">
        <f t="shared" si="563"/>
        <v/>
      </c>
      <c r="O1285" s="56"/>
      <c r="P1285" s="56"/>
      <c r="Q1285" s="48"/>
      <c r="R1285" s="48"/>
      <c r="S1285" s="2"/>
    </row>
    <row r="1286" spans="1:22" ht="12.75" customHeight="1" x14ac:dyDescent="0.2">
      <c r="A1286" s="22"/>
      <c r="B1286" s="26" t="str">
        <f>$A$9</f>
        <v>BDI</v>
      </c>
      <c r="C1286" s="27">
        <f>$C$9</f>
        <v>0</v>
      </c>
      <c r="D1286" s="57"/>
      <c r="F1286" s="28">
        <f>ROUND(SUM(F1276:F1285)*C1286,2)</f>
        <v>0</v>
      </c>
      <c r="G1286" s="63"/>
      <c r="M1286" s="62"/>
      <c r="N1286" s="57"/>
      <c r="O1286" s="56"/>
      <c r="P1286" s="56"/>
      <c r="Q1286" s="48"/>
      <c r="R1286" s="48"/>
      <c r="S1286" s="2"/>
    </row>
    <row r="1287" spans="1:22" ht="12.75" customHeight="1" x14ac:dyDescent="0.2">
      <c r="A1287" s="30"/>
      <c r="B1287" s="31" t="s">
        <v>117</v>
      </c>
      <c r="C1287" s="36"/>
      <c r="D1287" s="37"/>
      <c r="E1287" s="38"/>
      <c r="F1287" s="35">
        <f>ROUND(SUM(F1276:F1286),2)</f>
        <v>0</v>
      </c>
      <c r="G1287" s="63"/>
      <c r="M1287" s="62"/>
      <c r="N1287" s="57"/>
      <c r="O1287" s="56"/>
      <c r="P1287" s="56"/>
      <c r="Q1287" s="48"/>
      <c r="R1287" s="48"/>
      <c r="S1287" s="2"/>
    </row>
    <row r="1288" spans="1:22" ht="12.75" customHeight="1" x14ac:dyDescent="0.2">
      <c r="A1288" s="17" t="s">
        <v>6</v>
      </c>
      <c r="B1288" s="18" t="s">
        <v>17</v>
      </c>
      <c r="C1288" s="56" t="s">
        <v>59</v>
      </c>
      <c r="D1288" s="56" t="s">
        <v>16</v>
      </c>
      <c r="E1288" s="19" t="s">
        <v>60</v>
      </c>
      <c r="F1288" s="20" t="s">
        <v>61</v>
      </c>
      <c r="G1288" s="21"/>
      <c r="M1288" s="62"/>
      <c r="N1288" s="57"/>
      <c r="O1288" s="56"/>
      <c r="P1288" s="56"/>
      <c r="Q1288" s="48"/>
      <c r="R1288" s="48"/>
      <c r="S1288" s="2"/>
    </row>
    <row r="1289" spans="1:22" ht="12.75" customHeight="1" x14ac:dyDescent="0.2">
      <c r="A1289" s="22">
        <f>'6.A'!$A$151</f>
        <v>42118</v>
      </c>
      <c r="B1289" s="23" t="str">
        <f>IF(A1289="","",VLOOKUP(A1289,'6.A'!$A$11:$G$180,2,FALSE))</f>
        <v xml:space="preserve">ELETRODUTO GALVANIZADO POR IMERSÃO A QUENTE - DN = 2" - NBR5598 </v>
      </c>
      <c r="C1289" s="99">
        <v>1.05</v>
      </c>
      <c r="D1289" s="57" t="str">
        <f>IF(A1289="","",VLOOKUP(A1289,'6.A'!$A$11:$G$180,4,FALSE))</f>
        <v>M</v>
      </c>
      <c r="E1289" s="100">
        <f>IF(A1289="","",VLOOKUP(A1289,'6.A'!$A$11:$G$180,5,FALSE))</f>
        <v>0</v>
      </c>
      <c r="F1289" s="24">
        <f t="shared" ref="F1289:F1308" si="564">IF(A1289="","0,00",ROUND(C1289*E1289,2))</f>
        <v>0</v>
      </c>
      <c r="G1289" s="52"/>
      <c r="H1289" s="52">
        <f>IF(A1289="","",VLOOKUP(A1289,'6.A'!$A$11:$E$7984,5,FALSE))</f>
        <v>0</v>
      </c>
      <c r="I1289" s="52" t="str">
        <f t="shared" ref="I1289:I1308" si="565">IF(H1289="","",IF(E1289=H1289,"SIM","NÃO"))</f>
        <v>SIM</v>
      </c>
      <c r="J1289" s="52" t="str">
        <f>IF(H1289="","",VLOOKUP(A1289,'6.A'!$A$11:$E$564,4,FALSE))</f>
        <v>M</v>
      </c>
      <c r="K1289" s="52" t="str">
        <f t="shared" ref="K1289:K1308" si="566">IF(H1289="","",IF(J1289=D1289,"SIM","NÃO"))</f>
        <v>SIM</v>
      </c>
      <c r="L1289" s="52">
        <f>IF(H1289="","",IF(C1289="","",G1260*C1289))</f>
        <v>3.1500000000000004</v>
      </c>
      <c r="M1289" s="117" t="str">
        <f>IF(A1289="","",VLOOKUP(A1289,'6.A'!$A$11:$C$564,2,FALSE))</f>
        <v xml:space="preserve">ELETRODUTO GALVANIZADO POR IMERSÃO A QUENTE - DN = 2" - NBR5598 </v>
      </c>
      <c r="N1289" s="57" t="str">
        <f t="shared" ref="N1289:N1308" si="567">IF(A1289="","",IF(M1289=B1289,"si","no"))</f>
        <v>si</v>
      </c>
      <c r="O1289" s="56"/>
      <c r="P1289" s="56"/>
      <c r="Q1289" s="48"/>
      <c r="R1289" s="48"/>
      <c r="S1289" s="2"/>
    </row>
    <row r="1290" spans="1:22" ht="12.75" customHeight="1" x14ac:dyDescent="0.2">
      <c r="A1290" s="22"/>
      <c r="B1290" s="23" t="str">
        <f>IF(A1290="","",VLOOKUP(A1290,'6.A'!$A$11:$G$180,2,FALSE))</f>
        <v/>
      </c>
      <c r="C1290" s="99"/>
      <c r="D1290" s="57" t="str">
        <f>IF(A1290="","",VLOOKUP(A1290,'6.A'!$A$11:$G$180,4,FALSE))</f>
        <v/>
      </c>
      <c r="E1290" s="100" t="str">
        <f>IF(A1290="","",VLOOKUP(A1290,'6.A'!$A$11:$G$180,5,FALSE))</f>
        <v/>
      </c>
      <c r="F1290" s="24" t="str">
        <f t="shared" si="564"/>
        <v>0,00</v>
      </c>
      <c r="G1290" s="52"/>
      <c r="H1290" s="52" t="str">
        <f>IF(A1290="","",VLOOKUP(A1290,'6.A'!$A$11:$E$7984,5,FALSE))</f>
        <v/>
      </c>
      <c r="I1290" s="52" t="str">
        <f t="shared" si="565"/>
        <v/>
      </c>
      <c r="J1290" s="52" t="str">
        <f>IF(H1290="","",VLOOKUP(A1290,'6.A'!$A$11:$E$564,4,FALSE))</f>
        <v/>
      </c>
      <c r="K1290" s="52" t="str">
        <f t="shared" si="566"/>
        <v/>
      </c>
      <c r="L1290" s="52" t="str">
        <f>IF(H1290="","",IF(C1290="","",G1260*C1290))</f>
        <v/>
      </c>
      <c r="M1290" s="117" t="str">
        <f>IF(A1290="","",VLOOKUP(A1290,'6.A'!$A$11:$C$564,2,FALSE))</f>
        <v/>
      </c>
      <c r="N1290" s="57" t="str">
        <f t="shared" si="567"/>
        <v/>
      </c>
      <c r="O1290" s="56"/>
      <c r="P1290" s="56"/>
      <c r="Q1290" s="48"/>
      <c r="R1290" s="48"/>
      <c r="S1290" s="2"/>
    </row>
    <row r="1291" spans="1:22" ht="12.75" customHeight="1" x14ac:dyDescent="0.2">
      <c r="A1291" s="22"/>
      <c r="B1291" s="23" t="str">
        <f>IF(A1291="","",VLOOKUP(A1291,'6.A'!$A$11:$G$180,2,FALSE))</f>
        <v/>
      </c>
      <c r="C1291" s="99"/>
      <c r="D1291" s="57" t="str">
        <f>IF(A1291="","",VLOOKUP(A1291,'6.A'!$A$11:$G$180,4,FALSE))</f>
        <v/>
      </c>
      <c r="E1291" s="100" t="str">
        <f>IF(A1291="","",VLOOKUP(A1291,'6.A'!$A$11:$G$180,5,FALSE))</f>
        <v/>
      </c>
      <c r="F1291" s="24" t="str">
        <f t="shared" si="564"/>
        <v>0,00</v>
      </c>
      <c r="G1291" s="52"/>
      <c r="H1291" s="52" t="str">
        <f>IF(A1291="","",VLOOKUP(A1291,'6.A'!$A$11:$E$7984,5,FALSE))</f>
        <v/>
      </c>
      <c r="I1291" s="52" t="str">
        <f t="shared" si="565"/>
        <v/>
      </c>
      <c r="J1291" s="52" t="str">
        <f>IF(H1291="","",VLOOKUP(A1291,'6.A'!$A$11:$E$564,4,FALSE))</f>
        <v/>
      </c>
      <c r="K1291" s="52" t="str">
        <f t="shared" si="566"/>
        <v/>
      </c>
      <c r="L1291" s="52" t="str">
        <f>IF(H1291="","",IF(C1291="","",G1260*C1291))</f>
        <v/>
      </c>
      <c r="M1291" s="117" t="str">
        <f>IF(A1291="","",VLOOKUP(A1291,'6.A'!$A$11:$C$564,2,FALSE))</f>
        <v/>
      </c>
      <c r="N1291" s="57" t="str">
        <f t="shared" si="567"/>
        <v/>
      </c>
      <c r="O1291" s="56"/>
      <c r="P1291" s="56"/>
      <c r="Q1291" s="48"/>
      <c r="R1291" s="48"/>
      <c r="S1291" s="2"/>
    </row>
    <row r="1292" spans="1:22" ht="12.75" customHeight="1" x14ac:dyDescent="0.2">
      <c r="A1292" s="22"/>
      <c r="B1292" s="23" t="str">
        <f>IF(A1292="","",VLOOKUP(A1292,'6.A'!$A$11:$G$180,2,FALSE))</f>
        <v/>
      </c>
      <c r="C1292" s="99"/>
      <c r="D1292" s="57" t="str">
        <f>IF(A1292="","",VLOOKUP(A1292,'6.A'!$A$11:$G$180,4,FALSE))</f>
        <v/>
      </c>
      <c r="E1292" s="100" t="str">
        <f>IF(A1292="","",VLOOKUP(A1292,'6.A'!$A$11:$G$180,5,FALSE))</f>
        <v/>
      </c>
      <c r="F1292" s="24" t="str">
        <f t="shared" si="564"/>
        <v>0,00</v>
      </c>
      <c r="G1292" s="52"/>
      <c r="H1292" s="52" t="str">
        <f>IF(A1292="","",VLOOKUP(A1292,'6.A'!$A$11:$E$7984,5,FALSE))</f>
        <v/>
      </c>
      <c r="I1292" s="52" t="str">
        <f t="shared" si="565"/>
        <v/>
      </c>
      <c r="J1292" s="52" t="str">
        <f>IF(H1292="","",VLOOKUP(A1292,'6.A'!$A$11:$E$564,4,FALSE))</f>
        <v/>
      </c>
      <c r="K1292" s="52" t="str">
        <f t="shared" si="566"/>
        <v/>
      </c>
      <c r="L1292" s="52" t="str">
        <f>IF(H1292="","",IF(C1292="","",G1260*C1292))</f>
        <v/>
      </c>
      <c r="M1292" s="117" t="str">
        <f>IF(A1292="","",VLOOKUP(A1292,'6.A'!$A$11:$C$564,2,FALSE))</f>
        <v/>
      </c>
      <c r="N1292" s="57" t="str">
        <f t="shared" si="567"/>
        <v/>
      </c>
      <c r="O1292" s="56"/>
      <c r="P1292" s="56"/>
      <c r="Q1292" s="48"/>
      <c r="R1292" s="48"/>
      <c r="S1292" s="2"/>
    </row>
    <row r="1293" spans="1:22" ht="12.75" customHeight="1" x14ac:dyDescent="0.2">
      <c r="A1293" s="22"/>
      <c r="B1293" s="23" t="str">
        <f>IF(A1293="","",VLOOKUP(A1293,'6.A'!$A$11:$G$180,2,FALSE))</f>
        <v/>
      </c>
      <c r="C1293" s="99"/>
      <c r="D1293" s="57" t="str">
        <f>IF(A1293="","",VLOOKUP(A1293,'6.A'!$A$11:$G$180,4,FALSE))</f>
        <v/>
      </c>
      <c r="E1293" s="100" t="str">
        <f>IF(A1293="","",VLOOKUP(A1293,'6.A'!$A$11:$G$180,5,FALSE))</f>
        <v/>
      </c>
      <c r="F1293" s="24" t="str">
        <f t="shared" si="564"/>
        <v>0,00</v>
      </c>
      <c r="G1293" s="52"/>
      <c r="H1293" s="52" t="str">
        <f>IF(A1293="","",VLOOKUP(A1293,'6.A'!$A$11:$E$7984,5,FALSE))</f>
        <v/>
      </c>
      <c r="I1293" s="52" t="str">
        <f t="shared" si="565"/>
        <v/>
      </c>
      <c r="J1293" s="52" t="str">
        <f>IF(H1293="","",VLOOKUP(A1293,'6.A'!$A$11:$E$564,4,FALSE))</f>
        <v/>
      </c>
      <c r="K1293" s="52" t="str">
        <f t="shared" si="566"/>
        <v/>
      </c>
      <c r="L1293" s="52" t="str">
        <f>IF(H1293="","",IF(C1293="","",G1260*C1293))</f>
        <v/>
      </c>
      <c r="M1293" s="117" t="str">
        <f>IF(A1293="","",VLOOKUP(A1293,'6.A'!$A$11:$C$564,2,FALSE))</f>
        <v/>
      </c>
      <c r="N1293" s="57" t="str">
        <f t="shared" si="567"/>
        <v/>
      </c>
      <c r="O1293" s="56"/>
      <c r="P1293" s="56"/>
      <c r="Q1293" s="48"/>
      <c r="R1293" s="48"/>
      <c r="S1293" s="2"/>
    </row>
    <row r="1294" spans="1:22" ht="12.75" customHeight="1" x14ac:dyDescent="0.2">
      <c r="A1294" s="22"/>
      <c r="B1294" s="23" t="str">
        <f>IF(A1294="","",VLOOKUP(A1294,'6.A'!$A$11:$G$180,2,FALSE))</f>
        <v/>
      </c>
      <c r="C1294" s="99"/>
      <c r="D1294" s="57" t="str">
        <f>IF(A1294="","",VLOOKUP(A1294,'6.A'!$A$11:$G$180,4,FALSE))</f>
        <v/>
      </c>
      <c r="E1294" s="100" t="str">
        <f>IF(A1294="","",VLOOKUP(A1294,'6.A'!$A$11:$G$180,5,FALSE))</f>
        <v/>
      </c>
      <c r="F1294" s="24" t="str">
        <f t="shared" si="564"/>
        <v>0,00</v>
      </c>
      <c r="G1294" s="52"/>
      <c r="H1294" s="52" t="str">
        <f>IF(A1294="","",VLOOKUP(A1294,'6.A'!$A$11:$E$7984,5,FALSE))</f>
        <v/>
      </c>
      <c r="I1294" s="52" t="str">
        <f t="shared" si="565"/>
        <v/>
      </c>
      <c r="J1294" s="52" t="str">
        <f>IF(H1294="","",VLOOKUP(A1294,'6.A'!$A$11:$E$564,4,FALSE))</f>
        <v/>
      </c>
      <c r="K1294" s="52" t="str">
        <f t="shared" si="566"/>
        <v/>
      </c>
      <c r="L1294" s="52" t="str">
        <f>IF(H1294="","",IF(C1294="","",G1260*C1294))</f>
        <v/>
      </c>
      <c r="M1294" s="117" t="str">
        <f>IF(A1294="","",VLOOKUP(A1294,'6.A'!$A$11:$C$564,2,FALSE))</f>
        <v/>
      </c>
      <c r="N1294" s="57" t="str">
        <f t="shared" si="567"/>
        <v/>
      </c>
      <c r="O1294" s="56"/>
      <c r="P1294" s="56"/>
      <c r="Q1294" s="48"/>
      <c r="R1294" s="48"/>
      <c r="S1294" s="2"/>
    </row>
    <row r="1295" spans="1:22" ht="12.75" customHeight="1" x14ac:dyDescent="0.2">
      <c r="A1295" s="22"/>
      <c r="B1295" s="23" t="str">
        <f>IF(A1295="","",VLOOKUP(A1295,'6.A'!$A$11:$G$180,2,FALSE))</f>
        <v/>
      </c>
      <c r="C1295" s="99"/>
      <c r="D1295" s="57" t="str">
        <f>IF(A1295="","",VLOOKUP(A1295,'6.A'!$A$11:$G$180,4,FALSE))</f>
        <v/>
      </c>
      <c r="E1295" s="100" t="str">
        <f>IF(A1295="","",VLOOKUP(A1295,'6.A'!$A$11:$G$180,5,FALSE))</f>
        <v/>
      </c>
      <c r="F1295" s="24" t="str">
        <f t="shared" si="564"/>
        <v>0,00</v>
      </c>
      <c r="G1295" s="52"/>
      <c r="H1295" s="52" t="str">
        <f>IF(A1295="","",VLOOKUP(A1295,'6.A'!$A$11:$E$7984,5,FALSE))</f>
        <v/>
      </c>
      <c r="I1295" s="52" t="str">
        <f t="shared" si="565"/>
        <v/>
      </c>
      <c r="J1295" s="52" t="str">
        <f>IF(H1295="","",VLOOKUP(A1295,'6.A'!$A$11:$E$564,4,FALSE))</f>
        <v/>
      </c>
      <c r="K1295" s="52" t="str">
        <f t="shared" si="566"/>
        <v/>
      </c>
      <c r="L1295" s="52" t="str">
        <f>IF(H1295="","",IF(C1295="","",G1260*C1295))</f>
        <v/>
      </c>
      <c r="M1295" s="117" t="str">
        <f>IF(A1295="","",VLOOKUP(A1295,'6.A'!$A$11:$C$564,2,FALSE))</f>
        <v/>
      </c>
      <c r="N1295" s="57" t="str">
        <f t="shared" si="567"/>
        <v/>
      </c>
      <c r="O1295" s="56"/>
      <c r="P1295" s="56"/>
      <c r="Q1295" s="48"/>
      <c r="R1295" s="48"/>
      <c r="S1295" s="2"/>
    </row>
    <row r="1296" spans="1:22" s="65" customFormat="1" ht="12.75" customHeight="1" x14ac:dyDescent="0.2">
      <c r="A1296" s="22"/>
      <c r="B1296" s="23" t="str">
        <f>IF(A1296="","",VLOOKUP(A1296,'6.A'!$A$11:$G$180,2,FALSE))</f>
        <v/>
      </c>
      <c r="C1296" s="99"/>
      <c r="D1296" s="57" t="str">
        <f>IF(A1296="","",VLOOKUP(A1296,'6.A'!$A$11:$G$180,4,FALSE))</f>
        <v/>
      </c>
      <c r="E1296" s="100" t="str">
        <f>IF(A1296="","",VLOOKUP(A1296,'6.A'!$A$11:$G$180,5,FALSE))</f>
        <v/>
      </c>
      <c r="F1296" s="24" t="str">
        <f t="shared" si="564"/>
        <v>0,00</v>
      </c>
      <c r="G1296" s="52"/>
      <c r="H1296" s="52" t="str">
        <f>IF(A1296="","",VLOOKUP(A1296,'6.A'!$A$11:$E$7984,5,FALSE))</f>
        <v/>
      </c>
      <c r="I1296" s="52" t="str">
        <f t="shared" si="565"/>
        <v/>
      </c>
      <c r="J1296" s="52" t="str">
        <f>IF(H1296="","",VLOOKUP(A1296,'6.A'!$A$11:$E$564,4,FALSE))</f>
        <v/>
      </c>
      <c r="K1296" s="52" t="str">
        <f t="shared" si="566"/>
        <v/>
      </c>
      <c r="L1296" s="52" t="str">
        <f>IF(H1296="","",IF(C1296="","",G1260*C1296))</f>
        <v/>
      </c>
      <c r="M1296" s="117" t="str">
        <f>IF(A1296="","",VLOOKUP(A1296,'6.A'!$A$11:$C$564,2,FALSE))</f>
        <v/>
      </c>
      <c r="N1296" s="57" t="str">
        <f t="shared" si="567"/>
        <v/>
      </c>
      <c r="O1296" s="56"/>
      <c r="P1296" s="56"/>
      <c r="Q1296" s="48"/>
      <c r="R1296" s="48"/>
      <c r="T1296" s="2"/>
      <c r="U1296" s="2"/>
      <c r="V1296" s="2"/>
    </row>
    <row r="1297" spans="1:23" s="65" customFormat="1" ht="12.75" customHeight="1" x14ac:dyDescent="0.2">
      <c r="A1297" s="22"/>
      <c r="B1297" s="23" t="str">
        <f>IF(A1297="","",VLOOKUP(A1297,'6.A'!$A$11:$G$180,2,FALSE))</f>
        <v/>
      </c>
      <c r="C1297" s="99"/>
      <c r="D1297" s="57" t="str">
        <f>IF(A1297="","",VLOOKUP(A1297,'6.A'!$A$11:$G$180,4,FALSE))</f>
        <v/>
      </c>
      <c r="E1297" s="100" t="str">
        <f>IF(A1297="","",VLOOKUP(A1297,'6.A'!$A$11:$G$180,5,FALSE))</f>
        <v/>
      </c>
      <c r="F1297" s="24" t="str">
        <f t="shared" si="564"/>
        <v>0,00</v>
      </c>
      <c r="G1297" s="52"/>
      <c r="H1297" s="52" t="str">
        <f>IF(A1297="","",VLOOKUP(A1297,'6.A'!$A$11:$E$7984,5,FALSE))</f>
        <v/>
      </c>
      <c r="I1297" s="52" t="str">
        <f t="shared" si="565"/>
        <v/>
      </c>
      <c r="J1297" s="52" t="str">
        <f>IF(H1297="","",VLOOKUP(A1297,'6.A'!$A$11:$E$564,4,FALSE))</f>
        <v/>
      </c>
      <c r="K1297" s="52" t="str">
        <f t="shared" si="566"/>
        <v/>
      </c>
      <c r="L1297" s="52" t="str">
        <f>IF(H1297="","",IF(C1297="","",G1260*C1297))</f>
        <v/>
      </c>
      <c r="M1297" s="117" t="str">
        <f>IF(A1297="","",VLOOKUP(A1297,'6.A'!$A$11:$C$564,2,FALSE))</f>
        <v/>
      </c>
      <c r="N1297" s="57" t="str">
        <f t="shared" si="567"/>
        <v/>
      </c>
      <c r="O1297" s="56"/>
      <c r="P1297" s="56"/>
      <c r="Q1297" s="48"/>
      <c r="R1297" s="48"/>
      <c r="T1297" s="2"/>
      <c r="U1297" s="2"/>
      <c r="V1297" s="2"/>
    </row>
    <row r="1298" spans="1:23" s="65" customFormat="1" ht="12.75" customHeight="1" x14ac:dyDescent="0.2">
      <c r="A1298" s="22"/>
      <c r="B1298" s="23" t="str">
        <f>IF(A1298="","",VLOOKUP(A1298,'6.A'!$A$11:$G$180,2,FALSE))</f>
        <v/>
      </c>
      <c r="C1298" s="99"/>
      <c r="D1298" s="57" t="str">
        <f>IF(A1298="","",VLOOKUP(A1298,'6.A'!$A$11:$G$180,4,FALSE))</f>
        <v/>
      </c>
      <c r="E1298" s="100" t="str">
        <f>IF(A1298="","",VLOOKUP(A1298,'6.A'!$A$11:$G$180,5,FALSE))</f>
        <v/>
      </c>
      <c r="F1298" s="24" t="str">
        <f t="shared" si="564"/>
        <v>0,00</v>
      </c>
      <c r="G1298" s="52"/>
      <c r="H1298" s="52" t="str">
        <f>IF(A1298="","",VLOOKUP(A1298,'6.A'!$A$11:$E$7984,5,FALSE))</f>
        <v/>
      </c>
      <c r="I1298" s="52" t="str">
        <f t="shared" si="565"/>
        <v/>
      </c>
      <c r="J1298" s="52" t="str">
        <f>IF(H1298="","",VLOOKUP(A1298,'6.A'!$A$11:$E$564,4,FALSE))</f>
        <v/>
      </c>
      <c r="K1298" s="52" t="str">
        <f t="shared" si="566"/>
        <v/>
      </c>
      <c r="L1298" s="52" t="str">
        <f>IF(H1298="","",IF(C1298="","",G1260*C1298))</f>
        <v/>
      </c>
      <c r="M1298" s="117" t="str">
        <f>IF(A1298="","",VLOOKUP(A1298,'6.A'!$A$11:$C$564,2,FALSE))</f>
        <v/>
      </c>
      <c r="N1298" s="57" t="str">
        <f t="shared" si="567"/>
        <v/>
      </c>
      <c r="O1298" s="56"/>
      <c r="P1298" s="56"/>
      <c r="Q1298" s="48"/>
      <c r="R1298" s="48"/>
      <c r="T1298" s="2"/>
      <c r="U1298" s="2"/>
      <c r="V1298" s="2"/>
    </row>
    <row r="1299" spans="1:23" s="65" customFormat="1" ht="12.75" customHeight="1" x14ac:dyDescent="0.2">
      <c r="A1299" s="22"/>
      <c r="B1299" s="23" t="str">
        <f>IF(A1299="","",VLOOKUP(A1299,'6.A'!$A$11:$G$180,2,FALSE))</f>
        <v/>
      </c>
      <c r="C1299" s="99"/>
      <c r="D1299" s="57" t="str">
        <f>IF(A1299="","",VLOOKUP(A1299,'6.A'!$A$11:$G$180,4,FALSE))</f>
        <v/>
      </c>
      <c r="E1299" s="100" t="str">
        <f>IF(A1299="","",VLOOKUP(A1299,'6.A'!$A$11:$G$180,5,FALSE))</f>
        <v/>
      </c>
      <c r="F1299" s="24" t="str">
        <f t="shared" si="564"/>
        <v>0,00</v>
      </c>
      <c r="G1299" s="52"/>
      <c r="H1299" s="52" t="str">
        <f>IF(A1299="","",VLOOKUP(A1299,'6.A'!$A$11:$E$7984,5,FALSE))</f>
        <v/>
      </c>
      <c r="I1299" s="52" t="str">
        <f t="shared" si="565"/>
        <v/>
      </c>
      <c r="J1299" s="52" t="str">
        <f>IF(H1299="","",VLOOKUP(A1299,'6.A'!$A$11:$E$564,4,FALSE))</f>
        <v/>
      </c>
      <c r="K1299" s="52" t="str">
        <f t="shared" si="566"/>
        <v/>
      </c>
      <c r="L1299" s="52" t="str">
        <f>IF(H1299="","",IF(C1299="","",G1260*C1299))</f>
        <v/>
      </c>
      <c r="M1299" s="117" t="str">
        <f>IF(A1299="","",VLOOKUP(A1299,'6.A'!$A$11:$C$564,2,FALSE))</f>
        <v/>
      </c>
      <c r="N1299" s="57" t="str">
        <f t="shared" si="567"/>
        <v/>
      </c>
      <c r="O1299" s="56"/>
      <c r="P1299" s="56"/>
      <c r="Q1299" s="48"/>
      <c r="R1299" s="48"/>
      <c r="T1299" s="2"/>
      <c r="U1299" s="2"/>
      <c r="V1299" s="2"/>
    </row>
    <row r="1300" spans="1:23" ht="12.75" customHeight="1" x14ac:dyDescent="0.2">
      <c r="A1300" s="22"/>
      <c r="B1300" s="23" t="str">
        <f>IF(A1300="","",VLOOKUP(A1300,'6.A'!$A$11:$G$180,2,FALSE))</f>
        <v/>
      </c>
      <c r="C1300" s="99"/>
      <c r="D1300" s="57" t="str">
        <f>IF(A1300="","",VLOOKUP(A1300,'6.A'!$A$11:$G$180,4,FALSE))</f>
        <v/>
      </c>
      <c r="E1300" s="100" t="str">
        <f>IF(A1300="","",VLOOKUP(A1300,'6.A'!$A$11:$G$180,5,FALSE))</f>
        <v/>
      </c>
      <c r="F1300" s="24" t="str">
        <f t="shared" si="564"/>
        <v>0,00</v>
      </c>
      <c r="G1300" s="52"/>
      <c r="H1300" s="52" t="str">
        <f>IF(A1300="","",VLOOKUP(A1300,'6.A'!$A$11:$E$7984,5,FALSE))</f>
        <v/>
      </c>
      <c r="I1300" s="52" t="str">
        <f t="shared" si="565"/>
        <v/>
      </c>
      <c r="J1300" s="52" t="str">
        <f>IF(H1300="","",VLOOKUP(A1300,'6.A'!$A$11:$E$564,4,FALSE))</f>
        <v/>
      </c>
      <c r="K1300" s="52" t="str">
        <f t="shared" si="566"/>
        <v/>
      </c>
      <c r="L1300" s="52" t="str">
        <f>IF(H1300="","",IF(C1300="","",G1260*C1300))</f>
        <v/>
      </c>
      <c r="M1300" s="117" t="str">
        <f>IF(A1300="","",VLOOKUP(A1300,'6.A'!$A$11:$C$564,2,FALSE))</f>
        <v/>
      </c>
      <c r="N1300" s="57" t="str">
        <f t="shared" si="567"/>
        <v/>
      </c>
      <c r="O1300" s="56"/>
      <c r="P1300" s="56"/>
      <c r="Q1300" s="48"/>
      <c r="R1300" s="48"/>
    </row>
    <row r="1301" spans="1:23" ht="12.75" customHeight="1" x14ac:dyDescent="0.2">
      <c r="A1301" s="22"/>
      <c r="B1301" s="23" t="str">
        <f>IF(A1301="","",VLOOKUP(A1301,'6.A'!$A$11:$G$180,2,FALSE))</f>
        <v/>
      </c>
      <c r="C1301" s="99"/>
      <c r="D1301" s="57" t="str">
        <f>IF(A1301="","",VLOOKUP(A1301,'6.A'!$A$11:$G$180,4,FALSE))</f>
        <v/>
      </c>
      <c r="E1301" s="100" t="str">
        <f>IF(A1301="","",VLOOKUP(A1301,'6.A'!$A$11:$G$180,5,FALSE))</f>
        <v/>
      </c>
      <c r="F1301" s="24" t="str">
        <f t="shared" si="564"/>
        <v>0,00</v>
      </c>
      <c r="G1301" s="52"/>
      <c r="H1301" s="52" t="str">
        <f>IF(A1301="","",VLOOKUP(A1301,'6.A'!$A$11:$E$7984,5,FALSE))</f>
        <v/>
      </c>
      <c r="I1301" s="52" t="str">
        <f t="shared" si="565"/>
        <v/>
      </c>
      <c r="J1301" s="52" t="str">
        <f>IF(H1301="","",VLOOKUP(A1301,'6.A'!$A$11:$E$564,4,FALSE))</f>
        <v/>
      </c>
      <c r="K1301" s="52" t="str">
        <f t="shared" si="566"/>
        <v/>
      </c>
      <c r="L1301" s="52" t="str">
        <f>IF(H1301="","",IF(C1301="","",G1260*C1301))</f>
        <v/>
      </c>
      <c r="M1301" s="117" t="str">
        <f>IF(A1301="","",VLOOKUP(A1301,'6.A'!$A$11:$C$564,2,FALSE))</f>
        <v/>
      </c>
      <c r="N1301" s="57" t="str">
        <f t="shared" si="567"/>
        <v/>
      </c>
      <c r="O1301" s="56"/>
      <c r="P1301" s="56"/>
      <c r="Q1301" s="48"/>
      <c r="R1301" s="48"/>
    </row>
    <row r="1302" spans="1:23" ht="12.75" customHeight="1" x14ac:dyDescent="0.2">
      <c r="A1302" s="22"/>
      <c r="B1302" s="23" t="str">
        <f>IF(A1302="","",VLOOKUP(A1302,'6.A'!$A$11:$G$180,2,FALSE))</f>
        <v/>
      </c>
      <c r="C1302" s="99"/>
      <c r="D1302" s="57" t="str">
        <f>IF(A1302="","",VLOOKUP(A1302,'6.A'!$A$11:$G$180,4,FALSE))</f>
        <v/>
      </c>
      <c r="E1302" s="100" t="str">
        <f>IF(A1302="","",VLOOKUP(A1302,'6.A'!$A$11:$G$180,5,FALSE))</f>
        <v/>
      </c>
      <c r="F1302" s="24" t="str">
        <f t="shared" si="564"/>
        <v>0,00</v>
      </c>
      <c r="G1302" s="52"/>
      <c r="H1302" s="52" t="str">
        <f>IF(A1302="","",VLOOKUP(A1302,'6.A'!$A$11:$E$7984,5,FALSE))</f>
        <v/>
      </c>
      <c r="I1302" s="52" t="str">
        <f t="shared" si="565"/>
        <v/>
      </c>
      <c r="J1302" s="52" t="str">
        <f>IF(H1302="","",VLOOKUP(A1302,'6.A'!$A$11:$E$564,4,FALSE))</f>
        <v/>
      </c>
      <c r="K1302" s="52" t="str">
        <f t="shared" si="566"/>
        <v/>
      </c>
      <c r="L1302" s="52" t="str">
        <f>IF(H1302="","",IF(C1302="","",G1260*C1302))</f>
        <v/>
      </c>
      <c r="M1302" s="117" t="str">
        <f>IF(A1302="","",VLOOKUP(A1302,'6.A'!$A$11:$C$564,2,FALSE))</f>
        <v/>
      </c>
      <c r="N1302" s="57" t="str">
        <f t="shared" si="567"/>
        <v/>
      </c>
      <c r="O1302" s="56"/>
      <c r="P1302" s="56"/>
      <c r="Q1302" s="48"/>
      <c r="R1302" s="48"/>
    </row>
    <row r="1303" spans="1:23" ht="12.75" customHeight="1" x14ac:dyDescent="0.2">
      <c r="A1303" s="22"/>
      <c r="B1303" s="23" t="str">
        <f>IF(A1303="","",VLOOKUP(A1303,'6.A'!$A$11:$G$180,2,FALSE))</f>
        <v/>
      </c>
      <c r="C1303" s="99"/>
      <c r="D1303" s="57" t="str">
        <f>IF(A1303="","",VLOOKUP(A1303,'6.A'!$A$11:$G$180,4,FALSE))</f>
        <v/>
      </c>
      <c r="E1303" s="100" t="str">
        <f>IF(A1303="","",VLOOKUP(A1303,'6.A'!$A$11:$G$180,5,FALSE))</f>
        <v/>
      </c>
      <c r="F1303" s="24" t="str">
        <f t="shared" si="564"/>
        <v>0,00</v>
      </c>
      <c r="G1303" s="52"/>
      <c r="H1303" s="52" t="str">
        <f>IF(A1303="","",VLOOKUP(A1303,'6.A'!$A$11:$E$7984,5,FALSE))</f>
        <v/>
      </c>
      <c r="I1303" s="52" t="str">
        <f t="shared" si="565"/>
        <v/>
      </c>
      <c r="J1303" s="52" t="str">
        <f>IF(H1303="","",VLOOKUP(A1303,'6.A'!$A$11:$E$564,4,FALSE))</f>
        <v/>
      </c>
      <c r="K1303" s="52" t="str">
        <f t="shared" si="566"/>
        <v/>
      </c>
      <c r="L1303" s="52" t="str">
        <f>IF(H1303="","",IF(C1303="","",G1260*C1303))</f>
        <v/>
      </c>
      <c r="M1303" s="117" t="str">
        <f>IF(A1303="","",VLOOKUP(A1303,'6.A'!$A$11:$C$564,2,FALSE))</f>
        <v/>
      </c>
      <c r="N1303" s="57" t="str">
        <f t="shared" si="567"/>
        <v/>
      </c>
      <c r="O1303" s="56"/>
      <c r="P1303" s="56"/>
      <c r="Q1303" s="48"/>
      <c r="R1303" s="48"/>
    </row>
    <row r="1304" spans="1:23" ht="12.75" customHeight="1" x14ac:dyDescent="0.2">
      <c r="A1304" s="22"/>
      <c r="B1304" s="23" t="str">
        <f>IF(A1304="","",VLOOKUP(A1304,'6.A'!$A$11:$G$180,2,FALSE))</f>
        <v/>
      </c>
      <c r="C1304" s="99"/>
      <c r="D1304" s="57" t="str">
        <f>IF(A1304="","",VLOOKUP(A1304,'6.A'!$A$11:$G$180,4,FALSE))</f>
        <v/>
      </c>
      <c r="E1304" s="100" t="str">
        <f>IF(A1304="","",VLOOKUP(A1304,'6.A'!$A$11:$G$180,5,FALSE))</f>
        <v/>
      </c>
      <c r="F1304" s="24" t="str">
        <f t="shared" si="564"/>
        <v>0,00</v>
      </c>
      <c r="G1304" s="52"/>
      <c r="H1304" s="52" t="str">
        <f>IF(A1304="","",VLOOKUP(A1304,'6.A'!$A$11:$E$7984,5,FALSE))</f>
        <v/>
      </c>
      <c r="I1304" s="52" t="str">
        <f t="shared" si="565"/>
        <v/>
      </c>
      <c r="J1304" s="52" t="str">
        <f>IF(H1304="","",VLOOKUP(A1304,'6.A'!$A$11:$E$564,4,FALSE))</f>
        <v/>
      </c>
      <c r="K1304" s="52" t="str">
        <f t="shared" si="566"/>
        <v/>
      </c>
      <c r="L1304" s="52" t="str">
        <f>IF(H1304="","",IF(C1304="","",G1260*C1304))</f>
        <v/>
      </c>
      <c r="M1304" s="117" t="str">
        <f>IF(A1304="","",VLOOKUP(A1304,'6.A'!$A$11:$C$564,2,FALSE))</f>
        <v/>
      </c>
      <c r="N1304" s="57" t="str">
        <f t="shared" si="567"/>
        <v/>
      </c>
      <c r="O1304" s="56"/>
      <c r="P1304" s="56"/>
      <c r="Q1304" s="48"/>
      <c r="R1304" s="48"/>
    </row>
    <row r="1305" spans="1:23" ht="12.75" customHeight="1" x14ac:dyDescent="0.2">
      <c r="A1305" s="22"/>
      <c r="B1305" s="23" t="str">
        <f>IF(A1305="","",VLOOKUP(A1305,'6.A'!$A$11:$G$180,2,FALSE))</f>
        <v/>
      </c>
      <c r="C1305" s="99"/>
      <c r="D1305" s="57" t="str">
        <f>IF(A1305="","",VLOOKUP(A1305,'6.A'!$A$11:$G$180,4,FALSE))</f>
        <v/>
      </c>
      <c r="E1305" s="100" t="str">
        <f>IF(A1305="","",VLOOKUP(A1305,'6.A'!$A$11:$G$180,5,FALSE))</f>
        <v/>
      </c>
      <c r="F1305" s="24" t="str">
        <f t="shared" si="564"/>
        <v>0,00</v>
      </c>
      <c r="G1305" s="52"/>
      <c r="H1305" s="52" t="str">
        <f>IF(A1305="","",VLOOKUP(A1305,'6.A'!$A$11:$E$7984,5,FALSE))</f>
        <v/>
      </c>
      <c r="I1305" s="52" t="str">
        <f t="shared" si="565"/>
        <v/>
      </c>
      <c r="J1305" s="52" t="str">
        <f>IF(H1305="","",VLOOKUP(A1305,'6.A'!$A$11:$E$564,4,FALSE))</f>
        <v/>
      </c>
      <c r="K1305" s="52" t="str">
        <f t="shared" si="566"/>
        <v/>
      </c>
      <c r="L1305" s="52" t="str">
        <f>IF(H1305="","",IF(C1305="","",G1260*C1305))</f>
        <v/>
      </c>
      <c r="M1305" s="117" t="str">
        <f>IF(A1305="","",VLOOKUP(A1305,'6.A'!$A$11:$C$564,2,FALSE))</f>
        <v/>
      </c>
      <c r="N1305" s="57" t="str">
        <f t="shared" si="567"/>
        <v/>
      </c>
      <c r="O1305" s="56"/>
      <c r="P1305" s="56"/>
      <c r="Q1305" s="48"/>
      <c r="R1305" s="48"/>
    </row>
    <row r="1306" spans="1:23" ht="12.75" customHeight="1" x14ac:dyDescent="0.2">
      <c r="A1306" s="22"/>
      <c r="B1306" s="39" t="str">
        <f>IF(A1306="","",VLOOKUP(A1306,'6.A'!$A$11:$G$180,2,FALSE))</f>
        <v/>
      </c>
      <c r="C1306" s="99"/>
      <c r="D1306" s="57" t="str">
        <f>IF(A1306="","",VLOOKUP(A1306,'6.A'!$A$11:$G$180,4,FALSE))</f>
        <v/>
      </c>
      <c r="E1306" s="100" t="str">
        <f>IF(A1306="","",VLOOKUP(A1306,'6.A'!$A$11:$G$180,5,FALSE))</f>
        <v/>
      </c>
      <c r="F1306" s="24" t="str">
        <f t="shared" si="564"/>
        <v>0,00</v>
      </c>
      <c r="G1306" s="52"/>
      <c r="H1306" s="52" t="str">
        <f>IF(A1306="","",VLOOKUP(A1306,'6.A'!$A$11:$E$7984,5,FALSE))</f>
        <v/>
      </c>
      <c r="I1306" s="52" t="str">
        <f t="shared" si="565"/>
        <v/>
      </c>
      <c r="J1306" s="52" t="str">
        <f>IF(H1306="","",VLOOKUP(A1306,'6.A'!$A$11:$E$564,4,FALSE))</f>
        <v/>
      </c>
      <c r="K1306" s="52" t="str">
        <f t="shared" si="566"/>
        <v/>
      </c>
      <c r="L1306" s="52" t="str">
        <f>IF(H1306="","",IF(C1306="","",G1260*C1306))</f>
        <v/>
      </c>
      <c r="M1306" s="117" t="str">
        <f>IF(A1306="","",VLOOKUP(A1306,'6.A'!$A$11:$C$564,2,FALSE))</f>
        <v/>
      </c>
      <c r="N1306" s="57" t="str">
        <f t="shared" si="567"/>
        <v/>
      </c>
      <c r="O1306" s="56"/>
      <c r="P1306" s="56"/>
      <c r="Q1306" s="48"/>
      <c r="R1306" s="48"/>
    </row>
    <row r="1307" spans="1:23" ht="12.75" customHeight="1" x14ac:dyDescent="0.2">
      <c r="A1307" s="22"/>
      <c r="B1307" s="39" t="str">
        <f>IF(A1307="","",VLOOKUP(A1307,'6.A'!$A$11:$G$180,2,FALSE))</f>
        <v/>
      </c>
      <c r="C1307" s="99"/>
      <c r="D1307" s="57" t="str">
        <f>IF(A1307="","",VLOOKUP(A1307,'6.A'!$A$11:$G$180,4,FALSE))</f>
        <v/>
      </c>
      <c r="E1307" s="100" t="str">
        <f>IF(A1307="","",VLOOKUP(A1307,'6.A'!$A$11:$G$180,5,FALSE))</f>
        <v/>
      </c>
      <c r="F1307" s="24" t="str">
        <f t="shared" si="564"/>
        <v>0,00</v>
      </c>
      <c r="G1307" s="52"/>
      <c r="H1307" s="52" t="str">
        <f>IF(A1307="","",VLOOKUP(A1307,'6.A'!$A$11:$E$7984,5,FALSE))</f>
        <v/>
      </c>
      <c r="I1307" s="52" t="str">
        <f t="shared" si="565"/>
        <v/>
      </c>
      <c r="J1307" s="52" t="str">
        <f>IF(H1307="","",VLOOKUP(A1307,'6.A'!$A$11:$E$564,4,FALSE))</f>
        <v/>
      </c>
      <c r="K1307" s="52" t="str">
        <f t="shared" si="566"/>
        <v/>
      </c>
      <c r="L1307" s="52" t="str">
        <f>IF(H1307="","",IF(C1307="","",G1260*C1307))</f>
        <v/>
      </c>
      <c r="M1307" s="117" t="str">
        <f>IF(A1307="","",VLOOKUP(A1307,'6.A'!$A$11:$C$564,2,FALSE))</f>
        <v/>
      </c>
      <c r="N1307" s="57" t="str">
        <f t="shared" si="567"/>
        <v/>
      </c>
      <c r="O1307" s="56"/>
      <c r="P1307" s="56"/>
      <c r="Q1307" s="48"/>
      <c r="R1307" s="48"/>
    </row>
    <row r="1308" spans="1:23" ht="12.75" customHeight="1" x14ac:dyDescent="0.2">
      <c r="A1308" s="22"/>
      <c r="B1308" s="39" t="str">
        <f>IF(A1308="","",VLOOKUP(A1308,'6.A'!$A$11:$G$180,2,FALSE))</f>
        <v/>
      </c>
      <c r="C1308" s="99"/>
      <c r="D1308" s="57" t="str">
        <f>IF(A1308="","",VLOOKUP(A1308,'6.A'!$A$11:$G$180,4,FALSE))</f>
        <v/>
      </c>
      <c r="E1308" s="100" t="str">
        <f>IF(A1308="","",VLOOKUP(A1308,'6.A'!$A$11:$G$180,5,FALSE))</f>
        <v/>
      </c>
      <c r="F1308" s="24" t="str">
        <f t="shared" si="564"/>
        <v>0,00</v>
      </c>
      <c r="G1308" s="52"/>
      <c r="H1308" s="52" t="str">
        <f>IF(A1308="","",VLOOKUP(A1308,'6.A'!$A$11:$E$7984,5,FALSE))</f>
        <v/>
      </c>
      <c r="I1308" s="52" t="str">
        <f t="shared" si="565"/>
        <v/>
      </c>
      <c r="J1308" s="52" t="str">
        <f>IF(H1308="","",VLOOKUP(A1308,'6.A'!$A$11:$E$564,4,FALSE))</f>
        <v/>
      </c>
      <c r="K1308" s="52" t="str">
        <f t="shared" si="566"/>
        <v/>
      </c>
      <c r="L1308" s="52" t="str">
        <f>IF(H1308="","",IF(C1308="","",G1260*C1308))</f>
        <v/>
      </c>
      <c r="M1308" s="117" t="str">
        <f>IF(A1308="","",VLOOKUP(A1308,'6.A'!$A$11:$C$564,2,FALSE))</f>
        <v/>
      </c>
      <c r="N1308" s="57" t="str">
        <f t="shared" si="567"/>
        <v/>
      </c>
      <c r="O1308" s="56"/>
      <c r="P1308" s="56"/>
      <c r="Q1308" s="48"/>
      <c r="R1308" s="48"/>
    </row>
    <row r="1309" spans="1:23" ht="12.75" customHeight="1" x14ac:dyDescent="0.2">
      <c r="A1309" s="22"/>
      <c r="B1309" s="26" t="str">
        <f>$A$9</f>
        <v>BDI</v>
      </c>
      <c r="C1309" s="40">
        <f>$C$9</f>
        <v>0</v>
      </c>
      <c r="D1309" s="57"/>
      <c r="F1309" s="28">
        <f>ROUND(SUM(F1289:F1308)*C1309,2)</f>
        <v>0</v>
      </c>
      <c r="G1309" s="63"/>
      <c r="M1309" s="57"/>
      <c r="N1309" s="57"/>
      <c r="O1309" s="56"/>
      <c r="P1309" s="56"/>
      <c r="Q1309" s="48"/>
      <c r="R1309" s="48"/>
    </row>
    <row r="1310" spans="1:23" ht="12.75" customHeight="1" thickBot="1" x14ac:dyDescent="0.25">
      <c r="A1310" s="41"/>
      <c r="B1310" s="42" t="s">
        <v>57</v>
      </c>
      <c r="C1310" s="43"/>
      <c r="D1310" s="44"/>
      <c r="E1310" s="45"/>
      <c r="F1310" s="46">
        <f>ROUND(SUM(F1289:F1309),2)</f>
        <v>0</v>
      </c>
      <c r="G1310" s="63"/>
      <c r="M1310" s="57"/>
      <c r="N1310" s="57"/>
      <c r="O1310" s="56"/>
      <c r="P1310" s="56"/>
      <c r="Q1310" s="48"/>
      <c r="R1310" s="48"/>
    </row>
    <row r="1311" spans="1:23" ht="12" customHeight="1" thickBot="1" x14ac:dyDescent="0.25">
      <c r="A1311" s="8"/>
      <c r="B1311" s="9"/>
      <c r="C1311" s="10"/>
      <c r="D1311" s="57"/>
      <c r="F1311" s="12"/>
      <c r="M1311" s="57"/>
      <c r="N1311" s="57"/>
      <c r="O1311" s="56"/>
      <c r="P1311" s="56"/>
    </row>
    <row r="1312" spans="1:23" ht="50.1" customHeight="1" x14ac:dyDescent="0.2">
      <c r="A1312" s="13" t="str">
        <f>'3.A'!$A$133</f>
        <v>3.2.1</v>
      </c>
      <c r="B1312" s="14" t="str">
        <f>IF(A1312="","",VLOOKUP(A1312,'3.A'!$A$17:$M$279,2,FALSE))</f>
        <v>CABO DE COBRE FLEXÍVEL ISOLADO, 2,5 MM², ANTI-CHAMA 450/750 V, PARA CIRCUITOS TERMINAIS</v>
      </c>
      <c r="C1312" s="413" t="s">
        <v>62</v>
      </c>
      <c r="D1312" s="413"/>
      <c r="E1312" s="15" t="str">
        <f>IF(A1312="","",VLOOKUP(A1312,'3.A'!$A$17:$M$279,3,FALSE))</f>
        <v>M</v>
      </c>
      <c r="F1312" s="16">
        <f>ROUND(F1326+F1339+F1362,2)</f>
        <v>0</v>
      </c>
      <c r="G1312" s="118">
        <f>VLOOKUP(A1312,'3.A'!$A$19:$I$279,4,FALSE)</f>
        <v>36</v>
      </c>
      <c r="H1312" s="47">
        <f>SUM(F1314:F1325)</f>
        <v>0</v>
      </c>
      <c r="I1312" s="47">
        <f>SUM(F1328:F1338)</f>
        <v>0</v>
      </c>
      <c r="J1312" s="47">
        <f>SUM(F1341:F1361)</f>
        <v>0</v>
      </c>
      <c r="K1312" s="47">
        <f>SUM(H1312:J1312)</f>
        <v>0</v>
      </c>
      <c r="L1312" s="47" t="str">
        <f>IF(K1312=F1312,"SIM","NÃO")</f>
        <v>SIM</v>
      </c>
      <c r="M1312" s="58">
        <f>ROUND(SUM(F1314:F1323)*C1324,2)+ROUND(SUM(F1314:F1324)*C1325,2)+ROUND(SUM(F1314:F1323),2)+ROUND(SUM(F1328:F1337)*C1338,2)+ROUND(SUM(F1328:F1337),2)+ROUND(SUM(F1341:F1360)*C1361,2)+ROUND(SUM(F1341:F1360),2)</f>
        <v>0</v>
      </c>
      <c r="N1312" s="50" t="str">
        <f>IF(M1312=F1312,"SIM","NÃO")</f>
        <v>SIM</v>
      </c>
      <c r="O1312" s="51" t="str">
        <f>VLOOKUP(A1312,'3.A'!$A$8:$E$279,3,FALSE)</f>
        <v>M</v>
      </c>
      <c r="P1312" s="51" t="str">
        <f>IF(O1312=E1312,"SIM","NÃO")</f>
        <v>SIM</v>
      </c>
      <c r="Q1312" s="53">
        <f>ROUND(G1312*F1326,2)+ROUND(G1312*F1339,2)+ROUND(G1312*F1362,2)</f>
        <v>0</v>
      </c>
      <c r="R1312" s="59">
        <f>VLOOKUP(A1312,'3.A'!$A$17:$L$279,12,FALSE)</f>
        <v>0</v>
      </c>
      <c r="S1312" s="60" t="str">
        <f>IF(Q1312=R1312,"si","no")</f>
        <v>si</v>
      </c>
      <c r="T1312" s="61">
        <f>SUM(L1314:L1323)+SUM(L1328:L1337)+SUM(L1341:L1360)</f>
        <v>47.188800000000001</v>
      </c>
      <c r="U1312" s="52">
        <f>G1312*C1320+G1312*C1322+G1312*C1315+G1312*C1316+G1312*C1318+G1312*C1321+G1312*C1319+G1312*C1314+G1312*C1317+G1312*C1323+G1312*C1334+G1312*C1328+G1312*C1336+G1312*C1335+G1312*C1333+G1312*C1330+G1312*C1329+G1312*C1331+G1312*C1337+G1312*C1332+G1312*C1341+G1312*C1342+G1312*C1343+G1312*C1351+G1312*C1352+G1312*C1353+G1312*C1354+G1312*C1355+G1312*C1356+G1312*C1357+G1312*C1358+G1312*C1359+G1312*C1360+G1312*C1349+G1312*C1350+G1312*C1344+G1312*C1345+G1312*C1346+G1312*C1347+G1312*C1348</f>
        <v>47.188800000000001</v>
      </c>
      <c r="V1312" s="54" t="str">
        <f>IF(T1312=U1312,"si","no")</f>
        <v>si</v>
      </c>
      <c r="W1312" s="137"/>
    </row>
    <row r="1313" spans="1:19" ht="12.75" customHeight="1" x14ac:dyDescent="0.2">
      <c r="A1313" s="17" t="s">
        <v>3</v>
      </c>
      <c r="B1313" s="18" t="s">
        <v>58</v>
      </c>
      <c r="C1313" s="56" t="s">
        <v>59</v>
      </c>
      <c r="D1313" s="56" t="s">
        <v>16</v>
      </c>
      <c r="E1313" s="19" t="s">
        <v>60</v>
      </c>
      <c r="F1313" s="20" t="s">
        <v>61</v>
      </c>
      <c r="G1313" s="21"/>
      <c r="M1313" s="57"/>
      <c r="N1313" s="57"/>
      <c r="O1313" s="56"/>
      <c r="P1313" s="56"/>
      <c r="Q1313" s="48"/>
      <c r="R1313" s="48"/>
    </row>
    <row r="1314" spans="1:19" ht="12.75" customHeight="1" x14ac:dyDescent="0.2">
      <c r="A1314" s="155">
        <f>'6.A'!$A$18</f>
        <v>88264</v>
      </c>
      <c r="B1314" s="138" t="str">
        <f>IF(A1314="","",VLOOKUP(A1314,'6.A'!$A$11:$G$180,2,FALSE))</f>
        <v>ELETRICISTA COM ENCARGOS COMPLEMENTARES</v>
      </c>
      <c r="C1314" s="156">
        <v>2.9000000000000001E-2</v>
      </c>
      <c r="D1314" s="57" t="str">
        <f>IF(A1314="","",VLOOKUP(A1314,'6.A'!$A$11:$G$180,4,FALSE))</f>
        <v>H</v>
      </c>
      <c r="E1314" s="100">
        <f>IF(A1314="","",VLOOKUP(A1314,'6.A'!$A$11:$G$180,5,FALSE))</f>
        <v>0</v>
      </c>
      <c r="F1314" s="24">
        <f t="shared" ref="F1314:F1323" si="568">IF(A1314="","0,00",ROUND(C1314*E1314,2))</f>
        <v>0</v>
      </c>
      <c r="G1314" s="52"/>
      <c r="H1314" s="52">
        <f>IF(A1314="","",VLOOKUP(A1314,'6.A'!$A$11:$E$7984,5,FALSE))</f>
        <v>0</v>
      </c>
      <c r="I1314" s="52" t="str">
        <f t="shared" ref="I1314:I1323" si="569">IF(H1314="","",IF(E1314=H1314,"SIM","NÃO"))</f>
        <v>SIM</v>
      </c>
      <c r="J1314" s="52" t="str">
        <f>IF(H1314="","",VLOOKUP(A1314,'6.A'!$A$11:$E$564,4,FALSE))</f>
        <v>H</v>
      </c>
      <c r="K1314" s="52" t="str">
        <f t="shared" ref="K1314:K1323" si="570">IF(H1314="","",IF(J1314=D1314,"SIM","NÃO"))</f>
        <v>SIM</v>
      </c>
      <c r="L1314" s="52">
        <f>IF(H1314="","",IF(C1314="","",G1312*C1314))</f>
        <v>1.044</v>
      </c>
      <c r="M1314" s="117" t="str">
        <f>IF(A1314="","",VLOOKUP(A1314,'6.A'!$A$11:$C$564,2,FALSE))</f>
        <v>ELETRICISTA COM ENCARGOS COMPLEMENTARES</v>
      </c>
      <c r="N1314" s="57" t="str">
        <f t="shared" ref="N1314:N1323" si="571">IF(A1314="","",IF(M1314=B1314,"si","no"))</f>
        <v>si</v>
      </c>
      <c r="O1314" s="56"/>
      <c r="P1314" s="56"/>
      <c r="Q1314" s="48"/>
      <c r="R1314" s="48"/>
    </row>
    <row r="1315" spans="1:19" ht="12.75" customHeight="1" x14ac:dyDescent="0.2">
      <c r="A1315" s="155">
        <f>'6.A'!$A$15</f>
        <v>88247</v>
      </c>
      <c r="B1315" s="138" t="str">
        <f>IF(A1315="","",VLOOKUP(A1315,'6.A'!$A$11:$G$180,2,FALSE))</f>
        <v>AUXILIAR DE ELETRICISTA COM ENCARGOS COMPLEMENTARES</v>
      </c>
      <c r="C1315" s="156">
        <v>2.9000000000000001E-2</v>
      </c>
      <c r="D1315" s="57" t="str">
        <f>IF(A1315="","",VLOOKUP(A1315,'6.A'!$A$11:$G$180,4,FALSE))</f>
        <v>H</v>
      </c>
      <c r="E1315" s="100">
        <f>IF(A1315="","",VLOOKUP(A1315,'6.A'!$A$11:$G$180,5,FALSE))</f>
        <v>0</v>
      </c>
      <c r="F1315" s="24">
        <f t="shared" si="568"/>
        <v>0</v>
      </c>
      <c r="G1315" s="52"/>
      <c r="H1315" s="52">
        <f>IF(A1315="","",VLOOKUP(A1315,'6.A'!$A$11:$E$7984,5,FALSE))</f>
        <v>0</v>
      </c>
      <c r="I1315" s="52" t="str">
        <f t="shared" si="569"/>
        <v>SIM</v>
      </c>
      <c r="J1315" s="52" t="str">
        <f>IF(H1315="","",VLOOKUP(A1315,'6.A'!$A$11:$E$564,4,FALSE))</f>
        <v>H</v>
      </c>
      <c r="K1315" s="52" t="str">
        <f t="shared" si="570"/>
        <v>SIM</v>
      </c>
      <c r="L1315" s="52">
        <f>IF(H1315="","",IF(C1315="","",G1312*C1315))</f>
        <v>1.044</v>
      </c>
      <c r="M1315" s="117" t="str">
        <f>IF(A1315="","",VLOOKUP(A1315,'6.A'!$A$11:$C$564,2,FALSE))</f>
        <v>AUXILIAR DE ELETRICISTA COM ENCARGOS COMPLEMENTARES</v>
      </c>
      <c r="N1315" s="57" t="str">
        <f t="shared" si="571"/>
        <v>si</v>
      </c>
      <c r="O1315" s="56"/>
      <c r="P1315" s="56"/>
      <c r="Q1315" s="48"/>
      <c r="R1315" s="48"/>
    </row>
    <row r="1316" spans="1:19" ht="12.75" customHeight="1" x14ac:dyDescent="0.2">
      <c r="A1316" s="155"/>
      <c r="B1316" s="138" t="str">
        <f>IF(A1316="","",VLOOKUP(A1316,'6.A'!$A$11:$G$180,2,FALSE))</f>
        <v/>
      </c>
      <c r="C1316" s="156"/>
      <c r="D1316" s="57" t="str">
        <f>IF(A1316="","",VLOOKUP(A1316,'6.A'!$A$11:$G$180,4,FALSE))</f>
        <v/>
      </c>
      <c r="E1316" s="100" t="str">
        <f>IF(A1316="","",VLOOKUP(A1316,'6.A'!$A$11:$G$180,5,FALSE))</f>
        <v/>
      </c>
      <c r="F1316" s="24" t="str">
        <f t="shared" si="568"/>
        <v>0,00</v>
      </c>
      <c r="G1316" s="52"/>
      <c r="H1316" s="52" t="str">
        <f>IF(A1316="","",VLOOKUP(A1316,'6.A'!$A$11:$E$7984,5,FALSE))</f>
        <v/>
      </c>
      <c r="I1316" s="52" t="str">
        <f t="shared" si="569"/>
        <v/>
      </c>
      <c r="J1316" s="52" t="str">
        <f>IF(H1316="","",VLOOKUP(A1316,'6.A'!$A$11:$E$564,4,FALSE))</f>
        <v/>
      </c>
      <c r="K1316" s="52" t="str">
        <f t="shared" si="570"/>
        <v/>
      </c>
      <c r="L1316" s="52" t="str">
        <f>IF(H1316="","",IF(C1316="","",G1312*C1316))</f>
        <v/>
      </c>
      <c r="M1316" s="117" t="str">
        <f>IF(A1316="","",VLOOKUP(A1316,'6.A'!$A$11:$C$564,2,FALSE))</f>
        <v/>
      </c>
      <c r="N1316" s="57" t="str">
        <f t="shared" si="571"/>
        <v/>
      </c>
      <c r="O1316" s="56"/>
      <c r="P1316" s="56"/>
      <c r="Q1316" s="48"/>
      <c r="R1316" s="48"/>
      <c r="S1316" s="2"/>
    </row>
    <row r="1317" spans="1:19" ht="12.75" customHeight="1" x14ac:dyDescent="0.2">
      <c r="A1317" s="155"/>
      <c r="B1317" s="138" t="str">
        <f>IF(A1317="","",VLOOKUP(A1317,'6.A'!$A$11:$G$180,2,FALSE))</f>
        <v/>
      </c>
      <c r="C1317" s="156"/>
      <c r="D1317" s="57" t="str">
        <f>IF(A1317="","",VLOOKUP(A1317,'6.A'!$A$11:$G$180,4,FALSE))</f>
        <v/>
      </c>
      <c r="E1317" s="100" t="str">
        <f>IF(A1317="","",VLOOKUP(A1317,'6.A'!$A$11:$G$180,5,FALSE))</f>
        <v/>
      </c>
      <c r="F1317" s="24" t="str">
        <f t="shared" si="568"/>
        <v>0,00</v>
      </c>
      <c r="G1317" s="52"/>
      <c r="H1317" s="52" t="str">
        <f>IF(A1317="","",VLOOKUP(A1317,'6.A'!$A$11:$E$7984,5,FALSE))</f>
        <v/>
      </c>
      <c r="I1317" s="52" t="str">
        <f t="shared" si="569"/>
        <v/>
      </c>
      <c r="J1317" s="52" t="str">
        <f>IF(H1317="","",VLOOKUP(A1317,'6.A'!$A$11:$E$564,4,FALSE))</f>
        <v/>
      </c>
      <c r="K1317" s="52" t="str">
        <f t="shared" si="570"/>
        <v/>
      </c>
      <c r="L1317" s="52" t="str">
        <f>IF(H1317="","",IF(C1317="","",G1312*C1317))</f>
        <v/>
      </c>
      <c r="M1317" s="117" t="str">
        <f>IF(A1317="","",VLOOKUP(A1317,'6.A'!$A$11:$C$564,2,FALSE))</f>
        <v/>
      </c>
      <c r="N1317" s="57" t="str">
        <f t="shared" si="571"/>
        <v/>
      </c>
      <c r="O1317" s="56"/>
      <c r="P1317" s="56"/>
      <c r="Q1317" s="48"/>
      <c r="R1317" s="48"/>
      <c r="S1317" s="2"/>
    </row>
    <row r="1318" spans="1:19" ht="12.75" customHeight="1" x14ac:dyDescent="0.2">
      <c r="A1318" s="155"/>
      <c r="B1318" s="138" t="str">
        <f>IF(A1318="","",VLOOKUP(A1318,'6.A'!$A$11:$G$180,2,FALSE))</f>
        <v/>
      </c>
      <c r="C1318" s="156"/>
      <c r="D1318" s="57" t="str">
        <f>IF(A1318="","",VLOOKUP(A1318,'6.A'!$A$11:$G$180,4,FALSE))</f>
        <v/>
      </c>
      <c r="E1318" s="101" t="str">
        <f>IF(A1318="","",VLOOKUP(A1318,'6.A'!$A$11:$G$180,5,FALSE))</f>
        <v/>
      </c>
      <c r="F1318" s="24" t="str">
        <f t="shared" si="568"/>
        <v>0,00</v>
      </c>
      <c r="G1318" s="52"/>
      <c r="H1318" s="52" t="str">
        <f>IF(A1318="","",VLOOKUP(A1318,'6.A'!$A$11:$E$7984,5,FALSE))</f>
        <v/>
      </c>
      <c r="I1318" s="52" t="str">
        <f t="shared" si="569"/>
        <v/>
      </c>
      <c r="J1318" s="52" t="str">
        <f>IF(H1318="","",VLOOKUP(A1318,'6.A'!$A$11:$E$564,4,FALSE))</f>
        <v/>
      </c>
      <c r="K1318" s="52" t="str">
        <f t="shared" si="570"/>
        <v/>
      </c>
      <c r="L1318" s="52" t="str">
        <f>IF(H1318="","",IF(C1318="","",G1312*C1318))</f>
        <v/>
      </c>
      <c r="M1318" s="117" t="str">
        <f>IF(A1318="","",VLOOKUP(A1318,'6.A'!$A$11:$C$564,2,FALSE))</f>
        <v/>
      </c>
      <c r="N1318" s="57" t="str">
        <f t="shared" si="571"/>
        <v/>
      </c>
      <c r="O1318" s="56"/>
      <c r="P1318" s="56"/>
      <c r="Q1318" s="48"/>
      <c r="R1318" s="48"/>
      <c r="S1318" s="2"/>
    </row>
    <row r="1319" spans="1:19" ht="12.75" customHeight="1" x14ac:dyDescent="0.2">
      <c r="A1319" s="155"/>
      <c r="B1319" s="138" t="str">
        <f>IF(A1319="","",VLOOKUP(A1319,'6.A'!$A$11:$G$180,2,FALSE))</f>
        <v/>
      </c>
      <c r="C1319" s="156"/>
      <c r="D1319" s="57" t="str">
        <f>IF(A1319="","",VLOOKUP(A1319,'6.A'!$A$11:$G$180,4,FALSE))</f>
        <v/>
      </c>
      <c r="E1319" s="101" t="str">
        <f>IF(A1319="","",VLOOKUP(A1319,'6.A'!$A$11:$G$180,5,FALSE))</f>
        <v/>
      </c>
      <c r="F1319" s="24" t="str">
        <f t="shared" si="568"/>
        <v>0,00</v>
      </c>
      <c r="G1319" s="52"/>
      <c r="H1319" s="52" t="str">
        <f>IF(A1319="","",VLOOKUP(A1319,'6.A'!$A$11:$E$7984,5,FALSE))</f>
        <v/>
      </c>
      <c r="I1319" s="52" t="str">
        <f t="shared" si="569"/>
        <v/>
      </c>
      <c r="J1319" s="52" t="str">
        <f>IF(H1319="","",VLOOKUP(A1319,'6.A'!$A$11:$E$564,4,FALSE))</f>
        <v/>
      </c>
      <c r="K1319" s="52" t="str">
        <f t="shared" si="570"/>
        <v/>
      </c>
      <c r="L1319" s="52" t="str">
        <f>IF(H1319="","",IF(C1319="","",G1312*C1319))</f>
        <v/>
      </c>
      <c r="M1319" s="117" t="str">
        <f>IF(A1319="","",VLOOKUP(A1319,'6.A'!$A$11:$C$564,2,FALSE))</f>
        <v/>
      </c>
      <c r="N1319" s="57" t="str">
        <f t="shared" si="571"/>
        <v/>
      </c>
      <c r="O1319" s="56"/>
      <c r="P1319" s="56"/>
      <c r="Q1319" s="48"/>
      <c r="R1319" s="48"/>
      <c r="S1319" s="2"/>
    </row>
    <row r="1320" spans="1:19" ht="12.75" customHeight="1" x14ac:dyDescent="0.2">
      <c r="A1320" s="155"/>
      <c r="B1320" s="138" t="str">
        <f>IF(A1320="","",VLOOKUP(A1320,'6.A'!$A$11:$G$180,2,FALSE))</f>
        <v/>
      </c>
      <c r="C1320" s="156"/>
      <c r="D1320" s="57" t="str">
        <f>IF(A1320="","",VLOOKUP(A1320,'6.A'!$A$11:$G$180,4,FALSE))</f>
        <v/>
      </c>
      <c r="E1320" s="100" t="str">
        <f>IF(A1320="","",VLOOKUP(A1320,'6.A'!$A$11:$G$180,5,FALSE))</f>
        <v/>
      </c>
      <c r="F1320" s="24" t="str">
        <f t="shared" si="568"/>
        <v>0,00</v>
      </c>
      <c r="G1320" s="52"/>
      <c r="H1320" s="52" t="str">
        <f>IF(A1320="","",VLOOKUP(A1320,'6.A'!$A$11:$E$7984,5,FALSE))</f>
        <v/>
      </c>
      <c r="I1320" s="52" t="str">
        <f t="shared" si="569"/>
        <v/>
      </c>
      <c r="J1320" s="52" t="str">
        <f>IF(H1320="","",VLOOKUP(A1320,'6.A'!$A$11:$E$564,4,FALSE))</f>
        <v/>
      </c>
      <c r="K1320" s="52" t="str">
        <f t="shared" si="570"/>
        <v/>
      </c>
      <c r="L1320" s="52" t="str">
        <f>IF(H1320="","",IF(C1320="","",G1312*C1320))</f>
        <v/>
      </c>
      <c r="M1320" s="117" t="str">
        <f>IF(A1320="","",VLOOKUP(A1320,'6.A'!$A$11:$C$564,2,FALSE))</f>
        <v/>
      </c>
      <c r="N1320" s="57" t="str">
        <f t="shared" si="571"/>
        <v/>
      </c>
      <c r="O1320" s="56"/>
      <c r="P1320" s="56"/>
      <c r="Q1320" s="48"/>
      <c r="R1320" s="48"/>
      <c r="S1320" s="2"/>
    </row>
    <row r="1321" spans="1:19" ht="12.75" customHeight="1" x14ac:dyDescent="0.2">
      <c r="A1321" s="155"/>
      <c r="B1321" s="138" t="str">
        <f>IF(A1321="","",VLOOKUP(A1321,'6.A'!$A$11:$G$180,2,FALSE))</f>
        <v/>
      </c>
      <c r="C1321" s="156"/>
      <c r="D1321" s="57" t="str">
        <f>IF(A1321="","",VLOOKUP(A1321,'6.A'!$A$11:$G$180,4,FALSE))</f>
        <v/>
      </c>
      <c r="E1321" s="100" t="str">
        <f>IF(A1321="","",VLOOKUP(A1321,'6.A'!$A$11:$G$180,5,FALSE))</f>
        <v/>
      </c>
      <c r="F1321" s="24" t="str">
        <f t="shared" si="568"/>
        <v>0,00</v>
      </c>
      <c r="G1321" s="52"/>
      <c r="H1321" s="52" t="str">
        <f>IF(A1321="","",VLOOKUP(A1321,'6.A'!$A$11:$E$7984,5,FALSE))</f>
        <v/>
      </c>
      <c r="I1321" s="52" t="str">
        <f t="shared" si="569"/>
        <v/>
      </c>
      <c r="J1321" s="52" t="str">
        <f>IF(H1321="","",VLOOKUP(A1321,'6.A'!$A$11:$E$564,4,FALSE))</f>
        <v/>
      </c>
      <c r="K1321" s="52" t="str">
        <f t="shared" si="570"/>
        <v/>
      </c>
      <c r="L1321" s="52" t="str">
        <f>IF(H1321="","",IF(C1321="","",G1312*C1321))</f>
        <v/>
      </c>
      <c r="M1321" s="117" t="str">
        <f>IF(A1321="","",VLOOKUP(A1321,'6.A'!$A$11:$C$564,2,FALSE))</f>
        <v/>
      </c>
      <c r="N1321" s="57" t="str">
        <f t="shared" si="571"/>
        <v/>
      </c>
      <c r="O1321" s="56"/>
      <c r="P1321" s="56"/>
      <c r="Q1321" s="48"/>
      <c r="R1321" s="48"/>
      <c r="S1321" s="2"/>
    </row>
    <row r="1322" spans="1:19" ht="12.75" customHeight="1" x14ac:dyDescent="0.2">
      <c r="A1322" s="155"/>
      <c r="B1322" s="138" t="str">
        <f>IF(A1322="","",VLOOKUP(A1322,'6.A'!$A$11:$G$180,2,FALSE))</f>
        <v/>
      </c>
      <c r="C1322" s="156"/>
      <c r="D1322" s="73" t="str">
        <f>IF(A1322="","",VLOOKUP(A1322,'6.A'!$A$11:$G$180,4,FALSE))</f>
        <v/>
      </c>
      <c r="E1322" s="101" t="str">
        <f>IF(A1322="","",VLOOKUP(A1322,'6.A'!$A$11:$G$180,5,FALSE))</f>
        <v/>
      </c>
      <c r="F1322" s="24" t="str">
        <f t="shared" si="568"/>
        <v>0,00</v>
      </c>
      <c r="G1322" s="52"/>
      <c r="H1322" s="52" t="str">
        <f>IF(A1322="","",VLOOKUP(A1322,'6.A'!$A$11:$E$7984,5,FALSE))</f>
        <v/>
      </c>
      <c r="I1322" s="52" t="str">
        <f t="shared" si="569"/>
        <v/>
      </c>
      <c r="J1322" s="52" t="str">
        <f>IF(H1322="","",VLOOKUP(A1322,'6.A'!$A$11:$E$564,4,FALSE))</f>
        <v/>
      </c>
      <c r="K1322" s="52" t="str">
        <f t="shared" si="570"/>
        <v/>
      </c>
      <c r="L1322" s="52" t="str">
        <f>IF(H1322="","",IF(C1322="","",G1312*C1322))</f>
        <v/>
      </c>
      <c r="M1322" s="117" t="str">
        <f>IF(A1322="","",VLOOKUP(A1322,'6.A'!$A$11:$C$564,2,FALSE))</f>
        <v/>
      </c>
      <c r="N1322" s="57" t="str">
        <f t="shared" si="571"/>
        <v/>
      </c>
      <c r="O1322" s="56"/>
      <c r="P1322" s="56"/>
      <c r="Q1322" s="48"/>
      <c r="R1322" s="48"/>
      <c r="S1322" s="2"/>
    </row>
    <row r="1323" spans="1:19" ht="12.75" customHeight="1" x14ac:dyDescent="0.2">
      <c r="A1323" s="155"/>
      <c r="B1323" s="138" t="str">
        <f>IF(A1323="","",VLOOKUP(A1323,'6.A'!$A$11:$G$180,2,FALSE))</f>
        <v/>
      </c>
      <c r="C1323" s="156"/>
      <c r="D1323" s="25" t="str">
        <f>IF(A1323="","",VLOOKUP(A1323,'6.A'!$A$11:$G$180,4,FALSE))</f>
        <v/>
      </c>
      <c r="E1323" s="101" t="str">
        <f>IF(A1323="","",VLOOKUP(A1323,'6.A'!$A$11:$G$180,5,FALSE))</f>
        <v/>
      </c>
      <c r="F1323" s="24" t="str">
        <f t="shared" si="568"/>
        <v>0,00</v>
      </c>
      <c r="G1323" s="52"/>
      <c r="H1323" s="52" t="str">
        <f>IF(A1323="","",VLOOKUP(A1323,'6.A'!$A$11:$E$7984,5,FALSE))</f>
        <v/>
      </c>
      <c r="I1323" s="52" t="str">
        <f t="shared" si="569"/>
        <v/>
      </c>
      <c r="J1323" s="52" t="str">
        <f>IF(H1323="","",VLOOKUP(A1323,'6.A'!$A$11:$E$564,4,FALSE))</f>
        <v/>
      </c>
      <c r="K1323" s="52" t="str">
        <f t="shared" si="570"/>
        <v/>
      </c>
      <c r="L1323" s="52" t="str">
        <f>IF(H1323="","",IF(C1323="","",G1312*C1323))</f>
        <v/>
      </c>
      <c r="M1323" s="117" t="str">
        <f>IF(A1323="","",VLOOKUP(A1323,'6.A'!$A$11:$C$564,2,FALSE))</f>
        <v/>
      </c>
      <c r="N1323" s="57" t="str">
        <f t="shared" si="571"/>
        <v/>
      </c>
      <c r="O1323" s="56"/>
      <c r="P1323" s="56"/>
      <c r="Q1323" s="48"/>
      <c r="R1323" s="48"/>
      <c r="S1323" s="2"/>
    </row>
    <row r="1324" spans="1:19" ht="12.75" customHeight="1" x14ac:dyDescent="0.2">
      <c r="A1324" s="152"/>
      <c r="B1324" s="26" t="str">
        <f>$A$8</f>
        <v>LEIS SOCIAIS HORISTA - JORNADA NORMAL</v>
      </c>
      <c r="C1324" s="27">
        <f>$C$8</f>
        <v>0</v>
      </c>
      <c r="D1324" s="57"/>
      <c r="F1324" s="28">
        <f>ROUND(SUM(F1314:F1323)*C1324,2)</f>
        <v>0</v>
      </c>
      <c r="G1324" s="63"/>
      <c r="M1324" s="62"/>
      <c r="N1324" s="57"/>
      <c r="O1324" s="56"/>
      <c r="P1324" s="56"/>
      <c r="Q1324" s="48"/>
      <c r="R1324" s="48"/>
      <c r="S1324" s="2"/>
    </row>
    <row r="1325" spans="1:19" ht="12.75" customHeight="1" x14ac:dyDescent="0.2">
      <c r="A1325" s="155"/>
      <c r="B1325" s="26" t="str">
        <f>$A$9</f>
        <v>BDI</v>
      </c>
      <c r="C1325" s="27">
        <f>$C$9</f>
        <v>0</v>
      </c>
      <c r="D1325" s="29"/>
      <c r="F1325" s="28">
        <f>ROUND(SUM(F1314:F1324)*C1325,2)</f>
        <v>0</v>
      </c>
      <c r="G1325" s="63"/>
      <c r="M1325" s="62"/>
      <c r="N1325" s="57"/>
      <c r="O1325" s="56"/>
      <c r="P1325" s="56"/>
      <c r="Q1325" s="48"/>
      <c r="R1325" s="48"/>
      <c r="S1325" s="2"/>
    </row>
    <row r="1326" spans="1:19" ht="12.75" customHeight="1" x14ac:dyDescent="0.2">
      <c r="A1326" s="163"/>
      <c r="B1326" s="164" t="s">
        <v>56</v>
      </c>
      <c r="C1326" s="165"/>
      <c r="D1326" s="33"/>
      <c r="E1326" s="34"/>
      <c r="F1326" s="35">
        <f>ROUND(SUM(F1314:F1325),2)</f>
        <v>0</v>
      </c>
      <c r="G1326" s="63"/>
      <c r="M1326" s="62"/>
      <c r="N1326" s="57"/>
      <c r="O1326" s="56"/>
      <c r="P1326" s="56"/>
      <c r="Q1326" s="48"/>
      <c r="R1326" s="48"/>
      <c r="S1326" s="2"/>
    </row>
    <row r="1327" spans="1:19" ht="12.75" customHeight="1" x14ac:dyDescent="0.2">
      <c r="A1327" s="152" t="s">
        <v>5</v>
      </c>
      <c r="B1327" s="153" t="s">
        <v>130</v>
      </c>
      <c r="C1327" s="140" t="s">
        <v>59</v>
      </c>
      <c r="D1327" s="56" t="s">
        <v>16</v>
      </c>
      <c r="E1327" s="19" t="s">
        <v>60</v>
      </c>
      <c r="F1327" s="20" t="s">
        <v>61</v>
      </c>
      <c r="G1327" s="21"/>
      <c r="M1327" s="62"/>
      <c r="N1327" s="57"/>
      <c r="O1327" s="56"/>
      <c r="P1327" s="56"/>
      <c r="Q1327" s="48"/>
      <c r="R1327" s="48"/>
      <c r="S1327" s="2"/>
    </row>
    <row r="1328" spans="1:19" ht="12.75" customHeight="1" x14ac:dyDescent="0.2">
      <c r="A1328" s="155"/>
      <c r="B1328" s="138" t="str">
        <f>IF(A1328="","",VLOOKUP(A1328,'6.A'!$A$11:$G$180,2,FALSE))</f>
        <v/>
      </c>
      <c r="C1328" s="156"/>
      <c r="D1328" s="57" t="str">
        <f>IF(A1328="","",VLOOKUP(A1328,'6.A'!$A$11:$G$180,4,FALSE))</f>
        <v/>
      </c>
      <c r="E1328" s="100" t="str">
        <f>IF(A1328="","",VLOOKUP(A1328,'6.A'!$A$11:$G$180,5,FALSE))</f>
        <v/>
      </c>
      <c r="F1328" s="24" t="str">
        <f t="shared" ref="F1328:F1337" si="572">IF(A1328="","0,00",ROUND(C1328*E1328,2))</f>
        <v>0,00</v>
      </c>
      <c r="G1328" s="52"/>
      <c r="H1328" s="52" t="str">
        <f>IF(A1328="","",VLOOKUP(A1328,'6.A'!$A$11:$E$7984,5,FALSE))</f>
        <v/>
      </c>
      <c r="I1328" s="52" t="str">
        <f t="shared" ref="I1328:I1337" si="573">IF(H1328="","",IF(E1328=H1328,"SIM","NÃO"))</f>
        <v/>
      </c>
      <c r="J1328" s="52" t="str">
        <f>IF(H1328="","",VLOOKUP(A1328,'6.A'!$A$11:$E$564,4,FALSE))</f>
        <v/>
      </c>
      <c r="K1328" s="52" t="str">
        <f t="shared" ref="K1328:K1337" si="574">IF(H1328="","",IF(J1328=D1328,"SIM","NÃO"))</f>
        <v/>
      </c>
      <c r="L1328" s="52" t="str">
        <f>IF(H1328="","",IF(C1328="","",G1312*C1328))</f>
        <v/>
      </c>
      <c r="M1328" s="117" t="str">
        <f>IF(A1328="","",VLOOKUP(A1328,'6.A'!$A$11:$C$564,2,FALSE))</f>
        <v/>
      </c>
      <c r="N1328" s="57" t="str">
        <f t="shared" ref="N1328:N1337" si="575">IF(A1328="","",IF(M1328=B1328,"si","no"))</f>
        <v/>
      </c>
      <c r="O1328" s="56"/>
      <c r="P1328" s="56"/>
      <c r="Q1328" s="48"/>
      <c r="R1328" s="48"/>
      <c r="S1328" s="2"/>
    </row>
    <row r="1329" spans="1:19" ht="12.75" customHeight="1" x14ac:dyDescent="0.2">
      <c r="A1329" s="155"/>
      <c r="B1329" s="138" t="str">
        <f>IF(A1329="","",VLOOKUP(A1329,'6.A'!$A$11:$G$180,2,FALSE))</f>
        <v/>
      </c>
      <c r="C1329" s="156"/>
      <c r="D1329" s="57"/>
      <c r="E1329" s="100"/>
      <c r="F1329" s="24" t="str">
        <f t="shared" si="572"/>
        <v>0,00</v>
      </c>
      <c r="G1329" s="52"/>
      <c r="H1329" s="52" t="str">
        <f>IF(A1329="","",VLOOKUP(A1329,'6.A'!$A$11:$E$7984,5,FALSE))</f>
        <v/>
      </c>
      <c r="I1329" s="52" t="str">
        <f t="shared" si="573"/>
        <v/>
      </c>
      <c r="J1329" s="52" t="str">
        <f>IF(H1329="","",VLOOKUP(A1329,'6.A'!$A$11:$E$564,4,FALSE))</f>
        <v/>
      </c>
      <c r="K1329" s="52" t="str">
        <f t="shared" si="574"/>
        <v/>
      </c>
      <c r="L1329" s="52" t="str">
        <f>IF(H1329="","",IF(C1329="","",G1312*C1329))</f>
        <v/>
      </c>
      <c r="M1329" s="117" t="str">
        <f>IF(A1329="","",VLOOKUP(A1329,'6.A'!$A$11:$C$564,2,FALSE))</f>
        <v/>
      </c>
      <c r="N1329" s="57" t="str">
        <f t="shared" si="575"/>
        <v/>
      </c>
      <c r="O1329" s="56"/>
      <c r="P1329" s="56"/>
      <c r="Q1329" s="48"/>
      <c r="R1329" s="48"/>
      <c r="S1329" s="2"/>
    </row>
    <row r="1330" spans="1:19" ht="12.75" customHeight="1" x14ac:dyDescent="0.2">
      <c r="A1330" s="155"/>
      <c r="B1330" s="138" t="str">
        <f>IF(A1330="","",VLOOKUP(A1330,'6.A'!$A$11:$G$180,2,FALSE))</f>
        <v/>
      </c>
      <c r="C1330" s="156"/>
      <c r="D1330" s="57"/>
      <c r="E1330" s="100"/>
      <c r="F1330" s="24" t="str">
        <f t="shared" si="572"/>
        <v>0,00</v>
      </c>
      <c r="G1330" s="52"/>
      <c r="H1330" s="52" t="str">
        <f>IF(A1330="","",VLOOKUP(A1330,'6.A'!$A$11:$E$7984,5,FALSE))</f>
        <v/>
      </c>
      <c r="I1330" s="52" t="str">
        <f t="shared" si="573"/>
        <v/>
      </c>
      <c r="J1330" s="52" t="str">
        <f>IF(H1330="","",VLOOKUP(A1330,'6.A'!$A$11:$E$564,4,FALSE))</f>
        <v/>
      </c>
      <c r="K1330" s="52" t="str">
        <f t="shared" si="574"/>
        <v/>
      </c>
      <c r="L1330" s="52" t="str">
        <f>IF(H1330="","",IF(C1330="","",G1312*C1330))</f>
        <v/>
      </c>
      <c r="M1330" s="117" t="str">
        <f>IF(A1330="","",VLOOKUP(A1330,'6.A'!$A$11:$C$564,2,FALSE))</f>
        <v/>
      </c>
      <c r="N1330" s="57" t="str">
        <f t="shared" si="575"/>
        <v/>
      </c>
      <c r="O1330" s="56"/>
      <c r="P1330" s="56"/>
      <c r="Q1330" s="48"/>
      <c r="R1330" s="48"/>
      <c r="S1330" s="2"/>
    </row>
    <row r="1331" spans="1:19" ht="12.75" customHeight="1" x14ac:dyDescent="0.2">
      <c r="A1331" s="155"/>
      <c r="B1331" s="176" t="str">
        <f>IF(A1331="","",VLOOKUP(A1331,'6.A'!$A$11:$G$180,2,FALSE))</f>
        <v/>
      </c>
      <c r="C1331" s="156"/>
      <c r="D1331" s="57" t="str">
        <f>IF(A1331="","",VLOOKUP(A1331,'6.A'!$A$11:$G$180,4,FALSE))</f>
        <v/>
      </c>
      <c r="E1331" s="100" t="str">
        <f>IF(A1331="","",VLOOKUP(A1331,'6.A'!$A$11:$G$180,5,FALSE))</f>
        <v/>
      </c>
      <c r="F1331" s="24" t="str">
        <f t="shared" si="572"/>
        <v>0,00</v>
      </c>
      <c r="G1331" s="52"/>
      <c r="H1331" s="52" t="str">
        <f>IF(A1331="","",VLOOKUP(A1331,'6.A'!$A$11:$E$7984,5,FALSE))</f>
        <v/>
      </c>
      <c r="I1331" s="52" t="str">
        <f t="shared" si="573"/>
        <v/>
      </c>
      <c r="J1331" s="52" t="str">
        <f>IF(H1331="","",VLOOKUP(A1331,'6.A'!$A$11:$E$564,4,FALSE))</f>
        <v/>
      </c>
      <c r="K1331" s="52" t="str">
        <f t="shared" si="574"/>
        <v/>
      </c>
      <c r="L1331" s="52" t="str">
        <f>IF(H1331="","",IF(C1331="","",G1312*C1331))</f>
        <v/>
      </c>
      <c r="M1331" s="117" t="str">
        <f>IF(A1331="","",VLOOKUP(A1331,'6.A'!$A$11:$C$564,2,FALSE))</f>
        <v/>
      </c>
      <c r="N1331" s="57" t="str">
        <f t="shared" si="575"/>
        <v/>
      </c>
      <c r="O1331" s="56"/>
      <c r="P1331" s="56"/>
      <c r="Q1331" s="48"/>
      <c r="R1331" s="48"/>
      <c r="S1331" s="2"/>
    </row>
    <row r="1332" spans="1:19" ht="12.75" customHeight="1" x14ac:dyDescent="0.2">
      <c r="A1332" s="155"/>
      <c r="B1332" s="176" t="str">
        <f>IF(A1332="","",VLOOKUP(A1332,'6.A'!$A$11:$G$180,2,FALSE))</f>
        <v/>
      </c>
      <c r="C1332" s="156"/>
      <c r="D1332" s="57" t="str">
        <f>IF(A1332="","",VLOOKUP(A1332,'6.A'!$A$11:$G$180,4,FALSE))</f>
        <v/>
      </c>
      <c r="E1332" s="100" t="str">
        <f>IF(A1332="","",VLOOKUP(A1332,'6.A'!$A$11:$G$180,5,FALSE))</f>
        <v/>
      </c>
      <c r="F1332" s="24" t="str">
        <f t="shared" si="572"/>
        <v>0,00</v>
      </c>
      <c r="G1332" s="52"/>
      <c r="H1332" s="52" t="str">
        <f>IF(A1332="","",VLOOKUP(A1332,'6.A'!$A$11:$E$7984,5,FALSE))</f>
        <v/>
      </c>
      <c r="I1332" s="52" t="str">
        <f t="shared" si="573"/>
        <v/>
      </c>
      <c r="J1332" s="52" t="str">
        <f>IF(H1332="","",VLOOKUP(A1332,'6.A'!$A$11:$E$564,4,FALSE))</f>
        <v/>
      </c>
      <c r="K1332" s="52" t="str">
        <f t="shared" si="574"/>
        <v/>
      </c>
      <c r="L1332" s="52" t="str">
        <f>IF(H1332="","",IF(C1332="","",G1312*C1332))</f>
        <v/>
      </c>
      <c r="M1332" s="117" t="str">
        <f>IF(A1332="","",VLOOKUP(A1332,'6.A'!$A$11:$C$564,2,FALSE))</f>
        <v/>
      </c>
      <c r="N1332" s="57" t="str">
        <f t="shared" si="575"/>
        <v/>
      </c>
      <c r="O1332" s="56"/>
      <c r="P1332" s="56"/>
      <c r="Q1332" s="48"/>
      <c r="R1332" s="48"/>
      <c r="S1332" s="2"/>
    </row>
    <row r="1333" spans="1:19" ht="12.75" customHeight="1" x14ac:dyDescent="0.2">
      <c r="A1333" s="155"/>
      <c r="B1333" s="176" t="str">
        <f>IF(A1333="","",VLOOKUP(A1333,'6.A'!$A$11:$G$180,2,FALSE))</f>
        <v/>
      </c>
      <c r="C1333" s="156"/>
      <c r="D1333" s="57" t="str">
        <f>IF(A1333="","",VLOOKUP(A1333,'6.A'!$A$11:$G$180,4,FALSE))</f>
        <v/>
      </c>
      <c r="E1333" s="100" t="str">
        <f>IF(A1333="","",VLOOKUP(A1333,'6.A'!$A$11:$G$180,5,FALSE))</f>
        <v/>
      </c>
      <c r="F1333" s="24" t="str">
        <f t="shared" si="572"/>
        <v>0,00</v>
      </c>
      <c r="G1333" s="52"/>
      <c r="H1333" s="52" t="str">
        <f>IF(A1333="","",VLOOKUP(A1333,'6.A'!$A$11:$E$7984,5,FALSE))</f>
        <v/>
      </c>
      <c r="I1333" s="52" t="str">
        <f t="shared" si="573"/>
        <v/>
      </c>
      <c r="J1333" s="52" t="str">
        <f>IF(H1333="","",VLOOKUP(A1333,'6.A'!$A$11:$E$564,4,FALSE))</f>
        <v/>
      </c>
      <c r="K1333" s="52" t="str">
        <f t="shared" si="574"/>
        <v/>
      </c>
      <c r="L1333" s="52" t="str">
        <f>IF(H1333="","",IF(C1333="","",G1312*C1333))</f>
        <v/>
      </c>
      <c r="M1333" s="117" t="str">
        <f>IF(A1333="","",VLOOKUP(A1333,'6.A'!$A$11:$C$564,2,FALSE))</f>
        <v/>
      </c>
      <c r="N1333" s="57" t="str">
        <f t="shared" si="575"/>
        <v/>
      </c>
      <c r="O1333" s="56"/>
      <c r="P1333" s="56"/>
      <c r="Q1333" s="48"/>
      <c r="R1333" s="48"/>
      <c r="S1333" s="2"/>
    </row>
    <row r="1334" spans="1:19" ht="12.75" customHeight="1" x14ac:dyDescent="0.2">
      <c r="A1334" s="155"/>
      <c r="B1334" s="176" t="str">
        <f>IF(A1334="","",VLOOKUP(A1334,'6.A'!$A$11:$G$180,2,FALSE))</f>
        <v/>
      </c>
      <c r="C1334" s="156"/>
      <c r="D1334" s="57" t="str">
        <f>IF(A1334="","",VLOOKUP(A1334,'6.A'!$A$11:$G$180,4,FALSE))</f>
        <v/>
      </c>
      <c r="E1334" s="100" t="str">
        <f>IF(A1334="","",VLOOKUP(A1334,'6.A'!$A$11:$G$180,5,FALSE))</f>
        <v/>
      </c>
      <c r="F1334" s="24" t="str">
        <f t="shared" si="572"/>
        <v>0,00</v>
      </c>
      <c r="G1334" s="52"/>
      <c r="H1334" s="52" t="str">
        <f>IF(A1334="","",VLOOKUP(A1334,'6.A'!$A$11:$E$7984,5,FALSE))</f>
        <v/>
      </c>
      <c r="I1334" s="52" t="str">
        <f t="shared" si="573"/>
        <v/>
      </c>
      <c r="J1334" s="52" t="str">
        <f>IF(H1334="","",VLOOKUP(A1334,'6.A'!$A$11:$E$564,4,FALSE))</f>
        <v/>
      </c>
      <c r="K1334" s="52" t="str">
        <f t="shared" si="574"/>
        <v/>
      </c>
      <c r="L1334" s="52" t="str">
        <f>IF(H1334="","",IF(C1334="","",G1312*C1334))</f>
        <v/>
      </c>
      <c r="M1334" s="117" t="str">
        <f>IF(A1334="","",VLOOKUP(A1334,'6.A'!$A$11:$C$564,2,FALSE))</f>
        <v/>
      </c>
      <c r="N1334" s="57" t="str">
        <f t="shared" si="575"/>
        <v/>
      </c>
      <c r="O1334" s="56"/>
      <c r="P1334" s="56"/>
      <c r="Q1334" s="48"/>
      <c r="R1334" s="48"/>
      <c r="S1334" s="2"/>
    </row>
    <row r="1335" spans="1:19" ht="12.75" customHeight="1" x14ac:dyDescent="0.2">
      <c r="A1335" s="155"/>
      <c r="B1335" s="138" t="str">
        <f>IF(A1335="","",VLOOKUP(A1335,'6.A'!$A$11:$G$180,2,FALSE))</f>
        <v/>
      </c>
      <c r="C1335" s="156"/>
      <c r="D1335" s="57" t="str">
        <f>IF(A1335="","",VLOOKUP(A1335,'6.A'!$A$11:$G$180,4,FALSE))</f>
        <v/>
      </c>
      <c r="E1335" s="100" t="str">
        <f>IF(A1335="","",VLOOKUP(A1335,'6.A'!$A$11:$G$180,5,FALSE))</f>
        <v/>
      </c>
      <c r="F1335" s="24" t="str">
        <f t="shared" si="572"/>
        <v>0,00</v>
      </c>
      <c r="G1335" s="52"/>
      <c r="H1335" s="52" t="str">
        <f>IF(A1335="","",VLOOKUP(A1335,'6.A'!$A$11:$E$7984,5,FALSE))</f>
        <v/>
      </c>
      <c r="I1335" s="52" t="str">
        <f t="shared" si="573"/>
        <v/>
      </c>
      <c r="J1335" s="52" t="str">
        <f>IF(H1335="","",VLOOKUP(A1335,'6.A'!$A$11:$E$564,4,FALSE))</f>
        <v/>
      </c>
      <c r="K1335" s="52" t="str">
        <f t="shared" si="574"/>
        <v/>
      </c>
      <c r="L1335" s="52" t="str">
        <f>IF(H1335="","",IF(C1335="","",G1312*C1335))</f>
        <v/>
      </c>
      <c r="M1335" s="117" t="str">
        <f>IF(A1335="","",VLOOKUP(A1335,'6.A'!$A$11:$C$564,2,FALSE))</f>
        <v/>
      </c>
      <c r="N1335" s="57" t="str">
        <f t="shared" si="575"/>
        <v/>
      </c>
      <c r="O1335" s="56"/>
      <c r="P1335" s="56"/>
      <c r="Q1335" s="48"/>
      <c r="R1335" s="48"/>
      <c r="S1335" s="2"/>
    </row>
    <row r="1336" spans="1:19" ht="12.75" customHeight="1" x14ac:dyDescent="0.2">
      <c r="A1336" s="155"/>
      <c r="B1336" s="138" t="str">
        <f>IF(A1336="","",VLOOKUP(A1336,'6.A'!$A$11:$G$180,2,FALSE))</f>
        <v/>
      </c>
      <c r="C1336" s="156"/>
      <c r="D1336" s="57" t="str">
        <f>IF(A1336="","",VLOOKUP(A1336,'6.A'!$A$11:$G$180,4,FALSE))</f>
        <v/>
      </c>
      <c r="E1336" s="100" t="str">
        <f>IF(A1336="","",VLOOKUP(A1336,'6.A'!$A$11:$G$180,5,FALSE))</f>
        <v/>
      </c>
      <c r="F1336" s="24" t="str">
        <f t="shared" si="572"/>
        <v>0,00</v>
      </c>
      <c r="G1336" s="52"/>
      <c r="H1336" s="52" t="str">
        <f>IF(A1336="","",VLOOKUP(A1336,'6.A'!$A$11:$E$7984,5,FALSE))</f>
        <v/>
      </c>
      <c r="I1336" s="52" t="str">
        <f t="shared" si="573"/>
        <v/>
      </c>
      <c r="J1336" s="52" t="str">
        <f>IF(H1336="","",VLOOKUP(A1336,'6.A'!$A$11:$E$564,4,FALSE))</f>
        <v/>
      </c>
      <c r="K1336" s="52" t="str">
        <f t="shared" si="574"/>
        <v/>
      </c>
      <c r="L1336" s="52" t="str">
        <f>IF(H1336="","",IF(C1336="","",G1312*C1336))</f>
        <v/>
      </c>
      <c r="M1336" s="117" t="str">
        <f>IF(A1336="","",VLOOKUP(A1336,'6.A'!$A$11:$C$564,2,FALSE))</f>
        <v/>
      </c>
      <c r="N1336" s="57" t="str">
        <f t="shared" si="575"/>
        <v/>
      </c>
      <c r="O1336" s="56"/>
      <c r="P1336" s="56"/>
      <c r="Q1336" s="48"/>
      <c r="R1336" s="48"/>
      <c r="S1336" s="2"/>
    </row>
    <row r="1337" spans="1:19" ht="12.75" customHeight="1" x14ac:dyDescent="0.2">
      <c r="A1337" s="155"/>
      <c r="B1337" s="138" t="str">
        <f>IF(A1337="","",VLOOKUP(A1337,'6.A'!$A$11:$G$180,2,FALSE))</f>
        <v/>
      </c>
      <c r="C1337" s="156"/>
      <c r="D1337" s="57" t="str">
        <f>IF(A1337="","",VLOOKUP(A1337,'6.A'!$A$11:$G$180,4,FALSE))</f>
        <v/>
      </c>
      <c r="E1337" s="100" t="str">
        <f>IF(A1337="","",VLOOKUP(A1337,'6.A'!$A$11:$G$180,5,FALSE))</f>
        <v/>
      </c>
      <c r="F1337" s="24" t="str">
        <f t="shared" si="572"/>
        <v>0,00</v>
      </c>
      <c r="G1337" s="52"/>
      <c r="H1337" s="52" t="str">
        <f>IF(A1337="","",VLOOKUP(A1337,'6.A'!$A$11:$E$7984,5,FALSE))</f>
        <v/>
      </c>
      <c r="I1337" s="52" t="str">
        <f t="shared" si="573"/>
        <v/>
      </c>
      <c r="J1337" s="52" t="str">
        <f>IF(H1337="","",VLOOKUP(A1337,'6.A'!$A$11:$E$564,4,FALSE))</f>
        <v/>
      </c>
      <c r="K1337" s="52" t="str">
        <f t="shared" si="574"/>
        <v/>
      </c>
      <c r="L1337" s="52" t="str">
        <f>IF(H1337="","",IF(C1337="","",G1312*C1337))</f>
        <v/>
      </c>
      <c r="M1337" s="117" t="str">
        <f>IF(A1337="","",VLOOKUP(A1337,'6.A'!$A$11:$C$564,2,FALSE))</f>
        <v/>
      </c>
      <c r="N1337" s="57" t="str">
        <f t="shared" si="575"/>
        <v/>
      </c>
      <c r="O1337" s="56"/>
      <c r="P1337" s="56"/>
      <c r="Q1337" s="48"/>
      <c r="R1337" s="48"/>
      <c r="S1337" s="2"/>
    </row>
    <row r="1338" spans="1:19" ht="12.75" customHeight="1" x14ac:dyDescent="0.2">
      <c r="A1338" s="155"/>
      <c r="B1338" s="26" t="str">
        <f>$A$9</f>
        <v>BDI</v>
      </c>
      <c r="C1338" s="27">
        <f>$C$9</f>
        <v>0</v>
      </c>
      <c r="D1338" s="57"/>
      <c r="F1338" s="28">
        <f>ROUND(SUM(F1328:F1337)*C1338,2)</f>
        <v>0</v>
      </c>
      <c r="G1338" s="63"/>
      <c r="M1338" s="62"/>
      <c r="N1338" s="57"/>
      <c r="O1338" s="56"/>
      <c r="P1338" s="56"/>
      <c r="Q1338" s="48"/>
      <c r="R1338" s="48"/>
      <c r="S1338" s="2"/>
    </row>
    <row r="1339" spans="1:19" ht="12.75" customHeight="1" x14ac:dyDescent="0.2">
      <c r="A1339" s="163"/>
      <c r="B1339" s="31" t="s">
        <v>117</v>
      </c>
      <c r="C1339" s="36"/>
      <c r="D1339" s="37"/>
      <c r="E1339" s="38"/>
      <c r="F1339" s="35">
        <f>ROUND(SUM(F1328:F1338),2)</f>
        <v>0</v>
      </c>
      <c r="G1339" s="63"/>
      <c r="M1339" s="62"/>
      <c r="N1339" s="57"/>
      <c r="O1339" s="56"/>
      <c r="P1339" s="56"/>
      <c r="Q1339" s="48"/>
      <c r="R1339" s="48"/>
      <c r="S1339" s="2"/>
    </row>
    <row r="1340" spans="1:19" ht="12.75" customHeight="1" x14ac:dyDescent="0.2">
      <c r="A1340" s="152" t="s">
        <v>6</v>
      </c>
      <c r="B1340" s="153" t="s">
        <v>17</v>
      </c>
      <c r="C1340" s="140" t="s">
        <v>59</v>
      </c>
      <c r="D1340" s="56" t="s">
        <v>16</v>
      </c>
      <c r="E1340" s="19" t="s">
        <v>60</v>
      </c>
      <c r="F1340" s="20" t="s">
        <v>61</v>
      </c>
      <c r="G1340" s="21"/>
      <c r="M1340" s="62"/>
      <c r="N1340" s="57"/>
      <c r="O1340" s="56"/>
      <c r="P1340" s="56"/>
      <c r="Q1340" s="48"/>
      <c r="R1340" s="48"/>
      <c r="S1340" s="2"/>
    </row>
    <row r="1341" spans="1:19" ht="12.75" customHeight="1" x14ac:dyDescent="0.2">
      <c r="A1341" s="155">
        <f>'6.A'!$A$78</f>
        <v>1014</v>
      </c>
      <c r="B1341" s="138" t="str">
        <f>IF(A1341="","",VLOOKUP(A1341,'6.A'!$A$11:$G$180,2,FALSE))</f>
        <v>CABO DE COBRE, FLEXIVEL, CLASSE 4 OU 5, ISOLACAO EM PVC/A, ANTICHAMA BWF-B, 1 CONDUTOR, 450/750 V, SECAO NOMINAL 2,5 MM2</v>
      </c>
      <c r="C1341" s="156">
        <v>1.2434000000000001</v>
      </c>
      <c r="D1341" s="57" t="str">
        <f>IF(A1341="","",VLOOKUP(A1341,'6.A'!$A$11:$G$180,4,FALSE))</f>
        <v>M</v>
      </c>
      <c r="E1341" s="100">
        <f>IF(A1341="","",VLOOKUP(A1341,'6.A'!$A$11:$G$180,5,FALSE))</f>
        <v>0</v>
      </c>
      <c r="F1341" s="24">
        <f t="shared" ref="F1341:F1360" si="576">IF(A1341="","0,00",ROUND(C1341*E1341,2))</f>
        <v>0</v>
      </c>
      <c r="G1341" s="52"/>
      <c r="H1341" s="52">
        <f>IF(A1341="","",VLOOKUP(A1341,'6.A'!$A$11:$E$7984,5,FALSE))</f>
        <v>0</v>
      </c>
      <c r="I1341" s="52" t="str">
        <f t="shared" ref="I1341:I1360" si="577">IF(H1341="","",IF(E1341=H1341,"SIM","NÃO"))</f>
        <v>SIM</v>
      </c>
      <c r="J1341" s="52" t="str">
        <f>IF(H1341="","",VLOOKUP(A1341,'6.A'!$A$11:$E$564,4,FALSE))</f>
        <v>M</v>
      </c>
      <c r="K1341" s="52" t="str">
        <f t="shared" ref="K1341:K1360" si="578">IF(H1341="","",IF(J1341=D1341,"SIM","NÃO"))</f>
        <v>SIM</v>
      </c>
      <c r="L1341" s="52">
        <f>IF(H1341="","",IF(C1341="","",G1312*C1341))</f>
        <v>44.7624</v>
      </c>
      <c r="M1341" s="117" t="str">
        <f>IF(A1341="","",VLOOKUP(A1341,'6.A'!$A$11:$C$564,2,FALSE))</f>
        <v>CABO DE COBRE, FLEXIVEL, CLASSE 4 OU 5, ISOLACAO EM PVC/A, ANTICHAMA BWF-B, 1 CONDUTOR, 450/750 V, SECAO NOMINAL 2,5 MM2</v>
      </c>
      <c r="N1341" s="57" t="str">
        <f t="shared" ref="N1341:N1360" si="579">IF(A1341="","",IF(M1341=B1341,"si","no"))</f>
        <v>si</v>
      </c>
      <c r="O1341" s="56"/>
      <c r="P1341" s="56"/>
      <c r="Q1341" s="48"/>
      <c r="R1341" s="48"/>
      <c r="S1341" s="2"/>
    </row>
    <row r="1342" spans="1:19" ht="12.75" customHeight="1" x14ac:dyDescent="0.2">
      <c r="A1342" s="155">
        <f>'6.A'!$A$123</f>
        <v>21127</v>
      </c>
      <c r="B1342" s="138" t="str">
        <f>IF(A1342="","",VLOOKUP(A1342,'6.A'!$A$11:$G$180,2,FALSE))</f>
        <v>FITA ISOLANTE ADESIVA ANTICHAMA, USO ATE 750 V, EM ROLO DE 19 MM X 5 M</v>
      </c>
      <c r="C1342" s="156">
        <v>9.4000000000000004E-3</v>
      </c>
      <c r="D1342" s="57" t="str">
        <f>IF(A1342="","",VLOOKUP(A1342,'6.A'!$A$11:$G$180,4,FALSE))</f>
        <v>UN</v>
      </c>
      <c r="E1342" s="100">
        <f>IF(A1342="","",VLOOKUP(A1342,'6.A'!$A$11:$G$180,5,FALSE))</f>
        <v>0</v>
      </c>
      <c r="F1342" s="24">
        <f t="shared" si="576"/>
        <v>0</v>
      </c>
      <c r="G1342" s="52"/>
      <c r="H1342" s="52">
        <f>IF(A1342="","",VLOOKUP(A1342,'6.A'!$A$11:$E$7984,5,FALSE))</f>
        <v>0</v>
      </c>
      <c r="I1342" s="52" t="str">
        <f t="shared" si="577"/>
        <v>SIM</v>
      </c>
      <c r="J1342" s="52" t="str">
        <f>IF(H1342="","",VLOOKUP(A1342,'6.A'!$A$11:$E$564,4,FALSE))</f>
        <v>UN</v>
      </c>
      <c r="K1342" s="52" t="str">
        <f t="shared" si="578"/>
        <v>SIM</v>
      </c>
      <c r="L1342" s="52">
        <f>IF(H1342="","",IF(C1342="","",G1312*C1342))</f>
        <v>0.33840000000000003</v>
      </c>
      <c r="M1342" s="117" t="str">
        <f>IF(A1342="","",VLOOKUP(A1342,'6.A'!$A$11:$C$564,2,FALSE))</f>
        <v>FITA ISOLANTE ADESIVA ANTICHAMA, USO ATE 750 V, EM ROLO DE 19 MM X 5 M</v>
      </c>
      <c r="N1342" s="57" t="str">
        <f t="shared" si="579"/>
        <v>si</v>
      </c>
      <c r="O1342" s="56"/>
      <c r="P1342" s="56"/>
      <c r="Q1342" s="48"/>
      <c r="R1342" s="48"/>
      <c r="S1342" s="2"/>
    </row>
    <row r="1343" spans="1:19" ht="12.75" customHeight="1" x14ac:dyDescent="0.2">
      <c r="A1343" s="155"/>
      <c r="B1343" s="138" t="str">
        <f>IF(A1343="","",VLOOKUP(A1343,'6.A'!$A$11:$G$180,2,FALSE))</f>
        <v/>
      </c>
      <c r="C1343" s="156"/>
      <c r="D1343" s="57" t="str">
        <f>IF(A1343="","",VLOOKUP(A1343,'6.A'!$A$11:$G$180,4,FALSE))</f>
        <v/>
      </c>
      <c r="E1343" s="100" t="str">
        <f>IF(A1343="","",VLOOKUP(A1343,'6.A'!$A$11:$G$180,5,FALSE))</f>
        <v/>
      </c>
      <c r="F1343" s="24" t="str">
        <f t="shared" si="576"/>
        <v>0,00</v>
      </c>
      <c r="G1343" s="52"/>
      <c r="H1343" s="52" t="str">
        <f>IF(A1343="","",VLOOKUP(A1343,'6.A'!$A$11:$E$7984,5,FALSE))</f>
        <v/>
      </c>
      <c r="I1343" s="52" t="str">
        <f t="shared" si="577"/>
        <v/>
      </c>
      <c r="J1343" s="52" t="str">
        <f>IF(H1343="","",VLOOKUP(A1343,'6.A'!$A$11:$E$564,4,FALSE))</f>
        <v/>
      </c>
      <c r="K1343" s="52" t="str">
        <f t="shared" si="578"/>
        <v/>
      </c>
      <c r="L1343" s="52" t="str">
        <f>IF(H1343="","",IF(C1343="","",G1312*C1343))</f>
        <v/>
      </c>
      <c r="M1343" s="117" t="str">
        <f>IF(A1343="","",VLOOKUP(A1343,'6.A'!$A$11:$C$564,2,FALSE))</f>
        <v/>
      </c>
      <c r="N1343" s="57" t="str">
        <f t="shared" si="579"/>
        <v/>
      </c>
      <c r="O1343" s="56"/>
      <c r="P1343" s="56"/>
      <c r="Q1343" s="48"/>
      <c r="R1343" s="48"/>
      <c r="S1343" s="2"/>
    </row>
    <row r="1344" spans="1:19" ht="12.75" customHeight="1" x14ac:dyDescent="0.2">
      <c r="A1344" s="155"/>
      <c r="B1344" s="138" t="str">
        <f>IF(A1344="","",VLOOKUP(A1344,'6.A'!$A$11:$G$180,2,FALSE))</f>
        <v/>
      </c>
      <c r="C1344" s="156"/>
      <c r="D1344" s="57" t="str">
        <f>IF(A1344="","",VLOOKUP(A1344,'6.A'!$A$11:$G$180,4,FALSE))</f>
        <v/>
      </c>
      <c r="E1344" s="100" t="str">
        <f>IF(A1344="","",VLOOKUP(A1344,'6.A'!$A$11:$G$180,5,FALSE))</f>
        <v/>
      </c>
      <c r="F1344" s="24" t="str">
        <f t="shared" si="576"/>
        <v>0,00</v>
      </c>
      <c r="G1344" s="52"/>
      <c r="H1344" s="52" t="str">
        <f>IF(A1344="","",VLOOKUP(A1344,'6.A'!$A$11:$E$7984,5,FALSE))</f>
        <v/>
      </c>
      <c r="I1344" s="52" t="str">
        <f t="shared" si="577"/>
        <v/>
      </c>
      <c r="J1344" s="52" t="str">
        <f>IF(H1344="","",VLOOKUP(A1344,'6.A'!$A$11:$E$564,4,FALSE))</f>
        <v/>
      </c>
      <c r="K1344" s="52" t="str">
        <f t="shared" si="578"/>
        <v/>
      </c>
      <c r="L1344" s="52" t="str">
        <f>IF(H1344="","",IF(C1344="","",G1312*C1344))</f>
        <v/>
      </c>
      <c r="M1344" s="117" t="str">
        <f>IF(A1344="","",VLOOKUP(A1344,'6.A'!$A$11:$C$564,2,FALSE))</f>
        <v/>
      </c>
      <c r="N1344" s="57" t="str">
        <f t="shared" si="579"/>
        <v/>
      </c>
      <c r="O1344" s="56"/>
      <c r="P1344" s="56"/>
      <c r="Q1344" s="48"/>
      <c r="R1344" s="48"/>
      <c r="S1344" s="2"/>
    </row>
    <row r="1345" spans="1:22" ht="12.75" customHeight="1" x14ac:dyDescent="0.2">
      <c r="A1345" s="155"/>
      <c r="B1345" s="138" t="str">
        <f>IF(A1345="","",VLOOKUP(A1345,'6.A'!$A$11:$G$180,2,FALSE))</f>
        <v/>
      </c>
      <c r="C1345" s="156"/>
      <c r="D1345" s="57" t="str">
        <f>IF(A1345="","",VLOOKUP(A1345,'6.A'!$A$11:$G$180,4,FALSE))</f>
        <v/>
      </c>
      <c r="E1345" s="100" t="str">
        <f>IF(A1345="","",VLOOKUP(A1345,'6.A'!$A$11:$G$180,5,FALSE))</f>
        <v/>
      </c>
      <c r="F1345" s="24" t="str">
        <f t="shared" si="576"/>
        <v>0,00</v>
      </c>
      <c r="G1345" s="52"/>
      <c r="H1345" s="52" t="str">
        <f>IF(A1345="","",VLOOKUP(A1345,'6.A'!$A$11:$E$7984,5,FALSE))</f>
        <v/>
      </c>
      <c r="I1345" s="52" t="str">
        <f t="shared" si="577"/>
        <v/>
      </c>
      <c r="J1345" s="52" t="str">
        <f>IF(H1345="","",VLOOKUP(A1345,'6.A'!$A$11:$E$564,4,FALSE))</f>
        <v/>
      </c>
      <c r="K1345" s="52" t="str">
        <f t="shared" si="578"/>
        <v/>
      </c>
      <c r="L1345" s="52" t="str">
        <f>IF(H1345="","",IF(C1345="","",G1312*C1345))</f>
        <v/>
      </c>
      <c r="M1345" s="117" t="str">
        <f>IF(A1345="","",VLOOKUP(A1345,'6.A'!$A$11:$C$564,2,FALSE))</f>
        <v/>
      </c>
      <c r="N1345" s="57" t="str">
        <f t="shared" si="579"/>
        <v/>
      </c>
      <c r="O1345" s="56"/>
      <c r="P1345" s="56"/>
      <c r="Q1345" s="48"/>
      <c r="R1345" s="48"/>
      <c r="S1345" s="2"/>
    </row>
    <row r="1346" spans="1:22" ht="12.75" customHeight="1" x14ac:dyDescent="0.2">
      <c r="A1346" s="155"/>
      <c r="B1346" s="138" t="str">
        <f>IF(A1346="","",VLOOKUP(A1346,'6.A'!$A$11:$G$180,2,FALSE))</f>
        <v/>
      </c>
      <c r="C1346" s="156"/>
      <c r="D1346" s="57" t="str">
        <f>IF(A1346="","",VLOOKUP(A1346,'6.A'!$A$11:$G$180,4,FALSE))</f>
        <v/>
      </c>
      <c r="E1346" s="100" t="str">
        <f>IF(A1346="","",VLOOKUP(A1346,'6.A'!$A$11:$G$180,5,FALSE))</f>
        <v/>
      </c>
      <c r="F1346" s="24" t="str">
        <f t="shared" si="576"/>
        <v>0,00</v>
      </c>
      <c r="G1346" s="52"/>
      <c r="H1346" s="52" t="str">
        <f>IF(A1346="","",VLOOKUP(A1346,'6.A'!$A$11:$E$7984,5,FALSE))</f>
        <v/>
      </c>
      <c r="I1346" s="52" t="str">
        <f t="shared" si="577"/>
        <v/>
      </c>
      <c r="J1346" s="52" t="str">
        <f>IF(H1346="","",VLOOKUP(A1346,'6.A'!$A$11:$E$564,4,FALSE))</f>
        <v/>
      </c>
      <c r="K1346" s="52" t="str">
        <f t="shared" si="578"/>
        <v/>
      </c>
      <c r="L1346" s="52" t="str">
        <f>IF(H1346="","",IF(C1346="","",G1312*C1346))</f>
        <v/>
      </c>
      <c r="M1346" s="117" t="str">
        <f>IF(A1346="","",VLOOKUP(A1346,'6.A'!$A$11:$C$564,2,FALSE))</f>
        <v/>
      </c>
      <c r="N1346" s="57" t="str">
        <f t="shared" si="579"/>
        <v/>
      </c>
      <c r="O1346" s="56"/>
      <c r="P1346" s="56"/>
      <c r="Q1346" s="48"/>
      <c r="R1346" s="48"/>
      <c r="S1346" s="2"/>
    </row>
    <row r="1347" spans="1:22" ht="12.75" customHeight="1" x14ac:dyDescent="0.2">
      <c r="A1347" s="155"/>
      <c r="B1347" s="138" t="str">
        <f>IF(A1347="","",VLOOKUP(A1347,'6.A'!$A$11:$G$180,2,FALSE))</f>
        <v/>
      </c>
      <c r="C1347" s="156"/>
      <c r="D1347" s="57" t="str">
        <f>IF(A1347="","",VLOOKUP(A1347,'6.A'!$A$11:$G$180,4,FALSE))</f>
        <v/>
      </c>
      <c r="E1347" s="100" t="str">
        <f>IF(A1347="","",VLOOKUP(A1347,'6.A'!$A$11:$G$180,5,FALSE))</f>
        <v/>
      </c>
      <c r="F1347" s="24" t="str">
        <f t="shared" si="576"/>
        <v>0,00</v>
      </c>
      <c r="G1347" s="52"/>
      <c r="H1347" s="52" t="str">
        <f>IF(A1347="","",VLOOKUP(A1347,'6.A'!$A$11:$E$7984,5,FALSE))</f>
        <v/>
      </c>
      <c r="I1347" s="52" t="str">
        <f t="shared" si="577"/>
        <v/>
      </c>
      <c r="J1347" s="52" t="str">
        <f>IF(H1347="","",VLOOKUP(A1347,'6.A'!$A$11:$E$564,4,FALSE))</f>
        <v/>
      </c>
      <c r="K1347" s="52" t="str">
        <f t="shared" si="578"/>
        <v/>
      </c>
      <c r="L1347" s="52" t="str">
        <f>IF(H1347="","",IF(C1347="","",G1312*C1347))</f>
        <v/>
      </c>
      <c r="M1347" s="117" t="str">
        <f>IF(A1347="","",VLOOKUP(A1347,'6.A'!$A$11:$C$564,2,FALSE))</f>
        <v/>
      </c>
      <c r="N1347" s="57" t="str">
        <f t="shared" si="579"/>
        <v/>
      </c>
      <c r="O1347" s="56"/>
      <c r="P1347" s="56"/>
      <c r="Q1347" s="48"/>
      <c r="R1347" s="48"/>
      <c r="S1347" s="2"/>
    </row>
    <row r="1348" spans="1:22" s="65" customFormat="1" ht="12.75" customHeight="1" x14ac:dyDescent="0.2">
      <c r="A1348" s="155"/>
      <c r="B1348" s="138" t="str">
        <f>IF(A1348="","",VLOOKUP(A1348,'6.A'!$A$11:$G$180,2,FALSE))</f>
        <v/>
      </c>
      <c r="C1348" s="156"/>
      <c r="D1348" s="57" t="str">
        <f>IF(A1348="","",VLOOKUP(A1348,'6.A'!$A$11:$G$180,4,FALSE))</f>
        <v/>
      </c>
      <c r="E1348" s="100" t="str">
        <f>IF(A1348="","",VLOOKUP(A1348,'6.A'!$A$11:$G$180,5,FALSE))</f>
        <v/>
      </c>
      <c r="F1348" s="24" t="str">
        <f t="shared" si="576"/>
        <v>0,00</v>
      </c>
      <c r="G1348" s="52"/>
      <c r="H1348" s="52" t="str">
        <f>IF(A1348="","",VLOOKUP(A1348,'6.A'!$A$11:$E$7984,5,FALSE))</f>
        <v/>
      </c>
      <c r="I1348" s="52" t="str">
        <f t="shared" si="577"/>
        <v/>
      </c>
      <c r="J1348" s="52" t="str">
        <f>IF(H1348="","",VLOOKUP(A1348,'6.A'!$A$11:$E$564,4,FALSE))</f>
        <v/>
      </c>
      <c r="K1348" s="52" t="str">
        <f t="shared" si="578"/>
        <v/>
      </c>
      <c r="L1348" s="52" t="str">
        <f>IF(H1348="","",IF(C1348="","",G1312*C1348))</f>
        <v/>
      </c>
      <c r="M1348" s="117" t="str">
        <f>IF(A1348="","",VLOOKUP(A1348,'6.A'!$A$11:$C$564,2,FALSE))</f>
        <v/>
      </c>
      <c r="N1348" s="57" t="str">
        <f t="shared" si="579"/>
        <v/>
      </c>
      <c r="O1348" s="56"/>
      <c r="P1348" s="56"/>
      <c r="Q1348" s="48"/>
      <c r="R1348" s="48"/>
      <c r="T1348" s="2"/>
      <c r="U1348" s="2"/>
      <c r="V1348" s="2"/>
    </row>
    <row r="1349" spans="1:22" s="65" customFormat="1" ht="12.75" customHeight="1" x14ac:dyDescent="0.2">
      <c r="A1349" s="155"/>
      <c r="B1349" s="138" t="str">
        <f>IF(A1349="","",VLOOKUP(A1349,'6.A'!$A$11:$G$180,2,FALSE))</f>
        <v/>
      </c>
      <c r="C1349" s="156"/>
      <c r="D1349" s="57" t="str">
        <f>IF(A1349="","",VLOOKUP(A1349,'6.A'!$A$11:$G$180,4,FALSE))</f>
        <v/>
      </c>
      <c r="E1349" s="100" t="str">
        <f>IF(A1349="","",VLOOKUP(A1349,'6.A'!$A$11:$G$180,5,FALSE))</f>
        <v/>
      </c>
      <c r="F1349" s="24" t="str">
        <f t="shared" si="576"/>
        <v>0,00</v>
      </c>
      <c r="G1349" s="52"/>
      <c r="H1349" s="52" t="str">
        <f>IF(A1349="","",VLOOKUP(A1349,'6.A'!$A$11:$E$7984,5,FALSE))</f>
        <v/>
      </c>
      <c r="I1349" s="52" t="str">
        <f t="shared" si="577"/>
        <v/>
      </c>
      <c r="J1349" s="52" t="str">
        <f>IF(H1349="","",VLOOKUP(A1349,'6.A'!$A$11:$E$564,4,FALSE))</f>
        <v/>
      </c>
      <c r="K1349" s="52" t="str">
        <f t="shared" si="578"/>
        <v/>
      </c>
      <c r="L1349" s="52" t="str">
        <f>IF(H1349="","",IF(C1349="","",G1312*C1349))</f>
        <v/>
      </c>
      <c r="M1349" s="117" t="str">
        <f>IF(A1349="","",VLOOKUP(A1349,'6.A'!$A$11:$C$564,2,FALSE))</f>
        <v/>
      </c>
      <c r="N1349" s="57" t="str">
        <f t="shared" si="579"/>
        <v/>
      </c>
      <c r="O1349" s="56"/>
      <c r="P1349" s="56"/>
      <c r="Q1349" s="48"/>
      <c r="R1349" s="48"/>
      <c r="T1349" s="2"/>
      <c r="U1349" s="2"/>
      <c r="V1349" s="2"/>
    </row>
    <row r="1350" spans="1:22" s="65" customFormat="1" ht="12.75" customHeight="1" x14ac:dyDescent="0.2">
      <c r="A1350" s="155"/>
      <c r="B1350" s="138" t="str">
        <f>IF(A1350="","",VLOOKUP(A1350,'6.A'!$A$11:$G$180,2,FALSE))</f>
        <v/>
      </c>
      <c r="C1350" s="156"/>
      <c r="D1350" s="57" t="str">
        <f>IF(A1350="","",VLOOKUP(A1350,'6.A'!$A$11:$G$180,4,FALSE))</f>
        <v/>
      </c>
      <c r="E1350" s="100" t="str">
        <f>IF(A1350="","",VLOOKUP(A1350,'6.A'!$A$11:$G$180,5,FALSE))</f>
        <v/>
      </c>
      <c r="F1350" s="24" t="str">
        <f t="shared" si="576"/>
        <v>0,00</v>
      </c>
      <c r="G1350" s="52"/>
      <c r="H1350" s="52" t="str">
        <f>IF(A1350="","",VLOOKUP(A1350,'6.A'!$A$11:$E$7984,5,FALSE))</f>
        <v/>
      </c>
      <c r="I1350" s="52" t="str">
        <f t="shared" si="577"/>
        <v/>
      </c>
      <c r="J1350" s="52" t="str">
        <f>IF(H1350="","",VLOOKUP(A1350,'6.A'!$A$11:$E$564,4,FALSE))</f>
        <v/>
      </c>
      <c r="K1350" s="52" t="str">
        <f t="shared" si="578"/>
        <v/>
      </c>
      <c r="L1350" s="52" t="str">
        <f>IF(H1350="","",IF(C1350="","",G1312*C1350))</f>
        <v/>
      </c>
      <c r="M1350" s="117" t="str">
        <f>IF(A1350="","",VLOOKUP(A1350,'6.A'!$A$11:$C$564,2,FALSE))</f>
        <v/>
      </c>
      <c r="N1350" s="57" t="str">
        <f t="shared" si="579"/>
        <v/>
      </c>
      <c r="O1350" s="56"/>
      <c r="P1350" s="56"/>
      <c r="Q1350" s="48"/>
      <c r="R1350" s="48"/>
      <c r="T1350" s="2"/>
      <c r="U1350" s="2"/>
      <c r="V1350" s="2"/>
    </row>
    <row r="1351" spans="1:22" s="65" customFormat="1" ht="12.75" customHeight="1" x14ac:dyDescent="0.2">
      <c r="A1351" s="155"/>
      <c r="B1351" s="138" t="str">
        <f>IF(A1351="","",VLOOKUP(A1351,'6.A'!$A$11:$G$180,2,FALSE))</f>
        <v/>
      </c>
      <c r="C1351" s="156"/>
      <c r="D1351" s="57" t="str">
        <f>IF(A1351="","",VLOOKUP(A1351,'6.A'!$A$11:$G$180,4,FALSE))</f>
        <v/>
      </c>
      <c r="E1351" s="100" t="str">
        <f>IF(A1351="","",VLOOKUP(A1351,'6.A'!$A$11:$G$180,5,FALSE))</f>
        <v/>
      </c>
      <c r="F1351" s="24" t="str">
        <f t="shared" si="576"/>
        <v>0,00</v>
      </c>
      <c r="G1351" s="52"/>
      <c r="H1351" s="52" t="str">
        <f>IF(A1351="","",VLOOKUP(A1351,'6.A'!$A$11:$E$7984,5,FALSE))</f>
        <v/>
      </c>
      <c r="I1351" s="52" t="str">
        <f t="shared" si="577"/>
        <v/>
      </c>
      <c r="J1351" s="52" t="str">
        <f>IF(H1351="","",VLOOKUP(A1351,'6.A'!$A$11:$E$564,4,FALSE))</f>
        <v/>
      </c>
      <c r="K1351" s="52" t="str">
        <f t="shared" si="578"/>
        <v/>
      </c>
      <c r="L1351" s="52" t="str">
        <f>IF(H1351="","",IF(C1351="","",G1312*C1351))</f>
        <v/>
      </c>
      <c r="M1351" s="117" t="str">
        <f>IF(A1351="","",VLOOKUP(A1351,'6.A'!$A$11:$C$564,2,FALSE))</f>
        <v/>
      </c>
      <c r="N1351" s="57" t="str">
        <f t="shared" si="579"/>
        <v/>
      </c>
      <c r="O1351" s="56"/>
      <c r="P1351" s="56"/>
      <c r="Q1351" s="48"/>
      <c r="R1351" s="48"/>
      <c r="T1351" s="2"/>
      <c r="U1351" s="2"/>
      <c r="V1351" s="2"/>
    </row>
    <row r="1352" spans="1:22" ht="12.75" customHeight="1" x14ac:dyDescent="0.2">
      <c r="A1352" s="22"/>
      <c r="B1352" s="23" t="str">
        <f>IF(A1352="","",VLOOKUP(A1352,'6.A'!$A$11:$G$180,2,FALSE))</f>
        <v/>
      </c>
      <c r="C1352" s="99"/>
      <c r="D1352" s="57" t="str">
        <f>IF(A1352="","",VLOOKUP(A1352,'6.A'!$A$11:$G$180,4,FALSE))</f>
        <v/>
      </c>
      <c r="E1352" s="100" t="str">
        <f>IF(A1352="","",VLOOKUP(A1352,'6.A'!$A$11:$G$180,5,FALSE))</f>
        <v/>
      </c>
      <c r="F1352" s="24" t="str">
        <f t="shared" si="576"/>
        <v>0,00</v>
      </c>
      <c r="G1352" s="52"/>
      <c r="H1352" s="52" t="str">
        <f>IF(A1352="","",VLOOKUP(A1352,'6.A'!$A$11:$E$7984,5,FALSE))</f>
        <v/>
      </c>
      <c r="I1352" s="52" t="str">
        <f t="shared" si="577"/>
        <v/>
      </c>
      <c r="J1352" s="52" t="str">
        <f>IF(H1352="","",VLOOKUP(A1352,'6.A'!$A$11:$E$564,4,FALSE))</f>
        <v/>
      </c>
      <c r="K1352" s="52" t="str">
        <f t="shared" si="578"/>
        <v/>
      </c>
      <c r="L1352" s="52" t="str">
        <f>IF(H1352="","",IF(C1352="","",G1312*C1352))</f>
        <v/>
      </c>
      <c r="M1352" s="117" t="str">
        <f>IF(A1352="","",VLOOKUP(A1352,'6.A'!$A$11:$C$564,2,FALSE))</f>
        <v/>
      </c>
      <c r="N1352" s="57" t="str">
        <f t="shared" si="579"/>
        <v/>
      </c>
      <c r="O1352" s="56"/>
      <c r="P1352" s="56"/>
      <c r="Q1352" s="48"/>
      <c r="R1352" s="48"/>
    </row>
    <row r="1353" spans="1:22" ht="12.75" customHeight="1" x14ac:dyDescent="0.2">
      <c r="A1353" s="22"/>
      <c r="B1353" s="23" t="str">
        <f>IF(A1353="","",VLOOKUP(A1353,'6.A'!$A$11:$G$180,2,FALSE))</f>
        <v/>
      </c>
      <c r="C1353" s="99"/>
      <c r="D1353" s="57" t="str">
        <f>IF(A1353="","",VLOOKUP(A1353,'6.A'!$A$11:$G$180,4,FALSE))</f>
        <v/>
      </c>
      <c r="E1353" s="100" t="str">
        <f>IF(A1353="","",VLOOKUP(A1353,'6.A'!$A$11:$G$180,5,FALSE))</f>
        <v/>
      </c>
      <c r="F1353" s="24" t="str">
        <f t="shared" si="576"/>
        <v>0,00</v>
      </c>
      <c r="G1353" s="52"/>
      <c r="H1353" s="52" t="str">
        <f>IF(A1353="","",VLOOKUP(A1353,'6.A'!$A$11:$E$7984,5,FALSE))</f>
        <v/>
      </c>
      <c r="I1353" s="52" t="str">
        <f t="shared" si="577"/>
        <v/>
      </c>
      <c r="J1353" s="52" t="str">
        <f>IF(H1353="","",VLOOKUP(A1353,'6.A'!$A$11:$E$564,4,FALSE))</f>
        <v/>
      </c>
      <c r="K1353" s="52" t="str">
        <f t="shared" si="578"/>
        <v/>
      </c>
      <c r="L1353" s="52" t="str">
        <f>IF(H1353="","",IF(C1353="","",G1312*C1353))</f>
        <v/>
      </c>
      <c r="M1353" s="117" t="str">
        <f>IF(A1353="","",VLOOKUP(A1353,'6.A'!$A$11:$C$564,2,FALSE))</f>
        <v/>
      </c>
      <c r="N1353" s="57" t="str">
        <f t="shared" si="579"/>
        <v/>
      </c>
      <c r="O1353" s="56"/>
      <c r="P1353" s="56"/>
      <c r="Q1353" s="48"/>
      <c r="R1353" s="48"/>
    </row>
    <row r="1354" spans="1:22" ht="12.75" customHeight="1" x14ac:dyDescent="0.2">
      <c r="A1354" s="22"/>
      <c r="B1354" s="23" t="str">
        <f>IF(A1354="","",VLOOKUP(A1354,'6.A'!$A$11:$G$180,2,FALSE))</f>
        <v/>
      </c>
      <c r="C1354" s="99"/>
      <c r="D1354" s="57" t="str">
        <f>IF(A1354="","",VLOOKUP(A1354,'6.A'!$A$11:$G$180,4,FALSE))</f>
        <v/>
      </c>
      <c r="E1354" s="100" t="str">
        <f>IF(A1354="","",VLOOKUP(A1354,'6.A'!$A$11:$G$180,5,FALSE))</f>
        <v/>
      </c>
      <c r="F1354" s="24" t="str">
        <f t="shared" si="576"/>
        <v>0,00</v>
      </c>
      <c r="G1354" s="52"/>
      <c r="H1354" s="52" t="str">
        <f>IF(A1354="","",VLOOKUP(A1354,'6.A'!$A$11:$E$7984,5,FALSE))</f>
        <v/>
      </c>
      <c r="I1354" s="52" t="str">
        <f t="shared" si="577"/>
        <v/>
      </c>
      <c r="J1354" s="52" t="str">
        <f>IF(H1354="","",VLOOKUP(A1354,'6.A'!$A$11:$E$564,4,FALSE))</f>
        <v/>
      </c>
      <c r="K1354" s="52" t="str">
        <f t="shared" si="578"/>
        <v/>
      </c>
      <c r="L1354" s="52" t="str">
        <f>IF(H1354="","",IF(C1354="","",G1312*C1354))</f>
        <v/>
      </c>
      <c r="M1354" s="117" t="str">
        <f>IF(A1354="","",VLOOKUP(A1354,'6.A'!$A$11:$C$564,2,FALSE))</f>
        <v/>
      </c>
      <c r="N1354" s="57" t="str">
        <f t="shared" si="579"/>
        <v/>
      </c>
      <c r="O1354" s="56"/>
      <c r="P1354" s="56"/>
      <c r="Q1354" s="48"/>
      <c r="R1354" s="48"/>
    </row>
    <row r="1355" spans="1:22" ht="12.75" customHeight="1" x14ac:dyDescent="0.2">
      <c r="A1355" s="22"/>
      <c r="B1355" s="23" t="str">
        <f>IF(A1355="","",VLOOKUP(A1355,'6.A'!$A$11:$G$180,2,FALSE))</f>
        <v/>
      </c>
      <c r="C1355" s="99"/>
      <c r="D1355" s="57" t="str">
        <f>IF(A1355="","",VLOOKUP(A1355,'6.A'!$A$11:$G$180,4,FALSE))</f>
        <v/>
      </c>
      <c r="E1355" s="100" t="str">
        <f>IF(A1355="","",VLOOKUP(A1355,'6.A'!$A$11:$G$180,5,FALSE))</f>
        <v/>
      </c>
      <c r="F1355" s="24" t="str">
        <f t="shared" si="576"/>
        <v>0,00</v>
      </c>
      <c r="G1355" s="52"/>
      <c r="H1355" s="52" t="str">
        <f>IF(A1355="","",VLOOKUP(A1355,'6.A'!$A$11:$E$7984,5,FALSE))</f>
        <v/>
      </c>
      <c r="I1355" s="52" t="str">
        <f t="shared" si="577"/>
        <v/>
      </c>
      <c r="J1355" s="52" t="str">
        <f>IF(H1355="","",VLOOKUP(A1355,'6.A'!$A$11:$E$564,4,FALSE))</f>
        <v/>
      </c>
      <c r="K1355" s="52" t="str">
        <f t="shared" si="578"/>
        <v/>
      </c>
      <c r="L1355" s="52" t="str">
        <f>IF(H1355="","",IF(C1355="","",G1312*C1355))</f>
        <v/>
      </c>
      <c r="M1355" s="117" t="str">
        <f>IF(A1355="","",VLOOKUP(A1355,'6.A'!$A$11:$C$564,2,FALSE))</f>
        <v/>
      </c>
      <c r="N1355" s="57" t="str">
        <f t="shared" si="579"/>
        <v/>
      </c>
      <c r="O1355" s="56"/>
      <c r="P1355" s="56"/>
      <c r="Q1355" s="48"/>
      <c r="R1355" s="48"/>
    </row>
    <row r="1356" spans="1:22" ht="12.75" customHeight="1" x14ac:dyDescent="0.2">
      <c r="A1356" s="22"/>
      <c r="B1356" s="23" t="str">
        <f>IF(A1356="","",VLOOKUP(A1356,'6.A'!$A$11:$G$180,2,FALSE))</f>
        <v/>
      </c>
      <c r="C1356" s="99"/>
      <c r="D1356" s="57" t="str">
        <f>IF(A1356="","",VLOOKUP(A1356,'6.A'!$A$11:$G$180,4,FALSE))</f>
        <v/>
      </c>
      <c r="E1356" s="100" t="str">
        <f>IF(A1356="","",VLOOKUP(A1356,'6.A'!$A$11:$G$180,5,FALSE))</f>
        <v/>
      </c>
      <c r="F1356" s="24" t="str">
        <f t="shared" si="576"/>
        <v>0,00</v>
      </c>
      <c r="G1356" s="52"/>
      <c r="H1356" s="52" t="str">
        <f>IF(A1356="","",VLOOKUP(A1356,'6.A'!$A$11:$E$7984,5,FALSE))</f>
        <v/>
      </c>
      <c r="I1356" s="52" t="str">
        <f t="shared" si="577"/>
        <v/>
      </c>
      <c r="J1356" s="52" t="str">
        <f>IF(H1356="","",VLOOKUP(A1356,'6.A'!$A$11:$E$564,4,FALSE))</f>
        <v/>
      </c>
      <c r="K1356" s="52" t="str">
        <f t="shared" si="578"/>
        <v/>
      </c>
      <c r="L1356" s="52" t="str">
        <f>IF(H1356="","",IF(C1356="","",G1312*C1356))</f>
        <v/>
      </c>
      <c r="M1356" s="117" t="str">
        <f>IF(A1356="","",VLOOKUP(A1356,'6.A'!$A$11:$C$564,2,FALSE))</f>
        <v/>
      </c>
      <c r="N1356" s="57" t="str">
        <f t="shared" si="579"/>
        <v/>
      </c>
      <c r="O1356" s="56"/>
      <c r="P1356" s="56"/>
      <c r="Q1356" s="48"/>
      <c r="R1356" s="48"/>
    </row>
    <row r="1357" spans="1:22" ht="12.75" customHeight="1" x14ac:dyDescent="0.2">
      <c r="A1357" s="22"/>
      <c r="B1357" s="23" t="str">
        <f>IF(A1357="","",VLOOKUP(A1357,'6.A'!$A$11:$G$180,2,FALSE))</f>
        <v/>
      </c>
      <c r="C1357" s="99"/>
      <c r="D1357" s="57" t="str">
        <f>IF(A1357="","",VLOOKUP(A1357,'6.A'!$A$11:$G$180,4,FALSE))</f>
        <v/>
      </c>
      <c r="E1357" s="100" t="str">
        <f>IF(A1357="","",VLOOKUP(A1357,'6.A'!$A$11:$G$180,5,FALSE))</f>
        <v/>
      </c>
      <c r="F1357" s="24" t="str">
        <f t="shared" si="576"/>
        <v>0,00</v>
      </c>
      <c r="G1357" s="52"/>
      <c r="H1357" s="52" t="str">
        <f>IF(A1357="","",VLOOKUP(A1357,'6.A'!$A$11:$E$7984,5,FALSE))</f>
        <v/>
      </c>
      <c r="I1357" s="52" t="str">
        <f t="shared" si="577"/>
        <v/>
      </c>
      <c r="J1357" s="52" t="str">
        <f>IF(H1357="","",VLOOKUP(A1357,'6.A'!$A$11:$E$564,4,FALSE))</f>
        <v/>
      </c>
      <c r="K1357" s="52" t="str">
        <f t="shared" si="578"/>
        <v/>
      </c>
      <c r="L1357" s="52" t="str">
        <f>IF(H1357="","",IF(C1357="","",G1312*C1357))</f>
        <v/>
      </c>
      <c r="M1357" s="117" t="str">
        <f>IF(A1357="","",VLOOKUP(A1357,'6.A'!$A$11:$C$564,2,FALSE))</f>
        <v/>
      </c>
      <c r="N1357" s="57" t="str">
        <f t="shared" si="579"/>
        <v/>
      </c>
      <c r="O1357" s="56"/>
      <c r="P1357" s="56"/>
      <c r="Q1357" s="48"/>
      <c r="R1357" s="48"/>
    </row>
    <row r="1358" spans="1:22" ht="12.75" customHeight="1" x14ac:dyDescent="0.2">
      <c r="A1358" s="22"/>
      <c r="B1358" s="39" t="str">
        <f>IF(A1358="","",VLOOKUP(A1358,'6.A'!$A$11:$G$180,2,FALSE))</f>
        <v/>
      </c>
      <c r="C1358" s="99"/>
      <c r="D1358" s="57" t="str">
        <f>IF(A1358="","",VLOOKUP(A1358,'6.A'!$A$11:$G$180,4,FALSE))</f>
        <v/>
      </c>
      <c r="E1358" s="100" t="str">
        <f>IF(A1358="","",VLOOKUP(A1358,'6.A'!$A$11:$G$180,5,FALSE))</f>
        <v/>
      </c>
      <c r="F1358" s="24" t="str">
        <f t="shared" si="576"/>
        <v>0,00</v>
      </c>
      <c r="G1358" s="52"/>
      <c r="H1358" s="52" t="str">
        <f>IF(A1358="","",VLOOKUP(A1358,'6.A'!$A$11:$E$7984,5,FALSE))</f>
        <v/>
      </c>
      <c r="I1358" s="52" t="str">
        <f t="shared" si="577"/>
        <v/>
      </c>
      <c r="J1358" s="52" t="str">
        <f>IF(H1358="","",VLOOKUP(A1358,'6.A'!$A$11:$E$564,4,FALSE))</f>
        <v/>
      </c>
      <c r="K1358" s="52" t="str">
        <f t="shared" si="578"/>
        <v/>
      </c>
      <c r="L1358" s="52" t="str">
        <f>IF(H1358="","",IF(C1358="","",G1312*C1358))</f>
        <v/>
      </c>
      <c r="M1358" s="117" t="str">
        <f>IF(A1358="","",VLOOKUP(A1358,'6.A'!$A$11:$C$564,2,FALSE))</f>
        <v/>
      </c>
      <c r="N1358" s="57" t="str">
        <f t="shared" si="579"/>
        <v/>
      </c>
      <c r="O1358" s="56"/>
      <c r="P1358" s="56"/>
      <c r="Q1358" s="48"/>
      <c r="R1358" s="48"/>
    </row>
    <row r="1359" spans="1:22" ht="12.75" customHeight="1" x14ac:dyDescent="0.2">
      <c r="A1359" s="22"/>
      <c r="B1359" s="39" t="str">
        <f>IF(A1359="","",VLOOKUP(A1359,'6.A'!$A$11:$G$180,2,FALSE))</f>
        <v/>
      </c>
      <c r="C1359" s="99"/>
      <c r="D1359" s="57" t="str">
        <f>IF(A1359="","",VLOOKUP(A1359,'6.A'!$A$11:$G$180,4,FALSE))</f>
        <v/>
      </c>
      <c r="E1359" s="100" t="str">
        <f>IF(A1359="","",VLOOKUP(A1359,'6.A'!$A$11:$G$180,5,FALSE))</f>
        <v/>
      </c>
      <c r="F1359" s="24" t="str">
        <f t="shared" si="576"/>
        <v>0,00</v>
      </c>
      <c r="G1359" s="52"/>
      <c r="H1359" s="52" t="str">
        <f>IF(A1359="","",VLOOKUP(A1359,'6.A'!$A$11:$E$7984,5,FALSE))</f>
        <v/>
      </c>
      <c r="I1359" s="52" t="str">
        <f t="shared" si="577"/>
        <v/>
      </c>
      <c r="J1359" s="52" t="str">
        <f>IF(H1359="","",VLOOKUP(A1359,'6.A'!$A$11:$E$564,4,FALSE))</f>
        <v/>
      </c>
      <c r="K1359" s="52" t="str">
        <f t="shared" si="578"/>
        <v/>
      </c>
      <c r="L1359" s="52" t="str">
        <f>IF(H1359="","",IF(C1359="","",G1312*C1359))</f>
        <v/>
      </c>
      <c r="M1359" s="117" t="str">
        <f>IF(A1359="","",VLOOKUP(A1359,'6.A'!$A$11:$C$564,2,FALSE))</f>
        <v/>
      </c>
      <c r="N1359" s="57" t="str">
        <f t="shared" si="579"/>
        <v/>
      </c>
      <c r="O1359" s="56"/>
      <c r="P1359" s="56"/>
      <c r="Q1359" s="48"/>
      <c r="R1359" s="48"/>
    </row>
    <row r="1360" spans="1:22" ht="12.75" customHeight="1" x14ac:dyDescent="0.2">
      <c r="A1360" s="22"/>
      <c r="B1360" s="39" t="str">
        <f>IF(A1360="","",VLOOKUP(A1360,'6.A'!$A$11:$G$180,2,FALSE))</f>
        <v/>
      </c>
      <c r="C1360" s="99"/>
      <c r="D1360" s="57" t="str">
        <f>IF(A1360="","",VLOOKUP(A1360,'6.A'!$A$11:$G$180,4,FALSE))</f>
        <v/>
      </c>
      <c r="E1360" s="100" t="str">
        <f>IF(A1360="","",VLOOKUP(A1360,'6.A'!$A$11:$G$180,5,FALSE))</f>
        <v/>
      </c>
      <c r="F1360" s="24" t="str">
        <f t="shared" si="576"/>
        <v>0,00</v>
      </c>
      <c r="G1360" s="52"/>
      <c r="H1360" s="52" t="str">
        <f>IF(A1360="","",VLOOKUP(A1360,'6.A'!$A$11:$E$7984,5,FALSE))</f>
        <v/>
      </c>
      <c r="I1360" s="52" t="str">
        <f t="shared" si="577"/>
        <v/>
      </c>
      <c r="J1360" s="52" t="str">
        <f>IF(H1360="","",VLOOKUP(A1360,'6.A'!$A$11:$E$564,4,FALSE))</f>
        <v/>
      </c>
      <c r="K1360" s="52" t="str">
        <f t="shared" si="578"/>
        <v/>
      </c>
      <c r="L1360" s="52" t="str">
        <f>IF(H1360="","",IF(C1360="","",G1312*C1360))</f>
        <v/>
      </c>
      <c r="M1360" s="117" t="str">
        <f>IF(A1360="","",VLOOKUP(A1360,'6.A'!$A$11:$C$564,2,FALSE))</f>
        <v/>
      </c>
      <c r="N1360" s="57" t="str">
        <f t="shared" si="579"/>
        <v/>
      </c>
      <c r="O1360" s="56"/>
      <c r="P1360" s="56"/>
      <c r="Q1360" s="48"/>
      <c r="R1360" s="48"/>
    </row>
    <row r="1361" spans="1:23" ht="12.75" customHeight="1" x14ac:dyDescent="0.2">
      <c r="A1361" s="22"/>
      <c r="B1361" s="26" t="str">
        <f>$A$9</f>
        <v>BDI</v>
      </c>
      <c r="C1361" s="40">
        <f>$C$9</f>
        <v>0</v>
      </c>
      <c r="D1361" s="57"/>
      <c r="F1361" s="28">
        <f>ROUND(SUM(F1341:F1360)*C1361,2)</f>
        <v>0</v>
      </c>
      <c r="G1361" s="63"/>
      <c r="M1361" s="57"/>
      <c r="N1361" s="57"/>
      <c r="O1361" s="56"/>
      <c r="P1361" s="56"/>
      <c r="Q1361" s="48"/>
      <c r="R1361" s="48"/>
    </row>
    <row r="1362" spans="1:23" ht="12.75" customHeight="1" thickBot="1" x14ac:dyDescent="0.25">
      <c r="A1362" s="41"/>
      <c r="B1362" s="42" t="s">
        <v>57</v>
      </c>
      <c r="C1362" s="43"/>
      <c r="D1362" s="44"/>
      <c r="E1362" s="45"/>
      <c r="F1362" s="46">
        <f>ROUND(SUM(F1341:F1361),2)</f>
        <v>0</v>
      </c>
      <c r="G1362" s="63"/>
      <c r="M1362" s="57"/>
      <c r="N1362" s="57"/>
      <c r="O1362" s="56"/>
      <c r="P1362" s="56"/>
      <c r="Q1362" s="48"/>
      <c r="R1362" s="48"/>
    </row>
    <row r="1363" spans="1:23" ht="12" customHeight="1" thickBot="1" x14ac:dyDescent="0.25">
      <c r="A1363" s="8"/>
      <c r="B1363" s="9"/>
      <c r="C1363" s="10"/>
      <c r="D1363" s="57"/>
      <c r="F1363" s="12"/>
      <c r="M1363" s="57"/>
      <c r="N1363" s="57"/>
      <c r="O1363" s="56"/>
      <c r="P1363" s="56"/>
    </row>
    <row r="1364" spans="1:23" ht="50.1" customHeight="1" x14ac:dyDescent="0.2">
      <c r="A1364" s="243" t="str">
        <f>'3.A'!$A$44</f>
        <v>3.2.2</v>
      </c>
      <c r="B1364" s="14" t="str">
        <f>IF(A1364="","",VLOOKUP(A1364,'3.A'!$A$17:$M$279,2,FALSE))</f>
        <v>CABO DE COBRE FLEXÍVEL ISOLADO, 4 MM², ANTI-CHAMA 450/750 V, PARA CIRCUITOS TERMINAIS</v>
      </c>
      <c r="C1364" s="413" t="s">
        <v>62</v>
      </c>
      <c r="D1364" s="413"/>
      <c r="E1364" s="15" t="str">
        <f>IF(A1364="","",VLOOKUP(A1364,'3.A'!$A$17:$M$279,3,FALSE))</f>
        <v>M</v>
      </c>
      <c r="F1364" s="16">
        <f>ROUND(F1378+F1391+F1414,2)</f>
        <v>0</v>
      </c>
      <c r="G1364" s="118">
        <f>VLOOKUP(A1364,'3.A'!$A$19:$I$279,4,FALSE)</f>
        <v>3</v>
      </c>
      <c r="H1364" s="47">
        <f>SUM(F1366:F1377)</f>
        <v>0</v>
      </c>
      <c r="I1364" s="47">
        <f>SUM(F1380:F1390)</f>
        <v>0</v>
      </c>
      <c r="J1364" s="47">
        <f>SUM(F1393:F1413)</f>
        <v>0</v>
      </c>
      <c r="K1364" s="47">
        <f>SUM(H1364:J1364)</f>
        <v>0</v>
      </c>
      <c r="L1364" s="47" t="str">
        <f>IF(K1364=F1364,"SIM","NÃO")</f>
        <v>SIM</v>
      </c>
      <c r="M1364" s="58">
        <f>ROUND(SUM(F1366:F1375)*C1376,2)+ROUND(SUM(F1366:F1376)*C1377,2)+ROUND(SUM(F1366:F1375),2)+ROUND(SUM(F1380:F1389)*C1390,2)+ROUND(SUM(F1380:F1389),2)+ROUND(SUM(F1393:F1412)*C1413,2)+ROUND(SUM(F1393:F1412),2)</f>
        <v>0</v>
      </c>
      <c r="N1364" s="50" t="str">
        <f>IF(M1364=F1364,"SIM","NÃO")</f>
        <v>SIM</v>
      </c>
      <c r="O1364" s="51" t="str">
        <f>VLOOKUP(A1364,'3.A'!$A$8:$E$279,3,FALSE)</f>
        <v>M</v>
      </c>
      <c r="P1364" s="51" t="str">
        <f>IF(O1364=E1364,"SIM","NÃO")</f>
        <v>SIM</v>
      </c>
      <c r="Q1364" s="53">
        <f>ROUND(G1364*F1378,2)+ROUND(G1364*F1391,2)+ROUND(G1364*F1414,2)</f>
        <v>0</v>
      </c>
      <c r="R1364" s="59">
        <f>VLOOKUP(A1364,'3.A'!$A$17:$L$279,12,FALSE)</f>
        <v>0</v>
      </c>
      <c r="S1364" s="60" t="str">
        <f>IF(Q1364=R1364,"si","no")</f>
        <v>si</v>
      </c>
      <c r="T1364" s="61">
        <f>SUM(L1366:L1375)+SUM(L1380:L1389)+SUM(L1393:L1412)</f>
        <v>3.9923999999999999</v>
      </c>
      <c r="U1364" s="52">
        <f>G1364*C1372+G1364*C1374+G1364*C1367+G1364*C1368+G1364*C1370+G1364*C1373+G1364*C1371+G1364*C1366+G1364*C1369+G1364*C1375+G1364*C1386+G1364*C1380+G1364*C1388+G1364*C1387+G1364*C1385+G1364*C1382+G1364*C1381+G1364*C1383+G1364*C1389+G1364*C1384+G1364*C1393+G1364*C1394+G1364*C1395+G1364*C1403+G1364*C1404+G1364*C1405+G1364*C1406+G1364*C1407+G1364*C1408+G1364*C1409+G1364*C1410+G1364*C1411+G1364*C1412+G1364*C1401+G1364*C1402+G1364*C1396+G1364*C1397+G1364*C1398+G1364*C1399+G1364*C1400</f>
        <v>3.9923999999999999</v>
      </c>
      <c r="V1364" s="54" t="str">
        <f>IF(T1364=U1364,"si","no")</f>
        <v>si</v>
      </c>
      <c r="W1364" s="137"/>
    </row>
    <row r="1365" spans="1:23" ht="12.75" customHeight="1" x14ac:dyDescent="0.2">
      <c r="A1365" s="17" t="s">
        <v>3</v>
      </c>
      <c r="B1365" s="18" t="s">
        <v>58</v>
      </c>
      <c r="C1365" s="56" t="s">
        <v>59</v>
      </c>
      <c r="D1365" s="56" t="s">
        <v>16</v>
      </c>
      <c r="E1365" s="19" t="s">
        <v>60</v>
      </c>
      <c r="F1365" s="20" t="s">
        <v>61</v>
      </c>
      <c r="G1365" s="21"/>
      <c r="M1365" s="57"/>
      <c r="N1365" s="57"/>
      <c r="O1365" s="56"/>
      <c r="P1365" s="56"/>
      <c r="Q1365" s="48"/>
      <c r="R1365" s="48"/>
    </row>
    <row r="1366" spans="1:23" ht="12.75" customHeight="1" x14ac:dyDescent="0.2">
      <c r="A1366" s="155">
        <f>'6.A'!$A$18</f>
        <v>88264</v>
      </c>
      <c r="B1366" s="138" t="str">
        <f>IF(A1366="","",VLOOKUP(A1366,'6.A'!$A$11:$G$180,2,FALSE))</f>
        <v>ELETRICISTA COM ENCARGOS COMPLEMENTARES</v>
      </c>
      <c r="C1366" s="156">
        <v>3.9E-2</v>
      </c>
      <c r="D1366" s="57" t="str">
        <f>IF(A1366="","",VLOOKUP(A1366,'6.A'!$A$11:$G$180,4,FALSE))</f>
        <v>H</v>
      </c>
      <c r="E1366" s="100">
        <f>IF(A1366="","",VLOOKUP(A1366,'6.A'!$A$11:$G$180,5,FALSE))</f>
        <v>0</v>
      </c>
      <c r="F1366" s="24">
        <f t="shared" ref="F1366:F1375" si="580">IF(A1366="","0,00",ROUND(C1366*E1366,2))</f>
        <v>0</v>
      </c>
      <c r="G1366" s="52"/>
      <c r="H1366" s="52">
        <f>IF(A1366="","",VLOOKUP(A1366,'6.A'!$A$11:$E$7984,5,FALSE))</f>
        <v>0</v>
      </c>
      <c r="I1366" s="52" t="str">
        <f>IF(H1366="","",IF(E1366=H1366,"SIM","NÃO"))</f>
        <v>SIM</v>
      </c>
      <c r="J1366" s="52" t="str">
        <f>IF(H1366="","",VLOOKUP(A1366,'6.A'!$A$11:$E$564,4,FALSE))</f>
        <v>H</v>
      </c>
      <c r="K1366" s="52" t="str">
        <f>IF(H1366="","",IF(J1366=D1366,"SIM","NÃO"))</f>
        <v>SIM</v>
      </c>
      <c r="L1366" s="52">
        <f>IF(H1366="","",IF(C1366="","",G1364*C1366))</f>
        <v>0.11699999999999999</v>
      </c>
      <c r="M1366" s="117" t="str">
        <f>IF(A1366="","",VLOOKUP(A1366,'6.A'!$A$11:$C$564,2,FALSE))</f>
        <v>ELETRICISTA COM ENCARGOS COMPLEMENTARES</v>
      </c>
      <c r="N1366" s="57" t="str">
        <f>IF(A1366="","",IF(M1366=B1366,"si","no"))</f>
        <v>si</v>
      </c>
      <c r="O1366" s="56"/>
      <c r="P1366" s="56"/>
      <c r="Q1366" s="48"/>
      <c r="R1366" s="48"/>
    </row>
    <row r="1367" spans="1:23" ht="12.75" customHeight="1" x14ac:dyDescent="0.2">
      <c r="A1367" s="155">
        <f>'6.A'!$A$15</f>
        <v>88247</v>
      </c>
      <c r="B1367" s="138" t="str">
        <f>IF(A1367="","",VLOOKUP(A1367,'6.A'!$A$11:$G$180,2,FALSE))</f>
        <v>AUXILIAR DE ELETRICISTA COM ENCARGOS COMPLEMENTARES</v>
      </c>
      <c r="C1367" s="156">
        <v>3.9E-2</v>
      </c>
      <c r="D1367" s="57" t="str">
        <f>IF(A1367="","",VLOOKUP(A1367,'6.A'!$A$11:$G$180,4,FALSE))</f>
        <v>H</v>
      </c>
      <c r="E1367" s="100">
        <f>IF(A1367="","",VLOOKUP(A1367,'6.A'!$A$11:$G$180,5,FALSE))</f>
        <v>0</v>
      </c>
      <c r="F1367" s="24">
        <f t="shared" si="580"/>
        <v>0</v>
      </c>
      <c r="G1367" s="52"/>
      <c r="H1367" s="52">
        <f>IF(A1367="","",VLOOKUP(A1367,'6.A'!$A$11:$E$7984,5,FALSE))</f>
        <v>0</v>
      </c>
      <c r="I1367" s="52" t="str">
        <f>IF(H1367="","",IF(E1367=H1367,"SIM","NÃO"))</f>
        <v>SIM</v>
      </c>
      <c r="J1367" s="52" t="str">
        <f>IF(H1367="","",VLOOKUP(A1367,'6.A'!$A$11:$E$564,4,FALSE))</f>
        <v>H</v>
      </c>
      <c r="K1367" s="52" t="str">
        <f>IF(H1367="","",IF(J1367=D1367,"SIM","NÃO"))</f>
        <v>SIM</v>
      </c>
      <c r="L1367" s="52">
        <f>IF(H1367="","",IF(C1367="","",G1364*C1367))</f>
        <v>0.11699999999999999</v>
      </c>
      <c r="M1367" s="117" t="str">
        <f>IF(A1367="","",VLOOKUP(A1367,'6.A'!$A$11:$C$564,2,FALSE))</f>
        <v>AUXILIAR DE ELETRICISTA COM ENCARGOS COMPLEMENTARES</v>
      </c>
      <c r="N1367" s="57" t="str">
        <f>IF(A1367="","",IF(M1367=B1367,"si","no"))</f>
        <v>si</v>
      </c>
      <c r="O1367" s="56"/>
      <c r="P1367" s="56"/>
      <c r="Q1367" s="48"/>
      <c r="R1367" s="48"/>
    </row>
    <row r="1368" spans="1:23" ht="12.75" customHeight="1" x14ac:dyDescent="0.2">
      <c r="A1368" s="155"/>
      <c r="B1368" s="138" t="str">
        <f>IF(A1368="","",VLOOKUP(A1368,'6.A'!$A$11:$G$180,2,FALSE))</f>
        <v/>
      </c>
      <c r="C1368" s="156"/>
      <c r="D1368" s="57" t="str">
        <f>IF(A1368="","",VLOOKUP(A1368,'6.A'!$A$11:$G$180,4,FALSE))</f>
        <v/>
      </c>
      <c r="E1368" s="100" t="str">
        <f>IF(A1368="","",VLOOKUP(A1368,'6.A'!$A$11:$G$180,5,FALSE))</f>
        <v/>
      </c>
      <c r="F1368" s="24" t="str">
        <f t="shared" si="580"/>
        <v>0,00</v>
      </c>
      <c r="G1368" s="52"/>
      <c r="H1368" s="52" t="str">
        <f>IF(A1368="","",VLOOKUP(A1368,'6.A'!$A$11:$E$7984,5,FALSE))</f>
        <v/>
      </c>
      <c r="I1368" s="52" t="str">
        <f>IF(H1368="","",IF(E1368=H1368,"SIM","NÃO"))</f>
        <v/>
      </c>
      <c r="J1368" s="52" t="str">
        <f>IF(H1368="","",VLOOKUP(A1368,'6.A'!$A$11:$E$564,4,FALSE))</f>
        <v/>
      </c>
      <c r="K1368" s="52" t="str">
        <f t="shared" ref="K1368" si="581">IF(H1368="","",IF(J1368=D1368,"SIM","NÃO"))</f>
        <v/>
      </c>
      <c r="L1368" s="52" t="str">
        <f>IF(H1368="","",IF(C1368="","",G1364*C1368))</f>
        <v/>
      </c>
      <c r="M1368" s="117" t="str">
        <f>IF(A1368="","",VLOOKUP(A1368,'6.A'!$A$11:$C$564,2,FALSE))</f>
        <v/>
      </c>
      <c r="N1368" s="57" t="str">
        <f t="shared" ref="N1368" si="582">IF(A1368="","",IF(M1368=B1368,"si","no"))</f>
        <v/>
      </c>
      <c r="O1368" s="56"/>
      <c r="P1368" s="56"/>
      <c r="Q1368" s="48"/>
      <c r="R1368" s="48"/>
      <c r="S1368" s="2"/>
    </row>
    <row r="1369" spans="1:23" ht="12.75" customHeight="1" x14ac:dyDescent="0.2">
      <c r="A1369" s="155"/>
      <c r="B1369" s="138" t="str">
        <f>IF(A1369="","",VLOOKUP(A1369,'6.A'!$A$11:$G$180,2,FALSE))</f>
        <v/>
      </c>
      <c r="C1369" s="156"/>
      <c r="D1369" s="57" t="str">
        <f>IF(A1369="","",VLOOKUP(A1369,'6.A'!$A$11:$G$180,4,FALSE))</f>
        <v/>
      </c>
      <c r="E1369" s="100" t="str">
        <f>IF(A1369="","",VLOOKUP(A1369,'6.A'!$A$11:$G$180,5,FALSE))</f>
        <v/>
      </c>
      <c r="F1369" s="24" t="str">
        <f t="shared" si="580"/>
        <v>0,00</v>
      </c>
      <c r="G1369" s="52"/>
      <c r="H1369" s="52" t="str">
        <f>IF(A1369="","",VLOOKUP(A1369,'6.A'!$A$11:$E$7984,5,FALSE))</f>
        <v/>
      </c>
      <c r="I1369" s="52" t="str">
        <f>IF(H1369="","",IF(E1369=H1369,"SIM","NÃO"))</f>
        <v/>
      </c>
      <c r="J1369" s="52" t="str">
        <f>IF(H1369="","",VLOOKUP(A1369,'6.A'!$A$11:$E$564,4,FALSE))</f>
        <v/>
      </c>
      <c r="K1369" s="52" t="str">
        <f>IF(H1369="","",IF(J1369=D1369,"SIM","NÃO"))</f>
        <v/>
      </c>
      <c r="L1369" s="52" t="str">
        <f>IF(H1369="","",IF(C1369="","",G1364*C1369))</f>
        <v/>
      </c>
      <c r="M1369" s="117" t="str">
        <f>IF(A1369="","",VLOOKUP(A1369,'6.A'!$A$11:$C$564,2,FALSE))</f>
        <v/>
      </c>
      <c r="N1369" s="57" t="str">
        <f>IF(A1369="","",IF(M1369=B1369,"si","no"))</f>
        <v/>
      </c>
      <c r="O1369" s="56"/>
      <c r="P1369" s="56"/>
      <c r="Q1369" s="48"/>
      <c r="R1369" s="48"/>
      <c r="S1369" s="2"/>
    </row>
    <row r="1370" spans="1:23" ht="12.75" customHeight="1" x14ac:dyDescent="0.2">
      <c r="A1370" s="155"/>
      <c r="B1370" s="138" t="str">
        <f>IF(A1370="","",VLOOKUP(A1370,'6.A'!$A$11:$G$180,2,FALSE))</f>
        <v/>
      </c>
      <c r="C1370" s="156"/>
      <c r="D1370" s="57" t="str">
        <f>IF(A1370="","",VLOOKUP(A1370,'6.A'!$A$11:$G$180,4,FALSE))</f>
        <v/>
      </c>
      <c r="E1370" s="101" t="str">
        <f>IF(A1370="","",VLOOKUP(A1370,'6.A'!$A$11:$G$180,5,FALSE))</f>
        <v/>
      </c>
      <c r="F1370" s="24" t="str">
        <f t="shared" si="580"/>
        <v>0,00</v>
      </c>
      <c r="G1370" s="52"/>
      <c r="H1370" s="52" t="str">
        <f>IF(A1370="","",VLOOKUP(A1370,'6.A'!$A$11:$E$7984,5,FALSE))</f>
        <v/>
      </c>
      <c r="I1370" s="52" t="str">
        <f t="shared" ref="I1370" si="583">IF(H1370="","",IF(E1370=H1370,"SIM","NÃO"))</f>
        <v/>
      </c>
      <c r="J1370" s="52" t="str">
        <f>IF(H1370="","",VLOOKUP(A1370,'6.A'!$A$11:$E$564,4,FALSE))</f>
        <v/>
      </c>
      <c r="K1370" s="52" t="str">
        <f t="shared" ref="K1370" si="584">IF(H1370="","",IF(J1370=D1370,"SIM","NÃO"))</f>
        <v/>
      </c>
      <c r="L1370" s="52" t="str">
        <f>IF(H1370="","",IF(C1370="","",G1364*C1370))</f>
        <v/>
      </c>
      <c r="M1370" s="117" t="str">
        <f>IF(A1370="","",VLOOKUP(A1370,'6.A'!$A$11:$C$564,2,FALSE))</f>
        <v/>
      </c>
      <c r="N1370" s="57" t="str">
        <f t="shared" ref="N1370" si="585">IF(A1370="","",IF(M1370=B1370,"si","no"))</f>
        <v/>
      </c>
      <c r="O1370" s="56"/>
      <c r="P1370" s="56"/>
      <c r="Q1370" s="48"/>
      <c r="R1370" s="48"/>
      <c r="S1370" s="2"/>
    </row>
    <row r="1371" spans="1:23" ht="12.75" customHeight="1" x14ac:dyDescent="0.2">
      <c r="A1371" s="155"/>
      <c r="B1371" s="138" t="str">
        <f>IF(A1371="","",VLOOKUP(A1371,'6.A'!$A$11:$G$180,2,FALSE))</f>
        <v/>
      </c>
      <c r="C1371" s="156"/>
      <c r="D1371" s="57" t="str">
        <f>IF(A1371="","",VLOOKUP(A1371,'6.A'!$A$11:$G$180,4,FALSE))</f>
        <v/>
      </c>
      <c r="E1371" s="101" t="str">
        <f>IF(A1371="","",VLOOKUP(A1371,'6.A'!$A$11:$G$180,5,FALSE))</f>
        <v/>
      </c>
      <c r="F1371" s="24" t="str">
        <f t="shared" si="580"/>
        <v>0,00</v>
      </c>
      <c r="G1371" s="52"/>
      <c r="H1371" s="52" t="str">
        <f>IF(A1371="","",VLOOKUP(A1371,'6.A'!$A$11:$E$7984,5,FALSE))</f>
        <v/>
      </c>
      <c r="I1371" s="52" t="str">
        <f>IF(H1371="","",IF(E1371=H1371,"SIM","NÃO"))</f>
        <v/>
      </c>
      <c r="J1371" s="52" t="str">
        <f>IF(H1371="","",VLOOKUP(A1371,'6.A'!$A$11:$E$564,4,FALSE))</f>
        <v/>
      </c>
      <c r="K1371" s="52" t="str">
        <f>IF(H1371="","",IF(J1371=D1371,"SIM","NÃO"))</f>
        <v/>
      </c>
      <c r="L1371" s="52" t="str">
        <f>IF(H1371="","",IF(C1371="","",G1364*C1371))</f>
        <v/>
      </c>
      <c r="M1371" s="117" t="str">
        <f>IF(A1371="","",VLOOKUP(A1371,'6.A'!$A$11:$C$564,2,FALSE))</f>
        <v/>
      </c>
      <c r="N1371" s="57" t="str">
        <f>IF(A1371="","",IF(M1371=B1371,"si","no"))</f>
        <v/>
      </c>
      <c r="O1371" s="56"/>
      <c r="P1371" s="56"/>
      <c r="Q1371" s="48"/>
      <c r="R1371" s="48"/>
      <c r="S1371" s="2"/>
    </row>
    <row r="1372" spans="1:23" ht="12.75" customHeight="1" x14ac:dyDescent="0.2">
      <c r="A1372" s="155"/>
      <c r="B1372" s="138" t="str">
        <f>IF(A1372="","",VLOOKUP(A1372,'6.A'!$A$11:$G$180,2,FALSE))</f>
        <v/>
      </c>
      <c r="C1372" s="156"/>
      <c r="D1372" s="57" t="str">
        <f>IF(A1372="","",VLOOKUP(A1372,'6.A'!$A$11:$G$180,4,FALSE))</f>
        <v/>
      </c>
      <c r="E1372" s="100" t="str">
        <f>IF(A1372="","",VLOOKUP(A1372,'6.A'!$A$11:$G$180,5,FALSE))</f>
        <v/>
      </c>
      <c r="F1372" s="24" t="str">
        <f t="shared" si="580"/>
        <v>0,00</v>
      </c>
      <c r="G1372" s="52"/>
      <c r="H1372" s="52" t="str">
        <f>IF(A1372="","",VLOOKUP(A1372,'6.A'!$A$11:$E$7984,5,FALSE))</f>
        <v/>
      </c>
      <c r="I1372" s="52" t="str">
        <f>IF(H1372="","",IF(E1372=H1372,"SIM","NÃO"))</f>
        <v/>
      </c>
      <c r="J1372" s="52" t="str">
        <f>IF(H1372="","",VLOOKUP(A1372,'6.A'!$A$11:$E$564,4,FALSE))</f>
        <v/>
      </c>
      <c r="K1372" s="52" t="str">
        <f>IF(H1372="","",IF(J1372=D1372,"SIM","NÃO"))</f>
        <v/>
      </c>
      <c r="L1372" s="52" t="str">
        <f>IF(H1372="","",IF(C1372="","",G1364*C1372))</f>
        <v/>
      </c>
      <c r="M1372" s="117" t="str">
        <f>IF(A1372="","",VLOOKUP(A1372,'6.A'!$A$11:$C$564,2,FALSE))</f>
        <v/>
      </c>
      <c r="N1372" s="57" t="str">
        <f>IF(A1372="","",IF(M1372=B1372,"si","no"))</f>
        <v/>
      </c>
      <c r="O1372" s="56"/>
      <c r="P1372" s="56"/>
      <c r="Q1372" s="48"/>
      <c r="R1372" s="48"/>
      <c r="S1372" s="2"/>
    </row>
    <row r="1373" spans="1:23" ht="12.75" customHeight="1" x14ac:dyDescent="0.2">
      <c r="A1373" s="155"/>
      <c r="B1373" s="138" t="str">
        <f>IF(A1373="","",VLOOKUP(A1373,'6.A'!$A$11:$G$180,2,FALSE))</f>
        <v/>
      </c>
      <c r="C1373" s="156"/>
      <c r="D1373" s="57" t="str">
        <f>IF(A1373="","",VLOOKUP(A1373,'6.A'!$A$11:$G$180,4,FALSE))</f>
        <v/>
      </c>
      <c r="E1373" s="100" t="str">
        <f>IF(A1373="","",VLOOKUP(A1373,'6.A'!$A$11:$G$180,5,FALSE))</f>
        <v/>
      </c>
      <c r="F1373" s="24" t="str">
        <f t="shared" si="580"/>
        <v>0,00</v>
      </c>
      <c r="G1373" s="52"/>
      <c r="H1373" s="52" t="str">
        <f>IF(A1373="","",VLOOKUP(A1373,'6.A'!$A$11:$E$7984,5,FALSE))</f>
        <v/>
      </c>
      <c r="I1373" s="52" t="str">
        <f t="shared" ref="I1373" si="586">IF(H1373="","",IF(E1373=H1373,"SIM","NÃO"))</f>
        <v/>
      </c>
      <c r="J1373" s="52" t="str">
        <f>IF(H1373="","",VLOOKUP(A1373,'6.A'!$A$11:$E$564,4,FALSE))</f>
        <v/>
      </c>
      <c r="K1373" s="52" t="str">
        <f t="shared" ref="K1373" si="587">IF(H1373="","",IF(J1373=D1373,"SIM","NÃO"))</f>
        <v/>
      </c>
      <c r="L1373" s="52" t="str">
        <f>IF(H1373="","",IF(C1373="","",G1364*C1373))</f>
        <v/>
      </c>
      <c r="M1373" s="117" t="str">
        <f>IF(A1373="","",VLOOKUP(A1373,'6.A'!$A$11:$C$564,2,FALSE))</f>
        <v/>
      </c>
      <c r="N1373" s="57" t="str">
        <f t="shared" ref="N1373" si="588">IF(A1373="","",IF(M1373=B1373,"si","no"))</f>
        <v/>
      </c>
      <c r="O1373" s="56"/>
      <c r="P1373" s="56"/>
      <c r="Q1373" s="48"/>
      <c r="R1373" s="48"/>
      <c r="S1373" s="2"/>
    </row>
    <row r="1374" spans="1:23" ht="12.75" customHeight="1" x14ac:dyDescent="0.2">
      <c r="A1374" s="155"/>
      <c r="B1374" s="138" t="str">
        <f>IF(A1374="","",VLOOKUP(A1374,'6.A'!$A$11:$G$180,2,FALSE))</f>
        <v/>
      </c>
      <c r="C1374" s="156"/>
      <c r="D1374" s="73" t="str">
        <f>IF(A1374="","",VLOOKUP(A1374,'6.A'!$A$11:$G$180,4,FALSE))</f>
        <v/>
      </c>
      <c r="E1374" s="101" t="str">
        <f>IF(A1374="","",VLOOKUP(A1374,'6.A'!$A$11:$G$180,5,FALSE))</f>
        <v/>
      </c>
      <c r="F1374" s="24" t="str">
        <f t="shared" si="580"/>
        <v>0,00</v>
      </c>
      <c r="G1374" s="52"/>
      <c r="H1374" s="52" t="str">
        <f>IF(A1374="","",VLOOKUP(A1374,'6.A'!$A$11:$E$7984,5,FALSE))</f>
        <v/>
      </c>
      <c r="I1374" s="52" t="str">
        <f>IF(H1374="","",IF(E1374=H1374,"SIM","NÃO"))</f>
        <v/>
      </c>
      <c r="J1374" s="52" t="str">
        <f>IF(H1374="","",VLOOKUP(A1374,'6.A'!$A$11:$E$564,4,FALSE))</f>
        <v/>
      </c>
      <c r="K1374" s="52" t="str">
        <f>IF(H1374="","",IF(J1374=D1374,"SIM","NÃO"))</f>
        <v/>
      </c>
      <c r="L1374" s="52" t="str">
        <f>IF(H1374="","",IF(C1374="","",G1364*C1374))</f>
        <v/>
      </c>
      <c r="M1374" s="117" t="str">
        <f>IF(A1374="","",VLOOKUP(A1374,'6.A'!$A$11:$C$564,2,FALSE))</f>
        <v/>
      </c>
      <c r="N1374" s="57" t="str">
        <f>IF(A1374="","",IF(M1374=B1374,"si","no"))</f>
        <v/>
      </c>
      <c r="O1374" s="56"/>
      <c r="P1374" s="56"/>
      <c r="Q1374" s="48"/>
      <c r="R1374" s="48"/>
      <c r="S1374" s="2"/>
    </row>
    <row r="1375" spans="1:23" ht="12.75" customHeight="1" x14ac:dyDescent="0.2">
      <c r="A1375" s="155"/>
      <c r="B1375" s="138" t="str">
        <f>IF(A1375="","",VLOOKUP(A1375,'6.A'!$A$11:$G$180,2,FALSE))</f>
        <v/>
      </c>
      <c r="C1375" s="156"/>
      <c r="D1375" s="25" t="str">
        <f>IF(A1375="","",VLOOKUP(A1375,'6.A'!$A$11:$G$180,4,FALSE))</f>
        <v/>
      </c>
      <c r="E1375" s="101" t="str">
        <f>IF(A1375="","",VLOOKUP(A1375,'6.A'!$A$11:$G$180,5,FALSE))</f>
        <v/>
      </c>
      <c r="F1375" s="24" t="str">
        <f t="shared" si="580"/>
        <v>0,00</v>
      </c>
      <c r="G1375" s="52"/>
      <c r="H1375" s="52" t="str">
        <f>IF(A1375="","",VLOOKUP(A1375,'6.A'!$A$11:$E$7984,5,FALSE))</f>
        <v/>
      </c>
      <c r="I1375" s="52" t="str">
        <f t="shared" ref="I1375" si="589">IF(H1375="","",IF(E1375=H1375,"SIM","NÃO"))</f>
        <v/>
      </c>
      <c r="J1375" s="52" t="str">
        <f>IF(H1375="","",VLOOKUP(A1375,'6.A'!$A$11:$E$564,4,FALSE))</f>
        <v/>
      </c>
      <c r="K1375" s="52" t="str">
        <f t="shared" ref="K1375" si="590">IF(H1375="","",IF(J1375=D1375,"SIM","NÃO"))</f>
        <v/>
      </c>
      <c r="L1375" s="52" t="str">
        <f>IF(H1375="","",IF(C1375="","",G1364*C1375))</f>
        <v/>
      </c>
      <c r="M1375" s="117" t="str">
        <f>IF(A1375="","",VLOOKUP(A1375,'6.A'!$A$11:$C$564,2,FALSE))</f>
        <v/>
      </c>
      <c r="N1375" s="57" t="str">
        <f t="shared" ref="N1375" si="591">IF(A1375="","",IF(M1375=B1375,"si","no"))</f>
        <v/>
      </c>
      <c r="O1375" s="56"/>
      <c r="P1375" s="56"/>
      <c r="Q1375" s="48"/>
      <c r="R1375" s="48"/>
      <c r="S1375" s="2"/>
    </row>
    <row r="1376" spans="1:23" ht="12.75" customHeight="1" x14ac:dyDescent="0.2">
      <c r="A1376" s="152"/>
      <c r="B1376" s="26" t="str">
        <f>$A$8</f>
        <v>LEIS SOCIAIS HORISTA - JORNADA NORMAL</v>
      </c>
      <c r="C1376" s="27">
        <f>$C$8</f>
        <v>0</v>
      </c>
      <c r="D1376" s="57"/>
      <c r="F1376" s="28">
        <f>ROUND(SUM(F1366:F1375)*C1376,2)</f>
        <v>0</v>
      </c>
      <c r="G1376" s="63"/>
      <c r="M1376" s="62"/>
      <c r="N1376" s="57"/>
      <c r="O1376" s="56"/>
      <c r="P1376" s="56"/>
      <c r="Q1376" s="48"/>
      <c r="R1376" s="48"/>
      <c r="S1376" s="2"/>
    </row>
    <row r="1377" spans="1:19" ht="12.75" customHeight="1" x14ac:dyDescent="0.2">
      <c r="A1377" s="155"/>
      <c r="B1377" s="26" t="str">
        <f>$A$9</f>
        <v>BDI</v>
      </c>
      <c r="C1377" s="27">
        <f>$C$9</f>
        <v>0</v>
      </c>
      <c r="D1377" s="29"/>
      <c r="F1377" s="28">
        <f>ROUND(SUM(F1366:F1376)*C1377,2)</f>
        <v>0</v>
      </c>
      <c r="G1377" s="63"/>
      <c r="M1377" s="62"/>
      <c r="N1377" s="57"/>
      <c r="O1377" s="56"/>
      <c r="P1377" s="56"/>
      <c r="Q1377" s="48"/>
      <c r="R1377" s="48"/>
      <c r="S1377" s="2"/>
    </row>
    <row r="1378" spans="1:19" ht="12.75" customHeight="1" x14ac:dyDescent="0.2">
      <c r="A1378" s="163"/>
      <c r="B1378" s="164" t="s">
        <v>56</v>
      </c>
      <c r="C1378" s="165"/>
      <c r="D1378" s="33"/>
      <c r="E1378" s="34"/>
      <c r="F1378" s="35">
        <f>ROUND(SUM(F1366:F1377),2)</f>
        <v>0</v>
      </c>
      <c r="G1378" s="63"/>
      <c r="M1378" s="62"/>
      <c r="N1378" s="57"/>
      <c r="O1378" s="56"/>
      <c r="P1378" s="56"/>
      <c r="Q1378" s="48"/>
      <c r="R1378" s="48"/>
      <c r="S1378" s="2"/>
    </row>
    <row r="1379" spans="1:19" ht="12.75" customHeight="1" x14ac:dyDescent="0.2">
      <c r="A1379" s="152" t="s">
        <v>5</v>
      </c>
      <c r="B1379" s="153" t="s">
        <v>130</v>
      </c>
      <c r="C1379" s="140" t="s">
        <v>59</v>
      </c>
      <c r="D1379" s="56" t="s">
        <v>16</v>
      </c>
      <c r="E1379" s="19" t="s">
        <v>60</v>
      </c>
      <c r="F1379" s="20" t="s">
        <v>61</v>
      </c>
      <c r="G1379" s="21"/>
      <c r="M1379" s="62"/>
      <c r="N1379" s="57"/>
      <c r="O1379" s="56"/>
      <c r="P1379" s="56"/>
      <c r="Q1379" s="48"/>
      <c r="R1379" s="48"/>
      <c r="S1379" s="2"/>
    </row>
    <row r="1380" spans="1:19" ht="12.75" customHeight="1" x14ac:dyDescent="0.2">
      <c r="A1380" s="155"/>
      <c r="B1380" s="138" t="str">
        <f>IF(A1380="","",VLOOKUP(A1380,'6.A'!$A$11:$G$180,2,FALSE))</f>
        <v/>
      </c>
      <c r="C1380" s="156"/>
      <c r="D1380" s="57" t="str">
        <f>IF(A1380="","",VLOOKUP(A1380,'6.A'!$A$11:$G$180,4,FALSE))</f>
        <v/>
      </c>
      <c r="E1380" s="100" t="str">
        <f>IF(A1380="","",VLOOKUP(A1380,'6.A'!$A$11:$G$180,5,FALSE))</f>
        <v/>
      </c>
      <c r="F1380" s="24" t="str">
        <f t="shared" ref="F1380:F1389" si="592">IF(A1380="","0,00",ROUND(C1380*E1380,2))</f>
        <v>0,00</v>
      </c>
      <c r="G1380" s="52"/>
      <c r="H1380" s="52" t="str">
        <f>IF(A1380="","",VLOOKUP(A1380,'6.A'!$A$11:$E$7984,5,FALSE))</f>
        <v/>
      </c>
      <c r="I1380" s="52" t="str">
        <f t="shared" ref="I1380:I1389" si="593">IF(H1380="","",IF(E1380=H1380,"SIM","NÃO"))</f>
        <v/>
      </c>
      <c r="J1380" s="52" t="str">
        <f>IF(H1380="","",VLOOKUP(A1380,'6.A'!$A$11:$E$564,4,FALSE))</f>
        <v/>
      </c>
      <c r="K1380" s="52" t="str">
        <f t="shared" ref="K1380:K1389" si="594">IF(H1380="","",IF(J1380=D1380,"SIM","NÃO"))</f>
        <v/>
      </c>
      <c r="L1380" s="52" t="str">
        <f>IF(H1380="","",IF(C1380="","",G1364*C1380))</f>
        <v/>
      </c>
      <c r="M1380" s="117" t="str">
        <f>IF(A1380="","",VLOOKUP(A1380,'6.A'!$A$11:$C$564,2,FALSE))</f>
        <v/>
      </c>
      <c r="N1380" s="57" t="str">
        <f t="shared" ref="N1380:N1385" si="595">IF(A1380="","",IF(M1380=B1380,"si","no"))</f>
        <v/>
      </c>
      <c r="O1380" s="56"/>
      <c r="P1380" s="56"/>
      <c r="Q1380" s="48"/>
      <c r="R1380" s="48"/>
      <c r="S1380" s="2"/>
    </row>
    <row r="1381" spans="1:19" ht="12.75" customHeight="1" x14ac:dyDescent="0.2">
      <c r="A1381" s="155"/>
      <c r="B1381" s="138" t="str">
        <f>IF(A1381="","",VLOOKUP(A1381,'6.A'!$A$11:$G$180,2,FALSE))</f>
        <v/>
      </c>
      <c r="C1381" s="156"/>
      <c r="D1381" s="57" t="str">
        <f>IF(A1381="","",VLOOKUP(A1381,'6.A'!$A$11:$G$180,4,FALSE))</f>
        <v/>
      </c>
      <c r="E1381" s="100" t="str">
        <f>IF(A1381="","",VLOOKUP(A1381,'6.A'!$A$11:$G$180,5,FALSE))</f>
        <v/>
      </c>
      <c r="F1381" s="24" t="str">
        <f t="shared" si="592"/>
        <v>0,00</v>
      </c>
      <c r="G1381" s="52"/>
      <c r="H1381" s="52" t="str">
        <f>IF(A1381="","",VLOOKUP(A1381,'6.A'!$A$11:$E$7984,5,FALSE))</f>
        <v/>
      </c>
      <c r="I1381" s="52" t="str">
        <f t="shared" si="593"/>
        <v/>
      </c>
      <c r="J1381" s="52" t="str">
        <f>IF(H1381="","",VLOOKUP(A1381,'6.A'!$A$11:$E$564,4,FALSE))</f>
        <v/>
      </c>
      <c r="K1381" s="52" t="str">
        <f t="shared" si="594"/>
        <v/>
      </c>
      <c r="L1381" s="52" t="str">
        <f>IF(H1381="","",IF(C1381="","",G1364*C1381))</f>
        <v/>
      </c>
      <c r="M1381" s="117" t="str">
        <f>IF(A1381="","",VLOOKUP(A1381,'6.A'!$A$11:$C$564,2,FALSE))</f>
        <v/>
      </c>
      <c r="N1381" s="57" t="str">
        <f t="shared" si="595"/>
        <v/>
      </c>
      <c r="O1381" s="56"/>
      <c r="P1381" s="56"/>
      <c r="Q1381" s="48"/>
      <c r="R1381" s="48"/>
      <c r="S1381" s="2"/>
    </row>
    <row r="1382" spans="1:19" ht="12.75" customHeight="1" x14ac:dyDescent="0.2">
      <c r="A1382" s="155"/>
      <c r="B1382" s="138" t="str">
        <f>IF(A1382="","",VLOOKUP(A1382,'6.A'!$A$11:$G$180,2,FALSE))</f>
        <v/>
      </c>
      <c r="C1382" s="156"/>
      <c r="D1382" s="57" t="str">
        <f>IF(A1382="","",VLOOKUP(A1382,'6.A'!$A$11:$G$180,4,FALSE))</f>
        <v/>
      </c>
      <c r="E1382" s="100" t="str">
        <f>IF(A1382="","",VLOOKUP(A1382,'6.A'!$A$11:$G$180,5,FALSE))</f>
        <v/>
      </c>
      <c r="F1382" s="24" t="str">
        <f t="shared" si="592"/>
        <v>0,00</v>
      </c>
      <c r="G1382" s="52"/>
      <c r="H1382" s="52" t="str">
        <f>IF(A1382="","",VLOOKUP(A1382,'6.A'!$A$11:$E$7984,5,FALSE))</f>
        <v/>
      </c>
      <c r="I1382" s="52" t="str">
        <f t="shared" si="593"/>
        <v/>
      </c>
      <c r="J1382" s="52" t="str">
        <f>IF(H1382="","",VLOOKUP(A1382,'6.A'!$A$11:$E$564,4,FALSE))</f>
        <v/>
      </c>
      <c r="K1382" s="52" t="str">
        <f t="shared" si="594"/>
        <v/>
      </c>
      <c r="L1382" s="52" t="str">
        <f>IF(H1382="","",IF(C1382="","",G1364*C1382))</f>
        <v/>
      </c>
      <c r="M1382" s="117" t="str">
        <f>IF(A1382="","",VLOOKUP(A1382,'6.A'!$A$11:$C$564,2,FALSE))</f>
        <v/>
      </c>
      <c r="N1382" s="57" t="str">
        <f t="shared" si="595"/>
        <v/>
      </c>
      <c r="O1382" s="56"/>
      <c r="P1382" s="56"/>
      <c r="Q1382" s="48"/>
      <c r="R1382" s="48"/>
      <c r="S1382" s="2"/>
    </row>
    <row r="1383" spans="1:19" ht="12.75" customHeight="1" x14ac:dyDescent="0.2">
      <c r="A1383" s="155"/>
      <c r="B1383" s="176" t="str">
        <f>IF(A1383="","",VLOOKUP(A1383,'6.A'!$A$11:$G$180,2,FALSE))</f>
        <v/>
      </c>
      <c r="C1383" s="156"/>
      <c r="D1383" s="57" t="str">
        <f>IF(A1383="","",VLOOKUP(A1383,'6.A'!$A$11:$G$180,4,FALSE))</f>
        <v/>
      </c>
      <c r="E1383" s="100" t="str">
        <f>IF(A1383="","",VLOOKUP(A1383,'6.A'!$A$11:$G$180,5,FALSE))</f>
        <v/>
      </c>
      <c r="F1383" s="24" t="str">
        <f t="shared" si="592"/>
        <v>0,00</v>
      </c>
      <c r="G1383" s="52"/>
      <c r="H1383" s="52" t="str">
        <f>IF(A1383="","",VLOOKUP(A1383,'6.A'!$A$11:$E$7984,5,FALSE))</f>
        <v/>
      </c>
      <c r="I1383" s="52" t="str">
        <f t="shared" si="593"/>
        <v/>
      </c>
      <c r="J1383" s="52" t="str">
        <f>IF(H1383="","",VLOOKUP(A1383,'6.A'!$A$11:$E$564,4,FALSE))</f>
        <v/>
      </c>
      <c r="K1383" s="52" t="str">
        <f t="shared" si="594"/>
        <v/>
      </c>
      <c r="L1383" s="52" t="str">
        <f>IF(H1383="","",IF(C1383="","",G1364*C1383))</f>
        <v/>
      </c>
      <c r="M1383" s="117" t="str">
        <f>IF(A1383="","",VLOOKUP(A1383,'6.A'!$A$11:$C$564,2,FALSE))</f>
        <v/>
      </c>
      <c r="N1383" s="57" t="str">
        <f t="shared" si="595"/>
        <v/>
      </c>
      <c r="O1383" s="56"/>
      <c r="P1383" s="56"/>
      <c r="Q1383" s="48"/>
      <c r="R1383" s="48"/>
      <c r="S1383" s="2"/>
    </row>
    <row r="1384" spans="1:19" ht="12.75" customHeight="1" x14ac:dyDescent="0.2">
      <c r="A1384" s="155"/>
      <c r="B1384" s="176" t="str">
        <f>IF(A1384="","",VLOOKUP(A1384,'6.A'!$A$11:$G$180,2,FALSE))</f>
        <v/>
      </c>
      <c r="C1384" s="156"/>
      <c r="D1384" s="57" t="str">
        <f>IF(A1384="","",VLOOKUP(A1384,'6.A'!$A$11:$G$180,4,FALSE))</f>
        <v/>
      </c>
      <c r="E1384" s="100" t="str">
        <f>IF(A1384="","",VLOOKUP(A1384,'6.A'!$A$11:$G$180,5,FALSE))</f>
        <v/>
      </c>
      <c r="F1384" s="24" t="str">
        <f t="shared" si="592"/>
        <v>0,00</v>
      </c>
      <c r="G1384" s="52"/>
      <c r="H1384" s="52" t="str">
        <f>IF(A1384="","",VLOOKUP(A1384,'6.A'!$A$11:$E$7984,5,FALSE))</f>
        <v/>
      </c>
      <c r="I1384" s="52" t="str">
        <f t="shared" si="593"/>
        <v/>
      </c>
      <c r="J1384" s="52" t="str">
        <f>IF(H1384="","",VLOOKUP(A1384,'6.A'!$A$11:$E$564,4,FALSE))</f>
        <v/>
      </c>
      <c r="K1384" s="52" t="str">
        <f t="shared" si="594"/>
        <v/>
      </c>
      <c r="L1384" s="52" t="str">
        <f>IF(H1384="","",IF(C1384="","",G1364*C1384))</f>
        <v/>
      </c>
      <c r="M1384" s="117" t="str">
        <f>IF(A1384="","",VLOOKUP(A1384,'6.A'!$A$11:$C$564,2,FALSE))</f>
        <v/>
      </c>
      <c r="N1384" s="57" t="str">
        <f t="shared" si="595"/>
        <v/>
      </c>
      <c r="O1384" s="56"/>
      <c r="P1384" s="56"/>
      <c r="Q1384" s="48"/>
      <c r="R1384" s="48"/>
      <c r="S1384" s="2"/>
    </row>
    <row r="1385" spans="1:19" ht="12.75" customHeight="1" x14ac:dyDescent="0.2">
      <c r="A1385" s="155"/>
      <c r="B1385" s="176" t="str">
        <f>IF(A1385="","",VLOOKUP(A1385,'6.A'!$A$11:$G$180,2,FALSE))</f>
        <v/>
      </c>
      <c r="C1385" s="156"/>
      <c r="D1385" s="57" t="str">
        <f>IF(A1385="","",VLOOKUP(A1385,'6.A'!$A$11:$G$180,4,FALSE))</f>
        <v/>
      </c>
      <c r="E1385" s="100" t="str">
        <f>IF(A1385="","",VLOOKUP(A1385,'6.A'!$A$11:$G$180,5,FALSE))</f>
        <v/>
      </c>
      <c r="F1385" s="24" t="str">
        <f t="shared" si="592"/>
        <v>0,00</v>
      </c>
      <c r="G1385" s="52"/>
      <c r="H1385" s="52" t="str">
        <f>IF(A1385="","",VLOOKUP(A1385,'6.A'!$A$11:$E$7984,5,FALSE))</f>
        <v/>
      </c>
      <c r="I1385" s="52" t="str">
        <f t="shared" si="593"/>
        <v/>
      </c>
      <c r="J1385" s="52" t="str">
        <f>IF(H1385="","",VLOOKUP(A1385,'6.A'!$A$11:$E$564,4,FALSE))</f>
        <v/>
      </c>
      <c r="K1385" s="52" t="str">
        <f t="shared" si="594"/>
        <v/>
      </c>
      <c r="L1385" s="52" t="str">
        <f>IF(H1385="","",IF(C1385="","",G1364*C1385))</f>
        <v/>
      </c>
      <c r="M1385" s="117" t="str">
        <f>IF(A1385="","",VLOOKUP(A1385,'6.A'!$A$11:$C$564,2,FALSE))</f>
        <v/>
      </c>
      <c r="N1385" s="57" t="str">
        <f t="shared" si="595"/>
        <v/>
      </c>
      <c r="O1385" s="56"/>
      <c r="P1385" s="56"/>
      <c r="Q1385" s="48"/>
      <c r="R1385" s="48"/>
      <c r="S1385" s="2"/>
    </row>
    <row r="1386" spans="1:19" ht="12.75" customHeight="1" x14ac:dyDescent="0.2">
      <c r="A1386" s="155"/>
      <c r="B1386" s="176" t="str">
        <f>IF(A1386="","",VLOOKUP(A1386,'6.A'!$A$11:$G$180,2,FALSE))</f>
        <v/>
      </c>
      <c r="C1386" s="156"/>
      <c r="D1386" s="57" t="str">
        <f>IF(A1386="","",VLOOKUP(A1386,'6.A'!$A$11:$G$180,4,FALSE))</f>
        <v/>
      </c>
      <c r="E1386" s="100" t="str">
        <f>IF(A1386="","",VLOOKUP(A1386,'6.A'!$A$11:$G$180,5,FALSE))</f>
        <v/>
      </c>
      <c r="F1386" s="24" t="str">
        <f t="shared" si="592"/>
        <v>0,00</v>
      </c>
      <c r="G1386" s="52"/>
      <c r="H1386" s="52" t="str">
        <f>IF(A1386="","",VLOOKUP(A1386,'6.A'!$A$11:$E$7984,5,FALSE))</f>
        <v/>
      </c>
      <c r="I1386" s="52" t="str">
        <f t="shared" si="593"/>
        <v/>
      </c>
      <c r="J1386" s="52" t="str">
        <f>IF(H1386="","",VLOOKUP(A1386,'6.A'!$A$11:$E$564,4,FALSE))</f>
        <v/>
      </c>
      <c r="K1386" s="52" t="str">
        <f t="shared" si="594"/>
        <v/>
      </c>
      <c r="L1386" s="52" t="str">
        <f>IF(H1386="","",IF(C1386="","",G1364*C1386))</f>
        <v/>
      </c>
      <c r="M1386" s="117" t="str">
        <f>IF(A1386="","",VLOOKUP(A1386,'6.A'!$A$11:$C$564,2,FALSE))</f>
        <v/>
      </c>
      <c r="N1386" s="57" t="str">
        <f>IF(A1386="","",IF(M1386=B1386,"si","no"))</f>
        <v/>
      </c>
      <c r="O1386" s="56"/>
      <c r="P1386" s="56"/>
      <c r="Q1386" s="48"/>
      <c r="R1386" s="48"/>
      <c r="S1386" s="2"/>
    </row>
    <row r="1387" spans="1:19" ht="12.75" customHeight="1" x14ac:dyDescent="0.2">
      <c r="A1387" s="155"/>
      <c r="B1387" s="138" t="str">
        <f>IF(A1387="","",VLOOKUP(A1387,'6.A'!$A$11:$G$180,2,FALSE))</f>
        <v/>
      </c>
      <c r="C1387" s="156"/>
      <c r="D1387" s="57" t="str">
        <f>IF(A1387="","",VLOOKUP(A1387,'6.A'!$A$11:$G$180,4,FALSE))</f>
        <v/>
      </c>
      <c r="E1387" s="100" t="str">
        <f>IF(A1387="","",VLOOKUP(A1387,'6.A'!$A$11:$G$180,5,FALSE))</f>
        <v/>
      </c>
      <c r="F1387" s="24" t="str">
        <f t="shared" si="592"/>
        <v>0,00</v>
      </c>
      <c r="G1387" s="52"/>
      <c r="H1387" s="52" t="str">
        <f>IF(A1387="","",VLOOKUP(A1387,'6.A'!$A$11:$E$7984,5,FALSE))</f>
        <v/>
      </c>
      <c r="I1387" s="52" t="str">
        <f t="shared" si="593"/>
        <v/>
      </c>
      <c r="J1387" s="52" t="str">
        <f>IF(H1387="","",VLOOKUP(A1387,'6.A'!$A$11:$E$564,4,FALSE))</f>
        <v/>
      </c>
      <c r="K1387" s="52" t="str">
        <f t="shared" si="594"/>
        <v/>
      </c>
      <c r="L1387" s="52" t="str">
        <f>IF(H1387="","",IF(C1387="","",G1364*C1387))</f>
        <v/>
      </c>
      <c r="M1387" s="117" t="str">
        <f>IF(A1387="","",VLOOKUP(A1387,'6.A'!$A$11:$C$564,2,FALSE))</f>
        <v/>
      </c>
      <c r="N1387" s="57" t="str">
        <f>IF(A1387="","",IF(M1387=B1387,"si","no"))</f>
        <v/>
      </c>
      <c r="O1387" s="56"/>
      <c r="P1387" s="56"/>
      <c r="Q1387" s="48"/>
      <c r="R1387" s="48"/>
      <c r="S1387" s="2"/>
    </row>
    <row r="1388" spans="1:19" ht="12.75" customHeight="1" x14ac:dyDescent="0.2">
      <c r="A1388" s="155"/>
      <c r="B1388" s="138" t="str">
        <f>IF(A1388="","",VLOOKUP(A1388,'6.A'!$A$11:$G$180,2,FALSE))</f>
        <v/>
      </c>
      <c r="C1388" s="156"/>
      <c r="D1388" s="57" t="str">
        <f>IF(A1388="","",VLOOKUP(A1388,'6.A'!$A$11:$G$180,4,FALSE))</f>
        <v/>
      </c>
      <c r="E1388" s="100" t="str">
        <f>IF(A1388="","",VLOOKUP(A1388,'6.A'!$A$11:$G$180,5,FALSE))</f>
        <v/>
      </c>
      <c r="F1388" s="24" t="str">
        <f t="shared" si="592"/>
        <v>0,00</v>
      </c>
      <c r="G1388" s="52"/>
      <c r="H1388" s="52" t="str">
        <f>IF(A1388="","",VLOOKUP(A1388,'6.A'!$A$11:$E$7984,5,FALSE))</f>
        <v/>
      </c>
      <c r="I1388" s="52" t="str">
        <f t="shared" si="593"/>
        <v/>
      </c>
      <c r="J1388" s="52" t="str">
        <f>IF(H1388="","",VLOOKUP(A1388,'6.A'!$A$11:$E$564,4,FALSE))</f>
        <v/>
      </c>
      <c r="K1388" s="52" t="str">
        <f t="shared" si="594"/>
        <v/>
      </c>
      <c r="L1388" s="52" t="str">
        <f>IF(H1388="","",IF(C1388="","",G1364*C1388))</f>
        <v/>
      </c>
      <c r="M1388" s="117" t="str">
        <f>IF(A1388="","",VLOOKUP(A1388,'6.A'!$A$11:$C$564,2,FALSE))</f>
        <v/>
      </c>
      <c r="N1388" s="57" t="str">
        <f t="shared" ref="N1388:N1389" si="596">IF(A1388="","",IF(M1388=B1388,"si","no"))</f>
        <v/>
      </c>
      <c r="O1388" s="56"/>
      <c r="P1388" s="56"/>
      <c r="Q1388" s="48"/>
      <c r="R1388" s="48"/>
      <c r="S1388" s="2"/>
    </row>
    <row r="1389" spans="1:19" ht="12.75" customHeight="1" x14ac:dyDescent="0.2">
      <c r="A1389" s="155"/>
      <c r="B1389" s="138" t="str">
        <f>IF(A1389="","",VLOOKUP(A1389,'6.A'!$A$11:$G$180,2,FALSE))</f>
        <v/>
      </c>
      <c r="C1389" s="156"/>
      <c r="D1389" s="57" t="str">
        <f>IF(A1389="","",VLOOKUP(A1389,'6.A'!$A$11:$G$180,4,FALSE))</f>
        <v/>
      </c>
      <c r="E1389" s="100" t="str">
        <f>IF(A1389="","",VLOOKUP(A1389,'6.A'!$A$11:$G$180,5,FALSE))</f>
        <v/>
      </c>
      <c r="F1389" s="24" t="str">
        <f t="shared" si="592"/>
        <v>0,00</v>
      </c>
      <c r="G1389" s="52"/>
      <c r="H1389" s="52" t="str">
        <f>IF(A1389="","",VLOOKUP(A1389,'6.A'!$A$11:$E$7984,5,FALSE))</f>
        <v/>
      </c>
      <c r="I1389" s="52" t="str">
        <f t="shared" si="593"/>
        <v/>
      </c>
      <c r="J1389" s="52" t="str">
        <f>IF(H1389="","",VLOOKUP(A1389,'6.A'!$A$11:$E$564,4,FALSE))</f>
        <v/>
      </c>
      <c r="K1389" s="52" t="str">
        <f t="shared" si="594"/>
        <v/>
      </c>
      <c r="L1389" s="52" t="str">
        <f>IF(H1389="","",IF(C1389="","",G1364*C1389))</f>
        <v/>
      </c>
      <c r="M1389" s="117" t="str">
        <f>IF(A1389="","",VLOOKUP(A1389,'6.A'!$A$11:$C$564,2,FALSE))</f>
        <v/>
      </c>
      <c r="N1389" s="57" t="str">
        <f t="shared" si="596"/>
        <v/>
      </c>
      <c r="O1389" s="56"/>
      <c r="P1389" s="56"/>
      <c r="Q1389" s="48"/>
      <c r="R1389" s="48"/>
      <c r="S1389" s="2"/>
    </row>
    <row r="1390" spans="1:19" ht="12.75" customHeight="1" x14ac:dyDescent="0.2">
      <c r="A1390" s="155"/>
      <c r="B1390" s="26" t="str">
        <f>$A$9</f>
        <v>BDI</v>
      </c>
      <c r="C1390" s="27">
        <f>$C$9</f>
        <v>0</v>
      </c>
      <c r="D1390" s="57"/>
      <c r="F1390" s="28">
        <f>ROUND(SUM(F1380:F1389)*C1390,2)</f>
        <v>0</v>
      </c>
      <c r="G1390" s="63"/>
      <c r="M1390" s="62"/>
      <c r="N1390" s="57"/>
      <c r="O1390" s="56"/>
      <c r="P1390" s="56"/>
      <c r="Q1390" s="48"/>
      <c r="R1390" s="48"/>
      <c r="S1390" s="2"/>
    </row>
    <row r="1391" spans="1:19" ht="12.75" customHeight="1" x14ac:dyDescent="0.2">
      <c r="A1391" s="163"/>
      <c r="B1391" s="31" t="s">
        <v>117</v>
      </c>
      <c r="C1391" s="36"/>
      <c r="D1391" s="37"/>
      <c r="E1391" s="38"/>
      <c r="F1391" s="35">
        <f>ROUND(SUM(F1380:F1390),2)</f>
        <v>0</v>
      </c>
      <c r="G1391" s="63"/>
      <c r="M1391" s="62"/>
      <c r="N1391" s="57"/>
      <c r="O1391" s="56"/>
      <c r="P1391" s="56"/>
      <c r="Q1391" s="48"/>
      <c r="R1391" s="48"/>
      <c r="S1391" s="2"/>
    </row>
    <row r="1392" spans="1:19" ht="12.75" customHeight="1" x14ac:dyDescent="0.2">
      <c r="A1392" s="152" t="s">
        <v>6</v>
      </c>
      <c r="B1392" s="153" t="s">
        <v>17</v>
      </c>
      <c r="C1392" s="140" t="s">
        <v>59</v>
      </c>
      <c r="D1392" s="56" t="s">
        <v>16</v>
      </c>
      <c r="E1392" s="19" t="s">
        <v>60</v>
      </c>
      <c r="F1392" s="20" t="s">
        <v>61</v>
      </c>
      <c r="G1392" s="21"/>
      <c r="M1392" s="62"/>
      <c r="N1392" s="57"/>
      <c r="O1392" s="56"/>
      <c r="P1392" s="56"/>
      <c r="Q1392" s="48"/>
      <c r="R1392" s="48"/>
      <c r="S1392" s="2"/>
    </row>
    <row r="1393" spans="1:22" ht="12.75" customHeight="1" x14ac:dyDescent="0.2">
      <c r="A1393" s="155">
        <f>'6.A'!$A$72</f>
        <v>981</v>
      </c>
      <c r="B1393" s="138" t="str">
        <f>IF(A1393="","",VLOOKUP(A1393,'6.A'!$A$11:$G$180,2,FALSE))</f>
        <v>CABO DE COBRE FLEXIVEL CL 4/5, ISOLACAO PVC/A, ANTICHAMA BWF-B, 1 CONDUTOR, 450/750 V, SECAO NOMINAL 4 MM2</v>
      </c>
      <c r="C1393" s="156">
        <v>1.2434000000000001</v>
      </c>
      <c r="D1393" s="57" t="str">
        <f>IF(A1393="","",VLOOKUP(A1393,'6.A'!$A$11:$G$180,4,FALSE))</f>
        <v>M</v>
      </c>
      <c r="E1393" s="100">
        <f>IF(A1393="","",VLOOKUP(A1393,'6.A'!$A$11:$G$180,5,FALSE))</f>
        <v>0</v>
      </c>
      <c r="F1393" s="24">
        <f t="shared" ref="F1393:F1403" si="597">IF(A1393="","0,00",ROUND(C1393*E1393,2))</f>
        <v>0</v>
      </c>
      <c r="G1393" s="52"/>
      <c r="H1393" s="52">
        <f>IF(A1393="","",VLOOKUP(A1393,'6.A'!$A$11:$E$7984,5,FALSE))</f>
        <v>0</v>
      </c>
      <c r="I1393" s="52" t="str">
        <f t="shared" ref="I1393:I1403" si="598">IF(H1393="","",IF(E1393=H1393,"SIM","NÃO"))</f>
        <v>SIM</v>
      </c>
      <c r="J1393" s="52" t="str">
        <f>IF(H1393="","",VLOOKUP(A1393,'6.A'!$A$11:$E$564,4,FALSE))</f>
        <v>M</v>
      </c>
      <c r="K1393" s="52" t="str">
        <f t="shared" ref="K1393:K1403" si="599">IF(H1393="","",IF(J1393=D1393,"SIM","NÃO"))</f>
        <v>SIM</v>
      </c>
      <c r="L1393" s="52">
        <f>IF(H1393="","",IF(C1393="","",G1364*C1393))</f>
        <v>3.7302</v>
      </c>
      <c r="M1393" s="117" t="str">
        <f>IF(A1393="","",VLOOKUP(A1393,'6.A'!$A$11:$C$564,2,FALSE))</f>
        <v>CABO DE COBRE FLEXIVEL CL 4/5, ISOLACAO PVC/A, ANTICHAMA BWF-B, 1 CONDUTOR, 450/750 V, SECAO NOMINAL 4 MM2</v>
      </c>
      <c r="N1393" s="57" t="str">
        <f t="shared" ref="N1393:N1403" si="600">IF(A1393="","",IF(M1393=B1393,"si","no"))</f>
        <v>si</v>
      </c>
      <c r="O1393" s="56"/>
      <c r="P1393" s="56"/>
      <c r="Q1393" s="48"/>
      <c r="R1393" s="48"/>
      <c r="S1393" s="2"/>
    </row>
    <row r="1394" spans="1:22" ht="12.75" customHeight="1" x14ac:dyDescent="0.2">
      <c r="A1394" s="155">
        <f>'6.A'!$A$123</f>
        <v>21127</v>
      </c>
      <c r="B1394" s="138" t="str">
        <f>IF(A1394="","",VLOOKUP(A1394,'6.A'!$A$11:$G$180,2,FALSE))</f>
        <v>FITA ISOLANTE ADESIVA ANTICHAMA, USO ATE 750 V, EM ROLO DE 19 MM X 5 M</v>
      </c>
      <c r="C1394" s="156">
        <v>9.4000000000000004E-3</v>
      </c>
      <c r="D1394" s="57" t="str">
        <f>IF(A1394="","",VLOOKUP(A1394,'6.A'!$A$11:$G$180,4,FALSE))</f>
        <v>UN</v>
      </c>
      <c r="E1394" s="100">
        <f>IF(A1394="","",VLOOKUP(A1394,'6.A'!$A$11:$G$180,5,FALSE))</f>
        <v>0</v>
      </c>
      <c r="F1394" s="24">
        <f t="shared" si="597"/>
        <v>0</v>
      </c>
      <c r="G1394" s="52"/>
      <c r="H1394" s="52">
        <f>IF(A1394="","",VLOOKUP(A1394,'6.A'!$A$11:$E$7984,5,FALSE))</f>
        <v>0</v>
      </c>
      <c r="I1394" s="52" t="str">
        <f t="shared" si="598"/>
        <v>SIM</v>
      </c>
      <c r="J1394" s="52" t="str">
        <f>IF(H1394="","",VLOOKUP(A1394,'6.A'!$A$11:$E$564,4,FALSE))</f>
        <v>UN</v>
      </c>
      <c r="K1394" s="52" t="str">
        <f t="shared" si="599"/>
        <v>SIM</v>
      </c>
      <c r="L1394" s="52">
        <f>IF(H1394="","",IF(C1394="","",G1364*C1394))</f>
        <v>2.8200000000000003E-2</v>
      </c>
      <c r="M1394" s="117" t="str">
        <f>IF(A1394="","",VLOOKUP(A1394,'6.A'!$A$11:$C$564,2,FALSE))</f>
        <v>FITA ISOLANTE ADESIVA ANTICHAMA, USO ATE 750 V, EM ROLO DE 19 MM X 5 M</v>
      </c>
      <c r="N1394" s="57" t="str">
        <f t="shared" si="600"/>
        <v>si</v>
      </c>
      <c r="O1394" s="56"/>
      <c r="P1394" s="56"/>
      <c r="Q1394" s="48"/>
      <c r="R1394" s="48"/>
    </row>
    <row r="1395" spans="1:22" ht="12.75" customHeight="1" x14ac:dyDescent="0.2">
      <c r="A1395" s="155"/>
      <c r="B1395" s="138" t="str">
        <f>IF(A1395="","",VLOOKUP(A1395,'6.A'!$A$11:$G$180,2,FALSE))</f>
        <v/>
      </c>
      <c r="C1395" s="156"/>
      <c r="D1395" s="57" t="str">
        <f>IF(A1395="","",VLOOKUP(A1395,'6.A'!$A$11:$G$180,4,FALSE))</f>
        <v/>
      </c>
      <c r="E1395" s="100" t="str">
        <f>IF(A1395="","",VLOOKUP(A1395,'6.A'!$A$11:$G$180,5,FALSE))</f>
        <v/>
      </c>
      <c r="F1395" s="24" t="str">
        <f t="shared" si="597"/>
        <v>0,00</v>
      </c>
      <c r="G1395" s="52"/>
      <c r="H1395" s="52" t="str">
        <f>IF(A1395="","",VLOOKUP(A1395,'6.A'!$A$11:$E$7984,5,FALSE))</f>
        <v/>
      </c>
      <c r="I1395" s="52" t="str">
        <f t="shared" si="598"/>
        <v/>
      </c>
      <c r="J1395" s="52" t="str">
        <f>IF(H1395="","",VLOOKUP(A1395,'6.A'!$A$11:$E$564,4,FALSE))</f>
        <v/>
      </c>
      <c r="K1395" s="52" t="str">
        <f t="shared" si="599"/>
        <v/>
      </c>
      <c r="L1395" s="52" t="str">
        <f>IF(H1395="","",IF(C1395="","",G1364*C1395))</f>
        <v/>
      </c>
      <c r="M1395" s="117" t="str">
        <f>IF(A1395="","",VLOOKUP(A1395,'6.A'!$A$11:$C$564,2,FALSE))</f>
        <v/>
      </c>
      <c r="N1395" s="57" t="str">
        <f t="shared" si="600"/>
        <v/>
      </c>
      <c r="O1395" s="56"/>
      <c r="P1395" s="56"/>
      <c r="Q1395" s="48"/>
      <c r="R1395" s="48"/>
    </row>
    <row r="1396" spans="1:22" s="65" customFormat="1" ht="12.75" customHeight="1" x14ac:dyDescent="0.2">
      <c r="A1396" s="155"/>
      <c r="B1396" s="138" t="str">
        <f>IF(A1396="","",VLOOKUP(A1396,'6.A'!$A$11:$G$180,2,FALSE))</f>
        <v/>
      </c>
      <c r="C1396" s="156"/>
      <c r="D1396" s="57" t="str">
        <f>IF(A1396="","",VLOOKUP(A1396,'6.A'!$A$11:$G$180,4,FALSE))</f>
        <v/>
      </c>
      <c r="E1396" s="100" t="str">
        <f>IF(A1396="","",VLOOKUP(A1396,'6.A'!$A$11:$G$180,5,FALSE))</f>
        <v/>
      </c>
      <c r="F1396" s="24" t="str">
        <f t="shared" si="597"/>
        <v>0,00</v>
      </c>
      <c r="G1396" s="52"/>
      <c r="H1396" s="52" t="str">
        <f>IF(A1396="","",VLOOKUP(A1396,'6.A'!$A$11:$E$7984,5,FALSE))</f>
        <v/>
      </c>
      <c r="I1396" s="52" t="str">
        <f t="shared" si="598"/>
        <v/>
      </c>
      <c r="J1396" s="52" t="str">
        <f>IF(H1396="","",VLOOKUP(A1396,'6.A'!$A$11:$E$564,4,FALSE))</f>
        <v/>
      </c>
      <c r="K1396" s="52" t="str">
        <f t="shared" si="599"/>
        <v/>
      </c>
      <c r="L1396" s="52" t="str">
        <f>IF(H1396="","",IF(C1396="","",G1364*C1396))</f>
        <v/>
      </c>
      <c r="M1396" s="117" t="str">
        <f>IF(A1396="","",VLOOKUP(A1396,'6.A'!$A$11:$C$564,2,FALSE))</f>
        <v/>
      </c>
      <c r="N1396" s="57" t="str">
        <f t="shared" si="600"/>
        <v/>
      </c>
      <c r="O1396" s="56"/>
      <c r="P1396" s="56"/>
      <c r="Q1396" s="48"/>
      <c r="R1396" s="48"/>
      <c r="T1396" s="2"/>
      <c r="U1396" s="2"/>
      <c r="V1396" s="2"/>
    </row>
    <row r="1397" spans="1:22" ht="12.75" customHeight="1" x14ac:dyDescent="0.2">
      <c r="A1397" s="155"/>
      <c r="B1397" s="138" t="str">
        <f>IF(A1397="","",VLOOKUP(A1397,'6.A'!$A$11:$G$180,2,FALSE))</f>
        <v/>
      </c>
      <c r="C1397" s="156"/>
      <c r="D1397" s="57" t="str">
        <f>IF(A1397="","",VLOOKUP(A1397,'6.A'!$A$11:$G$180,4,FALSE))</f>
        <v/>
      </c>
      <c r="E1397" s="100" t="str">
        <f>IF(A1397="","",VLOOKUP(A1397,'6.A'!$A$11:$G$180,5,FALSE))</f>
        <v/>
      </c>
      <c r="F1397" s="24" t="str">
        <f t="shared" si="597"/>
        <v>0,00</v>
      </c>
      <c r="G1397" s="52"/>
      <c r="H1397" s="52" t="str">
        <f>IF(A1397="","",VLOOKUP(A1397,'6.A'!$A$11:$E$7984,5,FALSE))</f>
        <v/>
      </c>
      <c r="I1397" s="52" t="str">
        <f t="shared" si="598"/>
        <v/>
      </c>
      <c r="J1397" s="52" t="str">
        <f>IF(H1397="","",VLOOKUP(A1397,'6.A'!$A$11:$E$564,4,FALSE))</f>
        <v/>
      </c>
      <c r="K1397" s="52" t="str">
        <f t="shared" si="599"/>
        <v/>
      </c>
      <c r="L1397" s="52" t="str">
        <f>IF(H1397="","",IF(C1397="","",G1364*C1397))</f>
        <v/>
      </c>
      <c r="M1397" s="117" t="str">
        <f>IF(A1397="","",VLOOKUP(A1397,'6.A'!$A$11:$C$564,2,FALSE))</f>
        <v/>
      </c>
      <c r="N1397" s="57" t="str">
        <f t="shared" si="600"/>
        <v/>
      </c>
      <c r="O1397" s="56"/>
      <c r="P1397" s="56"/>
      <c r="Q1397" s="48"/>
      <c r="R1397" s="48"/>
    </row>
    <row r="1398" spans="1:22" ht="12.75" customHeight="1" x14ac:dyDescent="0.2">
      <c r="A1398" s="155"/>
      <c r="B1398" s="138" t="str">
        <f>IF(A1398="","",VLOOKUP(A1398,'6.A'!$A$11:$G$180,2,FALSE))</f>
        <v/>
      </c>
      <c r="C1398" s="156"/>
      <c r="D1398" s="57" t="str">
        <f>IF(A1398="","",VLOOKUP(A1398,'6.A'!$A$11:$G$180,4,FALSE))</f>
        <v/>
      </c>
      <c r="E1398" s="100" t="str">
        <f>IF(A1398="","",VLOOKUP(A1398,'6.A'!$A$11:$G$180,5,FALSE))</f>
        <v/>
      </c>
      <c r="F1398" s="24" t="str">
        <f t="shared" si="597"/>
        <v>0,00</v>
      </c>
      <c r="G1398" s="52"/>
      <c r="H1398" s="52" t="str">
        <f>IF(A1398="","",VLOOKUP(A1398,'6.A'!$A$11:$E$7984,5,FALSE))</f>
        <v/>
      </c>
      <c r="I1398" s="52" t="str">
        <f t="shared" si="598"/>
        <v/>
      </c>
      <c r="J1398" s="52" t="str">
        <f>IF(H1398="","",VLOOKUP(A1398,'6.A'!$A$11:$E$564,4,FALSE))</f>
        <v/>
      </c>
      <c r="K1398" s="52" t="str">
        <f t="shared" si="599"/>
        <v/>
      </c>
      <c r="L1398" s="52" t="str">
        <f>IF(H1398="","",IF(C1398="","",G1364*C1398))</f>
        <v/>
      </c>
      <c r="M1398" s="117" t="str">
        <f>IF(A1398="","",VLOOKUP(A1398,'6.A'!$A$11:$C$564,2,FALSE))</f>
        <v/>
      </c>
      <c r="N1398" s="57" t="str">
        <f t="shared" si="600"/>
        <v/>
      </c>
      <c r="O1398" s="56"/>
      <c r="P1398" s="56"/>
      <c r="Q1398" s="48"/>
      <c r="R1398" s="48"/>
      <c r="S1398" s="2"/>
    </row>
    <row r="1399" spans="1:22" ht="12.75" customHeight="1" x14ac:dyDescent="0.2">
      <c r="A1399" s="155"/>
      <c r="B1399" s="138" t="str">
        <f>IF(A1399="","",VLOOKUP(A1399,'6.A'!$A$11:$G$180,2,FALSE))</f>
        <v/>
      </c>
      <c r="C1399" s="156"/>
      <c r="D1399" s="57" t="str">
        <f>IF(A1399="","",VLOOKUP(A1399,'6.A'!$A$11:$G$180,4,FALSE))</f>
        <v/>
      </c>
      <c r="E1399" s="100" t="str">
        <f>IF(A1399="","",VLOOKUP(A1399,'6.A'!$A$11:$G$180,5,FALSE))</f>
        <v/>
      </c>
      <c r="F1399" s="24" t="str">
        <f t="shared" si="597"/>
        <v>0,00</v>
      </c>
      <c r="G1399" s="52"/>
      <c r="H1399" s="52" t="str">
        <f>IF(A1399="","",VLOOKUP(A1399,'6.A'!$A$11:$E$7984,5,FALSE))</f>
        <v/>
      </c>
      <c r="I1399" s="52" t="str">
        <f t="shared" si="598"/>
        <v/>
      </c>
      <c r="J1399" s="52" t="str">
        <f>IF(H1399="","",VLOOKUP(A1399,'6.A'!$A$11:$E$564,4,FALSE))</f>
        <v/>
      </c>
      <c r="K1399" s="52" t="str">
        <f t="shared" si="599"/>
        <v/>
      </c>
      <c r="L1399" s="52" t="str">
        <f>IF(H1399="","",IF(C1399="","",G1364*C1399))</f>
        <v/>
      </c>
      <c r="M1399" s="117" t="str">
        <f>IF(A1399="","",VLOOKUP(A1399,'6.A'!$A$11:$C$564,2,FALSE))</f>
        <v/>
      </c>
      <c r="N1399" s="57" t="str">
        <f t="shared" si="600"/>
        <v/>
      </c>
      <c r="O1399" s="56"/>
      <c r="P1399" s="56"/>
      <c r="Q1399" s="48"/>
      <c r="R1399" s="48"/>
      <c r="S1399" s="2"/>
    </row>
    <row r="1400" spans="1:22" s="65" customFormat="1" ht="12.75" customHeight="1" x14ac:dyDescent="0.2">
      <c r="A1400" s="155"/>
      <c r="B1400" s="138" t="str">
        <f>IF(A1400="","",VLOOKUP(A1400,'6.A'!$A$11:$G$180,2,FALSE))</f>
        <v/>
      </c>
      <c r="C1400" s="156"/>
      <c r="D1400" s="57" t="str">
        <f>IF(A1400="","",VLOOKUP(A1400,'6.A'!$A$11:$G$180,4,FALSE))</f>
        <v/>
      </c>
      <c r="E1400" s="100" t="str">
        <f>IF(A1400="","",VLOOKUP(A1400,'6.A'!$A$11:$G$180,5,FALSE))</f>
        <v/>
      </c>
      <c r="F1400" s="24" t="str">
        <f t="shared" si="597"/>
        <v>0,00</v>
      </c>
      <c r="G1400" s="52"/>
      <c r="H1400" s="52" t="str">
        <f>IF(A1400="","",VLOOKUP(A1400,'6.A'!$A$11:$E$7984,5,FALSE))</f>
        <v/>
      </c>
      <c r="I1400" s="52" t="str">
        <f t="shared" si="598"/>
        <v/>
      </c>
      <c r="J1400" s="52" t="str">
        <f>IF(H1400="","",VLOOKUP(A1400,'6.A'!$A$11:$E$564,4,FALSE))</f>
        <v/>
      </c>
      <c r="K1400" s="52" t="str">
        <f t="shared" si="599"/>
        <v/>
      </c>
      <c r="L1400" s="52" t="str">
        <f>IF(H1400="","",IF(C1400="","",G1364*C1400))</f>
        <v/>
      </c>
      <c r="M1400" s="117" t="str">
        <f>IF(A1400="","",VLOOKUP(A1400,'6.A'!$A$11:$C$564,2,FALSE))</f>
        <v/>
      </c>
      <c r="N1400" s="57" t="str">
        <f t="shared" si="600"/>
        <v/>
      </c>
      <c r="O1400" s="56"/>
      <c r="P1400" s="56"/>
      <c r="Q1400" s="48"/>
      <c r="R1400" s="48"/>
      <c r="T1400" s="2"/>
      <c r="U1400" s="2"/>
      <c r="V1400" s="2"/>
    </row>
    <row r="1401" spans="1:22" s="65" customFormat="1" ht="12.75" customHeight="1" x14ac:dyDescent="0.2">
      <c r="A1401" s="155"/>
      <c r="B1401" s="138" t="str">
        <f>IF(A1401="","",VLOOKUP(A1401,'6.A'!$A$11:$G$180,2,FALSE))</f>
        <v/>
      </c>
      <c r="C1401" s="156"/>
      <c r="D1401" s="57" t="str">
        <f>IF(A1401="","",VLOOKUP(A1401,'6.A'!$A$11:$G$180,4,FALSE))</f>
        <v/>
      </c>
      <c r="E1401" s="100" t="str">
        <f>IF(A1401="","",VLOOKUP(A1401,'6.A'!$A$11:$G$180,5,FALSE))</f>
        <v/>
      </c>
      <c r="F1401" s="24" t="str">
        <f t="shared" si="597"/>
        <v>0,00</v>
      </c>
      <c r="G1401" s="52"/>
      <c r="H1401" s="52" t="str">
        <f>IF(A1401="","",VLOOKUP(A1401,'6.A'!$A$11:$E$7984,5,FALSE))</f>
        <v/>
      </c>
      <c r="I1401" s="52" t="str">
        <f t="shared" si="598"/>
        <v/>
      </c>
      <c r="J1401" s="52" t="str">
        <f>IF(H1401="","",VLOOKUP(A1401,'6.A'!$A$11:$E$564,4,FALSE))</f>
        <v/>
      </c>
      <c r="K1401" s="52" t="str">
        <f t="shared" si="599"/>
        <v/>
      </c>
      <c r="L1401" s="52" t="str">
        <f>IF(H1401="","",IF(C1401="","",G1364*C1401))</f>
        <v/>
      </c>
      <c r="M1401" s="117" t="str">
        <f>IF(A1401="","",VLOOKUP(A1401,'6.A'!$A$11:$C$564,2,FALSE))</f>
        <v/>
      </c>
      <c r="N1401" s="57" t="str">
        <f t="shared" si="600"/>
        <v/>
      </c>
      <c r="O1401" s="56"/>
      <c r="P1401" s="56"/>
      <c r="Q1401" s="48"/>
      <c r="R1401" s="48"/>
      <c r="T1401" s="2"/>
      <c r="U1401" s="2"/>
      <c r="V1401" s="2"/>
    </row>
    <row r="1402" spans="1:22" ht="12.75" customHeight="1" x14ac:dyDescent="0.2">
      <c r="A1402" s="155"/>
      <c r="B1402" s="138" t="str">
        <f>IF(A1402="","",VLOOKUP(A1402,'6.A'!$A$11:$G$180,2,FALSE))</f>
        <v/>
      </c>
      <c r="C1402" s="156"/>
      <c r="D1402" s="57" t="str">
        <f>IF(A1402="","",VLOOKUP(A1402,'6.A'!$A$11:$G$180,4,FALSE))</f>
        <v/>
      </c>
      <c r="E1402" s="100" t="str">
        <f>IF(A1402="","",VLOOKUP(A1402,'6.A'!$A$11:$G$180,5,FALSE))</f>
        <v/>
      </c>
      <c r="F1402" s="24" t="str">
        <f t="shared" si="597"/>
        <v>0,00</v>
      </c>
      <c r="G1402" s="52"/>
      <c r="H1402" s="52" t="str">
        <f>IF(A1402="","",VLOOKUP(A1402,'6.A'!$A$11:$E$7984,5,FALSE))</f>
        <v/>
      </c>
      <c r="I1402" s="52" t="str">
        <f t="shared" si="598"/>
        <v/>
      </c>
      <c r="J1402" s="52" t="str">
        <f>IF(H1402="","",VLOOKUP(A1402,'6.A'!$A$11:$E$564,4,FALSE))</f>
        <v/>
      </c>
      <c r="K1402" s="52" t="str">
        <f t="shared" si="599"/>
        <v/>
      </c>
      <c r="L1402" s="52" t="str">
        <f>IF(H1402="","",IF(C1402="","",G1364*C1402))</f>
        <v/>
      </c>
      <c r="M1402" s="117" t="str">
        <f>IF(A1402="","",VLOOKUP(A1402,'6.A'!$A$11:$C$564,2,FALSE))</f>
        <v/>
      </c>
      <c r="N1402" s="57" t="str">
        <f t="shared" si="600"/>
        <v/>
      </c>
      <c r="O1402" s="56"/>
      <c r="P1402" s="56"/>
      <c r="Q1402" s="48"/>
      <c r="R1402" s="48"/>
      <c r="S1402" s="2"/>
    </row>
    <row r="1403" spans="1:22" ht="12.75" customHeight="1" x14ac:dyDescent="0.2">
      <c r="A1403" s="155"/>
      <c r="B1403" s="138" t="str">
        <f>IF(A1403="","",VLOOKUP(A1403,'6.A'!$A$11:$G$180,2,FALSE))</f>
        <v/>
      </c>
      <c r="C1403" s="156"/>
      <c r="D1403" s="57" t="str">
        <f>IF(A1403="","",VLOOKUP(A1403,'6.A'!$A$11:$G$180,4,FALSE))</f>
        <v/>
      </c>
      <c r="E1403" s="100" t="str">
        <f>IF(A1403="","",VLOOKUP(A1403,'6.A'!$A$11:$G$180,5,FALSE))</f>
        <v/>
      </c>
      <c r="F1403" s="24" t="str">
        <f t="shared" si="597"/>
        <v>0,00</v>
      </c>
      <c r="G1403" s="52"/>
      <c r="H1403" s="52" t="str">
        <f>IF(A1403="","",VLOOKUP(A1403,'6.A'!$A$11:$E$7984,5,FALSE))</f>
        <v/>
      </c>
      <c r="I1403" s="52" t="str">
        <f t="shared" si="598"/>
        <v/>
      </c>
      <c r="J1403" s="52" t="str">
        <f>IF(H1403="","",VLOOKUP(A1403,'6.A'!$A$11:$E$564,4,FALSE))</f>
        <v/>
      </c>
      <c r="K1403" s="52" t="str">
        <f t="shared" si="599"/>
        <v/>
      </c>
      <c r="L1403" s="52" t="str">
        <f>IF(H1403="","",IF(C1403="","",G1364*C1403))</f>
        <v/>
      </c>
      <c r="M1403" s="117" t="str">
        <f>IF(A1403="","",VLOOKUP(A1403,'6.A'!$A$11:$C$564,2,FALSE))</f>
        <v/>
      </c>
      <c r="N1403" s="57" t="str">
        <f t="shared" si="600"/>
        <v/>
      </c>
      <c r="O1403" s="56"/>
      <c r="P1403" s="56"/>
      <c r="Q1403" s="48"/>
      <c r="R1403" s="48"/>
      <c r="S1403" s="2"/>
    </row>
    <row r="1404" spans="1:22" ht="12.75" customHeight="1" x14ac:dyDescent="0.2">
      <c r="A1404" s="155"/>
      <c r="B1404" s="138" t="str">
        <f>IF(A1404="","",VLOOKUP(A1404,'6.A'!$A$11:$G$180,2,FALSE))</f>
        <v/>
      </c>
      <c r="C1404" s="156"/>
      <c r="D1404" s="57" t="str">
        <f>IF(A1404="","",VLOOKUP(A1404,'6.A'!$A$11:$G$180,4,FALSE))</f>
        <v/>
      </c>
      <c r="E1404" s="100" t="str">
        <f>IF(A1404="","",VLOOKUP(A1404,'6.A'!$A$11:$G$180,5,FALSE))</f>
        <v/>
      </c>
      <c r="F1404" s="24" t="str">
        <f>IF(A1404="","0,00",ROUND(C1404*E1404,2))</f>
        <v>0,00</v>
      </c>
      <c r="G1404" s="52"/>
      <c r="H1404" s="52" t="str">
        <f>IF(A1404="","",VLOOKUP(A1404,'6.A'!$A$11:$E$7984,5,FALSE))</f>
        <v/>
      </c>
      <c r="I1404" s="52" t="str">
        <f>IF(H1404="","",IF(E1404=H1404,"SIM","NÃO"))</f>
        <v/>
      </c>
      <c r="J1404" s="52" t="str">
        <f>IF(H1404="","",VLOOKUP(A1404,'6.A'!$A$11:$E$564,4,FALSE))</f>
        <v/>
      </c>
      <c r="K1404" s="52" t="str">
        <f>IF(H1404="","",IF(J1404=D1404,"SIM","NÃO"))</f>
        <v/>
      </c>
      <c r="L1404" s="52" t="str">
        <f>IF(H1404="","",IF(C1404="","",G1364*C1404))</f>
        <v/>
      </c>
      <c r="M1404" s="117" t="str">
        <f>IF(A1404="","",VLOOKUP(A1404,'6.A'!$A$11:$C$564,2,FALSE))</f>
        <v/>
      </c>
      <c r="N1404" s="57" t="str">
        <f>IF(A1404="","",IF(M1404=B1404,"si","no"))</f>
        <v/>
      </c>
      <c r="O1404" s="56"/>
      <c r="P1404" s="56"/>
      <c r="Q1404" s="48"/>
      <c r="R1404" s="48"/>
    </row>
    <row r="1405" spans="1:22" ht="12.75" customHeight="1" x14ac:dyDescent="0.2">
      <c r="A1405" s="155"/>
      <c r="B1405" s="138" t="str">
        <f>IF(A1405="","",VLOOKUP(A1405,'6.A'!$A$11:$G$180,2,FALSE))</f>
        <v/>
      </c>
      <c r="C1405" s="156"/>
      <c r="D1405" s="57" t="str">
        <f>IF(A1405="","",VLOOKUP(A1405,'6.A'!$A$11:$G$180,4,FALSE))</f>
        <v/>
      </c>
      <c r="E1405" s="100" t="str">
        <f>IF(A1405="","",VLOOKUP(A1405,'6.A'!$A$11:$G$180,5,FALSE))</f>
        <v/>
      </c>
      <c r="F1405" s="24" t="str">
        <f>IF(A1405="","0,00",ROUND(C1405*E1405,2))</f>
        <v>0,00</v>
      </c>
      <c r="G1405" s="52"/>
      <c r="H1405" s="52" t="str">
        <f>IF(A1405="","",VLOOKUP(A1405,'6.A'!$A$11:$E$7984,5,FALSE))</f>
        <v/>
      </c>
      <c r="I1405" s="52" t="str">
        <f>IF(H1405="","",IF(E1405=H1405,"SIM","NÃO"))</f>
        <v/>
      </c>
      <c r="J1405" s="52" t="str">
        <f>IF(H1405="","",VLOOKUP(A1405,'6.A'!$A$11:$E$564,4,FALSE))</f>
        <v/>
      </c>
      <c r="K1405" s="52" t="str">
        <f>IF(H1405="","",IF(J1405=D1405,"SIM","NÃO"))</f>
        <v/>
      </c>
      <c r="L1405" s="52" t="str">
        <f>IF(H1405="","",IF(C1405="","",G1364*C1405))</f>
        <v/>
      </c>
      <c r="M1405" s="117" t="str">
        <f>IF(A1405="","",VLOOKUP(A1405,'6.A'!$A$11:$C$564,2,FALSE))</f>
        <v/>
      </c>
      <c r="N1405" s="57" t="str">
        <f>IF(A1405="","",IF(M1405=B1405,"si","no"))</f>
        <v/>
      </c>
      <c r="O1405" s="56"/>
      <c r="P1405" s="56"/>
      <c r="Q1405" s="48"/>
      <c r="R1405" s="48"/>
    </row>
    <row r="1406" spans="1:22" ht="12.75" customHeight="1" x14ac:dyDescent="0.2">
      <c r="A1406" s="155"/>
      <c r="B1406" s="138" t="str">
        <f>IF(A1406="","",VLOOKUP(A1406,'6.A'!$A$11:$G$180,2,FALSE))</f>
        <v/>
      </c>
      <c r="C1406" s="156"/>
      <c r="D1406" s="57" t="str">
        <f>IF(A1406="","",VLOOKUP(A1406,'6.A'!$A$11:$G$180,4,FALSE))</f>
        <v/>
      </c>
      <c r="E1406" s="100" t="str">
        <f>IF(A1406="","",VLOOKUP(A1406,'6.A'!$A$11:$G$180,5,FALSE))</f>
        <v/>
      </c>
      <c r="F1406" s="24" t="str">
        <f t="shared" ref="F1406" si="601">IF(A1406="","0,00",ROUND(C1406*E1406,2))</f>
        <v>0,00</v>
      </c>
      <c r="G1406" s="52"/>
      <c r="H1406" s="52" t="str">
        <f>IF(A1406="","",VLOOKUP(A1406,'6.A'!$A$11:$E$7984,5,FALSE))</f>
        <v/>
      </c>
      <c r="I1406" s="52" t="str">
        <f t="shared" ref="I1406" si="602">IF(H1406="","",IF(E1406=H1406,"SIM","NÃO"))</f>
        <v/>
      </c>
      <c r="J1406" s="52" t="str">
        <f>IF(H1406="","",VLOOKUP(A1406,'6.A'!$A$11:$E$564,4,FALSE))</f>
        <v/>
      </c>
      <c r="K1406" s="52" t="str">
        <f t="shared" ref="K1406" si="603">IF(H1406="","",IF(J1406=D1406,"SIM","NÃO"))</f>
        <v/>
      </c>
      <c r="L1406" s="52" t="str">
        <f>IF(H1406="","",IF(C1406="","",G1364*C1406))</f>
        <v/>
      </c>
      <c r="M1406" s="117" t="str">
        <f>IF(A1406="","",VLOOKUP(A1406,'6.A'!$A$11:$C$564,2,FALSE))</f>
        <v/>
      </c>
      <c r="N1406" s="57" t="str">
        <f t="shared" ref="N1406" si="604">IF(A1406="","",IF(M1406=B1406,"si","no"))</f>
        <v/>
      </c>
      <c r="O1406" s="56"/>
      <c r="P1406" s="56"/>
      <c r="Q1406" s="48"/>
      <c r="R1406" s="48"/>
      <c r="S1406" s="2"/>
    </row>
    <row r="1407" spans="1:22" s="65" customFormat="1" ht="12.75" customHeight="1" x14ac:dyDescent="0.2">
      <c r="A1407" s="155"/>
      <c r="B1407" s="138" t="str">
        <f>IF(A1407="","",VLOOKUP(A1407,'6.A'!$A$11:$G$180,2,FALSE))</f>
        <v/>
      </c>
      <c r="C1407" s="156"/>
      <c r="D1407" s="57" t="str">
        <f>IF(A1407="","",VLOOKUP(A1407,'6.A'!$A$11:$G$180,4,FALSE))</f>
        <v/>
      </c>
      <c r="E1407" s="100" t="str">
        <f>IF(A1407="","",VLOOKUP(A1407,'6.A'!$A$11:$G$180,5,FALSE))</f>
        <v/>
      </c>
      <c r="F1407" s="24" t="str">
        <f>IF(A1407="","0,00",ROUND(C1407*E1407,2))</f>
        <v>0,00</v>
      </c>
      <c r="G1407" s="52"/>
      <c r="H1407" s="52" t="str">
        <f>IF(A1407="","",VLOOKUP(A1407,'6.A'!$A$11:$E$7984,5,FALSE))</f>
        <v/>
      </c>
      <c r="I1407" s="52" t="str">
        <f>IF(H1407="","",IF(E1407=H1407,"SIM","NÃO"))</f>
        <v/>
      </c>
      <c r="J1407" s="52" t="str">
        <f>IF(H1407="","",VLOOKUP(A1407,'6.A'!$A$11:$E$564,4,FALSE))</f>
        <v/>
      </c>
      <c r="K1407" s="52" t="str">
        <f>IF(H1407="","",IF(J1407=D1407,"SIM","NÃO"))</f>
        <v/>
      </c>
      <c r="L1407" s="52" t="str">
        <f>IF(H1407="","",IF(C1407="","",G1364*C1407))</f>
        <v/>
      </c>
      <c r="M1407" s="117" t="str">
        <f>IF(A1407="","",VLOOKUP(A1407,'6.A'!$A$11:$C$564,2,FALSE))</f>
        <v/>
      </c>
      <c r="N1407" s="57" t="str">
        <f>IF(A1407="","",IF(M1407=B1407,"si","no"))</f>
        <v/>
      </c>
      <c r="O1407" s="56"/>
      <c r="P1407" s="56"/>
      <c r="Q1407" s="48"/>
      <c r="R1407" s="48"/>
      <c r="T1407" s="2"/>
      <c r="U1407" s="2"/>
      <c r="V1407" s="2"/>
    </row>
    <row r="1408" spans="1:22" ht="12.75" customHeight="1" x14ac:dyDescent="0.2">
      <c r="A1408" s="155"/>
      <c r="B1408" s="138" t="str">
        <f>IF(A1408="","",VLOOKUP(A1408,'6.A'!$A$11:$G$180,2,FALSE))</f>
        <v/>
      </c>
      <c r="C1408" s="156"/>
      <c r="D1408" s="57" t="str">
        <f>IF(A1408="","",VLOOKUP(A1408,'6.A'!$A$11:$G$180,4,FALSE))</f>
        <v/>
      </c>
      <c r="E1408" s="100" t="str">
        <f>IF(A1408="","",VLOOKUP(A1408,'6.A'!$A$11:$G$180,5,FALSE))</f>
        <v/>
      </c>
      <c r="F1408" s="24" t="str">
        <f>IF(A1408="","0,00",ROUND(C1408*E1408,2))</f>
        <v>0,00</v>
      </c>
      <c r="G1408" s="52"/>
      <c r="H1408" s="52" t="str">
        <f>IF(A1408="","",VLOOKUP(A1408,'6.A'!$A$11:$E$7984,5,FALSE))</f>
        <v/>
      </c>
      <c r="I1408" s="52" t="str">
        <f>IF(H1408="","",IF(E1408=H1408,"SIM","NÃO"))</f>
        <v/>
      </c>
      <c r="J1408" s="52" t="str">
        <f>IF(H1408="","",VLOOKUP(A1408,'6.A'!$A$11:$E$564,4,FALSE))</f>
        <v/>
      </c>
      <c r="K1408" s="52" t="str">
        <f>IF(H1408="","",IF(J1408=D1408,"SIM","NÃO"))</f>
        <v/>
      </c>
      <c r="L1408" s="52" t="str">
        <f>IF(H1408="","",IF(C1408="","",G1364*C1408))</f>
        <v/>
      </c>
      <c r="M1408" s="117" t="str">
        <f>IF(A1408="","",VLOOKUP(A1408,'6.A'!$A$11:$C$564,2,FALSE))</f>
        <v/>
      </c>
      <c r="N1408" s="57" t="str">
        <f>IF(A1408="","",IF(M1408=B1408,"si","no"))</f>
        <v/>
      </c>
      <c r="O1408" s="56"/>
      <c r="P1408" s="56"/>
      <c r="Q1408" s="48"/>
      <c r="R1408" s="48"/>
    </row>
    <row r="1409" spans="1:23" ht="12.75" customHeight="1" x14ac:dyDescent="0.2">
      <c r="A1409" s="155"/>
      <c r="B1409" s="171" t="str">
        <f>IF(A1409="","",VLOOKUP(A1409,'6.A'!$A$11:$G$180,2,FALSE))</f>
        <v/>
      </c>
      <c r="C1409" s="156"/>
      <c r="D1409" s="57" t="str">
        <f>IF(A1409="","",VLOOKUP(A1409,'6.A'!$A$11:$G$180,4,FALSE))</f>
        <v/>
      </c>
      <c r="E1409" s="100" t="str">
        <f>IF(A1409="","",VLOOKUP(A1409,'6.A'!$A$11:$G$180,5,FALSE))</f>
        <v/>
      </c>
      <c r="F1409" s="24" t="str">
        <f>IF(A1409="","0,00",ROUND(C1409*E1409,2))</f>
        <v>0,00</v>
      </c>
      <c r="G1409" s="52"/>
      <c r="H1409" s="52" t="str">
        <f>IF(A1409="","",VLOOKUP(A1409,'6.A'!$A$11:$E$7984,5,FALSE))</f>
        <v/>
      </c>
      <c r="I1409" s="52" t="str">
        <f>IF(H1409="","",IF(E1409=H1409,"SIM","NÃO"))</f>
        <v/>
      </c>
      <c r="J1409" s="52" t="str">
        <f>IF(H1409="","",VLOOKUP(A1409,'6.A'!$A$11:$E$564,4,FALSE))</f>
        <v/>
      </c>
      <c r="K1409" s="52" t="str">
        <f>IF(H1409="","",IF(J1409=D1409,"SIM","NÃO"))</f>
        <v/>
      </c>
      <c r="L1409" s="52" t="str">
        <f>IF(H1409="","",IF(C1409="","",G1364*C1409))</f>
        <v/>
      </c>
      <c r="M1409" s="117" t="str">
        <f>IF(A1409="","",VLOOKUP(A1409,'6.A'!$A$11:$C$564,2,FALSE))</f>
        <v/>
      </c>
      <c r="N1409" s="57" t="str">
        <f>IF(A1409="","",IF(M1409=B1409,"si","no"))</f>
        <v/>
      </c>
      <c r="O1409" s="56"/>
      <c r="P1409" s="56"/>
      <c r="Q1409" s="48"/>
      <c r="R1409" s="48"/>
      <c r="S1409" s="2"/>
    </row>
    <row r="1410" spans="1:23" ht="12.75" customHeight="1" x14ac:dyDescent="0.2">
      <c r="A1410" s="22"/>
      <c r="B1410" s="39" t="str">
        <f>IF(A1410="","",VLOOKUP(A1410,'6.A'!$A$11:$G$180,2,FALSE))</f>
        <v/>
      </c>
      <c r="C1410" s="99"/>
      <c r="D1410" s="57" t="str">
        <f>IF(A1410="","",VLOOKUP(A1410,'6.A'!$A$11:$G$180,4,FALSE))</f>
        <v/>
      </c>
      <c r="E1410" s="100" t="str">
        <f>IF(A1410="","",VLOOKUP(A1410,'6.A'!$A$11:$G$180,5,FALSE))</f>
        <v/>
      </c>
      <c r="F1410" s="24" t="str">
        <f t="shared" ref="F1410:F1412" si="605">IF(A1410="","0,00",ROUND(C1410*E1410,2))</f>
        <v>0,00</v>
      </c>
      <c r="G1410" s="52"/>
      <c r="H1410" s="52" t="str">
        <f>IF(A1410="","",VLOOKUP(A1410,'6.A'!$A$11:$E$7984,5,FALSE))</f>
        <v/>
      </c>
      <c r="I1410" s="52" t="str">
        <f t="shared" ref="I1410:I1412" si="606">IF(H1410="","",IF(E1410=H1410,"SIM","NÃO"))</f>
        <v/>
      </c>
      <c r="J1410" s="52" t="str">
        <f>IF(H1410="","",VLOOKUP(A1410,'6.A'!$A$11:$E$564,4,FALSE))</f>
        <v/>
      </c>
      <c r="K1410" s="52" t="str">
        <f t="shared" ref="K1410:K1412" si="607">IF(H1410="","",IF(J1410=D1410,"SIM","NÃO"))</f>
        <v/>
      </c>
      <c r="L1410" s="52" t="str">
        <f>IF(H1410="","",IF(C1410="","",G1364*C1410))</f>
        <v/>
      </c>
      <c r="M1410" s="117" t="str">
        <f>IF(A1410="","",VLOOKUP(A1410,'6.A'!$A$11:$C$564,2,FALSE))</f>
        <v/>
      </c>
      <c r="N1410" s="57" t="str">
        <f t="shared" ref="N1410:N1412" si="608">IF(A1410="","",IF(M1410=B1410,"si","no"))</f>
        <v/>
      </c>
      <c r="O1410" s="56"/>
      <c r="P1410" s="56"/>
      <c r="Q1410" s="48"/>
      <c r="R1410" s="48"/>
    </row>
    <row r="1411" spans="1:23" ht="12.75" customHeight="1" x14ac:dyDescent="0.2">
      <c r="A1411" s="22"/>
      <c r="B1411" s="39" t="str">
        <f>IF(A1411="","",VLOOKUP(A1411,'6.A'!$A$11:$G$180,2,FALSE))</f>
        <v/>
      </c>
      <c r="C1411" s="99"/>
      <c r="D1411" s="57" t="str">
        <f>IF(A1411="","",VLOOKUP(A1411,'6.A'!$A$11:$G$180,4,FALSE))</f>
        <v/>
      </c>
      <c r="E1411" s="100" t="str">
        <f>IF(A1411="","",VLOOKUP(A1411,'6.A'!$A$11:$G$180,5,FALSE))</f>
        <v/>
      </c>
      <c r="F1411" s="24" t="str">
        <f t="shared" si="605"/>
        <v>0,00</v>
      </c>
      <c r="G1411" s="52"/>
      <c r="H1411" s="52" t="str">
        <f>IF(A1411="","",VLOOKUP(A1411,'6.A'!$A$11:$E$7984,5,FALSE))</f>
        <v/>
      </c>
      <c r="I1411" s="52" t="str">
        <f t="shared" si="606"/>
        <v/>
      </c>
      <c r="J1411" s="52" t="str">
        <f>IF(H1411="","",VLOOKUP(A1411,'6.A'!$A$11:$E$564,4,FALSE))</f>
        <v/>
      </c>
      <c r="K1411" s="52" t="str">
        <f t="shared" si="607"/>
        <v/>
      </c>
      <c r="L1411" s="52" t="str">
        <f>IF(H1411="","",IF(C1411="","",G1364*C1411))</f>
        <v/>
      </c>
      <c r="M1411" s="117" t="str">
        <f>IF(A1411="","",VLOOKUP(A1411,'6.A'!$A$11:$C$564,2,FALSE))</f>
        <v/>
      </c>
      <c r="N1411" s="57" t="str">
        <f t="shared" si="608"/>
        <v/>
      </c>
      <c r="O1411" s="56"/>
      <c r="P1411" s="56"/>
      <c r="Q1411" s="48"/>
      <c r="R1411" s="48"/>
    </row>
    <row r="1412" spans="1:23" ht="12.75" customHeight="1" x14ac:dyDescent="0.2">
      <c r="A1412" s="22"/>
      <c r="B1412" s="39" t="str">
        <f>IF(A1412="","",VLOOKUP(A1412,'6.A'!$A$11:$G$180,2,FALSE))</f>
        <v/>
      </c>
      <c r="C1412" s="99"/>
      <c r="D1412" s="57" t="str">
        <f>IF(A1412="","",VLOOKUP(A1412,'6.A'!$A$11:$G$180,4,FALSE))</f>
        <v/>
      </c>
      <c r="E1412" s="100" t="str">
        <f>IF(A1412="","",VLOOKUP(A1412,'6.A'!$A$11:$G$180,5,FALSE))</f>
        <v/>
      </c>
      <c r="F1412" s="24" t="str">
        <f t="shared" si="605"/>
        <v>0,00</v>
      </c>
      <c r="G1412" s="52"/>
      <c r="H1412" s="52" t="str">
        <f>IF(A1412="","",VLOOKUP(A1412,'6.A'!$A$11:$E$7984,5,FALSE))</f>
        <v/>
      </c>
      <c r="I1412" s="52" t="str">
        <f t="shared" si="606"/>
        <v/>
      </c>
      <c r="J1412" s="52" t="str">
        <f>IF(H1412="","",VLOOKUP(A1412,'6.A'!$A$11:$E$564,4,FALSE))</f>
        <v/>
      </c>
      <c r="K1412" s="52" t="str">
        <f t="shared" si="607"/>
        <v/>
      </c>
      <c r="L1412" s="52" t="str">
        <f>IF(H1412="","",IF(C1412="","",G1364*C1412))</f>
        <v/>
      </c>
      <c r="M1412" s="117" t="str">
        <f>IF(A1412="","",VLOOKUP(A1412,'6.A'!$A$11:$C$564,2,FALSE))</f>
        <v/>
      </c>
      <c r="N1412" s="57" t="str">
        <f t="shared" si="608"/>
        <v/>
      </c>
      <c r="O1412" s="56"/>
      <c r="P1412" s="56"/>
      <c r="Q1412" s="48"/>
      <c r="R1412" s="48"/>
    </row>
    <row r="1413" spans="1:23" ht="12.75" customHeight="1" x14ac:dyDescent="0.2">
      <c r="A1413" s="22"/>
      <c r="B1413" s="26" t="str">
        <f>$A$9</f>
        <v>BDI</v>
      </c>
      <c r="C1413" s="40">
        <f>$C$9</f>
        <v>0</v>
      </c>
      <c r="D1413" s="57"/>
      <c r="F1413" s="28">
        <f>ROUND(SUM(F1393:F1412)*C1413,2)</f>
        <v>0</v>
      </c>
      <c r="G1413" s="63"/>
      <c r="M1413" s="57"/>
      <c r="N1413" s="57"/>
      <c r="O1413" s="56"/>
      <c r="P1413" s="56"/>
      <c r="Q1413" s="48"/>
      <c r="R1413" s="48"/>
    </row>
    <row r="1414" spans="1:23" ht="12.75" customHeight="1" thickBot="1" x14ac:dyDescent="0.25">
      <c r="A1414" s="41"/>
      <c r="B1414" s="42" t="s">
        <v>57</v>
      </c>
      <c r="C1414" s="43"/>
      <c r="D1414" s="44"/>
      <c r="E1414" s="45"/>
      <c r="F1414" s="46">
        <f>ROUND(SUM(F1393:F1413),2)</f>
        <v>0</v>
      </c>
      <c r="G1414" s="63"/>
      <c r="M1414" s="57"/>
      <c r="N1414" s="57"/>
      <c r="O1414" s="56"/>
      <c r="P1414" s="56"/>
      <c r="Q1414" s="48"/>
      <c r="R1414" s="48"/>
    </row>
    <row r="1415" spans="1:23" ht="12" customHeight="1" thickBot="1" x14ac:dyDescent="0.25">
      <c r="A1415" s="8"/>
      <c r="B1415" s="9"/>
      <c r="C1415" s="10"/>
      <c r="D1415" s="57"/>
      <c r="F1415" s="12"/>
      <c r="M1415" s="57"/>
      <c r="N1415" s="57"/>
      <c r="O1415" s="56"/>
      <c r="P1415" s="56"/>
    </row>
    <row r="1416" spans="1:23" ht="50.1" customHeight="1" x14ac:dyDescent="0.2">
      <c r="A1416" s="13" t="str">
        <f>'3.A'!$A$45</f>
        <v>3.2.3</v>
      </c>
      <c r="B1416" s="14" t="str">
        <f>IF(A1416="","",VLOOKUP(A1416,'3.A'!$A$17:$M$279,2,FALSE))</f>
        <v>CABO DE COBRE FLEXÍVEL ISOLADO, 6 MM², ANTI-CHAMA 450/750 V, PARA CIRCUITOS TERMINAIS</v>
      </c>
      <c r="C1416" s="413" t="s">
        <v>62</v>
      </c>
      <c r="D1416" s="413"/>
      <c r="E1416" s="15" t="str">
        <f>IF(A1416="","",VLOOKUP(A1416,'3.A'!$A$17:$M$279,3,FALSE))</f>
        <v>M</v>
      </c>
      <c r="F1416" s="16">
        <f>ROUND(F1430+F1443+F1466,2)</f>
        <v>0</v>
      </c>
      <c r="G1416" s="118">
        <f>VLOOKUP(A1416,'3.A'!$A$19:$I$279,4,FALSE)</f>
        <v>36</v>
      </c>
      <c r="H1416" s="47">
        <f>SUM(F1418:F1429)</f>
        <v>0</v>
      </c>
      <c r="I1416" s="47">
        <f>SUM(F1432:F1442)</f>
        <v>0</v>
      </c>
      <c r="J1416" s="47">
        <f>SUM(F1445:F1465)</f>
        <v>0</v>
      </c>
      <c r="K1416" s="47">
        <f>SUM(H1416:J1416)</f>
        <v>0</v>
      </c>
      <c r="L1416" s="47" t="str">
        <f>IF(K1416=F1416,"SIM","NÃO")</f>
        <v>SIM</v>
      </c>
      <c r="M1416" s="58">
        <f>ROUND(SUM(F1418:F1427)*C1428,2)+ROUND(SUM(F1418:F1428)*C1429,2)+ROUND(SUM(F1418:F1427),2)+ROUND(SUM(F1432:F1441)*C1442,2)+ROUND(SUM(F1432:F1441),2)+ROUND(SUM(F1445:F1464)*C1465,2)+ROUND(SUM(F1445:F1464),2)</f>
        <v>0</v>
      </c>
      <c r="N1416" s="50" t="str">
        <f>IF(M1416=F1416,"SIM","NÃO")</f>
        <v>SIM</v>
      </c>
      <c r="O1416" s="51" t="str">
        <f>VLOOKUP(A1416,'3.A'!$A$8:$E$279,3,FALSE)</f>
        <v>M</v>
      </c>
      <c r="P1416" s="51" t="str">
        <f>IF(O1416=E1416,"SIM","NÃO")</f>
        <v>SIM</v>
      </c>
      <c r="Q1416" s="53">
        <f>ROUND(G1416*F1430,2)+ROUND(G1416*F1443,2)+ROUND(G1416*F1466,2)</f>
        <v>0</v>
      </c>
      <c r="R1416" s="59">
        <f>VLOOKUP(A1416,'3.A'!$A$17:$L$279,12,FALSE)</f>
        <v>0</v>
      </c>
      <c r="S1416" s="60" t="str">
        <f>IF(Q1416=R1416,"si","no")</f>
        <v>si</v>
      </c>
      <c r="T1416" s="61">
        <f>SUM(L1418:L1427)+SUM(L1432:L1441)+SUM(L1445:L1464)</f>
        <v>48.772799999999997</v>
      </c>
      <c r="U1416" s="52">
        <f>G1416*C1424+G1416*C1426+G1416*C1419+G1416*C1420+G1416*C1422+G1416*C1425+G1416*C1423+G1416*C1418+G1416*C1421+G1416*C1427+G1416*C1438+G1416*C1432+G1416*C1440+G1416*C1439+G1416*C1437+G1416*C1434+G1416*C1433+G1416*C1435+G1416*C1441+G1416*C1436+G1416*C1445+G1416*C1446+G1416*C1447+G1416*C1455+G1416*C1456+G1416*C1457+G1416*C1458+G1416*C1459+G1416*C1460+G1416*C1461+G1416*C1462+G1416*C1463+G1416*C1464+G1416*C1453+G1416*C1454+G1416*C1448+G1416*C1449+G1416*C1450+G1416*C1451+G1416*C1452</f>
        <v>48.772799999999997</v>
      </c>
      <c r="V1416" s="54" t="str">
        <f>IF(T1416=U1416,"si","no")</f>
        <v>si</v>
      </c>
      <c r="W1416" s="137"/>
    </row>
    <row r="1417" spans="1:23" ht="12.75" customHeight="1" x14ac:dyDescent="0.2">
      <c r="A1417" s="17" t="s">
        <v>3</v>
      </c>
      <c r="B1417" s="18" t="s">
        <v>58</v>
      </c>
      <c r="C1417" s="56" t="s">
        <v>59</v>
      </c>
      <c r="D1417" s="56" t="s">
        <v>16</v>
      </c>
      <c r="E1417" s="19" t="s">
        <v>60</v>
      </c>
      <c r="F1417" s="20" t="s">
        <v>61</v>
      </c>
      <c r="G1417" s="21"/>
      <c r="M1417" s="57"/>
      <c r="N1417" s="57"/>
      <c r="O1417" s="56"/>
      <c r="P1417" s="56"/>
      <c r="Q1417" s="48"/>
      <c r="R1417" s="48"/>
    </row>
    <row r="1418" spans="1:23" ht="12.75" customHeight="1" x14ac:dyDescent="0.2">
      <c r="A1418" s="155">
        <f>'6.A'!$A$18</f>
        <v>88264</v>
      </c>
      <c r="B1418" s="138" t="str">
        <f>IF(A1418="","",VLOOKUP(A1418,'6.A'!$A$11:$G$180,2,FALSE))</f>
        <v>ELETRICISTA COM ENCARGOS COMPLEMENTARES</v>
      </c>
      <c r="C1418" s="156">
        <v>5.0999999999999997E-2</v>
      </c>
      <c r="D1418" s="57" t="str">
        <f>IF(A1418="","",VLOOKUP(A1418,'6.A'!$A$11:$G$180,4,FALSE))</f>
        <v>H</v>
      </c>
      <c r="E1418" s="100">
        <f>IF(A1418="","",VLOOKUP(A1418,'6.A'!$A$11:$G$180,5,FALSE))</f>
        <v>0</v>
      </c>
      <c r="F1418" s="24">
        <f t="shared" ref="F1418:F1427" si="609">IF(A1418="","0,00",ROUND(C1418*E1418,2))</f>
        <v>0</v>
      </c>
      <c r="G1418" s="52"/>
      <c r="H1418" s="52">
        <f>IF(A1418="","",VLOOKUP(A1418,'6.A'!$A$11:$E$7984,5,FALSE))</f>
        <v>0</v>
      </c>
      <c r="I1418" s="52" t="str">
        <f>IF(H1418="","",IF(E1418=H1418,"SIM","NÃO"))</f>
        <v>SIM</v>
      </c>
      <c r="J1418" s="52" t="str">
        <f>IF(H1418="","",VLOOKUP(A1418,'6.A'!$A$11:$E$564,4,FALSE))</f>
        <v>H</v>
      </c>
      <c r="K1418" s="52" t="str">
        <f>IF(H1418="","",IF(J1418=D1418,"SIM","NÃO"))</f>
        <v>SIM</v>
      </c>
      <c r="L1418" s="52">
        <f>IF(H1418="","",IF(C1418="","",G1416*C1418))</f>
        <v>1.8359999999999999</v>
      </c>
      <c r="M1418" s="117" t="str">
        <f>IF(A1418="","",VLOOKUP(A1418,'6.A'!$A$11:$C$564,2,FALSE))</f>
        <v>ELETRICISTA COM ENCARGOS COMPLEMENTARES</v>
      </c>
      <c r="N1418" s="57" t="str">
        <f>IF(A1418="","",IF(M1418=B1418,"si","no"))</f>
        <v>si</v>
      </c>
      <c r="O1418" s="56"/>
      <c r="P1418" s="56"/>
      <c r="Q1418" s="48"/>
      <c r="R1418" s="48"/>
    </row>
    <row r="1419" spans="1:23" ht="12.75" customHeight="1" x14ac:dyDescent="0.2">
      <c r="A1419" s="155">
        <f>'6.A'!$A$15</f>
        <v>88247</v>
      </c>
      <c r="B1419" s="138" t="str">
        <f>IF(A1419="","",VLOOKUP(A1419,'6.A'!$A$11:$G$180,2,FALSE))</f>
        <v>AUXILIAR DE ELETRICISTA COM ENCARGOS COMPLEMENTARES</v>
      </c>
      <c r="C1419" s="156">
        <v>5.0999999999999997E-2</v>
      </c>
      <c r="D1419" s="57" t="str">
        <f>IF(A1419="","",VLOOKUP(A1419,'6.A'!$A$11:$G$180,4,FALSE))</f>
        <v>H</v>
      </c>
      <c r="E1419" s="100">
        <f>IF(A1419="","",VLOOKUP(A1419,'6.A'!$A$11:$G$180,5,FALSE))</f>
        <v>0</v>
      </c>
      <c r="F1419" s="24">
        <f t="shared" si="609"/>
        <v>0</v>
      </c>
      <c r="G1419" s="52"/>
      <c r="H1419" s="52">
        <f>IF(A1419="","",VLOOKUP(A1419,'6.A'!$A$11:$E$7984,5,FALSE))</f>
        <v>0</v>
      </c>
      <c r="I1419" s="52" t="str">
        <f>IF(H1419="","",IF(E1419=H1419,"SIM","NÃO"))</f>
        <v>SIM</v>
      </c>
      <c r="J1419" s="52" t="str">
        <f>IF(H1419="","",VLOOKUP(A1419,'6.A'!$A$11:$E$564,4,FALSE))</f>
        <v>H</v>
      </c>
      <c r="K1419" s="52" t="str">
        <f>IF(H1419="","",IF(J1419=D1419,"SIM","NÃO"))</f>
        <v>SIM</v>
      </c>
      <c r="L1419" s="52">
        <f>IF(H1419="","",IF(C1419="","",G1416*C1419))</f>
        <v>1.8359999999999999</v>
      </c>
      <c r="M1419" s="117" t="str">
        <f>IF(A1419="","",VLOOKUP(A1419,'6.A'!$A$11:$C$564,2,FALSE))</f>
        <v>AUXILIAR DE ELETRICISTA COM ENCARGOS COMPLEMENTARES</v>
      </c>
      <c r="N1419" s="57" t="str">
        <f>IF(A1419="","",IF(M1419=B1419,"si","no"))</f>
        <v>si</v>
      </c>
      <c r="O1419" s="56"/>
      <c r="P1419" s="56"/>
      <c r="Q1419" s="48"/>
      <c r="R1419" s="48"/>
    </row>
    <row r="1420" spans="1:23" ht="12.75" customHeight="1" x14ac:dyDescent="0.2">
      <c r="A1420" s="155"/>
      <c r="B1420" s="138" t="str">
        <f>IF(A1420="","",VLOOKUP(A1420,'6.A'!$A$11:$G$180,2,FALSE))</f>
        <v/>
      </c>
      <c r="C1420" s="156"/>
      <c r="D1420" s="57" t="str">
        <f>IF(A1420="","",VLOOKUP(A1420,'6.A'!$A$11:$G$180,4,FALSE))</f>
        <v/>
      </c>
      <c r="E1420" s="100" t="str">
        <f>IF(A1420="","",VLOOKUP(A1420,'6.A'!$A$11:$G$180,5,FALSE))</f>
        <v/>
      </c>
      <c r="F1420" s="24" t="str">
        <f t="shared" si="609"/>
        <v>0,00</v>
      </c>
      <c r="G1420" s="52"/>
      <c r="H1420" s="52" t="str">
        <f>IF(A1420="","",VLOOKUP(A1420,'6.A'!$A$11:$E$7984,5,FALSE))</f>
        <v/>
      </c>
      <c r="I1420" s="52" t="str">
        <f>IF(H1420="","",IF(E1420=H1420,"SIM","NÃO"))</f>
        <v/>
      </c>
      <c r="J1420" s="52" t="str">
        <f>IF(H1420="","",VLOOKUP(A1420,'6.A'!$A$11:$E$564,4,FALSE))</f>
        <v/>
      </c>
      <c r="K1420" s="52" t="str">
        <f t="shared" ref="K1420" si="610">IF(H1420="","",IF(J1420=D1420,"SIM","NÃO"))</f>
        <v/>
      </c>
      <c r="L1420" s="52" t="str">
        <f>IF(H1420="","",IF(C1420="","",G1416*C1420))</f>
        <v/>
      </c>
      <c r="M1420" s="117" t="str">
        <f>IF(A1420="","",VLOOKUP(A1420,'6.A'!$A$11:$C$564,2,FALSE))</f>
        <v/>
      </c>
      <c r="N1420" s="57" t="str">
        <f t="shared" ref="N1420" si="611">IF(A1420="","",IF(M1420=B1420,"si","no"))</f>
        <v/>
      </c>
      <c r="O1420" s="56"/>
      <c r="P1420" s="56"/>
      <c r="Q1420" s="48"/>
      <c r="R1420" s="48"/>
      <c r="S1420" s="2"/>
    </row>
    <row r="1421" spans="1:23" ht="12.75" customHeight="1" x14ac:dyDescent="0.2">
      <c r="A1421" s="155"/>
      <c r="B1421" s="138" t="str">
        <f>IF(A1421="","",VLOOKUP(A1421,'6.A'!$A$11:$G$180,2,FALSE))</f>
        <v/>
      </c>
      <c r="C1421" s="156"/>
      <c r="D1421" s="57" t="str">
        <f>IF(A1421="","",VLOOKUP(A1421,'6.A'!$A$11:$G$180,4,FALSE))</f>
        <v/>
      </c>
      <c r="E1421" s="100" t="str">
        <f>IF(A1421="","",VLOOKUP(A1421,'6.A'!$A$11:$G$180,5,FALSE))</f>
        <v/>
      </c>
      <c r="F1421" s="24" t="str">
        <f t="shared" si="609"/>
        <v>0,00</v>
      </c>
      <c r="G1421" s="52"/>
      <c r="H1421" s="52" t="str">
        <f>IF(A1421="","",VLOOKUP(A1421,'6.A'!$A$11:$E$7984,5,FALSE))</f>
        <v/>
      </c>
      <c r="I1421" s="52" t="str">
        <f>IF(H1421="","",IF(E1421=H1421,"SIM","NÃO"))</f>
        <v/>
      </c>
      <c r="J1421" s="52" t="str">
        <f>IF(H1421="","",VLOOKUP(A1421,'6.A'!$A$11:$E$564,4,FALSE))</f>
        <v/>
      </c>
      <c r="K1421" s="52" t="str">
        <f>IF(H1421="","",IF(J1421=D1421,"SIM","NÃO"))</f>
        <v/>
      </c>
      <c r="L1421" s="52" t="str">
        <f>IF(H1421="","",IF(C1421="","",G1416*C1421))</f>
        <v/>
      </c>
      <c r="M1421" s="117" t="str">
        <f>IF(A1421="","",VLOOKUP(A1421,'6.A'!$A$11:$C$564,2,FALSE))</f>
        <v/>
      </c>
      <c r="N1421" s="57" t="str">
        <f>IF(A1421="","",IF(M1421=B1421,"si","no"))</f>
        <v/>
      </c>
      <c r="O1421" s="56"/>
      <c r="P1421" s="56"/>
      <c r="Q1421" s="48"/>
      <c r="R1421" s="48"/>
      <c r="S1421" s="2"/>
    </row>
    <row r="1422" spans="1:23" ht="12.75" customHeight="1" x14ac:dyDescent="0.2">
      <c r="A1422" s="155"/>
      <c r="B1422" s="138" t="str">
        <f>IF(A1422="","",VLOOKUP(A1422,'6.A'!$A$11:$G$180,2,FALSE))</f>
        <v/>
      </c>
      <c r="C1422" s="156"/>
      <c r="D1422" s="57" t="str">
        <f>IF(A1422="","",VLOOKUP(A1422,'6.A'!$A$11:$G$180,4,FALSE))</f>
        <v/>
      </c>
      <c r="E1422" s="101" t="str">
        <f>IF(A1422="","",VLOOKUP(A1422,'6.A'!$A$11:$G$180,5,FALSE))</f>
        <v/>
      </c>
      <c r="F1422" s="24" t="str">
        <f t="shared" si="609"/>
        <v>0,00</v>
      </c>
      <c r="G1422" s="52"/>
      <c r="H1422" s="52" t="str">
        <f>IF(A1422="","",VLOOKUP(A1422,'6.A'!$A$11:$E$7984,5,FALSE))</f>
        <v/>
      </c>
      <c r="I1422" s="52" t="str">
        <f t="shared" ref="I1422" si="612">IF(H1422="","",IF(E1422=H1422,"SIM","NÃO"))</f>
        <v/>
      </c>
      <c r="J1422" s="52" t="str">
        <f>IF(H1422="","",VLOOKUP(A1422,'6.A'!$A$11:$E$564,4,FALSE))</f>
        <v/>
      </c>
      <c r="K1422" s="52" t="str">
        <f t="shared" ref="K1422" si="613">IF(H1422="","",IF(J1422=D1422,"SIM","NÃO"))</f>
        <v/>
      </c>
      <c r="L1422" s="52" t="str">
        <f>IF(H1422="","",IF(C1422="","",G1416*C1422))</f>
        <v/>
      </c>
      <c r="M1422" s="117" t="str">
        <f>IF(A1422="","",VLOOKUP(A1422,'6.A'!$A$11:$C$564,2,FALSE))</f>
        <v/>
      </c>
      <c r="N1422" s="57" t="str">
        <f t="shared" ref="N1422" si="614">IF(A1422="","",IF(M1422=B1422,"si","no"))</f>
        <v/>
      </c>
      <c r="O1422" s="56"/>
      <c r="P1422" s="56"/>
      <c r="Q1422" s="48"/>
      <c r="R1422" s="48"/>
      <c r="S1422" s="2"/>
    </row>
    <row r="1423" spans="1:23" ht="12.75" customHeight="1" x14ac:dyDescent="0.2">
      <c r="A1423" s="155"/>
      <c r="B1423" s="138" t="str">
        <f>IF(A1423="","",VLOOKUP(A1423,'6.A'!$A$11:$G$180,2,FALSE))</f>
        <v/>
      </c>
      <c r="C1423" s="156"/>
      <c r="D1423" s="57" t="str">
        <f>IF(A1423="","",VLOOKUP(A1423,'6.A'!$A$11:$G$180,4,FALSE))</f>
        <v/>
      </c>
      <c r="E1423" s="101" t="str">
        <f>IF(A1423="","",VLOOKUP(A1423,'6.A'!$A$11:$G$180,5,FALSE))</f>
        <v/>
      </c>
      <c r="F1423" s="24" t="str">
        <f t="shared" si="609"/>
        <v>0,00</v>
      </c>
      <c r="G1423" s="52"/>
      <c r="H1423" s="52" t="str">
        <f>IF(A1423="","",VLOOKUP(A1423,'6.A'!$A$11:$E$7984,5,FALSE))</f>
        <v/>
      </c>
      <c r="I1423" s="52" t="str">
        <f>IF(H1423="","",IF(E1423=H1423,"SIM","NÃO"))</f>
        <v/>
      </c>
      <c r="J1423" s="52" t="str">
        <f>IF(H1423="","",VLOOKUP(A1423,'6.A'!$A$11:$E$564,4,FALSE))</f>
        <v/>
      </c>
      <c r="K1423" s="52" t="str">
        <f>IF(H1423="","",IF(J1423=D1423,"SIM","NÃO"))</f>
        <v/>
      </c>
      <c r="L1423" s="52" t="str">
        <f>IF(H1423="","",IF(C1423="","",G1416*C1423))</f>
        <v/>
      </c>
      <c r="M1423" s="117" t="str">
        <f>IF(A1423="","",VLOOKUP(A1423,'6.A'!$A$11:$C$564,2,FALSE))</f>
        <v/>
      </c>
      <c r="N1423" s="57" t="str">
        <f>IF(A1423="","",IF(M1423=B1423,"si","no"))</f>
        <v/>
      </c>
      <c r="O1423" s="56"/>
      <c r="P1423" s="56"/>
      <c r="Q1423" s="48"/>
      <c r="R1423" s="48"/>
      <c r="S1423" s="2"/>
    </row>
    <row r="1424" spans="1:23" ht="12.75" customHeight="1" x14ac:dyDescent="0.2">
      <c r="A1424" s="155"/>
      <c r="B1424" s="138" t="str">
        <f>IF(A1424="","",VLOOKUP(A1424,'6.A'!$A$11:$G$180,2,FALSE))</f>
        <v/>
      </c>
      <c r="C1424" s="156"/>
      <c r="D1424" s="57" t="str">
        <f>IF(A1424="","",VLOOKUP(A1424,'6.A'!$A$11:$G$180,4,FALSE))</f>
        <v/>
      </c>
      <c r="E1424" s="100" t="str">
        <f>IF(A1424="","",VLOOKUP(A1424,'6.A'!$A$11:$G$180,5,FALSE))</f>
        <v/>
      </c>
      <c r="F1424" s="24" t="str">
        <f t="shared" si="609"/>
        <v>0,00</v>
      </c>
      <c r="G1424" s="52"/>
      <c r="H1424" s="52" t="str">
        <f>IF(A1424="","",VLOOKUP(A1424,'6.A'!$A$11:$E$7984,5,FALSE))</f>
        <v/>
      </c>
      <c r="I1424" s="52" t="str">
        <f>IF(H1424="","",IF(E1424=H1424,"SIM","NÃO"))</f>
        <v/>
      </c>
      <c r="J1424" s="52" t="str">
        <f>IF(H1424="","",VLOOKUP(A1424,'6.A'!$A$11:$E$564,4,FALSE))</f>
        <v/>
      </c>
      <c r="K1424" s="52" t="str">
        <f>IF(H1424="","",IF(J1424=D1424,"SIM","NÃO"))</f>
        <v/>
      </c>
      <c r="L1424" s="52" t="str">
        <f>IF(H1424="","",IF(C1424="","",G1416*C1424))</f>
        <v/>
      </c>
      <c r="M1424" s="117" t="str">
        <f>IF(A1424="","",VLOOKUP(A1424,'6.A'!$A$11:$C$564,2,FALSE))</f>
        <v/>
      </c>
      <c r="N1424" s="57" t="str">
        <f>IF(A1424="","",IF(M1424=B1424,"si","no"))</f>
        <v/>
      </c>
      <c r="O1424" s="56"/>
      <c r="P1424" s="56"/>
      <c r="Q1424" s="48"/>
      <c r="R1424" s="48"/>
      <c r="S1424" s="2"/>
    </row>
    <row r="1425" spans="1:19" ht="12.75" customHeight="1" x14ac:dyDescent="0.2">
      <c r="A1425" s="155"/>
      <c r="B1425" s="138" t="str">
        <f>IF(A1425="","",VLOOKUP(A1425,'6.A'!$A$11:$G$180,2,FALSE))</f>
        <v/>
      </c>
      <c r="C1425" s="156"/>
      <c r="D1425" s="57" t="str">
        <f>IF(A1425="","",VLOOKUP(A1425,'6.A'!$A$11:$G$180,4,FALSE))</f>
        <v/>
      </c>
      <c r="E1425" s="100" t="str">
        <f>IF(A1425="","",VLOOKUP(A1425,'6.A'!$A$11:$G$180,5,FALSE))</f>
        <v/>
      </c>
      <c r="F1425" s="24" t="str">
        <f t="shared" si="609"/>
        <v>0,00</v>
      </c>
      <c r="G1425" s="52"/>
      <c r="H1425" s="52" t="str">
        <f>IF(A1425="","",VLOOKUP(A1425,'6.A'!$A$11:$E$7984,5,FALSE))</f>
        <v/>
      </c>
      <c r="I1425" s="52" t="str">
        <f t="shared" ref="I1425" si="615">IF(H1425="","",IF(E1425=H1425,"SIM","NÃO"))</f>
        <v/>
      </c>
      <c r="J1425" s="52" t="str">
        <f>IF(H1425="","",VLOOKUP(A1425,'6.A'!$A$11:$E$564,4,FALSE))</f>
        <v/>
      </c>
      <c r="K1425" s="52" t="str">
        <f t="shared" ref="K1425" si="616">IF(H1425="","",IF(J1425=D1425,"SIM","NÃO"))</f>
        <v/>
      </c>
      <c r="L1425" s="52" t="str">
        <f>IF(H1425="","",IF(C1425="","",G1416*C1425))</f>
        <v/>
      </c>
      <c r="M1425" s="117" t="str">
        <f>IF(A1425="","",VLOOKUP(A1425,'6.A'!$A$11:$C$564,2,FALSE))</f>
        <v/>
      </c>
      <c r="N1425" s="57" t="str">
        <f t="shared" ref="N1425" si="617">IF(A1425="","",IF(M1425=B1425,"si","no"))</f>
        <v/>
      </c>
      <c r="O1425" s="56"/>
      <c r="P1425" s="56"/>
      <c r="Q1425" s="48"/>
      <c r="R1425" s="48"/>
      <c r="S1425" s="2"/>
    </row>
    <row r="1426" spans="1:19" ht="12.75" customHeight="1" x14ac:dyDescent="0.2">
      <c r="A1426" s="155"/>
      <c r="B1426" s="138" t="str">
        <f>IF(A1426="","",VLOOKUP(A1426,'6.A'!$A$11:$G$180,2,FALSE))</f>
        <v/>
      </c>
      <c r="C1426" s="156"/>
      <c r="D1426" s="73" t="str">
        <f>IF(A1426="","",VLOOKUP(A1426,'6.A'!$A$11:$G$180,4,FALSE))</f>
        <v/>
      </c>
      <c r="E1426" s="101" t="str">
        <f>IF(A1426="","",VLOOKUP(A1426,'6.A'!$A$11:$G$180,5,FALSE))</f>
        <v/>
      </c>
      <c r="F1426" s="24" t="str">
        <f t="shared" si="609"/>
        <v>0,00</v>
      </c>
      <c r="G1426" s="52"/>
      <c r="H1426" s="52" t="str">
        <f>IF(A1426="","",VLOOKUP(A1426,'6.A'!$A$11:$E$7984,5,FALSE))</f>
        <v/>
      </c>
      <c r="I1426" s="52" t="str">
        <f>IF(H1426="","",IF(E1426=H1426,"SIM","NÃO"))</f>
        <v/>
      </c>
      <c r="J1426" s="52" t="str">
        <f>IF(H1426="","",VLOOKUP(A1426,'6.A'!$A$11:$E$564,4,FALSE))</f>
        <v/>
      </c>
      <c r="K1426" s="52" t="str">
        <f>IF(H1426="","",IF(J1426=D1426,"SIM","NÃO"))</f>
        <v/>
      </c>
      <c r="L1426" s="52" t="str">
        <f>IF(H1426="","",IF(C1426="","",G1416*C1426))</f>
        <v/>
      </c>
      <c r="M1426" s="117" t="str">
        <f>IF(A1426="","",VLOOKUP(A1426,'6.A'!$A$11:$C$564,2,FALSE))</f>
        <v/>
      </c>
      <c r="N1426" s="57" t="str">
        <f>IF(A1426="","",IF(M1426=B1426,"si","no"))</f>
        <v/>
      </c>
      <c r="O1426" s="56"/>
      <c r="P1426" s="56"/>
      <c r="Q1426" s="48"/>
      <c r="R1426" s="48"/>
      <c r="S1426" s="2"/>
    </row>
    <row r="1427" spans="1:19" ht="12.75" customHeight="1" x14ac:dyDescent="0.2">
      <c r="A1427" s="155"/>
      <c r="B1427" s="138" t="str">
        <f>IF(A1427="","",VLOOKUP(A1427,'6.A'!$A$11:$G$180,2,FALSE))</f>
        <v/>
      </c>
      <c r="C1427" s="156"/>
      <c r="D1427" s="25" t="str">
        <f>IF(A1427="","",VLOOKUP(A1427,'6.A'!$A$11:$G$180,4,FALSE))</f>
        <v/>
      </c>
      <c r="E1427" s="101" t="str">
        <f>IF(A1427="","",VLOOKUP(A1427,'6.A'!$A$11:$G$180,5,FALSE))</f>
        <v/>
      </c>
      <c r="F1427" s="24" t="str">
        <f t="shared" si="609"/>
        <v>0,00</v>
      </c>
      <c r="G1427" s="52"/>
      <c r="H1427" s="52" t="str">
        <f>IF(A1427="","",VLOOKUP(A1427,'6.A'!$A$11:$E$7984,5,FALSE))</f>
        <v/>
      </c>
      <c r="I1427" s="52" t="str">
        <f t="shared" ref="I1427" si="618">IF(H1427="","",IF(E1427=H1427,"SIM","NÃO"))</f>
        <v/>
      </c>
      <c r="J1427" s="52" t="str">
        <f>IF(H1427="","",VLOOKUP(A1427,'6.A'!$A$11:$E$564,4,FALSE))</f>
        <v/>
      </c>
      <c r="K1427" s="52" t="str">
        <f t="shared" ref="K1427" si="619">IF(H1427="","",IF(J1427=D1427,"SIM","NÃO"))</f>
        <v/>
      </c>
      <c r="L1427" s="52" t="str">
        <f>IF(H1427="","",IF(C1427="","",G1416*C1427))</f>
        <v/>
      </c>
      <c r="M1427" s="117" t="str">
        <f>IF(A1427="","",VLOOKUP(A1427,'6.A'!$A$11:$C$564,2,FALSE))</f>
        <v/>
      </c>
      <c r="N1427" s="57" t="str">
        <f t="shared" ref="N1427" si="620">IF(A1427="","",IF(M1427=B1427,"si","no"))</f>
        <v/>
      </c>
      <c r="O1427" s="56"/>
      <c r="P1427" s="56"/>
      <c r="Q1427" s="48"/>
      <c r="R1427" s="48"/>
      <c r="S1427" s="2"/>
    </row>
    <row r="1428" spans="1:19" ht="12.75" customHeight="1" x14ac:dyDescent="0.2">
      <c r="A1428" s="152"/>
      <c r="B1428" s="26" t="str">
        <f>$A$8</f>
        <v>LEIS SOCIAIS HORISTA - JORNADA NORMAL</v>
      </c>
      <c r="C1428" s="27">
        <f>$C$8</f>
        <v>0</v>
      </c>
      <c r="D1428" s="57"/>
      <c r="F1428" s="28">
        <f>ROUND(SUM(F1418:F1427)*C1428,2)</f>
        <v>0</v>
      </c>
      <c r="G1428" s="63"/>
      <c r="M1428" s="62"/>
      <c r="N1428" s="57"/>
      <c r="O1428" s="56"/>
      <c r="P1428" s="56"/>
      <c r="Q1428" s="48"/>
      <c r="R1428" s="48"/>
      <c r="S1428" s="2"/>
    </row>
    <row r="1429" spans="1:19" ht="12.75" customHeight="1" x14ac:dyDescent="0.2">
      <c r="A1429" s="155"/>
      <c r="B1429" s="26" t="str">
        <f>$A$9</f>
        <v>BDI</v>
      </c>
      <c r="C1429" s="27">
        <f>$C$9</f>
        <v>0</v>
      </c>
      <c r="D1429" s="29"/>
      <c r="F1429" s="28">
        <f>ROUND(SUM(F1418:F1428)*C1429,2)</f>
        <v>0</v>
      </c>
      <c r="G1429" s="63"/>
      <c r="M1429" s="62"/>
      <c r="N1429" s="57"/>
      <c r="O1429" s="56"/>
      <c r="P1429" s="56"/>
      <c r="Q1429" s="48"/>
      <c r="R1429" s="48"/>
      <c r="S1429" s="2"/>
    </row>
    <row r="1430" spans="1:19" ht="12.75" customHeight="1" x14ac:dyDescent="0.2">
      <c r="A1430" s="163"/>
      <c r="B1430" s="164" t="s">
        <v>56</v>
      </c>
      <c r="C1430" s="165"/>
      <c r="D1430" s="33"/>
      <c r="E1430" s="34"/>
      <c r="F1430" s="35">
        <f>ROUND(SUM(F1418:F1429),2)</f>
        <v>0</v>
      </c>
      <c r="G1430" s="63"/>
      <c r="M1430" s="62"/>
      <c r="N1430" s="57"/>
      <c r="O1430" s="56"/>
      <c r="P1430" s="56"/>
      <c r="Q1430" s="48"/>
      <c r="R1430" s="48"/>
      <c r="S1430" s="2"/>
    </row>
    <row r="1431" spans="1:19" ht="12.75" customHeight="1" x14ac:dyDescent="0.2">
      <c r="A1431" s="152" t="s">
        <v>5</v>
      </c>
      <c r="B1431" s="153" t="s">
        <v>130</v>
      </c>
      <c r="C1431" s="140" t="s">
        <v>59</v>
      </c>
      <c r="D1431" s="56" t="s">
        <v>16</v>
      </c>
      <c r="E1431" s="19" t="s">
        <v>60</v>
      </c>
      <c r="F1431" s="20" t="s">
        <v>61</v>
      </c>
      <c r="G1431" s="21"/>
      <c r="M1431" s="62"/>
      <c r="N1431" s="57"/>
      <c r="O1431" s="56"/>
      <c r="P1431" s="56"/>
      <c r="Q1431" s="48"/>
      <c r="R1431" s="48"/>
      <c r="S1431" s="2"/>
    </row>
    <row r="1432" spans="1:19" ht="12.75" customHeight="1" x14ac:dyDescent="0.2">
      <c r="A1432" s="155"/>
      <c r="B1432" s="138" t="str">
        <f>IF(A1432="","",VLOOKUP(A1432,'6.A'!$A$11:$G$180,2,FALSE))</f>
        <v/>
      </c>
      <c r="C1432" s="156"/>
      <c r="D1432" s="57" t="str">
        <f>IF(A1432="","",VLOOKUP(A1432,'6.A'!$A$11:$G$180,4,FALSE))</f>
        <v/>
      </c>
      <c r="E1432" s="100" t="str">
        <f>IF(A1432="","",VLOOKUP(A1432,'6.A'!$A$11:$G$180,5,FALSE))</f>
        <v/>
      </c>
      <c r="F1432" s="24" t="str">
        <f t="shared" ref="F1432" si="621">IF(A1432="","0,00",ROUND(C1432*E1432,2))</f>
        <v>0,00</v>
      </c>
      <c r="G1432" s="52"/>
      <c r="H1432" s="52" t="str">
        <f>IF(A1432="","",VLOOKUP(A1432,'6.A'!$A$11:$E$7984,5,FALSE))</f>
        <v/>
      </c>
      <c r="I1432" s="52" t="str">
        <f t="shared" ref="I1432" si="622">IF(H1432="","",IF(E1432=H1432,"SIM","NÃO"))</f>
        <v/>
      </c>
      <c r="J1432" s="52" t="str">
        <f>IF(H1432="","",VLOOKUP(A1432,'6.A'!$A$11:$E$564,4,FALSE))</f>
        <v/>
      </c>
      <c r="K1432" s="52" t="str">
        <f t="shared" ref="K1432" si="623">IF(H1432="","",IF(J1432=D1432,"SIM","NÃO"))</f>
        <v/>
      </c>
      <c r="L1432" s="52" t="str">
        <f>IF(H1432="","",IF(C1432="","",G1416*C1432))</f>
        <v/>
      </c>
      <c r="M1432" s="117" t="str">
        <f>IF(A1432="","",VLOOKUP(A1432,'6.A'!$A$11:$C$564,2,FALSE))</f>
        <v/>
      </c>
      <c r="N1432" s="57" t="str">
        <f t="shared" ref="N1432" si="624">IF(A1432="","",IF(M1432=B1432,"si","no"))</f>
        <v/>
      </c>
      <c r="O1432" s="56"/>
      <c r="P1432" s="56"/>
      <c r="Q1432" s="48"/>
      <c r="R1432" s="48"/>
      <c r="S1432" s="2"/>
    </row>
    <row r="1433" spans="1:19" ht="12.75" customHeight="1" x14ac:dyDescent="0.2">
      <c r="A1433" s="155"/>
      <c r="B1433" s="138" t="str">
        <f>IF(A1433="","",VLOOKUP(A1433,'6.A'!$A$11:$G$180,2,FALSE))</f>
        <v/>
      </c>
      <c r="C1433" s="156"/>
      <c r="D1433" s="57"/>
      <c r="E1433" s="100"/>
      <c r="F1433" s="24" t="str">
        <f>IF(A1433="","0,00",ROUND(C1433*E1433,2))</f>
        <v>0,00</v>
      </c>
      <c r="G1433" s="52"/>
      <c r="H1433" s="52" t="str">
        <f>IF(A1433="","",VLOOKUP(A1433,'6.A'!$A$11:$E$7984,5,FALSE))</f>
        <v/>
      </c>
      <c r="I1433" s="52" t="str">
        <f>IF(H1433="","",IF(E1433=H1433,"SIM","NÃO"))</f>
        <v/>
      </c>
      <c r="J1433" s="52" t="str">
        <f>IF(H1433="","",VLOOKUP(A1433,'6.A'!$A$11:$E$564,4,FALSE))</f>
        <v/>
      </c>
      <c r="K1433" s="52" t="str">
        <f>IF(H1433="","",IF(J1433=D1433,"SIM","NÃO"))</f>
        <v/>
      </c>
      <c r="L1433" s="52" t="str">
        <f>IF(H1433="","",IF(C1433="","",G1416*C1433))</f>
        <v/>
      </c>
      <c r="M1433" s="117" t="str">
        <f>IF(A1433="","",VLOOKUP(A1433,'6.A'!$A$11:$C$564,2,FALSE))</f>
        <v/>
      </c>
      <c r="N1433" s="57" t="str">
        <f>IF(A1433="","",IF(M1433=B1433,"si","no"))</f>
        <v/>
      </c>
      <c r="O1433" s="56"/>
      <c r="P1433" s="56"/>
      <c r="Q1433" s="48"/>
      <c r="R1433" s="48"/>
      <c r="S1433" s="2"/>
    </row>
    <row r="1434" spans="1:19" ht="12.75" customHeight="1" x14ac:dyDescent="0.2">
      <c r="A1434" s="155"/>
      <c r="B1434" s="138" t="str">
        <f>IF(A1434="","",VLOOKUP(A1434,'6.A'!$A$11:$G$180,2,FALSE))</f>
        <v/>
      </c>
      <c r="C1434" s="156"/>
      <c r="D1434" s="57"/>
      <c r="E1434" s="100"/>
      <c r="F1434" s="24" t="str">
        <f>IF(A1434="","0,00",ROUND(C1434*E1434,2))</f>
        <v>0,00</v>
      </c>
      <c r="G1434" s="52"/>
      <c r="H1434" s="52" t="str">
        <f>IF(A1434="","",VLOOKUP(A1434,'6.A'!$A$11:$E$7984,5,FALSE))</f>
        <v/>
      </c>
      <c r="I1434" s="52" t="str">
        <f>IF(H1434="","",IF(E1434=H1434,"SIM","NÃO"))</f>
        <v/>
      </c>
      <c r="J1434" s="52" t="str">
        <f>IF(H1434="","",VLOOKUP(A1434,'6.A'!$A$11:$E$564,4,FALSE))</f>
        <v/>
      </c>
      <c r="K1434" s="52" t="str">
        <f>IF(H1434="","",IF(J1434=D1434,"SIM","NÃO"))</f>
        <v/>
      </c>
      <c r="L1434" s="52" t="str">
        <f>IF(H1434="","",IF(C1434="","",G1416*C1434))</f>
        <v/>
      </c>
      <c r="M1434" s="117" t="str">
        <f>IF(A1434="","",VLOOKUP(A1434,'6.A'!$A$11:$C$564,2,FALSE))</f>
        <v/>
      </c>
      <c r="N1434" s="57" t="str">
        <f>IF(A1434="","",IF(M1434=B1434,"si","no"))</f>
        <v/>
      </c>
      <c r="O1434" s="56"/>
      <c r="P1434" s="56"/>
      <c r="Q1434" s="48"/>
      <c r="R1434" s="48"/>
      <c r="S1434" s="2"/>
    </row>
    <row r="1435" spans="1:19" ht="12.75" customHeight="1" x14ac:dyDescent="0.2">
      <c r="A1435" s="155"/>
      <c r="B1435" s="176" t="str">
        <f>IF(A1435="","",VLOOKUP(A1435,'6.A'!$A$11:$G$180,2,FALSE))</f>
        <v/>
      </c>
      <c r="C1435" s="156"/>
      <c r="D1435" s="57" t="str">
        <f>IF(A1435="","",VLOOKUP(A1435,'6.A'!$A$11:$G$180,4,FALSE))</f>
        <v/>
      </c>
      <c r="E1435" s="100" t="str">
        <f>IF(A1435="","",VLOOKUP(A1435,'6.A'!$A$11:$G$180,5,FALSE))</f>
        <v/>
      </c>
      <c r="F1435" s="24" t="str">
        <f t="shared" ref="F1435:F1441" si="625">IF(A1435="","0,00",ROUND(C1435*E1435,2))</f>
        <v>0,00</v>
      </c>
      <c r="G1435" s="52"/>
      <c r="H1435" s="52" t="str">
        <f>IF(A1435="","",VLOOKUP(A1435,'6.A'!$A$11:$E$7984,5,FALSE))</f>
        <v/>
      </c>
      <c r="I1435" s="52" t="str">
        <f t="shared" ref="I1435:I1441" si="626">IF(H1435="","",IF(E1435=H1435,"SIM","NÃO"))</f>
        <v/>
      </c>
      <c r="J1435" s="52" t="str">
        <f>IF(H1435="","",VLOOKUP(A1435,'6.A'!$A$11:$E$564,4,FALSE))</f>
        <v/>
      </c>
      <c r="K1435" s="52" t="str">
        <f t="shared" ref="K1435:K1441" si="627">IF(H1435="","",IF(J1435=D1435,"SIM","NÃO"))</f>
        <v/>
      </c>
      <c r="L1435" s="52" t="str">
        <f>IF(H1435="","",IF(C1435="","",G1416*C1435))</f>
        <v/>
      </c>
      <c r="M1435" s="117" t="str">
        <f>IF(A1435="","",VLOOKUP(A1435,'6.A'!$A$11:$C$564,2,FALSE))</f>
        <v/>
      </c>
      <c r="N1435" s="57" t="str">
        <f t="shared" ref="N1435:N1437" si="628">IF(A1435="","",IF(M1435=B1435,"si","no"))</f>
        <v/>
      </c>
      <c r="O1435" s="56"/>
      <c r="P1435" s="56"/>
      <c r="Q1435" s="48"/>
      <c r="R1435" s="48"/>
      <c r="S1435" s="2"/>
    </row>
    <row r="1436" spans="1:19" ht="12.75" customHeight="1" x14ac:dyDescent="0.2">
      <c r="A1436" s="155"/>
      <c r="B1436" s="176" t="str">
        <f>IF(A1436="","",VLOOKUP(A1436,'6.A'!$A$11:$G$180,2,FALSE))</f>
        <v/>
      </c>
      <c r="C1436" s="156"/>
      <c r="D1436" s="57" t="str">
        <f>IF(A1436="","",VLOOKUP(A1436,'6.A'!$A$11:$G$180,4,FALSE))</f>
        <v/>
      </c>
      <c r="E1436" s="100" t="str">
        <f>IF(A1436="","",VLOOKUP(A1436,'6.A'!$A$11:$G$180,5,FALSE))</f>
        <v/>
      </c>
      <c r="F1436" s="24" t="str">
        <f t="shared" si="625"/>
        <v>0,00</v>
      </c>
      <c r="G1436" s="52"/>
      <c r="H1436" s="52" t="str">
        <f>IF(A1436="","",VLOOKUP(A1436,'6.A'!$A$11:$E$7984,5,FALSE))</f>
        <v/>
      </c>
      <c r="I1436" s="52" t="str">
        <f t="shared" si="626"/>
        <v/>
      </c>
      <c r="J1436" s="52" t="str">
        <f>IF(H1436="","",VLOOKUP(A1436,'6.A'!$A$11:$E$564,4,FALSE))</f>
        <v/>
      </c>
      <c r="K1436" s="52" t="str">
        <f t="shared" si="627"/>
        <v/>
      </c>
      <c r="L1436" s="52" t="str">
        <f>IF(H1436="","",IF(C1436="","",G1416*C1436))</f>
        <v/>
      </c>
      <c r="M1436" s="117" t="str">
        <f>IF(A1436="","",VLOOKUP(A1436,'6.A'!$A$11:$C$564,2,FALSE))</f>
        <v/>
      </c>
      <c r="N1436" s="57" t="str">
        <f t="shared" si="628"/>
        <v/>
      </c>
      <c r="O1436" s="56"/>
      <c r="P1436" s="56"/>
      <c r="Q1436" s="48"/>
      <c r="R1436" s="48"/>
      <c r="S1436" s="2"/>
    </row>
    <row r="1437" spans="1:19" ht="12.75" customHeight="1" x14ac:dyDescent="0.2">
      <c r="A1437" s="155"/>
      <c r="B1437" s="176" t="str">
        <f>IF(A1437="","",VLOOKUP(A1437,'6.A'!$A$11:$G$180,2,FALSE))</f>
        <v/>
      </c>
      <c r="C1437" s="156"/>
      <c r="D1437" s="57" t="str">
        <f>IF(A1437="","",VLOOKUP(A1437,'6.A'!$A$11:$G$180,4,FALSE))</f>
        <v/>
      </c>
      <c r="E1437" s="100" t="str">
        <f>IF(A1437="","",VLOOKUP(A1437,'6.A'!$A$11:$G$180,5,FALSE))</f>
        <v/>
      </c>
      <c r="F1437" s="24" t="str">
        <f t="shared" si="625"/>
        <v>0,00</v>
      </c>
      <c r="G1437" s="52"/>
      <c r="H1437" s="52" t="str">
        <f>IF(A1437="","",VLOOKUP(A1437,'6.A'!$A$11:$E$7984,5,FALSE))</f>
        <v/>
      </c>
      <c r="I1437" s="52" t="str">
        <f t="shared" si="626"/>
        <v/>
      </c>
      <c r="J1437" s="52" t="str">
        <f>IF(H1437="","",VLOOKUP(A1437,'6.A'!$A$11:$E$564,4,FALSE))</f>
        <v/>
      </c>
      <c r="K1437" s="52" t="str">
        <f t="shared" si="627"/>
        <v/>
      </c>
      <c r="L1437" s="52" t="str">
        <f>IF(H1437="","",IF(C1437="","",G1416*C1437))</f>
        <v/>
      </c>
      <c r="M1437" s="117" t="str">
        <f>IF(A1437="","",VLOOKUP(A1437,'6.A'!$A$11:$C$564,2,FALSE))</f>
        <v/>
      </c>
      <c r="N1437" s="57" t="str">
        <f t="shared" si="628"/>
        <v/>
      </c>
      <c r="O1437" s="56"/>
      <c r="P1437" s="56"/>
      <c r="Q1437" s="48"/>
      <c r="R1437" s="48"/>
      <c r="S1437" s="2"/>
    </row>
    <row r="1438" spans="1:19" ht="12.75" customHeight="1" x14ac:dyDescent="0.2">
      <c r="A1438" s="155"/>
      <c r="B1438" s="176" t="str">
        <f>IF(A1438="","",VLOOKUP(A1438,'6.A'!$A$11:$G$180,2,FALSE))</f>
        <v/>
      </c>
      <c r="C1438" s="156"/>
      <c r="D1438" s="57" t="str">
        <f>IF(A1438="","",VLOOKUP(A1438,'6.A'!$A$11:$G$180,4,FALSE))</f>
        <v/>
      </c>
      <c r="E1438" s="100" t="str">
        <f>IF(A1438="","",VLOOKUP(A1438,'6.A'!$A$11:$G$180,5,FALSE))</f>
        <v/>
      </c>
      <c r="F1438" s="24" t="str">
        <f t="shared" si="625"/>
        <v>0,00</v>
      </c>
      <c r="G1438" s="52"/>
      <c r="H1438" s="52" t="str">
        <f>IF(A1438="","",VLOOKUP(A1438,'6.A'!$A$11:$E$7984,5,FALSE))</f>
        <v/>
      </c>
      <c r="I1438" s="52" t="str">
        <f t="shared" si="626"/>
        <v/>
      </c>
      <c r="J1438" s="52" t="str">
        <f>IF(H1438="","",VLOOKUP(A1438,'6.A'!$A$11:$E$564,4,FALSE))</f>
        <v/>
      </c>
      <c r="K1438" s="52" t="str">
        <f t="shared" si="627"/>
        <v/>
      </c>
      <c r="L1438" s="52" t="str">
        <f>IF(H1438="","",IF(C1438="","",G1416*C1438))</f>
        <v/>
      </c>
      <c r="M1438" s="117" t="str">
        <f>IF(A1438="","",VLOOKUP(A1438,'6.A'!$A$11:$C$564,2,FALSE))</f>
        <v/>
      </c>
      <c r="N1438" s="57" t="str">
        <f>IF(A1438="","",IF(M1438=B1438,"si","no"))</f>
        <v/>
      </c>
      <c r="O1438" s="56"/>
      <c r="P1438" s="56"/>
      <c r="Q1438" s="48"/>
      <c r="R1438" s="48"/>
      <c r="S1438" s="2"/>
    </row>
    <row r="1439" spans="1:19" ht="12.75" customHeight="1" x14ac:dyDescent="0.2">
      <c r="A1439" s="155"/>
      <c r="B1439" s="138" t="str">
        <f>IF(A1439="","",VLOOKUP(A1439,'6.A'!$A$11:$G$180,2,FALSE))</f>
        <v/>
      </c>
      <c r="C1439" s="156"/>
      <c r="D1439" s="57" t="str">
        <f>IF(A1439="","",VLOOKUP(A1439,'6.A'!$A$11:$G$180,4,FALSE))</f>
        <v/>
      </c>
      <c r="E1439" s="100" t="str">
        <f>IF(A1439="","",VLOOKUP(A1439,'6.A'!$A$11:$G$180,5,FALSE))</f>
        <v/>
      </c>
      <c r="F1439" s="24" t="str">
        <f t="shared" si="625"/>
        <v>0,00</v>
      </c>
      <c r="G1439" s="52"/>
      <c r="H1439" s="52" t="str">
        <f>IF(A1439="","",VLOOKUP(A1439,'6.A'!$A$11:$E$7984,5,FALSE))</f>
        <v/>
      </c>
      <c r="I1439" s="52" t="str">
        <f t="shared" si="626"/>
        <v/>
      </c>
      <c r="J1439" s="52" t="str">
        <f>IF(H1439="","",VLOOKUP(A1439,'6.A'!$A$11:$E$564,4,FALSE))</f>
        <v/>
      </c>
      <c r="K1439" s="52" t="str">
        <f t="shared" si="627"/>
        <v/>
      </c>
      <c r="L1439" s="52" t="str">
        <f>IF(H1439="","",IF(C1439="","",G1416*C1439))</f>
        <v/>
      </c>
      <c r="M1439" s="117" t="str">
        <f>IF(A1439="","",VLOOKUP(A1439,'6.A'!$A$11:$C$564,2,FALSE))</f>
        <v/>
      </c>
      <c r="N1439" s="57" t="str">
        <f>IF(A1439="","",IF(M1439=B1439,"si","no"))</f>
        <v/>
      </c>
      <c r="O1439" s="56"/>
      <c r="P1439" s="56"/>
      <c r="Q1439" s="48"/>
      <c r="R1439" s="48"/>
      <c r="S1439" s="2"/>
    </row>
    <row r="1440" spans="1:19" ht="12.75" customHeight="1" x14ac:dyDescent="0.2">
      <c r="A1440" s="155"/>
      <c r="B1440" s="138" t="str">
        <f>IF(A1440="","",VLOOKUP(A1440,'6.A'!$A$11:$G$180,2,FALSE))</f>
        <v/>
      </c>
      <c r="C1440" s="156"/>
      <c r="D1440" s="57" t="str">
        <f>IF(A1440="","",VLOOKUP(A1440,'6.A'!$A$11:$G$180,4,FALSE))</f>
        <v/>
      </c>
      <c r="E1440" s="100" t="str">
        <f>IF(A1440="","",VLOOKUP(A1440,'6.A'!$A$11:$G$180,5,FALSE))</f>
        <v/>
      </c>
      <c r="F1440" s="24" t="str">
        <f t="shared" si="625"/>
        <v>0,00</v>
      </c>
      <c r="G1440" s="52"/>
      <c r="H1440" s="52" t="str">
        <f>IF(A1440="","",VLOOKUP(A1440,'6.A'!$A$11:$E$7984,5,FALSE))</f>
        <v/>
      </c>
      <c r="I1440" s="52" t="str">
        <f t="shared" si="626"/>
        <v/>
      </c>
      <c r="J1440" s="52" t="str">
        <f>IF(H1440="","",VLOOKUP(A1440,'6.A'!$A$11:$E$564,4,FALSE))</f>
        <v/>
      </c>
      <c r="K1440" s="52" t="str">
        <f t="shared" si="627"/>
        <v/>
      </c>
      <c r="L1440" s="52" t="str">
        <f>IF(H1440="","",IF(C1440="","",G1416*C1440))</f>
        <v/>
      </c>
      <c r="M1440" s="117" t="str">
        <f>IF(A1440="","",VLOOKUP(A1440,'6.A'!$A$11:$C$564,2,FALSE))</f>
        <v/>
      </c>
      <c r="N1440" s="57" t="str">
        <f t="shared" ref="N1440:N1441" si="629">IF(A1440="","",IF(M1440=B1440,"si","no"))</f>
        <v/>
      </c>
      <c r="O1440" s="56"/>
      <c r="P1440" s="56"/>
      <c r="Q1440" s="48"/>
      <c r="R1440" s="48"/>
      <c r="S1440" s="2"/>
    </row>
    <row r="1441" spans="1:22" ht="12.75" customHeight="1" x14ac:dyDescent="0.2">
      <c r="A1441" s="155"/>
      <c r="B1441" s="138" t="str">
        <f>IF(A1441="","",VLOOKUP(A1441,'6.A'!$A$11:$G$180,2,FALSE))</f>
        <v/>
      </c>
      <c r="C1441" s="156"/>
      <c r="D1441" s="57" t="str">
        <f>IF(A1441="","",VLOOKUP(A1441,'6.A'!$A$11:$G$180,4,FALSE))</f>
        <v/>
      </c>
      <c r="E1441" s="100" t="str">
        <f>IF(A1441="","",VLOOKUP(A1441,'6.A'!$A$11:$G$180,5,FALSE))</f>
        <v/>
      </c>
      <c r="F1441" s="24" t="str">
        <f t="shared" si="625"/>
        <v>0,00</v>
      </c>
      <c r="G1441" s="52"/>
      <c r="H1441" s="52" t="str">
        <f>IF(A1441="","",VLOOKUP(A1441,'6.A'!$A$11:$E$7984,5,FALSE))</f>
        <v/>
      </c>
      <c r="I1441" s="52" t="str">
        <f t="shared" si="626"/>
        <v/>
      </c>
      <c r="J1441" s="52" t="str">
        <f>IF(H1441="","",VLOOKUP(A1441,'6.A'!$A$11:$E$564,4,FALSE))</f>
        <v/>
      </c>
      <c r="K1441" s="52" t="str">
        <f t="shared" si="627"/>
        <v/>
      </c>
      <c r="L1441" s="52" t="str">
        <f>IF(H1441="","",IF(C1441="","",G1416*C1441))</f>
        <v/>
      </c>
      <c r="M1441" s="117" t="str">
        <f>IF(A1441="","",VLOOKUP(A1441,'6.A'!$A$11:$C$564,2,FALSE))</f>
        <v/>
      </c>
      <c r="N1441" s="57" t="str">
        <f t="shared" si="629"/>
        <v/>
      </c>
      <c r="O1441" s="56"/>
      <c r="P1441" s="56"/>
      <c r="Q1441" s="48"/>
      <c r="R1441" s="48"/>
      <c r="S1441" s="2"/>
    </row>
    <row r="1442" spans="1:22" ht="12.75" customHeight="1" x14ac:dyDescent="0.2">
      <c r="A1442" s="155"/>
      <c r="B1442" s="26" t="str">
        <f>$A$9</f>
        <v>BDI</v>
      </c>
      <c r="C1442" s="27">
        <f>$C$9</f>
        <v>0</v>
      </c>
      <c r="D1442" s="57"/>
      <c r="F1442" s="28">
        <f>ROUND(SUM(F1432:F1441)*C1442,2)</f>
        <v>0</v>
      </c>
      <c r="G1442" s="63"/>
      <c r="M1442" s="62"/>
      <c r="N1442" s="57"/>
      <c r="O1442" s="56"/>
      <c r="P1442" s="56"/>
      <c r="Q1442" s="48"/>
      <c r="R1442" s="48"/>
      <c r="S1442" s="2"/>
    </row>
    <row r="1443" spans="1:22" ht="12.75" customHeight="1" x14ac:dyDescent="0.2">
      <c r="A1443" s="163"/>
      <c r="B1443" s="31" t="s">
        <v>117</v>
      </c>
      <c r="C1443" s="36"/>
      <c r="D1443" s="37"/>
      <c r="E1443" s="38"/>
      <c r="F1443" s="35">
        <f>ROUND(SUM(F1432:F1442),2)</f>
        <v>0</v>
      </c>
      <c r="G1443" s="63"/>
      <c r="M1443" s="62"/>
      <c r="N1443" s="57"/>
      <c r="O1443" s="56"/>
      <c r="P1443" s="56"/>
      <c r="Q1443" s="48"/>
      <c r="R1443" s="48"/>
      <c r="S1443" s="2"/>
    </row>
    <row r="1444" spans="1:22" ht="12.75" customHeight="1" x14ac:dyDescent="0.2">
      <c r="A1444" s="152" t="s">
        <v>6</v>
      </c>
      <c r="B1444" s="153" t="s">
        <v>17</v>
      </c>
      <c r="C1444" s="140" t="s">
        <v>59</v>
      </c>
      <c r="D1444" s="56" t="s">
        <v>16</v>
      </c>
      <c r="E1444" s="19" t="s">
        <v>60</v>
      </c>
      <c r="F1444" s="20" t="s">
        <v>61</v>
      </c>
      <c r="G1444" s="21"/>
      <c r="M1444" s="62"/>
      <c r="N1444" s="57"/>
      <c r="O1444" s="56"/>
      <c r="P1444" s="56"/>
      <c r="Q1444" s="48"/>
      <c r="R1444" s="48"/>
      <c r="S1444" s="2"/>
    </row>
    <row r="1445" spans="1:22" ht="12.75" customHeight="1" x14ac:dyDescent="0.2">
      <c r="A1445" s="155">
        <f>'6.A'!$A$73</f>
        <v>982</v>
      </c>
      <c r="B1445" s="138" t="str">
        <f>IF(A1445="","",VLOOKUP(A1445,'6.A'!$A$11:$G$180,2,FALSE))</f>
        <v>CABO DE COBRE FLEXIVEL CL 4/5, ISOLACAO PVC/A, ANTICHAMA BWF-B, 1 CONDUTOR, 450/750 V, SECAO NOMINAL 6 MM2</v>
      </c>
      <c r="C1445" s="156">
        <v>1.2434000000000001</v>
      </c>
      <c r="D1445" s="57" t="str">
        <f>IF(A1445="","",VLOOKUP(A1445,'6.A'!$A$11:$G$180,4,FALSE))</f>
        <v>M</v>
      </c>
      <c r="E1445" s="100">
        <f>IF(A1445="","",VLOOKUP(A1445,'6.A'!$A$11:$G$180,5,FALSE))</f>
        <v>0</v>
      </c>
      <c r="F1445" s="24">
        <f t="shared" ref="F1445:F1464" si="630">IF(A1445="","0,00",ROUND(C1445*E1445,2))</f>
        <v>0</v>
      </c>
      <c r="G1445" s="52"/>
      <c r="H1445" s="52">
        <f>IF(A1445="","",VLOOKUP(A1445,'6.A'!$A$11:$E$7984,5,FALSE))</f>
        <v>0</v>
      </c>
      <c r="I1445" s="52" t="str">
        <f t="shared" ref="I1445:I1464" si="631">IF(H1445="","",IF(E1445=H1445,"SIM","NÃO"))</f>
        <v>SIM</v>
      </c>
      <c r="J1445" s="52" t="str">
        <f>IF(H1445="","",VLOOKUP(A1445,'6.A'!$A$11:$E$564,4,FALSE))</f>
        <v>M</v>
      </c>
      <c r="K1445" s="52" t="str">
        <f t="shared" ref="K1445:K1464" si="632">IF(H1445="","",IF(J1445=D1445,"SIM","NÃO"))</f>
        <v>SIM</v>
      </c>
      <c r="L1445" s="52">
        <f>IF(H1445="","",IF(C1445="","",G1416*C1445))</f>
        <v>44.7624</v>
      </c>
      <c r="M1445" s="117" t="str">
        <f>IF(A1445="","",VLOOKUP(A1445,'6.A'!$A$11:$C$564,2,FALSE))</f>
        <v>CABO DE COBRE FLEXIVEL CL 4/5, ISOLACAO PVC/A, ANTICHAMA BWF-B, 1 CONDUTOR, 450/750 V, SECAO NOMINAL 6 MM2</v>
      </c>
      <c r="N1445" s="57" t="str">
        <f t="shared" ref="N1445:N1464" si="633">IF(A1445="","",IF(M1445=B1445,"si","no"))</f>
        <v>si</v>
      </c>
      <c r="O1445" s="56"/>
      <c r="P1445" s="56"/>
      <c r="Q1445" s="48"/>
      <c r="R1445" s="48"/>
      <c r="S1445" s="2"/>
    </row>
    <row r="1446" spans="1:22" ht="12.75" customHeight="1" x14ac:dyDescent="0.2">
      <c r="A1446" s="155">
        <f>'6.A'!$A$123</f>
        <v>21127</v>
      </c>
      <c r="B1446" s="138" t="str">
        <f>IF(A1446="","",VLOOKUP(A1446,'6.A'!$A$11:$G$180,2,FALSE))</f>
        <v>FITA ISOLANTE ADESIVA ANTICHAMA, USO ATE 750 V, EM ROLO DE 19 MM X 5 M</v>
      </c>
      <c r="C1446" s="156">
        <v>9.4000000000000004E-3</v>
      </c>
      <c r="D1446" s="57" t="str">
        <f>IF(A1446="","",VLOOKUP(A1446,'6.A'!$A$11:$G$180,4,FALSE))</f>
        <v>UN</v>
      </c>
      <c r="E1446" s="100">
        <f>IF(A1446="","",VLOOKUP(A1446,'6.A'!$A$11:$G$180,5,FALSE))</f>
        <v>0</v>
      </c>
      <c r="F1446" s="24">
        <f t="shared" si="630"/>
        <v>0</v>
      </c>
      <c r="G1446" s="52"/>
      <c r="H1446" s="52">
        <f>IF(A1446="","",VLOOKUP(A1446,'6.A'!$A$11:$E$7984,5,FALSE))</f>
        <v>0</v>
      </c>
      <c r="I1446" s="52" t="str">
        <f t="shared" si="631"/>
        <v>SIM</v>
      </c>
      <c r="J1446" s="52" t="str">
        <f>IF(H1446="","",VLOOKUP(A1446,'6.A'!$A$11:$E$564,4,FALSE))</f>
        <v>UN</v>
      </c>
      <c r="K1446" s="52" t="str">
        <f t="shared" si="632"/>
        <v>SIM</v>
      </c>
      <c r="L1446" s="52">
        <f>IF(H1446="","",IF(C1446="","",G1416*C1446))</f>
        <v>0.33840000000000003</v>
      </c>
      <c r="M1446" s="117" t="str">
        <f>IF(A1446="","",VLOOKUP(A1446,'6.A'!$A$11:$C$564,2,FALSE))</f>
        <v>FITA ISOLANTE ADESIVA ANTICHAMA, USO ATE 750 V, EM ROLO DE 19 MM X 5 M</v>
      </c>
      <c r="N1446" s="57" t="str">
        <f t="shared" si="633"/>
        <v>si</v>
      </c>
      <c r="O1446" s="56"/>
      <c r="P1446" s="56"/>
      <c r="Q1446" s="48"/>
      <c r="R1446" s="48"/>
      <c r="S1446" s="2"/>
    </row>
    <row r="1447" spans="1:22" ht="12.75" customHeight="1" x14ac:dyDescent="0.2">
      <c r="A1447" s="155"/>
      <c r="B1447" s="138" t="str">
        <f>IF(A1447="","",VLOOKUP(A1447,'6.A'!$A$11:$G$180,2,FALSE))</f>
        <v/>
      </c>
      <c r="C1447" s="156"/>
      <c r="D1447" s="57" t="str">
        <f>IF(A1447="","",VLOOKUP(A1447,'6.A'!$A$11:$G$180,4,FALSE))</f>
        <v/>
      </c>
      <c r="E1447" s="100" t="str">
        <f>IF(A1447="","",VLOOKUP(A1447,'6.A'!$A$11:$G$180,5,FALSE))</f>
        <v/>
      </c>
      <c r="F1447" s="24" t="str">
        <f t="shared" si="630"/>
        <v>0,00</v>
      </c>
      <c r="G1447" s="52"/>
      <c r="H1447" s="52" t="str">
        <f>IF(A1447="","",VLOOKUP(A1447,'6.A'!$A$11:$E$7984,5,FALSE))</f>
        <v/>
      </c>
      <c r="I1447" s="52" t="str">
        <f t="shared" si="631"/>
        <v/>
      </c>
      <c r="J1447" s="52" t="str">
        <f>IF(H1447="","",VLOOKUP(A1447,'6.A'!$A$11:$E$564,4,FALSE))</f>
        <v/>
      </c>
      <c r="K1447" s="52" t="str">
        <f t="shared" si="632"/>
        <v/>
      </c>
      <c r="L1447" s="52" t="str">
        <f>IF(H1447="","",IF(C1447="","",G1416*C1447))</f>
        <v/>
      </c>
      <c r="M1447" s="117" t="str">
        <f>IF(A1447="","",VLOOKUP(A1447,'6.A'!$A$11:$C$564,2,FALSE))</f>
        <v/>
      </c>
      <c r="N1447" s="57" t="str">
        <f t="shared" si="633"/>
        <v/>
      </c>
      <c r="O1447" s="56"/>
      <c r="P1447" s="56"/>
      <c r="Q1447" s="48"/>
      <c r="R1447" s="48"/>
      <c r="S1447" s="2"/>
    </row>
    <row r="1448" spans="1:22" ht="12.75" customHeight="1" x14ac:dyDescent="0.2">
      <c r="A1448" s="155"/>
      <c r="B1448" s="138" t="str">
        <f>IF(A1448="","",VLOOKUP(A1448,'6.A'!$A$11:$G$180,2,FALSE))</f>
        <v/>
      </c>
      <c r="C1448" s="156"/>
      <c r="D1448" s="57" t="str">
        <f>IF(A1448="","",VLOOKUP(A1448,'6.A'!$A$11:$G$180,4,FALSE))</f>
        <v/>
      </c>
      <c r="E1448" s="100" t="str">
        <f>IF(A1448="","",VLOOKUP(A1448,'6.A'!$A$11:$G$180,5,FALSE))</f>
        <v/>
      </c>
      <c r="F1448" s="24" t="str">
        <f t="shared" si="630"/>
        <v>0,00</v>
      </c>
      <c r="G1448" s="52"/>
      <c r="H1448" s="52" t="str">
        <f>IF(A1448="","",VLOOKUP(A1448,'6.A'!$A$11:$E$7984,5,FALSE))</f>
        <v/>
      </c>
      <c r="I1448" s="52" t="str">
        <f t="shared" si="631"/>
        <v/>
      </c>
      <c r="J1448" s="52" t="str">
        <f>IF(H1448="","",VLOOKUP(A1448,'6.A'!$A$11:$E$564,4,FALSE))</f>
        <v/>
      </c>
      <c r="K1448" s="52" t="str">
        <f t="shared" si="632"/>
        <v/>
      </c>
      <c r="L1448" s="52" t="str">
        <f>IF(H1448="","",IF(C1448="","",G1416*C1448))</f>
        <v/>
      </c>
      <c r="M1448" s="117" t="str">
        <f>IF(A1448="","",VLOOKUP(A1448,'6.A'!$A$11:$C$564,2,FALSE))</f>
        <v/>
      </c>
      <c r="N1448" s="57" t="str">
        <f t="shared" si="633"/>
        <v/>
      </c>
      <c r="O1448" s="56"/>
      <c r="P1448" s="56"/>
      <c r="Q1448" s="48"/>
      <c r="R1448" s="48"/>
      <c r="S1448" s="2"/>
    </row>
    <row r="1449" spans="1:22" ht="12.75" customHeight="1" x14ac:dyDescent="0.2">
      <c r="A1449" s="155"/>
      <c r="B1449" s="138" t="str">
        <f>IF(A1449="","",VLOOKUP(A1449,'6.A'!$A$11:$G$180,2,FALSE))</f>
        <v/>
      </c>
      <c r="C1449" s="156"/>
      <c r="D1449" s="57" t="str">
        <f>IF(A1449="","",VLOOKUP(A1449,'6.A'!$A$11:$G$180,4,FALSE))</f>
        <v/>
      </c>
      <c r="E1449" s="100" t="str">
        <f>IF(A1449="","",VLOOKUP(A1449,'6.A'!$A$11:$G$180,5,FALSE))</f>
        <v/>
      </c>
      <c r="F1449" s="24" t="str">
        <f t="shared" si="630"/>
        <v>0,00</v>
      </c>
      <c r="G1449" s="52"/>
      <c r="H1449" s="52" t="str">
        <f>IF(A1449="","",VLOOKUP(A1449,'6.A'!$A$11:$E$7984,5,FALSE))</f>
        <v/>
      </c>
      <c r="I1449" s="52" t="str">
        <f t="shared" si="631"/>
        <v/>
      </c>
      <c r="J1449" s="52" t="str">
        <f>IF(H1449="","",VLOOKUP(A1449,'6.A'!$A$11:$E$564,4,FALSE))</f>
        <v/>
      </c>
      <c r="K1449" s="52" t="str">
        <f t="shared" si="632"/>
        <v/>
      </c>
      <c r="L1449" s="52" t="str">
        <f>IF(H1449="","",IF(C1449="","",G1416*C1449))</f>
        <v/>
      </c>
      <c r="M1449" s="117" t="str">
        <f>IF(A1449="","",VLOOKUP(A1449,'6.A'!$A$11:$C$564,2,FALSE))</f>
        <v/>
      </c>
      <c r="N1449" s="57" t="str">
        <f t="shared" si="633"/>
        <v/>
      </c>
      <c r="O1449" s="56"/>
      <c r="P1449" s="56"/>
      <c r="Q1449" s="48"/>
      <c r="R1449" s="48"/>
      <c r="S1449" s="2"/>
    </row>
    <row r="1450" spans="1:22" ht="12.75" customHeight="1" x14ac:dyDescent="0.2">
      <c r="A1450" s="155"/>
      <c r="B1450" s="138" t="str">
        <f>IF(A1450="","",VLOOKUP(A1450,'6.A'!$A$11:$G$180,2,FALSE))</f>
        <v/>
      </c>
      <c r="C1450" s="156"/>
      <c r="D1450" s="57" t="str">
        <f>IF(A1450="","",VLOOKUP(A1450,'6.A'!$A$11:$G$180,4,FALSE))</f>
        <v/>
      </c>
      <c r="E1450" s="100" t="str">
        <f>IF(A1450="","",VLOOKUP(A1450,'6.A'!$A$11:$G$180,5,FALSE))</f>
        <v/>
      </c>
      <c r="F1450" s="24" t="str">
        <f t="shared" si="630"/>
        <v>0,00</v>
      </c>
      <c r="G1450" s="52"/>
      <c r="H1450" s="52" t="str">
        <f>IF(A1450="","",VLOOKUP(A1450,'6.A'!$A$11:$E$7984,5,FALSE))</f>
        <v/>
      </c>
      <c r="I1450" s="52" t="str">
        <f t="shared" si="631"/>
        <v/>
      </c>
      <c r="J1450" s="52" t="str">
        <f>IF(H1450="","",VLOOKUP(A1450,'6.A'!$A$11:$E$564,4,FALSE))</f>
        <v/>
      </c>
      <c r="K1450" s="52" t="str">
        <f t="shared" si="632"/>
        <v/>
      </c>
      <c r="L1450" s="52" t="str">
        <f>IF(H1450="","",IF(C1450="","",G1416*C1450))</f>
        <v/>
      </c>
      <c r="M1450" s="117" t="str">
        <f>IF(A1450="","",VLOOKUP(A1450,'6.A'!$A$11:$C$564,2,FALSE))</f>
        <v/>
      </c>
      <c r="N1450" s="57" t="str">
        <f t="shared" si="633"/>
        <v/>
      </c>
      <c r="O1450" s="56"/>
      <c r="P1450" s="56"/>
      <c r="Q1450" s="48"/>
      <c r="R1450" s="48"/>
      <c r="S1450" s="2"/>
    </row>
    <row r="1451" spans="1:22" ht="12.75" customHeight="1" x14ac:dyDescent="0.2">
      <c r="A1451" s="155"/>
      <c r="B1451" s="138" t="str">
        <f>IF(A1451="","",VLOOKUP(A1451,'6.A'!$A$11:$G$180,2,FALSE))</f>
        <v/>
      </c>
      <c r="C1451" s="156"/>
      <c r="D1451" s="57" t="str">
        <f>IF(A1451="","",VLOOKUP(A1451,'6.A'!$A$11:$G$180,4,FALSE))</f>
        <v/>
      </c>
      <c r="E1451" s="100" t="str">
        <f>IF(A1451="","",VLOOKUP(A1451,'6.A'!$A$11:$G$180,5,FALSE))</f>
        <v/>
      </c>
      <c r="F1451" s="24" t="str">
        <f t="shared" si="630"/>
        <v>0,00</v>
      </c>
      <c r="G1451" s="52"/>
      <c r="H1451" s="52" t="str">
        <f>IF(A1451="","",VLOOKUP(A1451,'6.A'!$A$11:$E$7984,5,FALSE))</f>
        <v/>
      </c>
      <c r="I1451" s="52" t="str">
        <f t="shared" si="631"/>
        <v/>
      </c>
      <c r="J1451" s="52" t="str">
        <f>IF(H1451="","",VLOOKUP(A1451,'6.A'!$A$11:$E$564,4,FALSE))</f>
        <v/>
      </c>
      <c r="K1451" s="52" t="str">
        <f t="shared" si="632"/>
        <v/>
      </c>
      <c r="L1451" s="52" t="str">
        <f>IF(H1451="","",IF(C1451="","",G1416*C1451))</f>
        <v/>
      </c>
      <c r="M1451" s="117" t="str">
        <f>IF(A1451="","",VLOOKUP(A1451,'6.A'!$A$11:$C$564,2,FALSE))</f>
        <v/>
      </c>
      <c r="N1451" s="57" t="str">
        <f t="shared" si="633"/>
        <v/>
      </c>
      <c r="O1451" s="56"/>
      <c r="P1451" s="56"/>
      <c r="Q1451" s="48"/>
      <c r="R1451" s="48"/>
      <c r="S1451" s="2"/>
    </row>
    <row r="1452" spans="1:22" s="65" customFormat="1" ht="12.75" customHeight="1" x14ac:dyDescent="0.2">
      <c r="A1452" s="155"/>
      <c r="B1452" s="138" t="str">
        <f>IF(A1452="","",VLOOKUP(A1452,'6.A'!$A$11:$G$180,2,FALSE))</f>
        <v/>
      </c>
      <c r="C1452" s="156"/>
      <c r="D1452" s="57" t="str">
        <f>IF(A1452="","",VLOOKUP(A1452,'6.A'!$A$11:$G$180,4,FALSE))</f>
        <v/>
      </c>
      <c r="E1452" s="100" t="str">
        <f>IF(A1452="","",VLOOKUP(A1452,'6.A'!$A$11:$G$180,5,FALSE))</f>
        <v/>
      </c>
      <c r="F1452" s="24" t="str">
        <f t="shared" si="630"/>
        <v>0,00</v>
      </c>
      <c r="G1452" s="52"/>
      <c r="H1452" s="52" t="str">
        <f>IF(A1452="","",VLOOKUP(A1452,'6.A'!$A$11:$E$7984,5,FALSE))</f>
        <v/>
      </c>
      <c r="I1452" s="52" t="str">
        <f t="shared" si="631"/>
        <v/>
      </c>
      <c r="J1452" s="52" t="str">
        <f>IF(H1452="","",VLOOKUP(A1452,'6.A'!$A$11:$E$564,4,FALSE))</f>
        <v/>
      </c>
      <c r="K1452" s="52" t="str">
        <f t="shared" si="632"/>
        <v/>
      </c>
      <c r="L1452" s="52" t="str">
        <f>IF(H1452="","",IF(C1452="","",G1416*C1452))</f>
        <v/>
      </c>
      <c r="M1452" s="117" t="str">
        <f>IF(A1452="","",VLOOKUP(A1452,'6.A'!$A$11:$C$564,2,FALSE))</f>
        <v/>
      </c>
      <c r="N1452" s="57" t="str">
        <f t="shared" si="633"/>
        <v/>
      </c>
      <c r="O1452" s="56"/>
      <c r="P1452" s="56"/>
      <c r="Q1452" s="48"/>
      <c r="R1452" s="48"/>
      <c r="T1452" s="2"/>
      <c r="U1452" s="2"/>
      <c r="V1452" s="2"/>
    </row>
    <row r="1453" spans="1:22" s="65" customFormat="1" ht="12.75" customHeight="1" x14ac:dyDescent="0.2">
      <c r="A1453" s="155"/>
      <c r="B1453" s="138" t="str">
        <f>IF(A1453="","",VLOOKUP(A1453,'6.A'!$A$11:$G$180,2,FALSE))</f>
        <v/>
      </c>
      <c r="C1453" s="156"/>
      <c r="D1453" s="57" t="str">
        <f>IF(A1453="","",VLOOKUP(A1453,'6.A'!$A$11:$G$180,4,FALSE))</f>
        <v/>
      </c>
      <c r="E1453" s="100" t="str">
        <f>IF(A1453="","",VLOOKUP(A1453,'6.A'!$A$11:$G$180,5,FALSE))</f>
        <v/>
      </c>
      <c r="F1453" s="24" t="str">
        <f t="shared" si="630"/>
        <v>0,00</v>
      </c>
      <c r="G1453" s="52"/>
      <c r="H1453" s="52" t="str">
        <f>IF(A1453="","",VLOOKUP(A1453,'6.A'!$A$11:$E$7984,5,FALSE))</f>
        <v/>
      </c>
      <c r="I1453" s="52" t="str">
        <f t="shared" si="631"/>
        <v/>
      </c>
      <c r="J1453" s="52" t="str">
        <f>IF(H1453="","",VLOOKUP(A1453,'6.A'!$A$11:$E$564,4,FALSE))</f>
        <v/>
      </c>
      <c r="K1453" s="52" t="str">
        <f t="shared" si="632"/>
        <v/>
      </c>
      <c r="L1453" s="52" t="str">
        <f>IF(H1453="","",IF(C1453="","",G1416*C1453))</f>
        <v/>
      </c>
      <c r="M1453" s="117" t="str">
        <f>IF(A1453="","",VLOOKUP(A1453,'6.A'!$A$11:$C$564,2,FALSE))</f>
        <v/>
      </c>
      <c r="N1453" s="57" t="str">
        <f t="shared" si="633"/>
        <v/>
      </c>
      <c r="O1453" s="56"/>
      <c r="P1453" s="56"/>
      <c r="Q1453" s="48"/>
      <c r="R1453" s="48"/>
      <c r="T1453" s="2"/>
      <c r="U1453" s="2"/>
      <c r="V1453" s="2"/>
    </row>
    <row r="1454" spans="1:22" s="65" customFormat="1" ht="12.75" customHeight="1" x14ac:dyDescent="0.2">
      <c r="A1454" s="155"/>
      <c r="B1454" s="138" t="str">
        <f>IF(A1454="","",VLOOKUP(A1454,'6.A'!$A$11:$G$180,2,FALSE))</f>
        <v/>
      </c>
      <c r="C1454" s="156"/>
      <c r="D1454" s="57" t="str">
        <f>IF(A1454="","",VLOOKUP(A1454,'6.A'!$A$11:$G$180,4,FALSE))</f>
        <v/>
      </c>
      <c r="E1454" s="100" t="str">
        <f>IF(A1454="","",VLOOKUP(A1454,'6.A'!$A$11:$G$180,5,FALSE))</f>
        <v/>
      </c>
      <c r="F1454" s="24" t="str">
        <f t="shared" si="630"/>
        <v>0,00</v>
      </c>
      <c r="G1454" s="52"/>
      <c r="H1454" s="52" t="str">
        <f>IF(A1454="","",VLOOKUP(A1454,'6.A'!$A$11:$E$7984,5,FALSE))</f>
        <v/>
      </c>
      <c r="I1454" s="52" t="str">
        <f t="shared" si="631"/>
        <v/>
      </c>
      <c r="J1454" s="52" t="str">
        <f>IF(H1454="","",VLOOKUP(A1454,'6.A'!$A$11:$E$564,4,FALSE))</f>
        <v/>
      </c>
      <c r="K1454" s="52" t="str">
        <f t="shared" si="632"/>
        <v/>
      </c>
      <c r="L1454" s="52" t="str">
        <f>IF(H1454="","",IF(C1454="","",G1416*C1454))</f>
        <v/>
      </c>
      <c r="M1454" s="117" t="str">
        <f>IF(A1454="","",VLOOKUP(A1454,'6.A'!$A$11:$C$564,2,FALSE))</f>
        <v/>
      </c>
      <c r="N1454" s="57" t="str">
        <f t="shared" si="633"/>
        <v/>
      </c>
      <c r="O1454" s="56"/>
      <c r="P1454" s="56"/>
      <c r="Q1454" s="48"/>
      <c r="R1454" s="48"/>
      <c r="T1454" s="2"/>
      <c r="U1454" s="2"/>
      <c r="V1454" s="2"/>
    </row>
    <row r="1455" spans="1:22" s="65" customFormat="1" ht="12.75" customHeight="1" x14ac:dyDescent="0.2">
      <c r="A1455" s="155"/>
      <c r="B1455" s="138" t="str">
        <f>IF(A1455="","",VLOOKUP(A1455,'6.A'!$A$11:$G$180,2,FALSE))</f>
        <v/>
      </c>
      <c r="C1455" s="156"/>
      <c r="D1455" s="57" t="str">
        <f>IF(A1455="","",VLOOKUP(A1455,'6.A'!$A$11:$G$180,4,FALSE))</f>
        <v/>
      </c>
      <c r="E1455" s="100" t="str">
        <f>IF(A1455="","",VLOOKUP(A1455,'6.A'!$A$11:$G$180,5,FALSE))</f>
        <v/>
      </c>
      <c r="F1455" s="24" t="str">
        <f t="shared" si="630"/>
        <v>0,00</v>
      </c>
      <c r="G1455" s="52"/>
      <c r="H1455" s="52" t="str">
        <f>IF(A1455="","",VLOOKUP(A1455,'6.A'!$A$11:$E$7984,5,FALSE))</f>
        <v/>
      </c>
      <c r="I1455" s="52" t="str">
        <f t="shared" si="631"/>
        <v/>
      </c>
      <c r="J1455" s="52" t="str">
        <f>IF(H1455="","",VLOOKUP(A1455,'6.A'!$A$11:$E$564,4,FALSE))</f>
        <v/>
      </c>
      <c r="K1455" s="52" t="str">
        <f t="shared" si="632"/>
        <v/>
      </c>
      <c r="L1455" s="52" t="str">
        <f>IF(H1455="","",IF(C1455="","",G1416*C1455))</f>
        <v/>
      </c>
      <c r="M1455" s="117" t="str">
        <f>IF(A1455="","",VLOOKUP(A1455,'6.A'!$A$11:$C$564,2,FALSE))</f>
        <v/>
      </c>
      <c r="N1455" s="57" t="str">
        <f t="shared" si="633"/>
        <v/>
      </c>
      <c r="O1455" s="56"/>
      <c r="P1455" s="56"/>
      <c r="Q1455" s="48"/>
      <c r="R1455" s="48"/>
      <c r="T1455" s="2"/>
      <c r="U1455" s="2"/>
      <c r="V1455" s="2"/>
    </row>
    <row r="1456" spans="1:22" ht="12.75" customHeight="1" x14ac:dyDescent="0.2">
      <c r="A1456" s="22"/>
      <c r="B1456" s="23" t="str">
        <f>IF(A1456="","",VLOOKUP(A1456,'6.A'!$A$11:$G$180,2,FALSE))</f>
        <v/>
      </c>
      <c r="C1456" s="99"/>
      <c r="D1456" s="57" t="str">
        <f>IF(A1456="","",VLOOKUP(A1456,'6.A'!$A$11:$G$180,4,FALSE))</f>
        <v/>
      </c>
      <c r="E1456" s="100" t="str">
        <f>IF(A1456="","",VLOOKUP(A1456,'6.A'!$A$11:$G$180,5,FALSE))</f>
        <v/>
      </c>
      <c r="F1456" s="24" t="str">
        <f t="shared" si="630"/>
        <v>0,00</v>
      </c>
      <c r="G1456" s="52"/>
      <c r="H1456" s="52" t="str">
        <f>IF(A1456="","",VLOOKUP(A1456,'6.A'!$A$11:$E$7984,5,FALSE))</f>
        <v/>
      </c>
      <c r="I1456" s="52" t="str">
        <f t="shared" si="631"/>
        <v/>
      </c>
      <c r="J1456" s="52" t="str">
        <f>IF(H1456="","",VLOOKUP(A1456,'6.A'!$A$11:$E$564,4,FALSE))</f>
        <v/>
      </c>
      <c r="K1456" s="52" t="str">
        <f t="shared" si="632"/>
        <v/>
      </c>
      <c r="L1456" s="52" t="str">
        <f>IF(H1456="","",IF(C1456="","",G1416*C1456))</f>
        <v/>
      </c>
      <c r="M1456" s="117" t="str">
        <f>IF(A1456="","",VLOOKUP(A1456,'6.A'!$A$11:$C$564,2,FALSE))</f>
        <v/>
      </c>
      <c r="N1456" s="57" t="str">
        <f t="shared" si="633"/>
        <v/>
      </c>
      <c r="O1456" s="56"/>
      <c r="P1456" s="56"/>
      <c r="Q1456" s="48"/>
      <c r="R1456" s="48"/>
    </row>
    <row r="1457" spans="1:23" ht="12.75" customHeight="1" x14ac:dyDescent="0.2">
      <c r="A1457" s="22"/>
      <c r="B1457" s="23" t="str">
        <f>IF(A1457="","",VLOOKUP(A1457,'6.A'!$A$11:$G$180,2,FALSE))</f>
        <v/>
      </c>
      <c r="C1457" s="99"/>
      <c r="D1457" s="57" t="str">
        <f>IF(A1457="","",VLOOKUP(A1457,'6.A'!$A$11:$G$180,4,FALSE))</f>
        <v/>
      </c>
      <c r="E1457" s="100" t="str">
        <f>IF(A1457="","",VLOOKUP(A1457,'6.A'!$A$11:$G$180,5,FALSE))</f>
        <v/>
      </c>
      <c r="F1457" s="24" t="str">
        <f t="shared" si="630"/>
        <v>0,00</v>
      </c>
      <c r="G1457" s="52"/>
      <c r="H1457" s="52" t="str">
        <f>IF(A1457="","",VLOOKUP(A1457,'6.A'!$A$11:$E$7984,5,FALSE))</f>
        <v/>
      </c>
      <c r="I1457" s="52" t="str">
        <f t="shared" si="631"/>
        <v/>
      </c>
      <c r="J1457" s="52" t="str">
        <f>IF(H1457="","",VLOOKUP(A1457,'6.A'!$A$11:$E$564,4,FALSE))</f>
        <v/>
      </c>
      <c r="K1457" s="52" t="str">
        <f t="shared" si="632"/>
        <v/>
      </c>
      <c r="L1457" s="52" t="str">
        <f>IF(H1457="","",IF(C1457="","",G1416*C1457))</f>
        <v/>
      </c>
      <c r="M1457" s="117" t="str">
        <f>IF(A1457="","",VLOOKUP(A1457,'6.A'!$A$11:$C$564,2,FALSE))</f>
        <v/>
      </c>
      <c r="N1457" s="57" t="str">
        <f t="shared" si="633"/>
        <v/>
      </c>
      <c r="O1457" s="56"/>
      <c r="P1457" s="56"/>
      <c r="Q1457" s="48"/>
      <c r="R1457" s="48"/>
    </row>
    <row r="1458" spans="1:23" ht="12.75" customHeight="1" x14ac:dyDescent="0.2">
      <c r="A1458" s="22"/>
      <c r="B1458" s="23" t="str">
        <f>IF(A1458="","",VLOOKUP(A1458,'6.A'!$A$11:$G$180,2,FALSE))</f>
        <v/>
      </c>
      <c r="C1458" s="99"/>
      <c r="D1458" s="57" t="str">
        <f>IF(A1458="","",VLOOKUP(A1458,'6.A'!$A$11:$G$180,4,FALSE))</f>
        <v/>
      </c>
      <c r="E1458" s="100" t="str">
        <f>IF(A1458="","",VLOOKUP(A1458,'6.A'!$A$11:$G$180,5,FALSE))</f>
        <v/>
      </c>
      <c r="F1458" s="24" t="str">
        <f t="shared" si="630"/>
        <v>0,00</v>
      </c>
      <c r="G1458" s="52"/>
      <c r="H1458" s="52" t="str">
        <f>IF(A1458="","",VLOOKUP(A1458,'6.A'!$A$11:$E$7984,5,FALSE))</f>
        <v/>
      </c>
      <c r="I1458" s="52" t="str">
        <f t="shared" si="631"/>
        <v/>
      </c>
      <c r="J1458" s="52" t="str">
        <f>IF(H1458="","",VLOOKUP(A1458,'6.A'!$A$11:$E$564,4,FALSE))</f>
        <v/>
      </c>
      <c r="K1458" s="52" t="str">
        <f t="shared" si="632"/>
        <v/>
      </c>
      <c r="L1458" s="52" t="str">
        <f>IF(H1458="","",IF(C1458="","",G1416*C1458))</f>
        <v/>
      </c>
      <c r="M1458" s="117" t="str">
        <f>IF(A1458="","",VLOOKUP(A1458,'6.A'!$A$11:$C$564,2,FALSE))</f>
        <v/>
      </c>
      <c r="N1458" s="57" t="str">
        <f t="shared" si="633"/>
        <v/>
      </c>
      <c r="O1458" s="56"/>
      <c r="P1458" s="56"/>
      <c r="Q1458" s="48"/>
      <c r="R1458" s="48"/>
    </row>
    <row r="1459" spans="1:23" ht="12.75" customHeight="1" x14ac:dyDescent="0.2">
      <c r="A1459" s="22"/>
      <c r="B1459" s="23" t="str">
        <f>IF(A1459="","",VLOOKUP(A1459,'6.A'!$A$11:$G$180,2,FALSE))</f>
        <v/>
      </c>
      <c r="C1459" s="99"/>
      <c r="D1459" s="57" t="str">
        <f>IF(A1459="","",VLOOKUP(A1459,'6.A'!$A$11:$G$180,4,FALSE))</f>
        <v/>
      </c>
      <c r="E1459" s="100" t="str">
        <f>IF(A1459="","",VLOOKUP(A1459,'6.A'!$A$11:$G$180,5,FALSE))</f>
        <v/>
      </c>
      <c r="F1459" s="24" t="str">
        <f t="shared" si="630"/>
        <v>0,00</v>
      </c>
      <c r="G1459" s="52"/>
      <c r="H1459" s="52" t="str">
        <f>IF(A1459="","",VLOOKUP(A1459,'6.A'!$A$11:$E$7984,5,FALSE))</f>
        <v/>
      </c>
      <c r="I1459" s="52" t="str">
        <f t="shared" si="631"/>
        <v/>
      </c>
      <c r="J1459" s="52" t="str">
        <f>IF(H1459="","",VLOOKUP(A1459,'6.A'!$A$11:$E$564,4,FALSE))</f>
        <v/>
      </c>
      <c r="K1459" s="52" t="str">
        <f t="shared" si="632"/>
        <v/>
      </c>
      <c r="L1459" s="52" t="str">
        <f>IF(H1459="","",IF(C1459="","",G1416*C1459))</f>
        <v/>
      </c>
      <c r="M1459" s="117" t="str">
        <f>IF(A1459="","",VLOOKUP(A1459,'6.A'!$A$11:$C$564,2,FALSE))</f>
        <v/>
      </c>
      <c r="N1459" s="57" t="str">
        <f t="shared" si="633"/>
        <v/>
      </c>
      <c r="O1459" s="56"/>
      <c r="P1459" s="56"/>
      <c r="Q1459" s="48"/>
      <c r="R1459" s="48"/>
    </row>
    <row r="1460" spans="1:23" ht="12.75" customHeight="1" x14ac:dyDescent="0.2">
      <c r="A1460" s="22"/>
      <c r="B1460" s="23" t="str">
        <f>IF(A1460="","",VLOOKUP(A1460,'6.A'!$A$11:$G$180,2,FALSE))</f>
        <v/>
      </c>
      <c r="C1460" s="99"/>
      <c r="D1460" s="57" t="str">
        <f>IF(A1460="","",VLOOKUP(A1460,'6.A'!$A$11:$G$180,4,FALSE))</f>
        <v/>
      </c>
      <c r="E1460" s="100" t="str">
        <f>IF(A1460="","",VLOOKUP(A1460,'6.A'!$A$11:$G$180,5,FALSE))</f>
        <v/>
      </c>
      <c r="F1460" s="24" t="str">
        <f t="shared" si="630"/>
        <v>0,00</v>
      </c>
      <c r="G1460" s="52"/>
      <c r="H1460" s="52" t="str">
        <f>IF(A1460="","",VLOOKUP(A1460,'6.A'!$A$11:$E$7984,5,FALSE))</f>
        <v/>
      </c>
      <c r="I1460" s="52" t="str">
        <f t="shared" si="631"/>
        <v/>
      </c>
      <c r="J1460" s="52" t="str">
        <f>IF(H1460="","",VLOOKUP(A1460,'6.A'!$A$11:$E$564,4,FALSE))</f>
        <v/>
      </c>
      <c r="K1460" s="52" t="str">
        <f t="shared" si="632"/>
        <v/>
      </c>
      <c r="L1460" s="52" t="str">
        <f>IF(H1460="","",IF(C1460="","",G1416*C1460))</f>
        <v/>
      </c>
      <c r="M1460" s="117" t="str">
        <f>IF(A1460="","",VLOOKUP(A1460,'6.A'!$A$11:$C$564,2,FALSE))</f>
        <v/>
      </c>
      <c r="N1460" s="57" t="str">
        <f t="shared" si="633"/>
        <v/>
      </c>
      <c r="O1460" s="56"/>
      <c r="P1460" s="56"/>
      <c r="Q1460" s="48"/>
      <c r="R1460" s="48"/>
    </row>
    <row r="1461" spans="1:23" ht="12.75" customHeight="1" x14ac:dyDescent="0.2">
      <c r="A1461" s="22"/>
      <c r="B1461" s="23" t="str">
        <f>IF(A1461="","",VLOOKUP(A1461,'6.A'!$A$11:$G$180,2,FALSE))</f>
        <v/>
      </c>
      <c r="C1461" s="99"/>
      <c r="D1461" s="57" t="str">
        <f>IF(A1461="","",VLOOKUP(A1461,'6.A'!$A$11:$G$180,4,FALSE))</f>
        <v/>
      </c>
      <c r="E1461" s="100" t="str">
        <f>IF(A1461="","",VLOOKUP(A1461,'6.A'!$A$11:$G$180,5,FALSE))</f>
        <v/>
      </c>
      <c r="F1461" s="24" t="str">
        <f t="shared" si="630"/>
        <v>0,00</v>
      </c>
      <c r="G1461" s="52"/>
      <c r="H1461" s="52" t="str">
        <f>IF(A1461="","",VLOOKUP(A1461,'6.A'!$A$11:$E$7984,5,FALSE))</f>
        <v/>
      </c>
      <c r="I1461" s="52" t="str">
        <f t="shared" si="631"/>
        <v/>
      </c>
      <c r="J1461" s="52" t="str">
        <f>IF(H1461="","",VLOOKUP(A1461,'6.A'!$A$11:$E$564,4,FALSE))</f>
        <v/>
      </c>
      <c r="K1461" s="52" t="str">
        <f t="shared" si="632"/>
        <v/>
      </c>
      <c r="L1461" s="52" t="str">
        <f>IF(H1461="","",IF(C1461="","",G1416*C1461))</f>
        <v/>
      </c>
      <c r="M1461" s="117" t="str">
        <f>IF(A1461="","",VLOOKUP(A1461,'6.A'!$A$11:$C$564,2,FALSE))</f>
        <v/>
      </c>
      <c r="N1461" s="57" t="str">
        <f t="shared" si="633"/>
        <v/>
      </c>
      <c r="O1461" s="56"/>
      <c r="P1461" s="56"/>
      <c r="Q1461" s="48"/>
      <c r="R1461" s="48"/>
    </row>
    <row r="1462" spans="1:23" ht="12.75" customHeight="1" x14ac:dyDescent="0.2">
      <c r="A1462" s="22"/>
      <c r="B1462" s="39" t="str">
        <f>IF(A1462="","",VLOOKUP(A1462,'6.A'!$A$11:$G$180,2,FALSE))</f>
        <v/>
      </c>
      <c r="C1462" s="99"/>
      <c r="D1462" s="57" t="str">
        <f>IF(A1462="","",VLOOKUP(A1462,'6.A'!$A$11:$G$180,4,FALSE))</f>
        <v/>
      </c>
      <c r="E1462" s="100" t="str">
        <f>IF(A1462="","",VLOOKUP(A1462,'6.A'!$A$11:$G$180,5,FALSE))</f>
        <v/>
      </c>
      <c r="F1462" s="24" t="str">
        <f t="shared" si="630"/>
        <v>0,00</v>
      </c>
      <c r="G1462" s="52"/>
      <c r="H1462" s="52" t="str">
        <f>IF(A1462="","",VLOOKUP(A1462,'6.A'!$A$11:$E$7984,5,FALSE))</f>
        <v/>
      </c>
      <c r="I1462" s="52" t="str">
        <f t="shared" si="631"/>
        <v/>
      </c>
      <c r="J1462" s="52" t="str">
        <f>IF(H1462="","",VLOOKUP(A1462,'6.A'!$A$11:$E$564,4,FALSE))</f>
        <v/>
      </c>
      <c r="K1462" s="52" t="str">
        <f t="shared" si="632"/>
        <v/>
      </c>
      <c r="L1462" s="52" t="str">
        <f>IF(H1462="","",IF(C1462="","",G1416*C1462))</f>
        <v/>
      </c>
      <c r="M1462" s="117" t="str">
        <f>IF(A1462="","",VLOOKUP(A1462,'6.A'!$A$11:$C$564,2,FALSE))</f>
        <v/>
      </c>
      <c r="N1462" s="57" t="str">
        <f t="shared" si="633"/>
        <v/>
      </c>
      <c r="O1462" s="56"/>
      <c r="P1462" s="56"/>
      <c r="Q1462" s="48"/>
      <c r="R1462" s="48"/>
    </row>
    <row r="1463" spans="1:23" ht="12.75" customHeight="1" x14ac:dyDescent="0.2">
      <c r="A1463" s="22"/>
      <c r="B1463" s="39" t="str">
        <f>IF(A1463="","",VLOOKUP(A1463,'6.A'!$A$11:$G$180,2,FALSE))</f>
        <v/>
      </c>
      <c r="C1463" s="99"/>
      <c r="D1463" s="57" t="str">
        <f>IF(A1463="","",VLOOKUP(A1463,'6.A'!$A$11:$G$180,4,FALSE))</f>
        <v/>
      </c>
      <c r="E1463" s="100" t="str">
        <f>IF(A1463="","",VLOOKUP(A1463,'6.A'!$A$11:$G$180,5,FALSE))</f>
        <v/>
      </c>
      <c r="F1463" s="24" t="str">
        <f t="shared" si="630"/>
        <v>0,00</v>
      </c>
      <c r="G1463" s="52"/>
      <c r="H1463" s="52" t="str">
        <f>IF(A1463="","",VLOOKUP(A1463,'6.A'!$A$11:$E$7984,5,FALSE))</f>
        <v/>
      </c>
      <c r="I1463" s="52" t="str">
        <f t="shared" si="631"/>
        <v/>
      </c>
      <c r="J1463" s="52" t="str">
        <f>IF(H1463="","",VLOOKUP(A1463,'6.A'!$A$11:$E$564,4,FALSE))</f>
        <v/>
      </c>
      <c r="K1463" s="52" t="str">
        <f t="shared" si="632"/>
        <v/>
      </c>
      <c r="L1463" s="52" t="str">
        <f>IF(H1463="","",IF(C1463="","",G1416*C1463))</f>
        <v/>
      </c>
      <c r="M1463" s="117" t="str">
        <f>IF(A1463="","",VLOOKUP(A1463,'6.A'!$A$11:$C$564,2,FALSE))</f>
        <v/>
      </c>
      <c r="N1463" s="57" t="str">
        <f t="shared" si="633"/>
        <v/>
      </c>
      <c r="O1463" s="56"/>
      <c r="P1463" s="56"/>
      <c r="Q1463" s="48"/>
      <c r="R1463" s="48"/>
    </row>
    <row r="1464" spans="1:23" ht="12.75" customHeight="1" x14ac:dyDescent="0.2">
      <c r="A1464" s="22"/>
      <c r="B1464" s="39" t="str">
        <f>IF(A1464="","",VLOOKUP(A1464,'6.A'!$A$11:$G$180,2,FALSE))</f>
        <v/>
      </c>
      <c r="C1464" s="99"/>
      <c r="D1464" s="57" t="str">
        <f>IF(A1464="","",VLOOKUP(A1464,'6.A'!$A$11:$G$180,4,FALSE))</f>
        <v/>
      </c>
      <c r="E1464" s="100" t="str">
        <f>IF(A1464="","",VLOOKUP(A1464,'6.A'!$A$11:$G$180,5,FALSE))</f>
        <v/>
      </c>
      <c r="F1464" s="24" t="str">
        <f t="shared" si="630"/>
        <v>0,00</v>
      </c>
      <c r="G1464" s="52"/>
      <c r="H1464" s="52" t="str">
        <f>IF(A1464="","",VLOOKUP(A1464,'6.A'!$A$11:$E$7984,5,FALSE))</f>
        <v/>
      </c>
      <c r="I1464" s="52" t="str">
        <f t="shared" si="631"/>
        <v/>
      </c>
      <c r="J1464" s="52" t="str">
        <f>IF(H1464="","",VLOOKUP(A1464,'6.A'!$A$11:$E$564,4,FALSE))</f>
        <v/>
      </c>
      <c r="K1464" s="52" t="str">
        <f t="shared" si="632"/>
        <v/>
      </c>
      <c r="L1464" s="52" t="str">
        <f>IF(H1464="","",IF(C1464="","",G1416*C1464))</f>
        <v/>
      </c>
      <c r="M1464" s="117" t="str">
        <f>IF(A1464="","",VLOOKUP(A1464,'6.A'!$A$11:$C$564,2,FALSE))</f>
        <v/>
      </c>
      <c r="N1464" s="57" t="str">
        <f t="shared" si="633"/>
        <v/>
      </c>
      <c r="O1464" s="56"/>
      <c r="P1464" s="56"/>
      <c r="Q1464" s="48"/>
      <c r="R1464" s="48"/>
    </row>
    <row r="1465" spans="1:23" ht="12.75" customHeight="1" x14ac:dyDescent="0.2">
      <c r="A1465" s="22"/>
      <c r="B1465" s="26" t="str">
        <f>$A$9</f>
        <v>BDI</v>
      </c>
      <c r="C1465" s="40">
        <f>$C$9</f>
        <v>0</v>
      </c>
      <c r="D1465" s="57"/>
      <c r="F1465" s="28">
        <f>ROUND(SUM(F1445:F1464)*C1465,2)</f>
        <v>0</v>
      </c>
      <c r="G1465" s="63"/>
      <c r="M1465" s="57"/>
      <c r="N1465" s="57"/>
      <c r="O1465" s="56"/>
      <c r="P1465" s="56"/>
      <c r="Q1465" s="48"/>
      <c r="R1465" s="48"/>
    </row>
    <row r="1466" spans="1:23" ht="12.75" customHeight="1" thickBot="1" x14ac:dyDescent="0.25">
      <c r="A1466" s="41"/>
      <c r="B1466" s="42" t="s">
        <v>57</v>
      </c>
      <c r="C1466" s="43"/>
      <c r="D1466" s="44"/>
      <c r="E1466" s="45"/>
      <c r="F1466" s="46">
        <f>ROUND(SUM(F1445:F1465),2)</f>
        <v>0</v>
      </c>
      <c r="G1466" s="63"/>
      <c r="M1466" s="57"/>
      <c r="N1466" s="57"/>
      <c r="O1466" s="56"/>
      <c r="P1466" s="56"/>
      <c r="Q1466" s="48"/>
      <c r="R1466" s="48"/>
    </row>
    <row r="1467" spans="1:23" ht="12" customHeight="1" thickBot="1" x14ac:dyDescent="0.25">
      <c r="A1467" s="8"/>
      <c r="B1467" s="9"/>
      <c r="C1467" s="10"/>
      <c r="D1467" s="57"/>
      <c r="F1467" s="12"/>
      <c r="M1467" s="57"/>
      <c r="N1467" s="57"/>
      <c r="O1467" s="56"/>
      <c r="P1467" s="56"/>
    </row>
    <row r="1468" spans="1:23" ht="50.1" customHeight="1" x14ac:dyDescent="0.2">
      <c r="A1468" s="13" t="str">
        <f>'3.A'!$A$135</f>
        <v>3.2.4</v>
      </c>
      <c r="B1468" s="14" t="str">
        <f>IF(A1468="","",VLOOKUP(A1468,'3.A'!$A$17:$M$279,2,FALSE))</f>
        <v>CABO DE COBRE ISOLADO, 16 MM², ANTI-CHAMA 450/750 V, INSTALADO EM ELETROCALHA OU PERFILADO - TERRA</v>
      </c>
      <c r="C1468" s="413" t="s">
        <v>62</v>
      </c>
      <c r="D1468" s="413"/>
      <c r="E1468" s="15" t="str">
        <f>IF(A1468="","",VLOOKUP(A1468,'3.A'!$A$17:$M$279,3,FALSE))</f>
        <v>M</v>
      </c>
      <c r="F1468" s="16">
        <f>ROUND(F1482+F1495+F1518,2)</f>
        <v>0</v>
      </c>
      <c r="G1468" s="118">
        <f>VLOOKUP(A1468,'3.A'!$A$19:$I$279,4,FALSE)</f>
        <v>5</v>
      </c>
      <c r="H1468" s="47">
        <f>SUM(F1470:F1481)</f>
        <v>0</v>
      </c>
      <c r="I1468" s="47">
        <f>SUM(F1484:F1494)</f>
        <v>0</v>
      </c>
      <c r="J1468" s="47">
        <f>SUM(F1497:F1517)</f>
        <v>0</v>
      </c>
      <c r="K1468" s="47">
        <f>SUM(H1468:J1468)</f>
        <v>0</v>
      </c>
      <c r="L1468" s="47" t="str">
        <f>IF(K1468=F1468,"SIM","NÃO")</f>
        <v>SIM</v>
      </c>
      <c r="M1468" s="58">
        <f>ROUND(SUM(F1470:F1479)*C1480,2)+ROUND(SUM(F1470:F1480)*C1481,2)+ROUND(SUM(F1470:F1479),2)+ROUND(SUM(F1484:F1493)*C1494,2)+ROUND(SUM(F1484:F1493),2)+ROUND(SUM(F1497:F1516)*C1517,2)+ROUND(SUM(F1497:F1516),2)</f>
        <v>0</v>
      </c>
      <c r="N1468" s="50" t="str">
        <f>IF(M1468=F1468,"SIM","NÃO")</f>
        <v>SIM</v>
      </c>
      <c r="O1468" s="51" t="str">
        <f>VLOOKUP(A1468,'3.A'!$A$8:$E$279,3,FALSE)</f>
        <v>M</v>
      </c>
      <c r="P1468" s="51" t="str">
        <f>IF(O1468=E1468,"SIM","NÃO")</f>
        <v>SIM</v>
      </c>
      <c r="Q1468" s="53">
        <f>ROUND(G1468*F1482,2)+ROUND(G1468*F1495,2)+ROUND(G1468*F1518,2)</f>
        <v>0</v>
      </c>
      <c r="R1468" s="59">
        <f>VLOOKUP(A1468,'3.A'!$A$17:$L$279,12,FALSE)</f>
        <v>0</v>
      </c>
      <c r="S1468" s="60" t="str">
        <f>IF(Q1468=R1468,"si","no")</f>
        <v>si</v>
      </c>
      <c r="T1468" s="61">
        <f>SUM(L1470:L1479)+SUM(L1484:L1493)+SUM(L1497:L1516)</f>
        <v>5.2520799999999994</v>
      </c>
      <c r="U1468" s="52">
        <f>G1468*C1476+G1468*C1478+G1468*C1471+G1468*C1472+G1468*C1474+G1468*C1477+G1468*C1475+G1468*C1470+G1468*C1473+G1468*C1479+G1468*C1490+G1468*C1484+G1468*C1492+G1468*C1491+G1468*C1489+G1468*C1486+G1468*C1485+G1468*C1487+G1468*C1493+G1468*C1488+G1468*C1497+G1468*C1498+G1468*C1499+G1468*C1507+G1468*C1508+G1468*C1509+G1468*C1510+G1468*C1511+G1468*C1512+G1468*C1513+G1468*C1514+G1468*C1515+G1468*C1516+G1468*C1505+G1468*C1506+G1468*C1500+G1468*C1501+G1468*C1502+G1468*C1503+G1468*C1504</f>
        <v>5.2520799999999994</v>
      </c>
      <c r="V1468" s="54" t="str">
        <f>IF(T1468=U1468,"si","no")</f>
        <v>si</v>
      </c>
      <c r="W1468" s="137"/>
    </row>
    <row r="1469" spans="1:23" ht="12.75" customHeight="1" x14ac:dyDescent="0.2">
      <c r="A1469" s="17" t="s">
        <v>3</v>
      </c>
      <c r="B1469" s="18" t="s">
        <v>58</v>
      </c>
      <c r="C1469" s="56" t="s">
        <v>59</v>
      </c>
      <c r="D1469" s="56" t="s">
        <v>16</v>
      </c>
      <c r="E1469" s="19" t="s">
        <v>60</v>
      </c>
      <c r="F1469" s="20" t="s">
        <v>61</v>
      </c>
      <c r="G1469" s="21"/>
      <c r="M1469" s="57"/>
      <c r="N1469" s="57"/>
      <c r="O1469" s="56"/>
      <c r="P1469" s="56"/>
      <c r="Q1469" s="48"/>
      <c r="R1469" s="48"/>
    </row>
    <row r="1470" spans="1:23" ht="12.75" customHeight="1" x14ac:dyDescent="0.2">
      <c r="A1470" s="22">
        <f>'6.A'!$A$18</f>
        <v>88264</v>
      </c>
      <c r="B1470" s="23" t="str">
        <f>IF(A1470="","",VLOOKUP(A1470,'6.A'!$A$11:$G$180,2,FALSE))</f>
        <v>ELETRICISTA COM ENCARGOS COMPLEMENTARES</v>
      </c>
      <c r="C1470" s="99">
        <v>6.7080000000000004E-3</v>
      </c>
      <c r="D1470" s="57" t="str">
        <f>IF(A1470="","",VLOOKUP(A1470,'6.A'!$A$11:$G$180,4,FALSE))</f>
        <v>H</v>
      </c>
      <c r="E1470" s="100">
        <f>IF(A1470="","",VLOOKUP(A1470,'6.A'!$A$11:$G$180,5,FALSE))</f>
        <v>0</v>
      </c>
      <c r="F1470" s="24">
        <f t="shared" ref="F1470:F1479" si="634">IF(A1470="","0,00",ROUND(C1470*E1470,2))</f>
        <v>0</v>
      </c>
      <c r="G1470" s="52"/>
      <c r="H1470" s="52">
        <f>IF(A1470="","",VLOOKUP(A1470,'6.A'!$A$11:$E$7984,5,FALSE))</f>
        <v>0</v>
      </c>
      <c r="I1470" s="52" t="str">
        <f>IF(H1470="","",IF(E1470=H1470,"SIM","NÃO"))</f>
        <v>SIM</v>
      </c>
      <c r="J1470" s="52" t="str">
        <f>IF(H1470="","",VLOOKUP(A1470,'6.A'!$A$11:$E$564,4,FALSE))</f>
        <v>H</v>
      </c>
      <c r="K1470" s="52" t="str">
        <f>IF(H1470="","",IF(J1470=D1470,"SIM","NÃO"))</f>
        <v>SIM</v>
      </c>
      <c r="L1470" s="52">
        <f>IF(H1470="","",IF(C1470="","",G1468*C1470))</f>
        <v>3.354E-2</v>
      </c>
      <c r="M1470" s="117" t="str">
        <f>IF(A1470="","",VLOOKUP(A1470,'6.A'!$A$11:$C$564,2,FALSE))</f>
        <v>ELETRICISTA COM ENCARGOS COMPLEMENTARES</v>
      </c>
      <c r="N1470" s="57" t="str">
        <f>IF(A1470="","",IF(M1470=B1470,"si","no"))</f>
        <v>si</v>
      </c>
      <c r="O1470" s="56"/>
      <c r="P1470" s="56"/>
      <c r="Q1470" s="48"/>
      <c r="R1470" s="48"/>
    </row>
    <row r="1471" spans="1:23" ht="12.75" customHeight="1" x14ac:dyDescent="0.2">
      <c r="A1471" s="22">
        <f>'6.A'!$A$15</f>
        <v>88247</v>
      </c>
      <c r="B1471" s="23" t="str">
        <f>IF(A1471="","",VLOOKUP(A1471,'6.A'!$A$11:$G$180,2,FALSE))</f>
        <v>AUXILIAR DE ELETRICISTA COM ENCARGOS COMPLEMENTARES</v>
      </c>
      <c r="C1471" s="99">
        <v>6.7080000000000004E-3</v>
      </c>
      <c r="D1471" s="57" t="str">
        <f>IF(A1471="","",VLOOKUP(A1471,'6.A'!$A$11:$G$180,4,FALSE))</f>
        <v>H</v>
      </c>
      <c r="E1471" s="100">
        <f>IF(A1471="","",VLOOKUP(A1471,'6.A'!$A$11:$G$180,5,FALSE))</f>
        <v>0</v>
      </c>
      <c r="F1471" s="24">
        <f t="shared" si="634"/>
        <v>0</v>
      </c>
      <c r="G1471" s="52"/>
      <c r="H1471" s="52">
        <f>IF(A1471="","",VLOOKUP(A1471,'6.A'!$A$11:$E$7984,5,FALSE))</f>
        <v>0</v>
      </c>
      <c r="I1471" s="52" t="str">
        <f>IF(H1471="","",IF(E1471=H1471,"SIM","NÃO"))</f>
        <v>SIM</v>
      </c>
      <c r="J1471" s="52" t="str">
        <f>IF(H1471="","",VLOOKUP(A1471,'6.A'!$A$11:$E$564,4,FALSE))</f>
        <v>H</v>
      </c>
      <c r="K1471" s="52" t="str">
        <f>IF(H1471="","",IF(J1471=D1471,"SIM","NÃO"))</f>
        <v>SIM</v>
      </c>
      <c r="L1471" s="52">
        <f>IF(H1471="","",IF(C1471="","",G1468*C1471))</f>
        <v>3.354E-2</v>
      </c>
      <c r="M1471" s="117" t="str">
        <f>IF(A1471="","",VLOOKUP(A1471,'6.A'!$A$11:$C$564,2,FALSE))</f>
        <v>AUXILIAR DE ELETRICISTA COM ENCARGOS COMPLEMENTARES</v>
      </c>
      <c r="N1471" s="57" t="str">
        <f>IF(A1471="","",IF(M1471=B1471,"si","no"))</f>
        <v>si</v>
      </c>
      <c r="O1471" s="56"/>
      <c r="P1471" s="56"/>
      <c r="Q1471" s="48"/>
      <c r="R1471" s="48"/>
    </row>
    <row r="1472" spans="1:23" ht="12.75" customHeight="1" x14ac:dyDescent="0.2">
      <c r="A1472" s="22"/>
      <c r="B1472" s="23" t="str">
        <f>IF(A1472="","",VLOOKUP(A1472,'6.A'!$A$11:$G$180,2,FALSE))</f>
        <v/>
      </c>
      <c r="C1472" s="99"/>
      <c r="D1472" s="57" t="str">
        <f>IF(A1472="","",VLOOKUP(A1472,'6.A'!$A$11:$G$180,4,FALSE))</f>
        <v/>
      </c>
      <c r="E1472" s="100" t="str">
        <f>IF(A1472="","",VLOOKUP(A1472,'6.A'!$A$11:$G$180,5,FALSE))</f>
        <v/>
      </c>
      <c r="F1472" s="24" t="str">
        <f t="shared" si="634"/>
        <v>0,00</v>
      </c>
      <c r="G1472" s="52"/>
      <c r="H1472" s="52" t="str">
        <f>IF(A1472="","",VLOOKUP(A1472,'6.A'!$A$11:$E$7984,5,FALSE))</f>
        <v/>
      </c>
      <c r="I1472" s="52" t="str">
        <f>IF(H1472="","",IF(E1472=H1472,"SIM","NÃO"))</f>
        <v/>
      </c>
      <c r="J1472" s="52" t="str">
        <f>IF(H1472="","",VLOOKUP(A1472,'6.A'!$A$11:$E$564,4,FALSE))</f>
        <v/>
      </c>
      <c r="K1472" s="52" t="str">
        <f t="shared" ref="K1472" si="635">IF(H1472="","",IF(J1472=D1472,"SIM","NÃO"))</f>
        <v/>
      </c>
      <c r="L1472" s="52" t="str">
        <f>IF(H1472="","",IF(C1472="","",G1468*C1472))</f>
        <v/>
      </c>
      <c r="M1472" s="117" t="str">
        <f>IF(A1472="","",VLOOKUP(A1472,'6.A'!$A$11:$C$564,2,FALSE))</f>
        <v/>
      </c>
      <c r="N1472" s="57" t="str">
        <f t="shared" ref="N1472" si="636">IF(A1472="","",IF(M1472=B1472,"si","no"))</f>
        <v/>
      </c>
      <c r="O1472" s="56"/>
      <c r="P1472" s="56"/>
      <c r="Q1472" s="48"/>
      <c r="R1472" s="48"/>
      <c r="S1472" s="2"/>
    </row>
    <row r="1473" spans="1:19" ht="12.75" customHeight="1" x14ac:dyDescent="0.2">
      <c r="A1473" s="22"/>
      <c r="B1473" s="23" t="str">
        <f>IF(A1473="","",VLOOKUP(A1473,'6.A'!$A$11:$G$180,2,FALSE))</f>
        <v/>
      </c>
      <c r="C1473" s="99"/>
      <c r="D1473" s="57" t="str">
        <f>IF(A1473="","",VLOOKUP(A1473,'6.A'!$A$11:$G$180,4,FALSE))</f>
        <v/>
      </c>
      <c r="E1473" s="100" t="str">
        <f>IF(A1473="","",VLOOKUP(A1473,'6.A'!$A$11:$G$180,5,FALSE))</f>
        <v/>
      </c>
      <c r="F1473" s="24" t="str">
        <f t="shared" si="634"/>
        <v>0,00</v>
      </c>
      <c r="G1473" s="52"/>
      <c r="H1473" s="52" t="str">
        <f>IF(A1473="","",VLOOKUP(A1473,'6.A'!$A$11:$E$7984,5,FALSE))</f>
        <v/>
      </c>
      <c r="I1473" s="52" t="str">
        <f>IF(H1473="","",IF(E1473=H1473,"SIM","NÃO"))</f>
        <v/>
      </c>
      <c r="J1473" s="52" t="str">
        <f>IF(H1473="","",VLOOKUP(A1473,'6.A'!$A$11:$E$564,4,FALSE))</f>
        <v/>
      </c>
      <c r="K1473" s="52" t="str">
        <f>IF(H1473="","",IF(J1473=D1473,"SIM","NÃO"))</f>
        <v/>
      </c>
      <c r="L1473" s="52" t="str">
        <f>IF(H1473="","",IF(C1473="","",G1468*C1473))</f>
        <v/>
      </c>
      <c r="M1473" s="117" t="str">
        <f>IF(A1473="","",VLOOKUP(A1473,'6.A'!$A$11:$C$564,2,FALSE))</f>
        <v/>
      </c>
      <c r="N1473" s="57" t="str">
        <f>IF(A1473="","",IF(M1473=B1473,"si","no"))</f>
        <v/>
      </c>
      <c r="O1473" s="56"/>
      <c r="P1473" s="56"/>
      <c r="Q1473" s="48"/>
      <c r="R1473" s="48"/>
      <c r="S1473" s="2"/>
    </row>
    <row r="1474" spans="1:19" ht="12.75" customHeight="1" x14ac:dyDescent="0.2">
      <c r="A1474" s="22"/>
      <c r="B1474" s="23" t="str">
        <f>IF(A1474="","",VLOOKUP(A1474,'6.A'!$A$11:$G$180,2,FALSE))</f>
        <v/>
      </c>
      <c r="C1474" s="99"/>
      <c r="D1474" s="57" t="str">
        <f>IF(A1474="","",VLOOKUP(A1474,'6.A'!$A$11:$G$180,4,FALSE))</f>
        <v/>
      </c>
      <c r="E1474" s="101" t="str">
        <f>IF(A1474="","",VLOOKUP(A1474,'6.A'!$A$11:$G$180,5,FALSE))</f>
        <v/>
      </c>
      <c r="F1474" s="24" t="str">
        <f t="shared" si="634"/>
        <v>0,00</v>
      </c>
      <c r="G1474" s="52"/>
      <c r="H1474" s="52" t="str">
        <f>IF(A1474="","",VLOOKUP(A1474,'6.A'!$A$11:$E$7984,5,FALSE))</f>
        <v/>
      </c>
      <c r="I1474" s="52" t="str">
        <f t="shared" ref="I1474" si="637">IF(H1474="","",IF(E1474=H1474,"SIM","NÃO"))</f>
        <v/>
      </c>
      <c r="J1474" s="52" t="str">
        <f>IF(H1474="","",VLOOKUP(A1474,'6.A'!$A$11:$E$564,4,FALSE))</f>
        <v/>
      </c>
      <c r="K1474" s="52" t="str">
        <f t="shared" ref="K1474" si="638">IF(H1474="","",IF(J1474=D1474,"SIM","NÃO"))</f>
        <v/>
      </c>
      <c r="L1474" s="52" t="str">
        <f>IF(H1474="","",IF(C1474="","",G1468*C1474))</f>
        <v/>
      </c>
      <c r="M1474" s="117" t="str">
        <f>IF(A1474="","",VLOOKUP(A1474,'6.A'!$A$11:$C$564,2,FALSE))</f>
        <v/>
      </c>
      <c r="N1474" s="57" t="str">
        <f t="shared" ref="N1474" si="639">IF(A1474="","",IF(M1474=B1474,"si","no"))</f>
        <v/>
      </c>
      <c r="O1474" s="56"/>
      <c r="P1474" s="56"/>
      <c r="Q1474" s="48"/>
      <c r="R1474" s="48"/>
      <c r="S1474" s="2"/>
    </row>
    <row r="1475" spans="1:19" ht="12.75" customHeight="1" x14ac:dyDescent="0.2">
      <c r="A1475" s="22"/>
      <c r="B1475" s="23" t="str">
        <f>IF(A1475="","",VLOOKUP(A1475,'6.A'!$A$11:$G$180,2,FALSE))</f>
        <v/>
      </c>
      <c r="C1475" s="99"/>
      <c r="D1475" s="57" t="str">
        <f>IF(A1475="","",VLOOKUP(A1475,'6.A'!$A$11:$G$180,4,FALSE))</f>
        <v/>
      </c>
      <c r="E1475" s="101" t="str">
        <f>IF(A1475="","",VLOOKUP(A1475,'6.A'!$A$11:$G$180,5,FALSE))</f>
        <v/>
      </c>
      <c r="F1475" s="24" t="str">
        <f t="shared" si="634"/>
        <v>0,00</v>
      </c>
      <c r="G1475" s="52"/>
      <c r="H1475" s="52" t="str">
        <f>IF(A1475="","",VLOOKUP(A1475,'6.A'!$A$11:$E$7984,5,FALSE))</f>
        <v/>
      </c>
      <c r="I1475" s="52" t="str">
        <f>IF(H1475="","",IF(E1475=H1475,"SIM","NÃO"))</f>
        <v/>
      </c>
      <c r="J1475" s="52" t="str">
        <f>IF(H1475="","",VLOOKUP(A1475,'6.A'!$A$11:$E$564,4,FALSE))</f>
        <v/>
      </c>
      <c r="K1475" s="52" t="str">
        <f>IF(H1475="","",IF(J1475=D1475,"SIM","NÃO"))</f>
        <v/>
      </c>
      <c r="L1475" s="52" t="str">
        <f>IF(H1475="","",IF(C1475="","",G1468*C1475))</f>
        <v/>
      </c>
      <c r="M1475" s="117" t="str">
        <f>IF(A1475="","",VLOOKUP(A1475,'6.A'!$A$11:$C$564,2,FALSE))</f>
        <v/>
      </c>
      <c r="N1475" s="57" t="str">
        <f>IF(A1475="","",IF(M1475=B1475,"si","no"))</f>
        <v/>
      </c>
      <c r="O1475" s="56"/>
      <c r="P1475" s="56"/>
      <c r="Q1475" s="48"/>
      <c r="R1475" s="48"/>
      <c r="S1475" s="2"/>
    </row>
    <row r="1476" spans="1:19" ht="12.75" customHeight="1" x14ac:dyDescent="0.2">
      <c r="A1476" s="22"/>
      <c r="B1476" s="23" t="str">
        <f>IF(A1476="","",VLOOKUP(A1476,'6.A'!$A$11:$G$180,2,FALSE))</f>
        <v/>
      </c>
      <c r="C1476" s="99"/>
      <c r="D1476" s="57" t="str">
        <f>IF(A1476="","",VLOOKUP(A1476,'6.A'!$A$11:$G$180,4,FALSE))</f>
        <v/>
      </c>
      <c r="E1476" s="100" t="str">
        <f>IF(A1476="","",VLOOKUP(A1476,'6.A'!$A$11:$G$180,5,FALSE))</f>
        <v/>
      </c>
      <c r="F1476" s="24" t="str">
        <f t="shared" si="634"/>
        <v>0,00</v>
      </c>
      <c r="G1476" s="52"/>
      <c r="H1476" s="52" t="str">
        <f>IF(A1476="","",VLOOKUP(A1476,'6.A'!$A$11:$E$7984,5,FALSE))</f>
        <v/>
      </c>
      <c r="I1476" s="52" t="str">
        <f>IF(H1476="","",IF(E1476=H1476,"SIM","NÃO"))</f>
        <v/>
      </c>
      <c r="J1476" s="52" t="str">
        <f>IF(H1476="","",VLOOKUP(A1476,'6.A'!$A$11:$E$564,4,FALSE))</f>
        <v/>
      </c>
      <c r="K1476" s="52" t="str">
        <f>IF(H1476="","",IF(J1476=D1476,"SIM","NÃO"))</f>
        <v/>
      </c>
      <c r="L1476" s="52" t="str">
        <f>IF(H1476="","",IF(C1476="","",G1468*C1476))</f>
        <v/>
      </c>
      <c r="M1476" s="117" t="str">
        <f>IF(A1476="","",VLOOKUP(A1476,'6.A'!$A$11:$C$564,2,FALSE))</f>
        <v/>
      </c>
      <c r="N1476" s="57" t="str">
        <f>IF(A1476="","",IF(M1476=B1476,"si","no"))</f>
        <v/>
      </c>
      <c r="O1476" s="56"/>
      <c r="P1476" s="56"/>
      <c r="Q1476" s="48"/>
      <c r="R1476" s="48"/>
      <c r="S1476" s="2"/>
    </row>
    <row r="1477" spans="1:19" ht="12.75" customHeight="1" x14ac:dyDescent="0.2">
      <c r="A1477" s="22"/>
      <c r="B1477" s="23" t="str">
        <f>IF(A1477="","",VLOOKUP(A1477,'6.A'!$A$11:$G$180,2,FALSE))</f>
        <v/>
      </c>
      <c r="C1477" s="99"/>
      <c r="D1477" s="57" t="str">
        <f>IF(A1477="","",VLOOKUP(A1477,'6.A'!$A$11:$G$180,4,FALSE))</f>
        <v/>
      </c>
      <c r="E1477" s="100" t="str">
        <f>IF(A1477="","",VLOOKUP(A1477,'6.A'!$A$11:$G$180,5,FALSE))</f>
        <v/>
      </c>
      <c r="F1477" s="24" t="str">
        <f t="shared" si="634"/>
        <v>0,00</v>
      </c>
      <c r="G1477" s="52"/>
      <c r="H1477" s="52" t="str">
        <f>IF(A1477="","",VLOOKUP(A1477,'6.A'!$A$11:$E$7984,5,FALSE))</f>
        <v/>
      </c>
      <c r="I1477" s="52" t="str">
        <f t="shared" ref="I1477" si="640">IF(H1477="","",IF(E1477=H1477,"SIM","NÃO"))</f>
        <v/>
      </c>
      <c r="J1477" s="52" t="str">
        <f>IF(H1477="","",VLOOKUP(A1477,'6.A'!$A$11:$E$564,4,FALSE))</f>
        <v/>
      </c>
      <c r="K1477" s="52" t="str">
        <f t="shared" ref="K1477" si="641">IF(H1477="","",IF(J1477=D1477,"SIM","NÃO"))</f>
        <v/>
      </c>
      <c r="L1477" s="52" t="str">
        <f>IF(H1477="","",IF(C1477="","",G1468*C1477))</f>
        <v/>
      </c>
      <c r="M1477" s="117" t="str">
        <f>IF(A1477="","",VLOOKUP(A1477,'6.A'!$A$11:$C$564,2,FALSE))</f>
        <v/>
      </c>
      <c r="N1477" s="57" t="str">
        <f t="shared" ref="N1477" si="642">IF(A1477="","",IF(M1477=B1477,"si","no"))</f>
        <v/>
      </c>
      <c r="O1477" s="56"/>
      <c r="P1477" s="56"/>
      <c r="Q1477" s="48"/>
      <c r="R1477" s="48"/>
      <c r="S1477" s="2"/>
    </row>
    <row r="1478" spans="1:19" ht="12.75" customHeight="1" x14ac:dyDescent="0.2">
      <c r="A1478" s="22"/>
      <c r="B1478" s="23" t="str">
        <f>IF(A1478="","",VLOOKUP(A1478,'6.A'!$A$11:$G$180,2,FALSE))</f>
        <v/>
      </c>
      <c r="C1478" s="99"/>
      <c r="D1478" s="73" t="str">
        <f>IF(A1478="","",VLOOKUP(A1478,'6.A'!$A$11:$G$180,4,FALSE))</f>
        <v/>
      </c>
      <c r="E1478" s="101" t="str">
        <f>IF(A1478="","",VLOOKUP(A1478,'6.A'!$A$11:$G$180,5,FALSE))</f>
        <v/>
      </c>
      <c r="F1478" s="24" t="str">
        <f t="shared" si="634"/>
        <v>0,00</v>
      </c>
      <c r="G1478" s="52"/>
      <c r="H1478" s="52" t="str">
        <f>IF(A1478="","",VLOOKUP(A1478,'6.A'!$A$11:$E$7984,5,FALSE))</f>
        <v/>
      </c>
      <c r="I1478" s="52" t="str">
        <f>IF(H1478="","",IF(E1478=H1478,"SIM","NÃO"))</f>
        <v/>
      </c>
      <c r="J1478" s="52" t="str">
        <f>IF(H1478="","",VLOOKUP(A1478,'6.A'!$A$11:$E$564,4,FALSE))</f>
        <v/>
      </c>
      <c r="K1478" s="52" t="str">
        <f>IF(H1478="","",IF(J1478=D1478,"SIM","NÃO"))</f>
        <v/>
      </c>
      <c r="L1478" s="52" t="str">
        <f>IF(H1478="","",IF(C1478="","",G1468*C1478))</f>
        <v/>
      </c>
      <c r="M1478" s="117" t="str">
        <f>IF(A1478="","",VLOOKUP(A1478,'6.A'!$A$11:$C$564,2,FALSE))</f>
        <v/>
      </c>
      <c r="N1478" s="57" t="str">
        <f>IF(A1478="","",IF(M1478=B1478,"si","no"))</f>
        <v/>
      </c>
      <c r="O1478" s="56"/>
      <c r="P1478" s="56"/>
      <c r="Q1478" s="48"/>
      <c r="R1478" s="48"/>
      <c r="S1478" s="2"/>
    </row>
    <row r="1479" spans="1:19" ht="12.75" customHeight="1" x14ac:dyDescent="0.2">
      <c r="A1479" s="22"/>
      <c r="B1479" s="23" t="str">
        <f>IF(A1479="","",VLOOKUP(A1479,'6.A'!$A$11:$G$180,2,FALSE))</f>
        <v/>
      </c>
      <c r="C1479" s="99"/>
      <c r="D1479" s="25" t="str">
        <f>IF(A1479="","",VLOOKUP(A1479,'6.A'!$A$11:$G$180,4,FALSE))</f>
        <v/>
      </c>
      <c r="E1479" s="101" t="str">
        <f>IF(A1479="","",VLOOKUP(A1479,'6.A'!$A$11:$G$180,5,FALSE))</f>
        <v/>
      </c>
      <c r="F1479" s="24" t="str">
        <f t="shared" si="634"/>
        <v>0,00</v>
      </c>
      <c r="G1479" s="52"/>
      <c r="H1479" s="52" t="str">
        <f>IF(A1479="","",VLOOKUP(A1479,'6.A'!$A$11:$E$7984,5,FALSE))</f>
        <v/>
      </c>
      <c r="I1479" s="52" t="str">
        <f t="shared" ref="I1479" si="643">IF(H1479="","",IF(E1479=H1479,"SIM","NÃO"))</f>
        <v/>
      </c>
      <c r="J1479" s="52" t="str">
        <f>IF(H1479="","",VLOOKUP(A1479,'6.A'!$A$11:$E$564,4,FALSE))</f>
        <v/>
      </c>
      <c r="K1479" s="52" t="str">
        <f t="shared" ref="K1479" si="644">IF(H1479="","",IF(J1479=D1479,"SIM","NÃO"))</f>
        <v/>
      </c>
      <c r="L1479" s="52" t="str">
        <f>IF(H1479="","",IF(C1479="","",G1468*C1479))</f>
        <v/>
      </c>
      <c r="M1479" s="117" t="str">
        <f>IF(A1479="","",VLOOKUP(A1479,'6.A'!$A$11:$C$564,2,FALSE))</f>
        <v/>
      </c>
      <c r="N1479" s="57" t="str">
        <f t="shared" ref="N1479" si="645">IF(A1479="","",IF(M1479=B1479,"si","no"))</f>
        <v/>
      </c>
      <c r="O1479" s="56"/>
      <c r="P1479" s="56"/>
      <c r="Q1479" s="48"/>
      <c r="R1479" s="48"/>
      <c r="S1479" s="2"/>
    </row>
    <row r="1480" spans="1:19" ht="12.75" customHeight="1" x14ac:dyDescent="0.2">
      <c r="A1480" s="17"/>
      <c r="B1480" s="26" t="str">
        <f>$A$8</f>
        <v>LEIS SOCIAIS HORISTA - JORNADA NORMAL</v>
      </c>
      <c r="C1480" s="27">
        <f>$C$8</f>
        <v>0</v>
      </c>
      <c r="D1480" s="57"/>
      <c r="F1480" s="28">
        <f>ROUND(SUM(F1470:F1479)*C1480,2)</f>
        <v>0</v>
      </c>
      <c r="G1480" s="63"/>
      <c r="M1480" s="62"/>
      <c r="N1480" s="57"/>
      <c r="O1480" s="56"/>
      <c r="P1480" s="56"/>
      <c r="Q1480" s="48"/>
      <c r="R1480" s="48"/>
      <c r="S1480" s="2"/>
    </row>
    <row r="1481" spans="1:19" ht="12.75" customHeight="1" x14ac:dyDescent="0.2">
      <c r="A1481" s="22"/>
      <c r="B1481" s="26" t="str">
        <f>$A$9</f>
        <v>BDI</v>
      </c>
      <c r="C1481" s="27">
        <f>$C$9</f>
        <v>0</v>
      </c>
      <c r="D1481" s="29"/>
      <c r="F1481" s="28">
        <f>ROUND(SUM(F1470:F1480)*C1481,2)</f>
        <v>0</v>
      </c>
      <c r="G1481" s="63"/>
      <c r="M1481" s="62"/>
      <c r="N1481" s="57"/>
      <c r="O1481" s="56"/>
      <c r="P1481" s="56"/>
      <c r="Q1481" s="48"/>
      <c r="R1481" s="48"/>
      <c r="S1481" s="2"/>
    </row>
    <row r="1482" spans="1:19" ht="12.75" customHeight="1" x14ac:dyDescent="0.2">
      <c r="A1482" s="30"/>
      <c r="B1482" s="31" t="s">
        <v>56</v>
      </c>
      <c r="C1482" s="32"/>
      <c r="D1482" s="33"/>
      <c r="E1482" s="34"/>
      <c r="F1482" s="35">
        <f>ROUND(SUM(F1470:F1481),2)</f>
        <v>0</v>
      </c>
      <c r="G1482" s="63"/>
      <c r="M1482" s="62"/>
      <c r="N1482" s="57"/>
      <c r="O1482" s="56"/>
      <c r="P1482" s="56"/>
      <c r="Q1482" s="48"/>
      <c r="R1482" s="48"/>
      <c r="S1482" s="2"/>
    </row>
    <row r="1483" spans="1:19" ht="12.75" customHeight="1" x14ac:dyDescent="0.2">
      <c r="A1483" s="17" t="s">
        <v>5</v>
      </c>
      <c r="B1483" s="153" t="s">
        <v>130</v>
      </c>
      <c r="C1483" s="56" t="s">
        <v>59</v>
      </c>
      <c r="D1483" s="56" t="s">
        <v>16</v>
      </c>
      <c r="E1483" s="19" t="s">
        <v>60</v>
      </c>
      <c r="F1483" s="20" t="s">
        <v>61</v>
      </c>
      <c r="G1483" s="21"/>
      <c r="M1483" s="62"/>
      <c r="N1483" s="57"/>
      <c r="O1483" s="56"/>
      <c r="P1483" s="56"/>
      <c r="Q1483" s="48"/>
      <c r="R1483" s="48"/>
      <c r="S1483" s="2"/>
    </row>
    <row r="1484" spans="1:19" ht="12.75" customHeight="1" x14ac:dyDescent="0.2">
      <c r="A1484" s="22"/>
      <c r="B1484" s="23" t="str">
        <f>IF(A1484="","",VLOOKUP(A1484,'6.A'!$A$11:$G$180,2,FALSE))</f>
        <v/>
      </c>
      <c r="C1484" s="99"/>
      <c r="D1484" s="57" t="str">
        <f>IF(A1484="","",VLOOKUP(A1484,'6.A'!$A$11:$G$180,4,FALSE))</f>
        <v/>
      </c>
      <c r="E1484" s="100" t="str">
        <f>IF(A1484="","",VLOOKUP(A1484,'6.A'!$A$11:$G$180,5,FALSE))</f>
        <v/>
      </c>
      <c r="F1484" s="24" t="str">
        <f t="shared" ref="F1484:F1493" si="646">IF(A1484="","0,00",ROUND(C1484*E1484,2))</f>
        <v>0,00</v>
      </c>
      <c r="G1484" s="52"/>
      <c r="H1484" s="52" t="str">
        <f>IF(A1484="","",VLOOKUP(A1484,'6.A'!$A$11:$E$7984,5,FALSE))</f>
        <v/>
      </c>
      <c r="I1484" s="52" t="str">
        <f t="shared" ref="I1484:I1493" si="647">IF(H1484="","",IF(E1484=H1484,"SIM","NÃO"))</f>
        <v/>
      </c>
      <c r="J1484" s="52" t="str">
        <f>IF(H1484="","",VLOOKUP(A1484,'6.A'!$A$11:$E$564,4,FALSE))</f>
        <v/>
      </c>
      <c r="K1484" s="52" t="str">
        <f t="shared" ref="K1484:K1493" si="648">IF(H1484="","",IF(J1484=D1484,"SIM","NÃO"))</f>
        <v/>
      </c>
      <c r="L1484" s="52" t="str">
        <f>IF(H1484="","",IF(C1484="","",G1468*C1484))</f>
        <v/>
      </c>
      <c r="M1484" s="117" t="str">
        <f>IF(A1484="","",VLOOKUP(A1484,'6.A'!$A$11:$C$564,2,FALSE))</f>
        <v/>
      </c>
      <c r="N1484" s="57" t="str">
        <f t="shared" ref="N1484:N1489" si="649">IF(A1484="","",IF(M1484=B1484,"si","no"))</f>
        <v/>
      </c>
      <c r="O1484" s="56"/>
      <c r="P1484" s="56"/>
      <c r="Q1484" s="48"/>
      <c r="R1484" s="48"/>
      <c r="S1484" s="2"/>
    </row>
    <row r="1485" spans="1:19" ht="12.75" customHeight="1" x14ac:dyDescent="0.2">
      <c r="A1485" s="22"/>
      <c r="B1485" s="23" t="str">
        <f>IF(A1485="","",VLOOKUP(A1485,'6.A'!$A$11:$G$180,2,FALSE))</f>
        <v/>
      </c>
      <c r="C1485" s="99"/>
      <c r="D1485" s="57" t="str">
        <f>IF(A1485="","",VLOOKUP(A1485,'6.A'!$A$11:$G$180,4,FALSE))</f>
        <v/>
      </c>
      <c r="E1485" s="100" t="str">
        <f>IF(A1485="","",VLOOKUP(A1485,'6.A'!$A$11:$G$180,5,FALSE))</f>
        <v/>
      </c>
      <c r="F1485" s="24" t="str">
        <f t="shared" si="646"/>
        <v>0,00</v>
      </c>
      <c r="G1485" s="52"/>
      <c r="H1485" s="52" t="str">
        <f>IF(A1485="","",VLOOKUP(A1485,'6.A'!$A$11:$E$7984,5,FALSE))</f>
        <v/>
      </c>
      <c r="I1485" s="52" t="str">
        <f t="shared" si="647"/>
        <v/>
      </c>
      <c r="J1485" s="52" t="str">
        <f>IF(H1485="","",VLOOKUP(A1485,'6.A'!$A$11:$E$564,4,FALSE))</f>
        <v/>
      </c>
      <c r="K1485" s="52" t="str">
        <f t="shared" si="648"/>
        <v/>
      </c>
      <c r="L1485" s="52" t="str">
        <f>IF(H1485="","",IF(C1485="","",G1468*C1485))</f>
        <v/>
      </c>
      <c r="M1485" s="117" t="str">
        <f>IF(A1485="","",VLOOKUP(A1485,'6.A'!$A$11:$C$564,2,FALSE))</f>
        <v/>
      </c>
      <c r="N1485" s="57" t="str">
        <f t="shared" si="649"/>
        <v/>
      </c>
      <c r="O1485" s="56"/>
      <c r="P1485" s="56"/>
      <c r="Q1485" s="48"/>
      <c r="R1485" s="48"/>
      <c r="S1485" s="2"/>
    </row>
    <row r="1486" spans="1:19" ht="12.75" customHeight="1" x14ac:dyDescent="0.2">
      <c r="A1486" s="22"/>
      <c r="B1486" s="23" t="str">
        <f>IF(A1486="","",VLOOKUP(A1486,'6.A'!$A$11:$G$180,2,FALSE))</f>
        <v/>
      </c>
      <c r="C1486" s="99"/>
      <c r="D1486" s="57" t="str">
        <f>IF(A1486="","",VLOOKUP(A1486,'6.A'!$A$11:$G$180,4,FALSE))</f>
        <v/>
      </c>
      <c r="E1486" s="100" t="str">
        <f>IF(A1486="","",VLOOKUP(A1486,'6.A'!$A$11:$G$180,5,FALSE))</f>
        <v/>
      </c>
      <c r="F1486" s="24" t="str">
        <f t="shared" si="646"/>
        <v>0,00</v>
      </c>
      <c r="G1486" s="52"/>
      <c r="H1486" s="52" t="str">
        <f>IF(A1486="","",VLOOKUP(A1486,'6.A'!$A$11:$E$7984,5,FALSE))</f>
        <v/>
      </c>
      <c r="I1486" s="52" t="str">
        <f t="shared" si="647"/>
        <v/>
      </c>
      <c r="J1486" s="52" t="str">
        <f>IF(H1486="","",VLOOKUP(A1486,'6.A'!$A$11:$E$564,4,FALSE))</f>
        <v/>
      </c>
      <c r="K1486" s="52" t="str">
        <f t="shared" si="648"/>
        <v/>
      </c>
      <c r="L1486" s="52" t="str">
        <f>IF(H1486="","",IF(C1486="","",G1468*C1486))</f>
        <v/>
      </c>
      <c r="M1486" s="117" t="str">
        <f>IF(A1486="","",VLOOKUP(A1486,'6.A'!$A$11:$C$564,2,FALSE))</f>
        <v/>
      </c>
      <c r="N1486" s="57" t="str">
        <f t="shared" si="649"/>
        <v/>
      </c>
      <c r="O1486" s="56"/>
      <c r="P1486" s="56"/>
      <c r="Q1486" s="48"/>
      <c r="R1486" s="48"/>
      <c r="S1486" s="2"/>
    </row>
    <row r="1487" spans="1:19" ht="12.75" customHeight="1" x14ac:dyDescent="0.2">
      <c r="A1487" s="22"/>
      <c r="B1487" s="55" t="str">
        <f>IF(A1487="","",VLOOKUP(A1487,'6.A'!$A$11:$G$180,2,FALSE))</f>
        <v/>
      </c>
      <c r="C1487" s="134"/>
      <c r="D1487" s="57" t="str">
        <f>IF(A1487="","",VLOOKUP(A1487,'6.A'!$A$11:$G$180,4,FALSE))</f>
        <v/>
      </c>
      <c r="E1487" s="100" t="str">
        <f>IF(A1487="","",VLOOKUP(A1487,'6.A'!$A$11:$G$180,5,FALSE))</f>
        <v/>
      </c>
      <c r="F1487" s="24" t="str">
        <f t="shared" si="646"/>
        <v>0,00</v>
      </c>
      <c r="G1487" s="52"/>
      <c r="H1487" s="52" t="str">
        <f>IF(A1487="","",VLOOKUP(A1487,'6.A'!$A$11:$E$7984,5,FALSE))</f>
        <v/>
      </c>
      <c r="I1487" s="52" t="str">
        <f t="shared" si="647"/>
        <v/>
      </c>
      <c r="J1487" s="52" t="str">
        <f>IF(H1487="","",VLOOKUP(A1487,'6.A'!$A$11:$E$564,4,FALSE))</f>
        <v/>
      </c>
      <c r="K1487" s="52" t="str">
        <f t="shared" si="648"/>
        <v/>
      </c>
      <c r="L1487" s="52" t="str">
        <f>IF(H1487="","",IF(C1487="","",G1468*C1487))</f>
        <v/>
      </c>
      <c r="M1487" s="117" t="str">
        <f>IF(A1487="","",VLOOKUP(A1487,'6.A'!$A$11:$C$564,2,FALSE))</f>
        <v/>
      </c>
      <c r="N1487" s="57" t="str">
        <f t="shared" si="649"/>
        <v/>
      </c>
      <c r="O1487" s="56"/>
      <c r="P1487" s="56"/>
      <c r="Q1487" s="48"/>
      <c r="R1487" s="48"/>
      <c r="S1487" s="2"/>
    </row>
    <row r="1488" spans="1:19" ht="12.75" customHeight="1" x14ac:dyDescent="0.2">
      <c r="A1488" s="22"/>
      <c r="B1488" s="23" t="str">
        <f>IF(A1488="","",VLOOKUP(A1488,'6.A'!$A$11:$G$180,2,FALSE))</f>
        <v/>
      </c>
      <c r="C1488" s="99"/>
      <c r="D1488" s="57" t="str">
        <f>IF(A1488="","",VLOOKUP(A1488,'6.A'!$A$11:$G$180,4,FALSE))</f>
        <v/>
      </c>
      <c r="E1488" s="100" t="str">
        <f>IF(A1488="","",VLOOKUP(A1488,'6.A'!$A$11:$G$180,5,FALSE))</f>
        <v/>
      </c>
      <c r="F1488" s="24" t="str">
        <f t="shared" si="646"/>
        <v>0,00</v>
      </c>
      <c r="G1488" s="52"/>
      <c r="H1488" s="52" t="str">
        <f>IF(A1488="","",VLOOKUP(A1488,'6.A'!$A$11:$E$7984,5,FALSE))</f>
        <v/>
      </c>
      <c r="I1488" s="52" t="str">
        <f t="shared" si="647"/>
        <v/>
      </c>
      <c r="J1488" s="52" t="str">
        <f>IF(H1488="","",VLOOKUP(A1488,'6.A'!$A$11:$E$564,4,FALSE))</f>
        <v/>
      </c>
      <c r="K1488" s="52" t="str">
        <f t="shared" si="648"/>
        <v/>
      </c>
      <c r="L1488" s="52" t="str">
        <f>IF(H1488="","",IF(C1488="","",G1468*C1488))</f>
        <v/>
      </c>
      <c r="M1488" s="117" t="str">
        <f>IF(A1488="","",VLOOKUP(A1488,'6.A'!$A$11:$C$564,2,FALSE))</f>
        <v/>
      </c>
      <c r="N1488" s="57" t="str">
        <f t="shared" si="649"/>
        <v/>
      </c>
      <c r="O1488" s="56"/>
      <c r="P1488" s="56"/>
      <c r="Q1488" s="48"/>
      <c r="R1488" s="48"/>
      <c r="S1488" s="2"/>
    </row>
    <row r="1489" spans="1:22" ht="12.75" customHeight="1" x14ac:dyDescent="0.2">
      <c r="A1489" s="22"/>
      <c r="B1489" s="23" t="str">
        <f>IF(A1489="","",VLOOKUP(A1489,'6.A'!$A$11:$G$180,2,FALSE))</f>
        <v/>
      </c>
      <c r="C1489" s="99"/>
      <c r="D1489" s="57" t="str">
        <f>IF(A1489="","",VLOOKUP(A1489,'6.A'!$A$11:$G$180,4,FALSE))</f>
        <v/>
      </c>
      <c r="E1489" s="100" t="str">
        <f>IF(A1489="","",VLOOKUP(A1489,'6.A'!$A$11:$G$180,5,FALSE))</f>
        <v/>
      </c>
      <c r="F1489" s="24" t="str">
        <f t="shared" si="646"/>
        <v>0,00</v>
      </c>
      <c r="G1489" s="52"/>
      <c r="H1489" s="52" t="str">
        <f>IF(A1489="","",VLOOKUP(A1489,'6.A'!$A$11:$E$7984,5,FALSE))</f>
        <v/>
      </c>
      <c r="I1489" s="52" t="str">
        <f t="shared" si="647"/>
        <v/>
      </c>
      <c r="J1489" s="52" t="str">
        <f>IF(H1489="","",VLOOKUP(A1489,'6.A'!$A$11:$E$564,4,FALSE))</f>
        <v/>
      </c>
      <c r="K1489" s="52" t="str">
        <f t="shared" si="648"/>
        <v/>
      </c>
      <c r="L1489" s="52" t="str">
        <f>IF(H1489="","",IF(C1489="","",G1468*C1489))</f>
        <v/>
      </c>
      <c r="M1489" s="117" t="str">
        <f>IF(A1489="","",VLOOKUP(A1489,'6.A'!$A$11:$C$564,2,FALSE))</f>
        <v/>
      </c>
      <c r="N1489" s="57" t="str">
        <f t="shared" si="649"/>
        <v/>
      </c>
      <c r="O1489" s="56"/>
      <c r="P1489" s="56"/>
      <c r="Q1489" s="48"/>
      <c r="R1489" s="48"/>
      <c r="S1489" s="2"/>
    </row>
    <row r="1490" spans="1:22" ht="12.75" customHeight="1" x14ac:dyDescent="0.2">
      <c r="A1490" s="22"/>
      <c r="B1490" s="23" t="str">
        <f>IF(A1490="","",VLOOKUP(A1490,'6.A'!$A$11:$G$180,2,FALSE))</f>
        <v/>
      </c>
      <c r="C1490" s="99"/>
      <c r="D1490" s="57" t="str">
        <f>IF(A1490="","",VLOOKUP(A1490,'6.A'!$A$11:$G$180,4,FALSE))</f>
        <v/>
      </c>
      <c r="E1490" s="100" t="str">
        <f>IF(A1490="","",VLOOKUP(A1490,'6.A'!$A$11:$G$180,5,FALSE))</f>
        <v/>
      </c>
      <c r="F1490" s="24" t="str">
        <f t="shared" si="646"/>
        <v>0,00</v>
      </c>
      <c r="G1490" s="52"/>
      <c r="H1490" s="52" t="str">
        <f>IF(A1490="","",VLOOKUP(A1490,'6.A'!$A$11:$E$7984,5,FALSE))</f>
        <v/>
      </c>
      <c r="I1490" s="52" t="str">
        <f t="shared" si="647"/>
        <v/>
      </c>
      <c r="J1490" s="52" t="str">
        <f>IF(H1490="","",VLOOKUP(A1490,'6.A'!$A$11:$E$564,4,FALSE))</f>
        <v/>
      </c>
      <c r="K1490" s="52" t="str">
        <f t="shared" si="648"/>
        <v/>
      </c>
      <c r="L1490" s="52" t="str">
        <f>IF(H1490="","",IF(C1490="","",G1468*C1490))</f>
        <v/>
      </c>
      <c r="M1490" s="117" t="str">
        <f>IF(A1490="","",VLOOKUP(A1490,'6.A'!$A$11:$C$564,2,FALSE))</f>
        <v/>
      </c>
      <c r="N1490" s="57" t="str">
        <f>IF(A1490="","",IF(M1490=B1490,"si","no"))</f>
        <v/>
      </c>
      <c r="O1490" s="56"/>
      <c r="P1490" s="56"/>
      <c r="Q1490" s="48"/>
      <c r="R1490" s="48"/>
      <c r="S1490" s="2"/>
    </row>
    <row r="1491" spans="1:22" ht="12.75" customHeight="1" x14ac:dyDescent="0.2">
      <c r="A1491" s="22"/>
      <c r="B1491" s="23" t="str">
        <f>IF(A1491="","",VLOOKUP(A1491,'6.A'!$A$11:$G$180,2,FALSE))</f>
        <v/>
      </c>
      <c r="C1491" s="99"/>
      <c r="D1491" s="57" t="str">
        <f>IF(A1491="","",VLOOKUP(A1491,'6.A'!$A$11:$G$180,4,FALSE))</f>
        <v/>
      </c>
      <c r="E1491" s="100" t="str">
        <f>IF(A1491="","",VLOOKUP(A1491,'6.A'!$A$11:$G$180,5,FALSE))</f>
        <v/>
      </c>
      <c r="F1491" s="24" t="str">
        <f t="shared" si="646"/>
        <v>0,00</v>
      </c>
      <c r="G1491" s="52"/>
      <c r="H1491" s="52" t="str">
        <f>IF(A1491="","",VLOOKUP(A1491,'6.A'!$A$11:$E$7984,5,FALSE))</f>
        <v/>
      </c>
      <c r="I1491" s="52" t="str">
        <f t="shared" si="647"/>
        <v/>
      </c>
      <c r="J1491" s="52" t="str">
        <f>IF(H1491="","",VLOOKUP(A1491,'6.A'!$A$11:$E$564,4,FALSE))</f>
        <v/>
      </c>
      <c r="K1491" s="52" t="str">
        <f t="shared" si="648"/>
        <v/>
      </c>
      <c r="L1491" s="52" t="str">
        <f>IF(H1491="","",IF(C1491="","",G1468*C1491))</f>
        <v/>
      </c>
      <c r="M1491" s="117" t="str">
        <f>IF(A1491="","",VLOOKUP(A1491,'6.A'!$A$11:$C$564,2,FALSE))</f>
        <v/>
      </c>
      <c r="N1491" s="57" t="str">
        <f>IF(A1491="","",IF(M1491=B1491,"si","no"))</f>
        <v/>
      </c>
      <c r="O1491" s="56"/>
      <c r="P1491" s="56"/>
      <c r="Q1491" s="48"/>
      <c r="R1491" s="48"/>
      <c r="S1491" s="2"/>
    </row>
    <row r="1492" spans="1:22" ht="12.75" customHeight="1" x14ac:dyDescent="0.2">
      <c r="A1492" s="22"/>
      <c r="B1492" s="23" t="str">
        <f>IF(A1492="","",VLOOKUP(A1492,'6.A'!$A$11:$G$180,2,FALSE))</f>
        <v/>
      </c>
      <c r="C1492" s="99"/>
      <c r="D1492" s="57" t="str">
        <f>IF(A1492="","",VLOOKUP(A1492,'6.A'!$A$11:$G$180,4,FALSE))</f>
        <v/>
      </c>
      <c r="E1492" s="100" t="str">
        <f>IF(A1492="","",VLOOKUP(A1492,'6.A'!$A$11:$G$180,5,FALSE))</f>
        <v/>
      </c>
      <c r="F1492" s="24" t="str">
        <f t="shared" si="646"/>
        <v>0,00</v>
      </c>
      <c r="G1492" s="52"/>
      <c r="H1492" s="52" t="str">
        <f>IF(A1492="","",VLOOKUP(A1492,'6.A'!$A$11:$E$7984,5,FALSE))</f>
        <v/>
      </c>
      <c r="I1492" s="52" t="str">
        <f t="shared" si="647"/>
        <v/>
      </c>
      <c r="J1492" s="52" t="str">
        <f>IF(H1492="","",VLOOKUP(A1492,'6.A'!$A$11:$E$564,4,FALSE))</f>
        <v/>
      </c>
      <c r="K1492" s="52" t="str">
        <f t="shared" si="648"/>
        <v/>
      </c>
      <c r="L1492" s="52" t="str">
        <f>IF(H1492="","",IF(C1492="","",G1468*C1492))</f>
        <v/>
      </c>
      <c r="M1492" s="117" t="str">
        <f>IF(A1492="","",VLOOKUP(A1492,'6.A'!$A$11:$C$564,2,FALSE))</f>
        <v/>
      </c>
      <c r="N1492" s="57" t="str">
        <f t="shared" ref="N1492:N1493" si="650">IF(A1492="","",IF(M1492=B1492,"si","no"))</f>
        <v/>
      </c>
      <c r="O1492" s="56"/>
      <c r="P1492" s="56"/>
      <c r="Q1492" s="48"/>
      <c r="R1492" s="48"/>
      <c r="S1492" s="2"/>
    </row>
    <row r="1493" spans="1:22" ht="12.75" customHeight="1" x14ac:dyDescent="0.2">
      <c r="A1493" s="22"/>
      <c r="B1493" s="23" t="str">
        <f>IF(A1493="","",VLOOKUP(A1493,'6.A'!$A$11:$G$180,2,FALSE))</f>
        <v/>
      </c>
      <c r="C1493" s="99"/>
      <c r="D1493" s="57" t="str">
        <f>IF(A1493="","",VLOOKUP(A1493,'6.A'!$A$11:$G$180,4,FALSE))</f>
        <v/>
      </c>
      <c r="E1493" s="100" t="str">
        <f>IF(A1493="","",VLOOKUP(A1493,'6.A'!$A$11:$G$180,5,FALSE))</f>
        <v/>
      </c>
      <c r="F1493" s="24" t="str">
        <f t="shared" si="646"/>
        <v>0,00</v>
      </c>
      <c r="G1493" s="52"/>
      <c r="H1493" s="52" t="str">
        <f>IF(A1493="","",VLOOKUP(A1493,'6.A'!$A$11:$E$7984,5,FALSE))</f>
        <v/>
      </c>
      <c r="I1493" s="52" t="str">
        <f t="shared" si="647"/>
        <v/>
      </c>
      <c r="J1493" s="52" t="str">
        <f>IF(H1493="","",VLOOKUP(A1493,'6.A'!$A$11:$E$564,4,FALSE))</f>
        <v/>
      </c>
      <c r="K1493" s="52" t="str">
        <f t="shared" si="648"/>
        <v/>
      </c>
      <c r="L1493" s="52" t="str">
        <f>IF(H1493="","",IF(C1493="","",G1468*C1493))</f>
        <v/>
      </c>
      <c r="M1493" s="117" t="str">
        <f>IF(A1493="","",VLOOKUP(A1493,'6.A'!$A$11:$C$564,2,FALSE))</f>
        <v/>
      </c>
      <c r="N1493" s="57" t="str">
        <f t="shared" si="650"/>
        <v/>
      </c>
      <c r="O1493" s="56"/>
      <c r="P1493" s="56"/>
      <c r="Q1493" s="48"/>
      <c r="R1493" s="48"/>
      <c r="S1493" s="2"/>
    </row>
    <row r="1494" spans="1:22" ht="12.75" customHeight="1" x14ac:dyDescent="0.2">
      <c r="A1494" s="22"/>
      <c r="B1494" s="26" t="str">
        <f>$A$9</f>
        <v>BDI</v>
      </c>
      <c r="C1494" s="27">
        <f>$C$9</f>
        <v>0</v>
      </c>
      <c r="D1494" s="57"/>
      <c r="F1494" s="28">
        <f>ROUND(SUM(F1484:F1493)*C1494,2)</f>
        <v>0</v>
      </c>
      <c r="G1494" s="63"/>
      <c r="M1494" s="62"/>
      <c r="N1494" s="57"/>
      <c r="O1494" s="56"/>
      <c r="P1494" s="56"/>
      <c r="Q1494" s="48"/>
      <c r="R1494" s="48"/>
      <c r="S1494" s="2"/>
    </row>
    <row r="1495" spans="1:22" ht="12.75" customHeight="1" x14ac:dyDescent="0.2">
      <c r="A1495" s="30"/>
      <c r="B1495" s="31" t="s">
        <v>117</v>
      </c>
      <c r="C1495" s="36"/>
      <c r="D1495" s="37"/>
      <c r="E1495" s="38"/>
      <c r="F1495" s="35">
        <f>ROUND(SUM(F1484:F1494),2)</f>
        <v>0</v>
      </c>
      <c r="G1495" s="63"/>
      <c r="M1495" s="62"/>
      <c r="N1495" s="57"/>
      <c r="O1495" s="56"/>
      <c r="P1495" s="56"/>
      <c r="Q1495" s="48"/>
      <c r="R1495" s="48"/>
      <c r="S1495" s="2"/>
    </row>
    <row r="1496" spans="1:22" ht="12.75" customHeight="1" x14ac:dyDescent="0.2">
      <c r="A1496" s="17" t="s">
        <v>6</v>
      </c>
      <c r="B1496" s="18" t="s">
        <v>17</v>
      </c>
      <c r="C1496" s="56" t="s">
        <v>59</v>
      </c>
      <c r="D1496" s="56" t="s">
        <v>16</v>
      </c>
      <c r="E1496" s="19" t="s">
        <v>60</v>
      </c>
      <c r="F1496" s="20" t="s">
        <v>61</v>
      </c>
      <c r="G1496" s="21"/>
      <c r="M1496" s="62"/>
      <c r="N1496" s="57"/>
      <c r="O1496" s="56"/>
      <c r="P1496" s="56"/>
      <c r="Q1496" s="48"/>
      <c r="R1496" s="48"/>
      <c r="S1496" s="2"/>
    </row>
    <row r="1497" spans="1:22" ht="12.75" customHeight="1" x14ac:dyDescent="0.2">
      <c r="A1497" s="22">
        <f>'6.A'!$A$71</f>
        <v>979</v>
      </c>
      <c r="B1497" s="23" t="str">
        <f>IF(A1497="","",VLOOKUP(A1497,'6.A'!$A$11:$G$180,2,FALSE))</f>
        <v>CABO DE COBRE FLEXIVEL CL 4/5, ISOLACAO PVC/A, ANTICHAMA BWF-B, 1 CONDUTOR, 450/750 V, SECAO NOMINAL 16 MM2</v>
      </c>
      <c r="C1497" s="99">
        <v>1.0269999999999999</v>
      </c>
      <c r="D1497" s="57" t="str">
        <f>IF(A1497="","",VLOOKUP(A1497,'6.A'!$A$11:$G$180,4,FALSE))</f>
        <v>M</v>
      </c>
      <c r="E1497" s="100">
        <f>IF(A1497="","",VLOOKUP(A1497,'6.A'!$A$11:$G$180,5,FALSE))</f>
        <v>0</v>
      </c>
      <c r="F1497" s="24">
        <f t="shared" ref="F1497:F1516" si="651">IF(A1497="","0,00",ROUND(C1497*E1497,2))</f>
        <v>0</v>
      </c>
      <c r="G1497" s="52"/>
      <c r="H1497" s="52">
        <f>IF(A1497="","",VLOOKUP(A1497,'6.A'!$A$11:$E$7984,5,FALSE))</f>
        <v>0</v>
      </c>
      <c r="I1497" s="52" t="str">
        <f t="shared" ref="I1497:I1516" si="652">IF(H1497="","",IF(E1497=H1497,"SIM","NÃO"))</f>
        <v>SIM</v>
      </c>
      <c r="J1497" s="52" t="str">
        <f>IF(H1497="","",VLOOKUP(A1497,'6.A'!$A$11:$E$564,4,FALSE))</f>
        <v>M</v>
      </c>
      <c r="K1497" s="52" t="str">
        <f t="shared" ref="K1497:K1516" si="653">IF(H1497="","",IF(J1497=D1497,"SIM","NÃO"))</f>
        <v>SIM</v>
      </c>
      <c r="L1497" s="52">
        <f>IF(H1497="","",IF(C1497="","",G1468*C1497))</f>
        <v>5.1349999999999998</v>
      </c>
      <c r="M1497" s="117" t="str">
        <f>IF(A1497="","",VLOOKUP(A1497,'6.A'!$A$11:$C$564,2,FALSE))</f>
        <v>CABO DE COBRE FLEXIVEL CL 4/5, ISOLACAO PVC/A, ANTICHAMA BWF-B, 1 CONDUTOR, 450/750 V, SECAO NOMINAL 16 MM2</v>
      </c>
      <c r="N1497" s="57" t="str">
        <f t="shared" ref="N1497:N1516" si="654">IF(A1497="","",IF(M1497=B1497,"si","no"))</f>
        <v>si</v>
      </c>
      <c r="O1497" s="56"/>
      <c r="P1497" s="56"/>
      <c r="Q1497" s="48"/>
      <c r="R1497" s="48"/>
      <c r="S1497" s="2"/>
    </row>
    <row r="1498" spans="1:22" ht="12.75" customHeight="1" x14ac:dyDescent="0.2">
      <c r="A1498" s="22">
        <f>'6.A'!$A$123</f>
        <v>21127</v>
      </c>
      <c r="B1498" s="23" t="str">
        <f>IF(A1498="","",VLOOKUP(A1498,'6.A'!$A$11:$G$180,2,FALSE))</f>
        <v>FITA ISOLANTE ADESIVA ANTICHAMA, USO ATE 750 V, EM ROLO DE 19 MM X 5 M</v>
      </c>
      <c r="C1498" s="99">
        <v>0.01</v>
      </c>
      <c r="D1498" s="57" t="str">
        <f>IF(A1498="","",VLOOKUP(A1498,'6.A'!$A$11:$G$180,4,FALSE))</f>
        <v>UN</v>
      </c>
      <c r="E1498" s="100">
        <f>IF(A1498="","",VLOOKUP(A1498,'6.A'!$A$11:$G$180,5,FALSE))</f>
        <v>0</v>
      </c>
      <c r="F1498" s="24">
        <f t="shared" si="651"/>
        <v>0</v>
      </c>
      <c r="G1498" s="52"/>
      <c r="H1498" s="52">
        <f>IF(A1498="","",VLOOKUP(A1498,'6.A'!$A$11:$E$7984,5,FALSE))</f>
        <v>0</v>
      </c>
      <c r="I1498" s="52" t="str">
        <f t="shared" si="652"/>
        <v>SIM</v>
      </c>
      <c r="J1498" s="52" t="str">
        <f>IF(H1498="","",VLOOKUP(A1498,'6.A'!$A$11:$E$564,4,FALSE))</f>
        <v>UN</v>
      </c>
      <c r="K1498" s="52" t="str">
        <f t="shared" si="653"/>
        <v>SIM</v>
      </c>
      <c r="L1498" s="52">
        <f>IF(H1498="","",IF(C1498="","",G1468*C1498))</f>
        <v>0.05</v>
      </c>
      <c r="M1498" s="117" t="str">
        <f>IF(A1498="","",VLOOKUP(A1498,'6.A'!$A$11:$C$564,2,FALSE))</f>
        <v>FITA ISOLANTE ADESIVA ANTICHAMA, USO ATE 750 V, EM ROLO DE 19 MM X 5 M</v>
      </c>
      <c r="N1498" s="57" t="str">
        <f t="shared" si="654"/>
        <v>si</v>
      </c>
      <c r="O1498" s="56"/>
      <c r="P1498" s="56"/>
      <c r="Q1498" s="48"/>
      <c r="R1498" s="48"/>
      <c r="S1498" s="2"/>
    </row>
    <row r="1499" spans="1:22" ht="12.75" customHeight="1" x14ac:dyDescent="0.2">
      <c r="A1499" s="22"/>
      <c r="B1499" s="23" t="str">
        <f>IF(A1499="","",VLOOKUP(A1499,'6.A'!$A$11:$G$180,2,FALSE))</f>
        <v/>
      </c>
      <c r="C1499" s="99"/>
      <c r="D1499" s="57" t="str">
        <f>IF(A1499="","",VLOOKUP(A1499,'6.A'!$A$11:$G$180,4,FALSE))</f>
        <v/>
      </c>
      <c r="E1499" s="100" t="str">
        <f>IF(A1499="","",VLOOKUP(A1499,'6.A'!$A$11:$G$180,5,FALSE))</f>
        <v/>
      </c>
      <c r="F1499" s="24" t="str">
        <f t="shared" si="651"/>
        <v>0,00</v>
      </c>
      <c r="G1499" s="52"/>
      <c r="H1499" s="52" t="str">
        <f>IF(A1499="","",VLOOKUP(A1499,'6.A'!$A$11:$E$7984,5,FALSE))</f>
        <v/>
      </c>
      <c r="I1499" s="52" t="str">
        <f t="shared" si="652"/>
        <v/>
      </c>
      <c r="J1499" s="52" t="str">
        <f>IF(H1499="","",VLOOKUP(A1499,'6.A'!$A$11:$E$564,4,FALSE))</f>
        <v/>
      </c>
      <c r="K1499" s="52" t="str">
        <f t="shared" si="653"/>
        <v/>
      </c>
      <c r="L1499" s="52" t="str">
        <f>IF(H1499="","",IF(C1499="","",G1468*C1499))</f>
        <v/>
      </c>
      <c r="M1499" s="117" t="str">
        <f>IF(A1499="","",VLOOKUP(A1499,'6.A'!$A$11:$C$564,2,FALSE))</f>
        <v/>
      </c>
      <c r="N1499" s="57" t="str">
        <f t="shared" si="654"/>
        <v/>
      </c>
      <c r="O1499" s="56"/>
      <c r="P1499" s="56"/>
      <c r="Q1499" s="48"/>
      <c r="R1499" s="48"/>
      <c r="S1499" s="2"/>
    </row>
    <row r="1500" spans="1:22" ht="12.75" customHeight="1" x14ac:dyDescent="0.2">
      <c r="A1500" s="22"/>
      <c r="B1500" s="23" t="str">
        <f>IF(A1500="","",VLOOKUP(A1500,'6.A'!$A$11:$G$180,2,FALSE))</f>
        <v/>
      </c>
      <c r="C1500" s="99"/>
      <c r="D1500" s="57" t="str">
        <f>IF(A1500="","",VLOOKUP(A1500,'6.A'!$A$11:$G$180,4,FALSE))</f>
        <v/>
      </c>
      <c r="E1500" s="100" t="str">
        <f>IF(A1500="","",VLOOKUP(A1500,'6.A'!$A$11:$G$180,5,FALSE))</f>
        <v/>
      </c>
      <c r="F1500" s="24" t="str">
        <f t="shared" si="651"/>
        <v>0,00</v>
      </c>
      <c r="G1500" s="52"/>
      <c r="H1500" s="52" t="str">
        <f>IF(A1500="","",VLOOKUP(A1500,'6.A'!$A$11:$E$7984,5,FALSE))</f>
        <v/>
      </c>
      <c r="I1500" s="52" t="str">
        <f t="shared" si="652"/>
        <v/>
      </c>
      <c r="J1500" s="52" t="str">
        <f>IF(H1500="","",VLOOKUP(A1500,'6.A'!$A$11:$E$564,4,FALSE))</f>
        <v/>
      </c>
      <c r="K1500" s="52" t="str">
        <f t="shared" si="653"/>
        <v/>
      </c>
      <c r="L1500" s="52" t="str">
        <f>IF(H1500="","",IF(C1500="","",G1468*C1500))</f>
        <v/>
      </c>
      <c r="M1500" s="117" t="str">
        <f>IF(A1500="","",VLOOKUP(A1500,'6.A'!$A$11:$C$564,2,FALSE))</f>
        <v/>
      </c>
      <c r="N1500" s="57" t="str">
        <f t="shared" si="654"/>
        <v/>
      </c>
      <c r="O1500" s="56"/>
      <c r="P1500" s="56"/>
      <c r="Q1500" s="48"/>
      <c r="R1500" s="48"/>
      <c r="S1500" s="2"/>
    </row>
    <row r="1501" spans="1:22" ht="12.75" customHeight="1" x14ac:dyDescent="0.2">
      <c r="A1501" s="22"/>
      <c r="B1501" s="23" t="str">
        <f>IF(A1501="","",VLOOKUP(A1501,'6.A'!$A$11:$G$180,2,FALSE))</f>
        <v/>
      </c>
      <c r="C1501" s="99"/>
      <c r="D1501" s="57" t="str">
        <f>IF(A1501="","",VLOOKUP(A1501,'6.A'!$A$11:$G$180,4,FALSE))</f>
        <v/>
      </c>
      <c r="E1501" s="100" t="str">
        <f>IF(A1501="","",VLOOKUP(A1501,'6.A'!$A$11:$G$180,5,FALSE))</f>
        <v/>
      </c>
      <c r="F1501" s="24" t="str">
        <f t="shared" si="651"/>
        <v>0,00</v>
      </c>
      <c r="G1501" s="52"/>
      <c r="H1501" s="52" t="str">
        <f>IF(A1501="","",VLOOKUP(A1501,'6.A'!$A$11:$E$7984,5,FALSE))</f>
        <v/>
      </c>
      <c r="I1501" s="52" t="str">
        <f t="shared" si="652"/>
        <v/>
      </c>
      <c r="J1501" s="52" t="str">
        <f>IF(H1501="","",VLOOKUP(A1501,'6.A'!$A$11:$E$564,4,FALSE))</f>
        <v/>
      </c>
      <c r="K1501" s="52" t="str">
        <f t="shared" si="653"/>
        <v/>
      </c>
      <c r="L1501" s="52" t="str">
        <f>IF(H1501="","",IF(C1501="","",G1468*C1501))</f>
        <v/>
      </c>
      <c r="M1501" s="117" t="str">
        <f>IF(A1501="","",VLOOKUP(A1501,'6.A'!$A$11:$C$564,2,FALSE))</f>
        <v/>
      </c>
      <c r="N1501" s="57" t="str">
        <f t="shared" si="654"/>
        <v/>
      </c>
      <c r="O1501" s="56"/>
      <c r="P1501" s="56"/>
      <c r="Q1501" s="48"/>
      <c r="R1501" s="48"/>
      <c r="S1501" s="2"/>
    </row>
    <row r="1502" spans="1:22" ht="12.75" customHeight="1" x14ac:dyDescent="0.2">
      <c r="A1502" s="22"/>
      <c r="B1502" s="23" t="str">
        <f>IF(A1502="","",VLOOKUP(A1502,'6.A'!$A$11:$G$180,2,FALSE))</f>
        <v/>
      </c>
      <c r="C1502" s="99"/>
      <c r="D1502" s="57" t="str">
        <f>IF(A1502="","",VLOOKUP(A1502,'6.A'!$A$11:$G$180,4,FALSE))</f>
        <v/>
      </c>
      <c r="E1502" s="100" t="str">
        <f>IF(A1502="","",VLOOKUP(A1502,'6.A'!$A$11:$G$180,5,FALSE))</f>
        <v/>
      </c>
      <c r="F1502" s="24" t="str">
        <f t="shared" si="651"/>
        <v>0,00</v>
      </c>
      <c r="G1502" s="52"/>
      <c r="H1502" s="52" t="str">
        <f>IF(A1502="","",VLOOKUP(A1502,'6.A'!$A$11:$E$7984,5,FALSE))</f>
        <v/>
      </c>
      <c r="I1502" s="52" t="str">
        <f t="shared" si="652"/>
        <v/>
      </c>
      <c r="J1502" s="52" t="str">
        <f>IF(H1502="","",VLOOKUP(A1502,'6.A'!$A$11:$E$564,4,FALSE))</f>
        <v/>
      </c>
      <c r="K1502" s="52" t="str">
        <f t="shared" si="653"/>
        <v/>
      </c>
      <c r="L1502" s="52" t="str">
        <f>IF(H1502="","",IF(C1502="","",G1468*C1502))</f>
        <v/>
      </c>
      <c r="M1502" s="117" t="str">
        <f>IF(A1502="","",VLOOKUP(A1502,'6.A'!$A$11:$C$564,2,FALSE))</f>
        <v/>
      </c>
      <c r="N1502" s="57" t="str">
        <f t="shared" si="654"/>
        <v/>
      </c>
      <c r="O1502" s="56"/>
      <c r="P1502" s="56"/>
      <c r="Q1502" s="48"/>
      <c r="R1502" s="48"/>
      <c r="S1502" s="2"/>
    </row>
    <row r="1503" spans="1:22" ht="12.75" customHeight="1" x14ac:dyDescent="0.2">
      <c r="A1503" s="22"/>
      <c r="B1503" s="23" t="str">
        <f>IF(A1503="","",VLOOKUP(A1503,'6.A'!$A$11:$G$180,2,FALSE))</f>
        <v/>
      </c>
      <c r="C1503" s="99"/>
      <c r="D1503" s="57" t="str">
        <f>IF(A1503="","",VLOOKUP(A1503,'6.A'!$A$11:$G$180,4,FALSE))</f>
        <v/>
      </c>
      <c r="E1503" s="100" t="str">
        <f>IF(A1503="","",VLOOKUP(A1503,'6.A'!$A$11:$G$180,5,FALSE))</f>
        <v/>
      </c>
      <c r="F1503" s="24" t="str">
        <f t="shared" si="651"/>
        <v>0,00</v>
      </c>
      <c r="G1503" s="52"/>
      <c r="H1503" s="52" t="str">
        <f>IF(A1503="","",VLOOKUP(A1503,'6.A'!$A$11:$E$7984,5,FALSE))</f>
        <v/>
      </c>
      <c r="I1503" s="52" t="str">
        <f t="shared" si="652"/>
        <v/>
      </c>
      <c r="J1503" s="52" t="str">
        <f>IF(H1503="","",VLOOKUP(A1503,'6.A'!$A$11:$E$564,4,FALSE))</f>
        <v/>
      </c>
      <c r="K1503" s="52" t="str">
        <f t="shared" si="653"/>
        <v/>
      </c>
      <c r="L1503" s="52" t="str">
        <f>IF(H1503="","",IF(C1503="","",G1468*C1503))</f>
        <v/>
      </c>
      <c r="M1503" s="117" t="str">
        <f>IF(A1503="","",VLOOKUP(A1503,'6.A'!$A$11:$C$564,2,FALSE))</f>
        <v/>
      </c>
      <c r="N1503" s="57" t="str">
        <f t="shared" si="654"/>
        <v/>
      </c>
      <c r="O1503" s="56"/>
      <c r="P1503" s="56"/>
      <c r="Q1503" s="48"/>
      <c r="R1503" s="48"/>
      <c r="S1503" s="2"/>
    </row>
    <row r="1504" spans="1:22" s="65" customFormat="1" ht="12.75" customHeight="1" x14ac:dyDescent="0.2">
      <c r="A1504" s="22"/>
      <c r="B1504" s="23" t="str">
        <f>IF(A1504="","",VLOOKUP(A1504,'6.A'!$A$11:$G$180,2,FALSE))</f>
        <v/>
      </c>
      <c r="C1504" s="99"/>
      <c r="D1504" s="57" t="str">
        <f>IF(A1504="","",VLOOKUP(A1504,'6.A'!$A$11:$G$180,4,FALSE))</f>
        <v/>
      </c>
      <c r="E1504" s="100" t="str">
        <f>IF(A1504="","",VLOOKUP(A1504,'6.A'!$A$11:$G$180,5,FALSE))</f>
        <v/>
      </c>
      <c r="F1504" s="24" t="str">
        <f t="shared" si="651"/>
        <v>0,00</v>
      </c>
      <c r="G1504" s="52"/>
      <c r="H1504" s="52" t="str">
        <f>IF(A1504="","",VLOOKUP(A1504,'6.A'!$A$11:$E$7984,5,FALSE))</f>
        <v/>
      </c>
      <c r="I1504" s="52" t="str">
        <f t="shared" si="652"/>
        <v/>
      </c>
      <c r="J1504" s="52" t="str">
        <f>IF(H1504="","",VLOOKUP(A1504,'6.A'!$A$11:$E$564,4,FALSE))</f>
        <v/>
      </c>
      <c r="K1504" s="52" t="str">
        <f t="shared" si="653"/>
        <v/>
      </c>
      <c r="L1504" s="52" t="str">
        <f>IF(H1504="","",IF(C1504="","",G1468*C1504))</f>
        <v/>
      </c>
      <c r="M1504" s="117" t="str">
        <f>IF(A1504="","",VLOOKUP(A1504,'6.A'!$A$11:$C$564,2,FALSE))</f>
        <v/>
      </c>
      <c r="N1504" s="57" t="str">
        <f t="shared" si="654"/>
        <v/>
      </c>
      <c r="O1504" s="56"/>
      <c r="P1504" s="56"/>
      <c r="Q1504" s="48"/>
      <c r="R1504" s="48"/>
      <c r="T1504" s="2"/>
      <c r="U1504" s="2"/>
      <c r="V1504" s="2"/>
    </row>
    <row r="1505" spans="1:23" s="65" customFormat="1" ht="12.75" customHeight="1" x14ac:dyDescent="0.2">
      <c r="A1505" s="22"/>
      <c r="B1505" s="23" t="str">
        <f>IF(A1505="","",VLOOKUP(A1505,'6.A'!$A$11:$G$180,2,FALSE))</f>
        <v/>
      </c>
      <c r="C1505" s="99"/>
      <c r="D1505" s="57" t="str">
        <f>IF(A1505="","",VLOOKUP(A1505,'6.A'!$A$11:$G$180,4,FALSE))</f>
        <v/>
      </c>
      <c r="E1505" s="100" t="str">
        <f>IF(A1505="","",VLOOKUP(A1505,'6.A'!$A$11:$G$180,5,FALSE))</f>
        <v/>
      </c>
      <c r="F1505" s="24" t="str">
        <f t="shared" si="651"/>
        <v>0,00</v>
      </c>
      <c r="G1505" s="52"/>
      <c r="H1505" s="52" t="str">
        <f>IF(A1505="","",VLOOKUP(A1505,'6.A'!$A$11:$E$7984,5,FALSE))</f>
        <v/>
      </c>
      <c r="I1505" s="52" t="str">
        <f t="shared" si="652"/>
        <v/>
      </c>
      <c r="J1505" s="52" t="str">
        <f>IF(H1505="","",VLOOKUP(A1505,'6.A'!$A$11:$E$564,4,FALSE))</f>
        <v/>
      </c>
      <c r="K1505" s="52" t="str">
        <f t="shared" si="653"/>
        <v/>
      </c>
      <c r="L1505" s="52" t="str">
        <f>IF(H1505="","",IF(C1505="","",G1468*C1505))</f>
        <v/>
      </c>
      <c r="M1505" s="117" t="str">
        <f>IF(A1505="","",VLOOKUP(A1505,'6.A'!$A$11:$C$564,2,FALSE))</f>
        <v/>
      </c>
      <c r="N1505" s="57" t="str">
        <f t="shared" si="654"/>
        <v/>
      </c>
      <c r="O1505" s="56"/>
      <c r="P1505" s="56"/>
      <c r="Q1505" s="48"/>
      <c r="R1505" s="48"/>
      <c r="T1505" s="2"/>
      <c r="U1505" s="2"/>
      <c r="V1505" s="2"/>
    </row>
    <row r="1506" spans="1:23" s="65" customFormat="1" ht="12.75" customHeight="1" x14ac:dyDescent="0.2">
      <c r="A1506" s="22"/>
      <c r="B1506" s="23" t="str">
        <f>IF(A1506="","",VLOOKUP(A1506,'6.A'!$A$11:$G$180,2,FALSE))</f>
        <v/>
      </c>
      <c r="C1506" s="99"/>
      <c r="D1506" s="57" t="str">
        <f>IF(A1506="","",VLOOKUP(A1506,'6.A'!$A$11:$G$180,4,FALSE))</f>
        <v/>
      </c>
      <c r="E1506" s="100" t="str">
        <f>IF(A1506="","",VLOOKUP(A1506,'6.A'!$A$11:$G$180,5,FALSE))</f>
        <v/>
      </c>
      <c r="F1506" s="24" t="str">
        <f t="shared" si="651"/>
        <v>0,00</v>
      </c>
      <c r="G1506" s="52"/>
      <c r="H1506" s="52" t="str">
        <f>IF(A1506="","",VLOOKUP(A1506,'6.A'!$A$11:$E$7984,5,FALSE))</f>
        <v/>
      </c>
      <c r="I1506" s="52" t="str">
        <f t="shared" si="652"/>
        <v/>
      </c>
      <c r="J1506" s="52" t="str">
        <f>IF(H1506="","",VLOOKUP(A1506,'6.A'!$A$11:$E$564,4,FALSE))</f>
        <v/>
      </c>
      <c r="K1506" s="52" t="str">
        <f t="shared" si="653"/>
        <v/>
      </c>
      <c r="L1506" s="52" t="str">
        <f>IF(H1506="","",IF(C1506="","",G1468*C1506))</f>
        <v/>
      </c>
      <c r="M1506" s="117" t="str">
        <f>IF(A1506="","",VLOOKUP(A1506,'6.A'!$A$11:$C$564,2,FALSE))</f>
        <v/>
      </c>
      <c r="N1506" s="57" t="str">
        <f t="shared" si="654"/>
        <v/>
      </c>
      <c r="O1506" s="56"/>
      <c r="P1506" s="56"/>
      <c r="Q1506" s="48"/>
      <c r="R1506" s="48"/>
      <c r="T1506" s="2"/>
      <c r="U1506" s="2"/>
      <c r="V1506" s="2"/>
    </row>
    <row r="1507" spans="1:23" s="65" customFormat="1" ht="12.75" customHeight="1" x14ac:dyDescent="0.2">
      <c r="A1507" s="22"/>
      <c r="B1507" s="23" t="str">
        <f>IF(A1507="","",VLOOKUP(A1507,'6.A'!$A$11:$G$180,2,FALSE))</f>
        <v/>
      </c>
      <c r="C1507" s="99"/>
      <c r="D1507" s="57" t="str">
        <f>IF(A1507="","",VLOOKUP(A1507,'6.A'!$A$11:$G$180,4,FALSE))</f>
        <v/>
      </c>
      <c r="E1507" s="100" t="str">
        <f>IF(A1507="","",VLOOKUP(A1507,'6.A'!$A$11:$G$180,5,FALSE))</f>
        <v/>
      </c>
      <c r="F1507" s="24" t="str">
        <f t="shared" si="651"/>
        <v>0,00</v>
      </c>
      <c r="G1507" s="52"/>
      <c r="H1507" s="52" t="str">
        <f>IF(A1507="","",VLOOKUP(A1507,'6.A'!$A$11:$E$7984,5,FALSE))</f>
        <v/>
      </c>
      <c r="I1507" s="52" t="str">
        <f t="shared" si="652"/>
        <v/>
      </c>
      <c r="J1507" s="52" t="str">
        <f>IF(H1507="","",VLOOKUP(A1507,'6.A'!$A$11:$E$564,4,FALSE))</f>
        <v/>
      </c>
      <c r="K1507" s="52" t="str">
        <f t="shared" si="653"/>
        <v/>
      </c>
      <c r="L1507" s="52" t="str">
        <f>IF(H1507="","",IF(C1507="","",G1468*C1507))</f>
        <v/>
      </c>
      <c r="M1507" s="117" t="str">
        <f>IF(A1507="","",VLOOKUP(A1507,'6.A'!$A$11:$C$564,2,FALSE))</f>
        <v/>
      </c>
      <c r="N1507" s="57" t="str">
        <f t="shared" si="654"/>
        <v/>
      </c>
      <c r="O1507" s="56"/>
      <c r="P1507" s="56"/>
      <c r="Q1507" s="48"/>
      <c r="R1507" s="48"/>
      <c r="T1507" s="2"/>
      <c r="U1507" s="2"/>
      <c r="V1507" s="2"/>
    </row>
    <row r="1508" spans="1:23" ht="12.75" customHeight="1" x14ac:dyDescent="0.2">
      <c r="A1508" s="22"/>
      <c r="B1508" s="23" t="str">
        <f>IF(A1508="","",VLOOKUP(A1508,'6.A'!$A$11:$G$180,2,FALSE))</f>
        <v/>
      </c>
      <c r="C1508" s="99"/>
      <c r="D1508" s="57" t="str">
        <f>IF(A1508="","",VLOOKUP(A1508,'6.A'!$A$11:$G$180,4,FALSE))</f>
        <v/>
      </c>
      <c r="E1508" s="100" t="str">
        <f>IF(A1508="","",VLOOKUP(A1508,'6.A'!$A$11:$G$180,5,FALSE))</f>
        <v/>
      </c>
      <c r="F1508" s="24" t="str">
        <f t="shared" si="651"/>
        <v>0,00</v>
      </c>
      <c r="G1508" s="52"/>
      <c r="H1508" s="52" t="str">
        <f>IF(A1508="","",VLOOKUP(A1508,'6.A'!$A$11:$E$7984,5,FALSE))</f>
        <v/>
      </c>
      <c r="I1508" s="52" t="str">
        <f t="shared" si="652"/>
        <v/>
      </c>
      <c r="J1508" s="52" t="str">
        <f>IF(H1508="","",VLOOKUP(A1508,'6.A'!$A$11:$E$564,4,FALSE))</f>
        <v/>
      </c>
      <c r="K1508" s="52" t="str">
        <f t="shared" si="653"/>
        <v/>
      </c>
      <c r="L1508" s="52" t="str">
        <f>IF(H1508="","",IF(C1508="","",G1468*C1508))</f>
        <v/>
      </c>
      <c r="M1508" s="117" t="str">
        <f>IF(A1508="","",VLOOKUP(A1508,'6.A'!$A$11:$C$564,2,FALSE))</f>
        <v/>
      </c>
      <c r="N1508" s="57" t="str">
        <f t="shared" si="654"/>
        <v/>
      </c>
      <c r="O1508" s="56"/>
      <c r="P1508" s="56"/>
      <c r="Q1508" s="48"/>
      <c r="R1508" s="48"/>
    </row>
    <row r="1509" spans="1:23" ht="12.75" customHeight="1" x14ac:dyDescent="0.2">
      <c r="A1509" s="22"/>
      <c r="B1509" s="23" t="str">
        <f>IF(A1509="","",VLOOKUP(A1509,'6.A'!$A$11:$G$180,2,FALSE))</f>
        <v/>
      </c>
      <c r="C1509" s="99"/>
      <c r="D1509" s="57" t="str">
        <f>IF(A1509="","",VLOOKUP(A1509,'6.A'!$A$11:$G$180,4,FALSE))</f>
        <v/>
      </c>
      <c r="E1509" s="100" t="str">
        <f>IF(A1509="","",VLOOKUP(A1509,'6.A'!$A$11:$G$180,5,FALSE))</f>
        <v/>
      </c>
      <c r="F1509" s="24" t="str">
        <f t="shared" si="651"/>
        <v>0,00</v>
      </c>
      <c r="G1509" s="52"/>
      <c r="H1509" s="52" t="str">
        <f>IF(A1509="","",VLOOKUP(A1509,'6.A'!$A$11:$E$7984,5,FALSE))</f>
        <v/>
      </c>
      <c r="I1509" s="52" t="str">
        <f t="shared" si="652"/>
        <v/>
      </c>
      <c r="J1509" s="52" t="str">
        <f>IF(H1509="","",VLOOKUP(A1509,'6.A'!$A$11:$E$564,4,FALSE))</f>
        <v/>
      </c>
      <c r="K1509" s="52" t="str">
        <f t="shared" si="653"/>
        <v/>
      </c>
      <c r="L1509" s="52" t="str">
        <f>IF(H1509="","",IF(C1509="","",G1468*C1509))</f>
        <v/>
      </c>
      <c r="M1509" s="117" t="str">
        <f>IF(A1509="","",VLOOKUP(A1509,'6.A'!$A$11:$C$564,2,FALSE))</f>
        <v/>
      </c>
      <c r="N1509" s="57" t="str">
        <f t="shared" si="654"/>
        <v/>
      </c>
      <c r="O1509" s="56"/>
      <c r="P1509" s="56"/>
      <c r="Q1509" s="48"/>
      <c r="R1509" s="48"/>
    </row>
    <row r="1510" spans="1:23" ht="12.75" customHeight="1" x14ac:dyDescent="0.2">
      <c r="A1510" s="22"/>
      <c r="B1510" s="23" t="str">
        <f>IF(A1510="","",VLOOKUP(A1510,'6.A'!$A$11:$G$180,2,FALSE))</f>
        <v/>
      </c>
      <c r="C1510" s="99"/>
      <c r="D1510" s="57" t="str">
        <f>IF(A1510="","",VLOOKUP(A1510,'6.A'!$A$11:$G$180,4,FALSE))</f>
        <v/>
      </c>
      <c r="E1510" s="100" t="str">
        <f>IF(A1510="","",VLOOKUP(A1510,'6.A'!$A$11:$G$180,5,FALSE))</f>
        <v/>
      </c>
      <c r="F1510" s="24" t="str">
        <f t="shared" si="651"/>
        <v>0,00</v>
      </c>
      <c r="G1510" s="52"/>
      <c r="H1510" s="52" t="str">
        <f>IF(A1510="","",VLOOKUP(A1510,'6.A'!$A$11:$E$7984,5,FALSE))</f>
        <v/>
      </c>
      <c r="I1510" s="52" t="str">
        <f t="shared" si="652"/>
        <v/>
      </c>
      <c r="J1510" s="52" t="str">
        <f>IF(H1510="","",VLOOKUP(A1510,'6.A'!$A$11:$E$564,4,FALSE))</f>
        <v/>
      </c>
      <c r="K1510" s="52" t="str">
        <f t="shared" si="653"/>
        <v/>
      </c>
      <c r="L1510" s="52" t="str">
        <f>IF(H1510="","",IF(C1510="","",G1468*C1510))</f>
        <v/>
      </c>
      <c r="M1510" s="117" t="str">
        <f>IF(A1510="","",VLOOKUP(A1510,'6.A'!$A$11:$C$564,2,FALSE))</f>
        <v/>
      </c>
      <c r="N1510" s="57" t="str">
        <f t="shared" si="654"/>
        <v/>
      </c>
      <c r="O1510" s="56"/>
      <c r="P1510" s="56"/>
      <c r="Q1510" s="48"/>
      <c r="R1510" s="48"/>
    </row>
    <row r="1511" spans="1:23" ht="12.75" customHeight="1" x14ac:dyDescent="0.2">
      <c r="A1511" s="22"/>
      <c r="B1511" s="23" t="str">
        <f>IF(A1511="","",VLOOKUP(A1511,'6.A'!$A$11:$G$180,2,FALSE))</f>
        <v/>
      </c>
      <c r="C1511" s="99"/>
      <c r="D1511" s="57" t="str">
        <f>IF(A1511="","",VLOOKUP(A1511,'6.A'!$A$11:$G$180,4,FALSE))</f>
        <v/>
      </c>
      <c r="E1511" s="100" t="str">
        <f>IF(A1511="","",VLOOKUP(A1511,'6.A'!$A$11:$G$180,5,FALSE))</f>
        <v/>
      </c>
      <c r="F1511" s="24" t="str">
        <f t="shared" si="651"/>
        <v>0,00</v>
      </c>
      <c r="G1511" s="52"/>
      <c r="H1511" s="52" t="str">
        <f>IF(A1511="","",VLOOKUP(A1511,'6.A'!$A$11:$E$7984,5,FALSE))</f>
        <v/>
      </c>
      <c r="I1511" s="52" t="str">
        <f t="shared" si="652"/>
        <v/>
      </c>
      <c r="J1511" s="52" t="str">
        <f>IF(H1511="","",VLOOKUP(A1511,'6.A'!$A$11:$E$564,4,FALSE))</f>
        <v/>
      </c>
      <c r="K1511" s="52" t="str">
        <f t="shared" si="653"/>
        <v/>
      </c>
      <c r="L1511" s="52" t="str">
        <f>IF(H1511="","",IF(C1511="","",G1468*C1511))</f>
        <v/>
      </c>
      <c r="M1511" s="117" t="str">
        <f>IF(A1511="","",VLOOKUP(A1511,'6.A'!$A$11:$C$564,2,FALSE))</f>
        <v/>
      </c>
      <c r="N1511" s="57" t="str">
        <f t="shared" si="654"/>
        <v/>
      </c>
      <c r="O1511" s="56"/>
      <c r="P1511" s="56"/>
      <c r="Q1511" s="48"/>
      <c r="R1511" s="48"/>
    </row>
    <row r="1512" spans="1:23" ht="12.75" customHeight="1" x14ac:dyDescent="0.2">
      <c r="A1512" s="22"/>
      <c r="B1512" s="23" t="str">
        <f>IF(A1512="","",VLOOKUP(A1512,'6.A'!$A$11:$G$180,2,FALSE))</f>
        <v/>
      </c>
      <c r="C1512" s="99"/>
      <c r="D1512" s="57" t="str">
        <f>IF(A1512="","",VLOOKUP(A1512,'6.A'!$A$11:$G$180,4,FALSE))</f>
        <v/>
      </c>
      <c r="E1512" s="100" t="str">
        <f>IF(A1512="","",VLOOKUP(A1512,'6.A'!$A$11:$G$180,5,FALSE))</f>
        <v/>
      </c>
      <c r="F1512" s="24" t="str">
        <f t="shared" si="651"/>
        <v>0,00</v>
      </c>
      <c r="G1512" s="52"/>
      <c r="H1512" s="52" t="str">
        <f>IF(A1512="","",VLOOKUP(A1512,'6.A'!$A$11:$E$7984,5,FALSE))</f>
        <v/>
      </c>
      <c r="I1512" s="52" t="str">
        <f t="shared" si="652"/>
        <v/>
      </c>
      <c r="J1512" s="52" t="str">
        <f>IF(H1512="","",VLOOKUP(A1512,'6.A'!$A$11:$E$564,4,FALSE))</f>
        <v/>
      </c>
      <c r="K1512" s="52" t="str">
        <f t="shared" si="653"/>
        <v/>
      </c>
      <c r="L1512" s="52" t="str">
        <f>IF(H1512="","",IF(C1512="","",G1468*C1512))</f>
        <v/>
      </c>
      <c r="M1512" s="117" t="str">
        <f>IF(A1512="","",VLOOKUP(A1512,'6.A'!$A$11:$C$564,2,FALSE))</f>
        <v/>
      </c>
      <c r="N1512" s="57" t="str">
        <f t="shared" si="654"/>
        <v/>
      </c>
      <c r="O1512" s="56"/>
      <c r="P1512" s="56"/>
      <c r="Q1512" s="48"/>
      <c r="R1512" s="48"/>
    </row>
    <row r="1513" spans="1:23" ht="12.75" customHeight="1" x14ac:dyDescent="0.2">
      <c r="A1513" s="22"/>
      <c r="B1513" s="23" t="str">
        <f>IF(A1513="","",VLOOKUP(A1513,'6.A'!$A$11:$G$180,2,FALSE))</f>
        <v/>
      </c>
      <c r="C1513" s="99"/>
      <c r="D1513" s="57" t="str">
        <f>IF(A1513="","",VLOOKUP(A1513,'6.A'!$A$11:$G$180,4,FALSE))</f>
        <v/>
      </c>
      <c r="E1513" s="100" t="str">
        <f>IF(A1513="","",VLOOKUP(A1513,'6.A'!$A$11:$G$180,5,FALSE))</f>
        <v/>
      </c>
      <c r="F1513" s="24" t="str">
        <f t="shared" si="651"/>
        <v>0,00</v>
      </c>
      <c r="G1513" s="52"/>
      <c r="H1513" s="52" t="str">
        <f>IF(A1513="","",VLOOKUP(A1513,'6.A'!$A$11:$E$7984,5,FALSE))</f>
        <v/>
      </c>
      <c r="I1513" s="52" t="str">
        <f t="shared" si="652"/>
        <v/>
      </c>
      <c r="J1513" s="52" t="str">
        <f>IF(H1513="","",VLOOKUP(A1513,'6.A'!$A$11:$E$564,4,FALSE))</f>
        <v/>
      </c>
      <c r="K1513" s="52" t="str">
        <f t="shared" si="653"/>
        <v/>
      </c>
      <c r="L1513" s="52" t="str">
        <f>IF(H1513="","",IF(C1513="","",G1468*C1513))</f>
        <v/>
      </c>
      <c r="M1513" s="117" t="str">
        <f>IF(A1513="","",VLOOKUP(A1513,'6.A'!$A$11:$C$564,2,FALSE))</f>
        <v/>
      </c>
      <c r="N1513" s="57" t="str">
        <f t="shared" si="654"/>
        <v/>
      </c>
      <c r="O1513" s="56"/>
      <c r="P1513" s="56"/>
      <c r="Q1513" s="48"/>
      <c r="R1513" s="48"/>
    </row>
    <row r="1514" spans="1:23" ht="12.75" customHeight="1" x14ac:dyDescent="0.2">
      <c r="A1514" s="22"/>
      <c r="B1514" s="39" t="str">
        <f>IF(A1514="","",VLOOKUP(A1514,'6.A'!$A$11:$G$180,2,FALSE))</f>
        <v/>
      </c>
      <c r="C1514" s="99"/>
      <c r="D1514" s="57" t="str">
        <f>IF(A1514="","",VLOOKUP(A1514,'6.A'!$A$11:$G$180,4,FALSE))</f>
        <v/>
      </c>
      <c r="E1514" s="100" t="str">
        <f>IF(A1514="","",VLOOKUP(A1514,'6.A'!$A$11:$G$180,5,FALSE))</f>
        <v/>
      </c>
      <c r="F1514" s="24" t="str">
        <f t="shared" si="651"/>
        <v>0,00</v>
      </c>
      <c r="G1514" s="52"/>
      <c r="H1514" s="52" t="str">
        <f>IF(A1514="","",VLOOKUP(A1514,'6.A'!$A$11:$E$7984,5,FALSE))</f>
        <v/>
      </c>
      <c r="I1514" s="52" t="str">
        <f t="shared" si="652"/>
        <v/>
      </c>
      <c r="J1514" s="52" t="str">
        <f>IF(H1514="","",VLOOKUP(A1514,'6.A'!$A$11:$E$564,4,FALSE))</f>
        <v/>
      </c>
      <c r="K1514" s="52" t="str">
        <f t="shared" si="653"/>
        <v/>
      </c>
      <c r="L1514" s="52" t="str">
        <f>IF(H1514="","",IF(C1514="","",G1468*C1514))</f>
        <v/>
      </c>
      <c r="M1514" s="117" t="str">
        <f>IF(A1514="","",VLOOKUP(A1514,'6.A'!$A$11:$C$564,2,FALSE))</f>
        <v/>
      </c>
      <c r="N1514" s="57" t="str">
        <f t="shared" si="654"/>
        <v/>
      </c>
      <c r="O1514" s="56"/>
      <c r="P1514" s="56"/>
      <c r="Q1514" s="48"/>
      <c r="R1514" s="48"/>
    </row>
    <row r="1515" spans="1:23" ht="12.75" customHeight="1" x14ac:dyDescent="0.2">
      <c r="A1515" s="22"/>
      <c r="B1515" s="39" t="str">
        <f>IF(A1515="","",VLOOKUP(A1515,'6.A'!$A$11:$G$180,2,FALSE))</f>
        <v/>
      </c>
      <c r="C1515" s="99"/>
      <c r="D1515" s="57" t="str">
        <f>IF(A1515="","",VLOOKUP(A1515,'6.A'!$A$11:$G$180,4,FALSE))</f>
        <v/>
      </c>
      <c r="E1515" s="100" t="str">
        <f>IF(A1515="","",VLOOKUP(A1515,'6.A'!$A$11:$G$180,5,FALSE))</f>
        <v/>
      </c>
      <c r="F1515" s="24" t="str">
        <f t="shared" si="651"/>
        <v>0,00</v>
      </c>
      <c r="G1515" s="52"/>
      <c r="H1515" s="52" t="str">
        <f>IF(A1515="","",VLOOKUP(A1515,'6.A'!$A$11:$E$7984,5,FALSE))</f>
        <v/>
      </c>
      <c r="I1515" s="52" t="str">
        <f t="shared" si="652"/>
        <v/>
      </c>
      <c r="J1515" s="52" t="str">
        <f>IF(H1515="","",VLOOKUP(A1515,'6.A'!$A$11:$E$564,4,FALSE))</f>
        <v/>
      </c>
      <c r="K1515" s="52" t="str">
        <f t="shared" si="653"/>
        <v/>
      </c>
      <c r="L1515" s="52" t="str">
        <f>IF(H1515="","",IF(C1515="","",G1468*C1515))</f>
        <v/>
      </c>
      <c r="M1515" s="117" t="str">
        <f>IF(A1515="","",VLOOKUP(A1515,'6.A'!$A$11:$C$564,2,FALSE))</f>
        <v/>
      </c>
      <c r="N1515" s="57" t="str">
        <f t="shared" si="654"/>
        <v/>
      </c>
      <c r="O1515" s="56"/>
      <c r="P1515" s="56"/>
      <c r="Q1515" s="48"/>
      <c r="R1515" s="48"/>
    </row>
    <row r="1516" spans="1:23" ht="12.75" customHeight="1" x14ac:dyDescent="0.2">
      <c r="A1516" s="22"/>
      <c r="B1516" s="39" t="str">
        <f>IF(A1516="","",VLOOKUP(A1516,'6.A'!$A$11:$G$180,2,FALSE))</f>
        <v/>
      </c>
      <c r="C1516" s="99"/>
      <c r="D1516" s="57" t="str">
        <f>IF(A1516="","",VLOOKUP(A1516,'6.A'!$A$11:$G$180,4,FALSE))</f>
        <v/>
      </c>
      <c r="E1516" s="100" t="str">
        <f>IF(A1516="","",VLOOKUP(A1516,'6.A'!$A$11:$G$180,5,FALSE))</f>
        <v/>
      </c>
      <c r="F1516" s="24" t="str">
        <f t="shared" si="651"/>
        <v>0,00</v>
      </c>
      <c r="G1516" s="52"/>
      <c r="H1516" s="52" t="str">
        <f>IF(A1516="","",VLOOKUP(A1516,'6.A'!$A$11:$E$7984,5,FALSE))</f>
        <v/>
      </c>
      <c r="I1516" s="52" t="str">
        <f t="shared" si="652"/>
        <v/>
      </c>
      <c r="J1516" s="52" t="str">
        <f>IF(H1516="","",VLOOKUP(A1516,'6.A'!$A$11:$E$564,4,FALSE))</f>
        <v/>
      </c>
      <c r="K1516" s="52" t="str">
        <f t="shared" si="653"/>
        <v/>
      </c>
      <c r="L1516" s="52" t="str">
        <f>IF(H1516="","",IF(C1516="","",G1468*C1516))</f>
        <v/>
      </c>
      <c r="M1516" s="117" t="str">
        <f>IF(A1516="","",VLOOKUP(A1516,'6.A'!$A$11:$C$564,2,FALSE))</f>
        <v/>
      </c>
      <c r="N1516" s="57" t="str">
        <f t="shared" si="654"/>
        <v/>
      </c>
      <c r="O1516" s="56"/>
      <c r="P1516" s="56"/>
      <c r="Q1516" s="48"/>
      <c r="R1516" s="48"/>
    </row>
    <row r="1517" spans="1:23" ht="12.75" customHeight="1" x14ac:dyDescent="0.2">
      <c r="A1517" s="22"/>
      <c r="B1517" s="26" t="str">
        <f>$A$9</f>
        <v>BDI</v>
      </c>
      <c r="C1517" s="40">
        <f>$C$9</f>
        <v>0</v>
      </c>
      <c r="D1517" s="57"/>
      <c r="F1517" s="28">
        <f>ROUND(SUM(F1497:F1516)*C1517,2)</f>
        <v>0</v>
      </c>
      <c r="G1517" s="63"/>
      <c r="M1517" s="57"/>
      <c r="N1517" s="57"/>
      <c r="O1517" s="56"/>
      <c r="P1517" s="56"/>
      <c r="Q1517" s="48"/>
      <c r="R1517" s="48"/>
    </row>
    <row r="1518" spans="1:23" ht="12.75" customHeight="1" thickBot="1" x14ac:dyDescent="0.25">
      <c r="A1518" s="41"/>
      <c r="B1518" s="42" t="s">
        <v>57</v>
      </c>
      <c r="C1518" s="43"/>
      <c r="D1518" s="44"/>
      <c r="E1518" s="45"/>
      <c r="F1518" s="46">
        <f>ROUND(SUM(F1497:F1517),2)</f>
        <v>0</v>
      </c>
      <c r="G1518" s="63"/>
      <c r="M1518" s="57"/>
      <c r="N1518" s="57"/>
      <c r="O1518" s="56"/>
      <c r="P1518" s="56"/>
      <c r="Q1518" s="48"/>
      <c r="R1518" s="48"/>
    </row>
    <row r="1519" spans="1:23" ht="12" customHeight="1" thickBot="1" x14ac:dyDescent="0.25">
      <c r="A1519" s="8"/>
      <c r="B1519" s="9"/>
      <c r="C1519" s="10"/>
      <c r="D1519" s="57"/>
      <c r="F1519" s="12"/>
      <c r="M1519" s="57"/>
      <c r="N1519" s="57"/>
      <c r="O1519" s="56"/>
      <c r="P1519" s="56"/>
    </row>
    <row r="1520" spans="1:23" ht="50.1" customHeight="1" x14ac:dyDescent="0.2">
      <c r="A1520" s="13" t="str">
        <f>'3.A'!$A$136</f>
        <v>3.2.5</v>
      </c>
      <c r="B1520" s="14" t="str">
        <f>IF(A1520="","",VLOOKUP(A1520,'3.A'!$A$17:$M$279,2,FALSE))</f>
        <v>CABO DE COBRE ISOLADO, 25 MM², ANTI-CHAMA 450/750 V, INSTALADO EM ELETROCALHA OU PERFILADO - FASES</v>
      </c>
      <c r="C1520" s="413" t="s">
        <v>62</v>
      </c>
      <c r="D1520" s="413"/>
      <c r="E1520" s="15" t="str">
        <f>IF(A1520="","",VLOOKUP(A1520,'3.A'!$A$17:$M$279,3,FALSE))</f>
        <v>M</v>
      </c>
      <c r="F1520" s="16">
        <f>ROUND(F1534+F1547+F1570,2)</f>
        <v>0</v>
      </c>
      <c r="G1520" s="118">
        <f>VLOOKUP(A1520,'3.A'!$A$19:$I$279,4,FALSE)</f>
        <v>15</v>
      </c>
      <c r="H1520" s="47">
        <f>SUM(F1522:F1533)</f>
        <v>0</v>
      </c>
      <c r="I1520" s="47">
        <f>SUM(F1536:F1546)</f>
        <v>0</v>
      </c>
      <c r="J1520" s="47">
        <f>SUM(F1549:F1569)</f>
        <v>0</v>
      </c>
      <c r="K1520" s="47">
        <f>SUM(H1520:J1520)</f>
        <v>0</v>
      </c>
      <c r="L1520" s="47" t="str">
        <f>IF(K1520=F1520,"SIM","NÃO")</f>
        <v>SIM</v>
      </c>
      <c r="M1520" s="58">
        <f>ROUND(SUM(F1522:F1531)*C1532,2)+ROUND(SUM(F1522:F1532)*C1533,2)+ROUND(SUM(F1522:F1531),2)+ROUND(SUM(F1536:F1545)*C1546,2)+ROUND(SUM(F1536:F1545),2)+ROUND(SUM(F1549:F1568)*C1569,2)+ROUND(SUM(F1549:F1568),2)</f>
        <v>0</v>
      </c>
      <c r="N1520" s="50" t="str">
        <f>IF(M1520=F1520,"SIM","NÃO")</f>
        <v>SIM</v>
      </c>
      <c r="O1520" s="51" t="str">
        <f>VLOOKUP(A1520,'3.A'!$A$8:$E$279,3,FALSE)</f>
        <v>M</v>
      </c>
      <c r="P1520" s="51" t="str">
        <f>IF(O1520=E1520,"SIM","NÃO")</f>
        <v>SIM</v>
      </c>
      <c r="Q1520" s="53">
        <f>ROUND(G1520*F1534,2)+ROUND(G1520*F1547,2)+ROUND(G1520*F1570,2)</f>
        <v>0</v>
      </c>
      <c r="R1520" s="59">
        <f>VLOOKUP(A1520,'3.A'!$A$17:$L$279,12,FALSE)</f>
        <v>0</v>
      </c>
      <c r="S1520" s="60" t="str">
        <f>IF(Q1520=R1520,"si","no")</f>
        <v>si</v>
      </c>
      <c r="T1520" s="61">
        <f>SUM(L1522:L1531)+SUM(L1536:L1545)+SUM(L1549:L1568)</f>
        <v>16.158059999999999</v>
      </c>
      <c r="U1520" s="52">
        <f>G1520*C1528+G1520*C1530+G1520*C1523+G1520*C1524+G1520*C1526+G1520*C1529+G1520*C1527+G1520*C1522+G1520*C1525+G1520*C1531+G1520*C1542+G1520*C1536+G1520*C1544+G1520*C1543+G1520*C1541+G1520*C1538+G1520*C1537+G1520*C1539+G1520*C1545+G1520*C1540+G1520*C1549+G1520*C1550+G1520*C1551+G1520*C1559+G1520*C1560+G1520*C1561+G1520*C1562+G1520*C1563+G1520*C1564+G1520*C1565+G1520*C1566+G1520*C1567+G1520*C1568+G1520*C1557+G1520*C1558+G1520*C1552+G1520*C1553+G1520*C1554+G1520*C1555+G1520*C1556</f>
        <v>16.158059999999999</v>
      </c>
      <c r="V1520" s="54" t="str">
        <f>IF(T1520=U1520,"si","no")</f>
        <v>si</v>
      </c>
      <c r="W1520" s="137"/>
    </row>
    <row r="1521" spans="1:19" ht="12.75" customHeight="1" x14ac:dyDescent="0.2">
      <c r="A1521" s="17" t="s">
        <v>3</v>
      </c>
      <c r="B1521" s="18" t="s">
        <v>58</v>
      </c>
      <c r="C1521" s="56" t="s">
        <v>59</v>
      </c>
      <c r="D1521" s="56" t="s">
        <v>16</v>
      </c>
      <c r="E1521" s="19" t="s">
        <v>60</v>
      </c>
      <c r="F1521" s="20" t="s">
        <v>61</v>
      </c>
      <c r="G1521" s="21"/>
      <c r="M1521" s="57"/>
      <c r="N1521" s="57"/>
      <c r="O1521" s="56"/>
      <c r="P1521" s="56"/>
      <c r="Q1521" s="48"/>
      <c r="R1521" s="48"/>
    </row>
    <row r="1522" spans="1:19" ht="12.75" customHeight="1" x14ac:dyDescent="0.2">
      <c r="A1522" s="22">
        <f>'6.A'!$A$18</f>
        <v>88264</v>
      </c>
      <c r="B1522" s="23" t="str">
        <f>IF(A1522="","",VLOOKUP(A1522,'6.A'!$A$11:$G$180,2,FALSE))</f>
        <v>ELETRICISTA COM ENCARGOS COMPLEMENTARES</v>
      </c>
      <c r="C1522" s="99">
        <v>2.0101999999999998E-2</v>
      </c>
      <c r="D1522" s="57" t="str">
        <f>IF(A1522="","",VLOOKUP(A1522,'6.A'!$A$11:$G$180,4,FALSE))</f>
        <v>H</v>
      </c>
      <c r="E1522" s="100">
        <f>IF(A1522="","",VLOOKUP(A1522,'6.A'!$A$11:$G$180,5,FALSE))</f>
        <v>0</v>
      </c>
      <c r="F1522" s="24">
        <f t="shared" ref="F1522:F1531" si="655">IF(A1522="","0,00",ROUND(C1522*E1522,2))</f>
        <v>0</v>
      </c>
      <c r="G1522" s="52"/>
      <c r="H1522" s="52">
        <f>IF(A1522="","",VLOOKUP(A1522,'6.A'!$A$11:$E$7984,5,FALSE))</f>
        <v>0</v>
      </c>
      <c r="I1522" s="52" t="str">
        <f>IF(H1522="","",IF(E1522=H1522,"SIM","NÃO"))</f>
        <v>SIM</v>
      </c>
      <c r="J1522" s="52" t="str">
        <f>IF(H1522="","",VLOOKUP(A1522,'6.A'!$A$11:$E$564,4,FALSE))</f>
        <v>H</v>
      </c>
      <c r="K1522" s="52" t="str">
        <f>IF(H1522="","",IF(J1522=D1522,"SIM","NÃO"))</f>
        <v>SIM</v>
      </c>
      <c r="L1522" s="52">
        <f>IF(H1522="","",IF(C1522="","",G1520*C1522))</f>
        <v>0.30152999999999996</v>
      </c>
      <c r="M1522" s="117" t="str">
        <f>IF(A1522="","",VLOOKUP(A1522,'6.A'!$A$11:$C$564,2,FALSE))</f>
        <v>ELETRICISTA COM ENCARGOS COMPLEMENTARES</v>
      </c>
      <c r="N1522" s="57" t="str">
        <f>IF(A1522="","",IF(M1522=B1522,"si","no"))</f>
        <v>si</v>
      </c>
      <c r="O1522" s="56"/>
      <c r="P1522" s="56"/>
      <c r="Q1522" s="48"/>
      <c r="R1522" s="48"/>
    </row>
    <row r="1523" spans="1:19" ht="12.75" customHeight="1" x14ac:dyDescent="0.2">
      <c r="A1523" s="22">
        <f>'6.A'!$A$15</f>
        <v>88247</v>
      </c>
      <c r="B1523" s="23" t="str">
        <f>IF(A1523="","",VLOOKUP(A1523,'6.A'!$A$11:$G$180,2,FALSE))</f>
        <v>AUXILIAR DE ELETRICISTA COM ENCARGOS COMPLEMENTARES</v>
      </c>
      <c r="C1523" s="99">
        <v>2.0101999999999998E-2</v>
      </c>
      <c r="D1523" s="57" t="str">
        <f>IF(A1523="","",VLOOKUP(A1523,'6.A'!$A$11:$G$180,4,FALSE))</f>
        <v>H</v>
      </c>
      <c r="E1523" s="100">
        <f>IF(A1523="","",VLOOKUP(A1523,'6.A'!$A$11:$G$180,5,FALSE))</f>
        <v>0</v>
      </c>
      <c r="F1523" s="24">
        <f t="shared" si="655"/>
        <v>0</v>
      </c>
      <c r="G1523" s="52"/>
      <c r="H1523" s="52">
        <f>IF(A1523="","",VLOOKUP(A1523,'6.A'!$A$11:$E$7984,5,FALSE))</f>
        <v>0</v>
      </c>
      <c r="I1523" s="52" t="str">
        <f>IF(H1523="","",IF(E1523=H1523,"SIM","NÃO"))</f>
        <v>SIM</v>
      </c>
      <c r="J1523" s="52" t="str">
        <f>IF(H1523="","",VLOOKUP(A1523,'6.A'!$A$11:$E$564,4,FALSE))</f>
        <v>H</v>
      </c>
      <c r="K1523" s="52" t="str">
        <f>IF(H1523="","",IF(J1523=D1523,"SIM","NÃO"))</f>
        <v>SIM</v>
      </c>
      <c r="L1523" s="52">
        <f>IF(H1523="","",IF(C1523="","",G1520*C1523))</f>
        <v>0.30152999999999996</v>
      </c>
      <c r="M1523" s="117" t="str">
        <f>IF(A1523="","",VLOOKUP(A1523,'6.A'!$A$11:$C$564,2,FALSE))</f>
        <v>AUXILIAR DE ELETRICISTA COM ENCARGOS COMPLEMENTARES</v>
      </c>
      <c r="N1523" s="57" t="str">
        <f>IF(A1523="","",IF(M1523=B1523,"si","no"))</f>
        <v>si</v>
      </c>
      <c r="O1523" s="56"/>
      <c r="P1523" s="56"/>
      <c r="Q1523" s="48"/>
      <c r="R1523" s="48"/>
    </row>
    <row r="1524" spans="1:19" ht="12.75" customHeight="1" x14ac:dyDescent="0.2">
      <c r="A1524" s="22"/>
      <c r="B1524" s="23" t="str">
        <f>IF(A1524="","",VLOOKUP(A1524,'6.A'!$A$11:$G$180,2,FALSE))</f>
        <v/>
      </c>
      <c r="C1524" s="99"/>
      <c r="D1524" s="57" t="str">
        <f>IF(A1524="","",VLOOKUP(A1524,'6.A'!$A$11:$G$180,4,FALSE))</f>
        <v/>
      </c>
      <c r="E1524" s="100" t="str">
        <f>IF(A1524="","",VLOOKUP(A1524,'6.A'!$A$11:$G$180,5,FALSE))</f>
        <v/>
      </c>
      <c r="F1524" s="24" t="str">
        <f t="shared" si="655"/>
        <v>0,00</v>
      </c>
      <c r="G1524" s="52"/>
      <c r="H1524" s="52" t="str">
        <f>IF(A1524="","",VLOOKUP(A1524,'6.A'!$A$11:$E$7984,5,FALSE))</f>
        <v/>
      </c>
      <c r="I1524" s="52" t="str">
        <f>IF(H1524="","",IF(E1524=H1524,"SIM","NÃO"))</f>
        <v/>
      </c>
      <c r="J1524" s="52" t="str">
        <f>IF(H1524="","",VLOOKUP(A1524,'6.A'!$A$11:$E$564,4,FALSE))</f>
        <v/>
      </c>
      <c r="K1524" s="52" t="str">
        <f t="shared" ref="K1524" si="656">IF(H1524="","",IF(J1524=D1524,"SIM","NÃO"))</f>
        <v/>
      </c>
      <c r="L1524" s="52" t="str">
        <f>IF(H1524="","",IF(C1524="","",G1520*C1524))</f>
        <v/>
      </c>
      <c r="M1524" s="117" t="str">
        <f>IF(A1524="","",VLOOKUP(A1524,'6.A'!$A$11:$C$564,2,FALSE))</f>
        <v/>
      </c>
      <c r="N1524" s="57" t="str">
        <f t="shared" ref="N1524" si="657">IF(A1524="","",IF(M1524=B1524,"si","no"))</f>
        <v/>
      </c>
      <c r="O1524" s="56"/>
      <c r="P1524" s="56"/>
      <c r="Q1524" s="48"/>
      <c r="R1524" s="48"/>
      <c r="S1524" s="2"/>
    </row>
    <row r="1525" spans="1:19" ht="12.75" customHeight="1" x14ac:dyDescent="0.2">
      <c r="A1525" s="22"/>
      <c r="B1525" s="23" t="str">
        <f>IF(A1525="","",VLOOKUP(A1525,'6.A'!$A$11:$G$180,2,FALSE))</f>
        <v/>
      </c>
      <c r="C1525" s="99"/>
      <c r="D1525" s="57" t="str">
        <f>IF(A1525="","",VLOOKUP(A1525,'6.A'!$A$11:$G$180,4,FALSE))</f>
        <v/>
      </c>
      <c r="E1525" s="100" t="str">
        <f>IF(A1525="","",VLOOKUP(A1525,'6.A'!$A$11:$G$180,5,FALSE))</f>
        <v/>
      </c>
      <c r="F1525" s="24" t="str">
        <f t="shared" si="655"/>
        <v>0,00</v>
      </c>
      <c r="G1525" s="52"/>
      <c r="H1525" s="52" t="str">
        <f>IF(A1525="","",VLOOKUP(A1525,'6.A'!$A$11:$E$7984,5,FALSE))</f>
        <v/>
      </c>
      <c r="I1525" s="52" t="str">
        <f>IF(H1525="","",IF(E1525=H1525,"SIM","NÃO"))</f>
        <v/>
      </c>
      <c r="J1525" s="52" t="str">
        <f>IF(H1525="","",VLOOKUP(A1525,'6.A'!$A$11:$E$564,4,FALSE))</f>
        <v/>
      </c>
      <c r="K1525" s="52" t="str">
        <f>IF(H1525="","",IF(J1525=D1525,"SIM","NÃO"))</f>
        <v/>
      </c>
      <c r="L1525" s="52" t="str">
        <f>IF(H1525="","",IF(C1525="","",G1520*C1525))</f>
        <v/>
      </c>
      <c r="M1525" s="117" t="str">
        <f>IF(A1525="","",VLOOKUP(A1525,'6.A'!$A$11:$C$564,2,FALSE))</f>
        <v/>
      </c>
      <c r="N1525" s="57" t="str">
        <f>IF(A1525="","",IF(M1525=B1525,"si","no"))</f>
        <v/>
      </c>
      <c r="O1525" s="56"/>
      <c r="P1525" s="56"/>
      <c r="Q1525" s="48"/>
      <c r="R1525" s="48"/>
      <c r="S1525" s="2"/>
    </row>
    <row r="1526" spans="1:19" ht="12.75" customHeight="1" x14ac:dyDescent="0.2">
      <c r="A1526" s="22"/>
      <c r="B1526" s="23" t="str">
        <f>IF(A1526="","",VLOOKUP(A1526,'6.A'!$A$11:$G$180,2,FALSE))</f>
        <v/>
      </c>
      <c r="C1526" s="99"/>
      <c r="D1526" s="57" t="str">
        <f>IF(A1526="","",VLOOKUP(A1526,'6.A'!$A$11:$G$180,4,FALSE))</f>
        <v/>
      </c>
      <c r="E1526" s="101" t="str">
        <f>IF(A1526="","",VLOOKUP(A1526,'6.A'!$A$11:$G$180,5,FALSE))</f>
        <v/>
      </c>
      <c r="F1526" s="24" t="str">
        <f t="shared" si="655"/>
        <v>0,00</v>
      </c>
      <c r="G1526" s="52"/>
      <c r="H1526" s="52" t="str">
        <f>IF(A1526="","",VLOOKUP(A1526,'6.A'!$A$11:$E$7984,5,FALSE))</f>
        <v/>
      </c>
      <c r="I1526" s="52" t="str">
        <f t="shared" ref="I1526" si="658">IF(H1526="","",IF(E1526=H1526,"SIM","NÃO"))</f>
        <v/>
      </c>
      <c r="J1526" s="52" t="str">
        <f>IF(H1526="","",VLOOKUP(A1526,'6.A'!$A$11:$E$564,4,FALSE))</f>
        <v/>
      </c>
      <c r="K1526" s="52" t="str">
        <f t="shared" ref="K1526" si="659">IF(H1526="","",IF(J1526=D1526,"SIM","NÃO"))</f>
        <v/>
      </c>
      <c r="L1526" s="52" t="str">
        <f>IF(H1526="","",IF(C1526="","",G1520*C1526))</f>
        <v/>
      </c>
      <c r="M1526" s="117" t="str">
        <f>IF(A1526="","",VLOOKUP(A1526,'6.A'!$A$11:$C$564,2,FALSE))</f>
        <v/>
      </c>
      <c r="N1526" s="57" t="str">
        <f t="shared" ref="N1526" si="660">IF(A1526="","",IF(M1526=B1526,"si","no"))</f>
        <v/>
      </c>
      <c r="O1526" s="56"/>
      <c r="P1526" s="56"/>
      <c r="Q1526" s="48"/>
      <c r="R1526" s="48"/>
      <c r="S1526" s="2"/>
    </row>
    <row r="1527" spans="1:19" ht="12.75" customHeight="1" x14ac:dyDescent="0.2">
      <c r="A1527" s="22"/>
      <c r="B1527" s="23" t="str">
        <f>IF(A1527="","",VLOOKUP(A1527,'6.A'!$A$11:$G$180,2,FALSE))</f>
        <v/>
      </c>
      <c r="C1527" s="99"/>
      <c r="D1527" s="57" t="str">
        <f>IF(A1527="","",VLOOKUP(A1527,'6.A'!$A$11:$G$180,4,FALSE))</f>
        <v/>
      </c>
      <c r="E1527" s="101" t="str">
        <f>IF(A1527="","",VLOOKUP(A1527,'6.A'!$A$11:$G$180,5,FALSE))</f>
        <v/>
      </c>
      <c r="F1527" s="24" t="str">
        <f t="shared" si="655"/>
        <v>0,00</v>
      </c>
      <c r="G1527" s="52"/>
      <c r="H1527" s="52" t="str">
        <f>IF(A1527="","",VLOOKUP(A1527,'6.A'!$A$11:$E$7984,5,FALSE))</f>
        <v/>
      </c>
      <c r="I1527" s="52" t="str">
        <f>IF(H1527="","",IF(E1527=H1527,"SIM","NÃO"))</f>
        <v/>
      </c>
      <c r="J1527" s="52" t="str">
        <f>IF(H1527="","",VLOOKUP(A1527,'6.A'!$A$11:$E$564,4,FALSE))</f>
        <v/>
      </c>
      <c r="K1527" s="52" t="str">
        <f>IF(H1527="","",IF(J1527=D1527,"SIM","NÃO"))</f>
        <v/>
      </c>
      <c r="L1527" s="52" t="str">
        <f>IF(H1527="","",IF(C1527="","",G1520*C1527))</f>
        <v/>
      </c>
      <c r="M1527" s="117" t="str">
        <f>IF(A1527="","",VLOOKUP(A1527,'6.A'!$A$11:$C$564,2,FALSE))</f>
        <v/>
      </c>
      <c r="N1527" s="57" t="str">
        <f>IF(A1527="","",IF(M1527=B1527,"si","no"))</f>
        <v/>
      </c>
      <c r="O1527" s="56"/>
      <c r="P1527" s="56"/>
      <c r="Q1527" s="48"/>
      <c r="R1527" s="48"/>
      <c r="S1527" s="2"/>
    </row>
    <row r="1528" spans="1:19" ht="12.75" customHeight="1" x14ac:dyDescent="0.2">
      <c r="A1528" s="22"/>
      <c r="B1528" s="23" t="str">
        <f>IF(A1528="","",VLOOKUP(A1528,'6.A'!$A$11:$G$180,2,FALSE))</f>
        <v/>
      </c>
      <c r="C1528" s="99"/>
      <c r="D1528" s="57" t="str">
        <f>IF(A1528="","",VLOOKUP(A1528,'6.A'!$A$11:$G$180,4,FALSE))</f>
        <v/>
      </c>
      <c r="E1528" s="100" t="str">
        <f>IF(A1528="","",VLOOKUP(A1528,'6.A'!$A$11:$G$180,5,FALSE))</f>
        <v/>
      </c>
      <c r="F1528" s="24" t="str">
        <f t="shared" si="655"/>
        <v>0,00</v>
      </c>
      <c r="G1528" s="52"/>
      <c r="H1528" s="52" t="str">
        <f>IF(A1528="","",VLOOKUP(A1528,'6.A'!$A$11:$E$7984,5,FALSE))</f>
        <v/>
      </c>
      <c r="I1528" s="52" t="str">
        <f>IF(H1528="","",IF(E1528=H1528,"SIM","NÃO"))</f>
        <v/>
      </c>
      <c r="J1528" s="52" t="str">
        <f>IF(H1528="","",VLOOKUP(A1528,'6.A'!$A$11:$E$564,4,FALSE))</f>
        <v/>
      </c>
      <c r="K1528" s="52" t="str">
        <f>IF(H1528="","",IF(J1528=D1528,"SIM","NÃO"))</f>
        <v/>
      </c>
      <c r="L1528" s="52" t="str">
        <f>IF(H1528="","",IF(C1528="","",G1520*C1528))</f>
        <v/>
      </c>
      <c r="M1528" s="117" t="str">
        <f>IF(A1528="","",VLOOKUP(A1528,'6.A'!$A$11:$C$564,2,FALSE))</f>
        <v/>
      </c>
      <c r="N1528" s="57" t="str">
        <f>IF(A1528="","",IF(M1528=B1528,"si","no"))</f>
        <v/>
      </c>
      <c r="O1528" s="56"/>
      <c r="P1528" s="56"/>
      <c r="Q1528" s="48"/>
      <c r="R1528" s="48"/>
      <c r="S1528" s="2"/>
    </row>
    <row r="1529" spans="1:19" ht="12.75" customHeight="1" x14ac:dyDescent="0.2">
      <c r="A1529" s="22"/>
      <c r="B1529" s="23" t="str">
        <f>IF(A1529="","",VLOOKUP(A1529,'6.A'!$A$11:$G$180,2,FALSE))</f>
        <v/>
      </c>
      <c r="C1529" s="99"/>
      <c r="D1529" s="57" t="str">
        <f>IF(A1529="","",VLOOKUP(A1529,'6.A'!$A$11:$G$180,4,FALSE))</f>
        <v/>
      </c>
      <c r="E1529" s="100" t="str">
        <f>IF(A1529="","",VLOOKUP(A1529,'6.A'!$A$11:$G$180,5,FALSE))</f>
        <v/>
      </c>
      <c r="F1529" s="24" t="str">
        <f t="shared" si="655"/>
        <v>0,00</v>
      </c>
      <c r="G1529" s="52"/>
      <c r="H1529" s="52" t="str">
        <f>IF(A1529="","",VLOOKUP(A1529,'6.A'!$A$11:$E$7984,5,FALSE))</f>
        <v/>
      </c>
      <c r="I1529" s="52" t="str">
        <f t="shared" ref="I1529" si="661">IF(H1529="","",IF(E1529=H1529,"SIM","NÃO"))</f>
        <v/>
      </c>
      <c r="J1529" s="52" t="str">
        <f>IF(H1529="","",VLOOKUP(A1529,'6.A'!$A$11:$E$564,4,FALSE))</f>
        <v/>
      </c>
      <c r="K1529" s="52" t="str">
        <f t="shared" ref="K1529" si="662">IF(H1529="","",IF(J1529=D1529,"SIM","NÃO"))</f>
        <v/>
      </c>
      <c r="L1529" s="52" t="str">
        <f>IF(H1529="","",IF(C1529="","",G1520*C1529))</f>
        <v/>
      </c>
      <c r="M1529" s="117" t="str">
        <f>IF(A1529="","",VLOOKUP(A1529,'6.A'!$A$11:$C$564,2,FALSE))</f>
        <v/>
      </c>
      <c r="N1529" s="57" t="str">
        <f t="shared" ref="N1529" si="663">IF(A1529="","",IF(M1529=B1529,"si","no"))</f>
        <v/>
      </c>
      <c r="O1529" s="56"/>
      <c r="P1529" s="56"/>
      <c r="Q1529" s="48"/>
      <c r="R1529" s="48"/>
      <c r="S1529" s="2"/>
    </row>
    <row r="1530" spans="1:19" ht="12.75" customHeight="1" x14ac:dyDescent="0.2">
      <c r="A1530" s="22"/>
      <c r="B1530" s="23" t="str">
        <f>IF(A1530="","",VLOOKUP(A1530,'6.A'!$A$11:$G$180,2,FALSE))</f>
        <v/>
      </c>
      <c r="C1530" s="99"/>
      <c r="D1530" s="73" t="str">
        <f>IF(A1530="","",VLOOKUP(A1530,'6.A'!$A$11:$G$180,4,FALSE))</f>
        <v/>
      </c>
      <c r="E1530" s="101" t="str">
        <f>IF(A1530="","",VLOOKUP(A1530,'6.A'!$A$11:$G$180,5,FALSE))</f>
        <v/>
      </c>
      <c r="F1530" s="24" t="str">
        <f t="shared" si="655"/>
        <v>0,00</v>
      </c>
      <c r="G1530" s="52"/>
      <c r="H1530" s="52" t="str">
        <f>IF(A1530="","",VLOOKUP(A1530,'6.A'!$A$11:$E$7984,5,FALSE))</f>
        <v/>
      </c>
      <c r="I1530" s="52" t="str">
        <f>IF(H1530="","",IF(E1530=H1530,"SIM","NÃO"))</f>
        <v/>
      </c>
      <c r="J1530" s="52" t="str">
        <f>IF(H1530="","",VLOOKUP(A1530,'6.A'!$A$11:$E$564,4,FALSE))</f>
        <v/>
      </c>
      <c r="K1530" s="52" t="str">
        <f>IF(H1530="","",IF(J1530=D1530,"SIM","NÃO"))</f>
        <v/>
      </c>
      <c r="L1530" s="52" t="str">
        <f>IF(H1530="","",IF(C1530="","",G1520*C1530))</f>
        <v/>
      </c>
      <c r="M1530" s="117" t="str">
        <f>IF(A1530="","",VLOOKUP(A1530,'6.A'!$A$11:$C$564,2,FALSE))</f>
        <v/>
      </c>
      <c r="N1530" s="57" t="str">
        <f>IF(A1530="","",IF(M1530=B1530,"si","no"))</f>
        <v/>
      </c>
      <c r="O1530" s="56"/>
      <c r="P1530" s="56"/>
      <c r="Q1530" s="48"/>
      <c r="R1530" s="48"/>
      <c r="S1530" s="2"/>
    </row>
    <row r="1531" spans="1:19" ht="12.75" customHeight="1" x14ac:dyDescent="0.2">
      <c r="A1531" s="22"/>
      <c r="B1531" s="23" t="str">
        <f>IF(A1531="","",VLOOKUP(A1531,'6.A'!$A$11:$G$180,2,FALSE))</f>
        <v/>
      </c>
      <c r="C1531" s="99"/>
      <c r="D1531" s="25" t="str">
        <f>IF(A1531="","",VLOOKUP(A1531,'6.A'!$A$11:$G$180,4,FALSE))</f>
        <v/>
      </c>
      <c r="E1531" s="101" t="str">
        <f>IF(A1531="","",VLOOKUP(A1531,'6.A'!$A$11:$G$180,5,FALSE))</f>
        <v/>
      </c>
      <c r="F1531" s="24" t="str">
        <f t="shared" si="655"/>
        <v>0,00</v>
      </c>
      <c r="G1531" s="52"/>
      <c r="H1531" s="52" t="str">
        <f>IF(A1531="","",VLOOKUP(A1531,'6.A'!$A$11:$E$7984,5,FALSE))</f>
        <v/>
      </c>
      <c r="I1531" s="52" t="str">
        <f t="shared" ref="I1531" si="664">IF(H1531="","",IF(E1531=H1531,"SIM","NÃO"))</f>
        <v/>
      </c>
      <c r="J1531" s="52" t="str">
        <f>IF(H1531="","",VLOOKUP(A1531,'6.A'!$A$11:$E$564,4,FALSE))</f>
        <v/>
      </c>
      <c r="K1531" s="52" t="str">
        <f t="shared" ref="K1531" si="665">IF(H1531="","",IF(J1531=D1531,"SIM","NÃO"))</f>
        <v/>
      </c>
      <c r="L1531" s="52" t="str">
        <f>IF(H1531="","",IF(C1531="","",G1520*C1531))</f>
        <v/>
      </c>
      <c r="M1531" s="117" t="str">
        <f>IF(A1531="","",VLOOKUP(A1531,'6.A'!$A$11:$C$564,2,FALSE))</f>
        <v/>
      </c>
      <c r="N1531" s="57" t="str">
        <f t="shared" ref="N1531" si="666">IF(A1531="","",IF(M1531=B1531,"si","no"))</f>
        <v/>
      </c>
      <c r="O1531" s="56"/>
      <c r="P1531" s="56"/>
      <c r="Q1531" s="48"/>
      <c r="R1531" s="48"/>
      <c r="S1531" s="2"/>
    </row>
    <row r="1532" spans="1:19" ht="12.75" customHeight="1" x14ac:dyDescent="0.2">
      <c r="A1532" s="17"/>
      <c r="B1532" s="26" t="str">
        <f>$A$8</f>
        <v>LEIS SOCIAIS HORISTA - JORNADA NORMAL</v>
      </c>
      <c r="C1532" s="27">
        <f>$C$8</f>
        <v>0</v>
      </c>
      <c r="D1532" s="57"/>
      <c r="F1532" s="28">
        <f>ROUND(SUM(F1522:F1531)*C1532,2)</f>
        <v>0</v>
      </c>
      <c r="G1532" s="63"/>
      <c r="M1532" s="62"/>
      <c r="N1532" s="57"/>
      <c r="O1532" s="56"/>
      <c r="P1532" s="56"/>
      <c r="Q1532" s="48"/>
      <c r="R1532" s="48"/>
      <c r="S1532" s="2"/>
    </row>
    <row r="1533" spans="1:19" ht="12.75" customHeight="1" x14ac:dyDescent="0.2">
      <c r="A1533" s="22"/>
      <c r="B1533" s="26" t="str">
        <f>$A$9</f>
        <v>BDI</v>
      </c>
      <c r="C1533" s="27">
        <f>$C$9</f>
        <v>0</v>
      </c>
      <c r="D1533" s="29"/>
      <c r="F1533" s="28">
        <f>ROUND(SUM(F1522:F1532)*C1533,2)</f>
        <v>0</v>
      </c>
      <c r="G1533" s="63"/>
      <c r="M1533" s="62"/>
      <c r="N1533" s="57"/>
      <c r="O1533" s="56"/>
      <c r="P1533" s="56"/>
      <c r="Q1533" s="48"/>
      <c r="R1533" s="48"/>
      <c r="S1533" s="2"/>
    </row>
    <row r="1534" spans="1:19" ht="12.75" customHeight="1" x14ac:dyDescent="0.2">
      <c r="A1534" s="30"/>
      <c r="B1534" s="31" t="s">
        <v>56</v>
      </c>
      <c r="C1534" s="32"/>
      <c r="D1534" s="33"/>
      <c r="E1534" s="34"/>
      <c r="F1534" s="35">
        <f>ROUND(SUM(F1522:F1533),2)</f>
        <v>0</v>
      </c>
      <c r="G1534" s="63"/>
      <c r="M1534" s="62"/>
      <c r="N1534" s="57"/>
      <c r="O1534" s="56"/>
      <c r="P1534" s="56"/>
      <c r="Q1534" s="48"/>
      <c r="R1534" s="48"/>
      <c r="S1534" s="2"/>
    </row>
    <row r="1535" spans="1:19" ht="12.75" customHeight="1" x14ac:dyDescent="0.2">
      <c r="A1535" s="17" t="s">
        <v>5</v>
      </c>
      <c r="B1535" s="153" t="s">
        <v>130</v>
      </c>
      <c r="C1535" s="56" t="s">
        <v>59</v>
      </c>
      <c r="D1535" s="56" t="s">
        <v>16</v>
      </c>
      <c r="E1535" s="19" t="s">
        <v>60</v>
      </c>
      <c r="F1535" s="20" t="s">
        <v>61</v>
      </c>
      <c r="G1535" s="21"/>
      <c r="M1535" s="62"/>
      <c r="N1535" s="57"/>
      <c r="O1535" s="56"/>
      <c r="P1535" s="56"/>
      <c r="Q1535" s="48"/>
      <c r="R1535" s="48"/>
      <c r="S1535" s="2"/>
    </row>
    <row r="1536" spans="1:19" ht="12.75" customHeight="1" x14ac:dyDescent="0.2">
      <c r="A1536" s="22"/>
      <c r="B1536" s="23" t="str">
        <f>IF(A1536="","",VLOOKUP(A1536,'6.A'!$A$11:$G$180,2,FALSE))</f>
        <v/>
      </c>
      <c r="C1536" s="99"/>
      <c r="D1536" s="57" t="str">
        <f>IF(A1536="","",VLOOKUP(A1536,'6.A'!$A$11:$G$180,4,FALSE))</f>
        <v/>
      </c>
      <c r="E1536" s="100" t="str">
        <f>IF(A1536="","",VLOOKUP(A1536,'6.A'!$A$11:$G$180,5,FALSE))</f>
        <v/>
      </c>
      <c r="F1536" s="24" t="str">
        <f t="shared" ref="F1536:F1545" si="667">IF(A1536="","0,00",ROUND(C1536*E1536,2))</f>
        <v>0,00</v>
      </c>
      <c r="G1536" s="52"/>
      <c r="H1536" s="52" t="str">
        <f>IF(A1536="","",VLOOKUP(A1536,'6.A'!$A$11:$E$7984,5,FALSE))</f>
        <v/>
      </c>
      <c r="I1536" s="52" t="str">
        <f t="shared" ref="I1536:I1545" si="668">IF(H1536="","",IF(E1536=H1536,"SIM","NÃO"))</f>
        <v/>
      </c>
      <c r="J1536" s="52" t="str">
        <f>IF(H1536="","",VLOOKUP(A1536,'6.A'!$A$11:$E$564,4,FALSE))</f>
        <v/>
      </c>
      <c r="K1536" s="52" t="str">
        <f t="shared" ref="K1536:K1545" si="669">IF(H1536="","",IF(J1536=D1536,"SIM","NÃO"))</f>
        <v/>
      </c>
      <c r="L1536" s="52" t="str">
        <f>IF(H1536="","",IF(C1536="","",G1520*C1536))</f>
        <v/>
      </c>
      <c r="M1536" s="117" t="str">
        <f>IF(A1536="","",VLOOKUP(A1536,'6.A'!$A$11:$C$564,2,FALSE))</f>
        <v/>
      </c>
      <c r="N1536" s="57" t="str">
        <f t="shared" ref="N1536:N1541" si="670">IF(A1536="","",IF(M1536=B1536,"si","no"))</f>
        <v/>
      </c>
      <c r="O1536" s="56"/>
      <c r="P1536" s="56"/>
      <c r="Q1536" s="48"/>
      <c r="R1536" s="48"/>
      <c r="S1536" s="2"/>
    </row>
    <row r="1537" spans="1:19" ht="12.75" customHeight="1" x14ac:dyDescent="0.2">
      <c r="A1537" s="22"/>
      <c r="B1537" s="23" t="str">
        <f>IF(A1537="","",VLOOKUP(A1537,'6.A'!$A$11:$G$180,2,FALSE))</f>
        <v/>
      </c>
      <c r="C1537" s="99"/>
      <c r="D1537" s="57" t="str">
        <f>IF(A1537="","",VLOOKUP(A1537,'6.A'!$A$11:$G$180,4,FALSE))</f>
        <v/>
      </c>
      <c r="E1537" s="100" t="str">
        <f>IF(A1537="","",VLOOKUP(A1537,'6.A'!$A$11:$G$180,5,FALSE))</f>
        <v/>
      </c>
      <c r="F1537" s="24" t="str">
        <f t="shared" si="667"/>
        <v>0,00</v>
      </c>
      <c r="G1537" s="52"/>
      <c r="H1537" s="52" t="str">
        <f>IF(A1537="","",VLOOKUP(A1537,'6.A'!$A$11:$E$7984,5,FALSE))</f>
        <v/>
      </c>
      <c r="I1537" s="52" t="str">
        <f t="shared" si="668"/>
        <v/>
      </c>
      <c r="J1537" s="52" t="str">
        <f>IF(H1537="","",VLOOKUP(A1537,'6.A'!$A$11:$E$564,4,FALSE))</f>
        <v/>
      </c>
      <c r="K1537" s="52" t="str">
        <f t="shared" si="669"/>
        <v/>
      </c>
      <c r="L1537" s="52" t="str">
        <f>IF(H1537="","",IF(C1537="","",G1520*C1537))</f>
        <v/>
      </c>
      <c r="M1537" s="117" t="str">
        <f>IF(A1537="","",VLOOKUP(A1537,'6.A'!$A$11:$C$564,2,FALSE))</f>
        <v/>
      </c>
      <c r="N1537" s="57" t="str">
        <f t="shared" si="670"/>
        <v/>
      </c>
      <c r="O1537" s="56"/>
      <c r="P1537" s="56"/>
      <c r="Q1537" s="48"/>
      <c r="R1537" s="48"/>
      <c r="S1537" s="2"/>
    </row>
    <row r="1538" spans="1:19" ht="12.75" customHeight="1" x14ac:dyDescent="0.2">
      <c r="A1538" s="22"/>
      <c r="B1538" s="23" t="str">
        <f>IF(A1538="","",VLOOKUP(A1538,'6.A'!$A$11:$G$180,2,FALSE))</f>
        <v/>
      </c>
      <c r="C1538" s="99"/>
      <c r="D1538" s="57" t="str">
        <f>IF(A1538="","",VLOOKUP(A1538,'6.A'!$A$11:$G$180,4,FALSE))</f>
        <v/>
      </c>
      <c r="E1538" s="100" t="str">
        <f>IF(A1538="","",VLOOKUP(A1538,'6.A'!$A$11:$G$180,5,FALSE))</f>
        <v/>
      </c>
      <c r="F1538" s="24" t="str">
        <f t="shared" si="667"/>
        <v>0,00</v>
      </c>
      <c r="G1538" s="52"/>
      <c r="H1538" s="52" t="str">
        <f>IF(A1538="","",VLOOKUP(A1538,'6.A'!$A$11:$E$7984,5,FALSE))</f>
        <v/>
      </c>
      <c r="I1538" s="52" t="str">
        <f t="shared" si="668"/>
        <v/>
      </c>
      <c r="J1538" s="52" t="str">
        <f>IF(H1538="","",VLOOKUP(A1538,'6.A'!$A$11:$E$564,4,FALSE))</f>
        <v/>
      </c>
      <c r="K1538" s="52" t="str">
        <f t="shared" si="669"/>
        <v/>
      </c>
      <c r="L1538" s="52" t="str">
        <f>IF(H1538="","",IF(C1538="","",G1520*C1538))</f>
        <v/>
      </c>
      <c r="M1538" s="117" t="str">
        <f>IF(A1538="","",VLOOKUP(A1538,'6.A'!$A$11:$C$564,2,FALSE))</f>
        <v/>
      </c>
      <c r="N1538" s="57" t="str">
        <f t="shared" si="670"/>
        <v/>
      </c>
      <c r="O1538" s="56"/>
      <c r="P1538" s="56"/>
      <c r="Q1538" s="48"/>
      <c r="R1538" s="48"/>
      <c r="S1538" s="2"/>
    </row>
    <row r="1539" spans="1:19" ht="12.75" customHeight="1" x14ac:dyDescent="0.2">
      <c r="A1539" s="22"/>
      <c r="B1539" s="55" t="str">
        <f>IF(A1539="","",VLOOKUP(A1539,'6.A'!$A$11:$G$180,2,FALSE))</f>
        <v/>
      </c>
      <c r="C1539" s="134"/>
      <c r="D1539" s="57" t="str">
        <f>IF(A1539="","",VLOOKUP(A1539,'6.A'!$A$11:$G$180,4,FALSE))</f>
        <v/>
      </c>
      <c r="E1539" s="100" t="str">
        <f>IF(A1539="","",VLOOKUP(A1539,'6.A'!$A$11:$G$180,5,FALSE))</f>
        <v/>
      </c>
      <c r="F1539" s="24" t="str">
        <f t="shared" si="667"/>
        <v>0,00</v>
      </c>
      <c r="G1539" s="52"/>
      <c r="H1539" s="52" t="str">
        <f>IF(A1539="","",VLOOKUP(A1539,'6.A'!$A$11:$E$7984,5,FALSE))</f>
        <v/>
      </c>
      <c r="I1539" s="52" t="str">
        <f t="shared" si="668"/>
        <v/>
      </c>
      <c r="J1539" s="52" t="str">
        <f>IF(H1539="","",VLOOKUP(A1539,'6.A'!$A$11:$E$564,4,FALSE))</f>
        <v/>
      </c>
      <c r="K1539" s="52" t="str">
        <f t="shared" si="669"/>
        <v/>
      </c>
      <c r="L1539" s="52" t="str">
        <f>IF(H1539="","",IF(C1539="","",G1520*C1539))</f>
        <v/>
      </c>
      <c r="M1539" s="117" t="str">
        <f>IF(A1539="","",VLOOKUP(A1539,'6.A'!$A$11:$C$564,2,FALSE))</f>
        <v/>
      </c>
      <c r="N1539" s="57" t="str">
        <f t="shared" si="670"/>
        <v/>
      </c>
      <c r="O1539" s="56"/>
      <c r="P1539" s="56"/>
      <c r="Q1539" s="48"/>
      <c r="R1539" s="48"/>
      <c r="S1539" s="2"/>
    </row>
    <row r="1540" spans="1:19" ht="12.75" customHeight="1" x14ac:dyDescent="0.2">
      <c r="A1540" s="22"/>
      <c r="B1540" s="23" t="str">
        <f>IF(A1540="","",VLOOKUP(A1540,'6.A'!$A$11:$G$180,2,FALSE))</f>
        <v/>
      </c>
      <c r="C1540" s="99"/>
      <c r="D1540" s="57" t="str">
        <f>IF(A1540="","",VLOOKUP(A1540,'6.A'!$A$11:$G$180,4,FALSE))</f>
        <v/>
      </c>
      <c r="E1540" s="100" t="str">
        <f>IF(A1540="","",VLOOKUP(A1540,'6.A'!$A$11:$G$180,5,FALSE))</f>
        <v/>
      </c>
      <c r="F1540" s="24" t="str">
        <f t="shared" si="667"/>
        <v>0,00</v>
      </c>
      <c r="G1540" s="52"/>
      <c r="H1540" s="52" t="str">
        <f>IF(A1540="","",VLOOKUP(A1540,'6.A'!$A$11:$E$7984,5,FALSE))</f>
        <v/>
      </c>
      <c r="I1540" s="52" t="str">
        <f t="shared" si="668"/>
        <v/>
      </c>
      <c r="J1540" s="52" t="str">
        <f>IF(H1540="","",VLOOKUP(A1540,'6.A'!$A$11:$E$564,4,FALSE))</f>
        <v/>
      </c>
      <c r="K1540" s="52" t="str">
        <f t="shared" si="669"/>
        <v/>
      </c>
      <c r="L1540" s="52" t="str">
        <f>IF(H1540="","",IF(C1540="","",G1520*C1540))</f>
        <v/>
      </c>
      <c r="M1540" s="117" t="str">
        <f>IF(A1540="","",VLOOKUP(A1540,'6.A'!$A$11:$C$564,2,FALSE))</f>
        <v/>
      </c>
      <c r="N1540" s="57" t="str">
        <f t="shared" si="670"/>
        <v/>
      </c>
      <c r="O1540" s="56"/>
      <c r="P1540" s="56"/>
      <c r="Q1540" s="48"/>
      <c r="R1540" s="48"/>
      <c r="S1540" s="2"/>
    </row>
    <row r="1541" spans="1:19" ht="12.75" customHeight="1" x14ac:dyDescent="0.2">
      <c r="A1541" s="22"/>
      <c r="B1541" s="23" t="str">
        <f>IF(A1541="","",VLOOKUP(A1541,'6.A'!$A$11:$G$180,2,FALSE))</f>
        <v/>
      </c>
      <c r="C1541" s="99"/>
      <c r="D1541" s="57" t="str">
        <f>IF(A1541="","",VLOOKUP(A1541,'6.A'!$A$11:$G$180,4,FALSE))</f>
        <v/>
      </c>
      <c r="E1541" s="100" t="str">
        <f>IF(A1541="","",VLOOKUP(A1541,'6.A'!$A$11:$G$180,5,FALSE))</f>
        <v/>
      </c>
      <c r="F1541" s="24" t="str">
        <f t="shared" si="667"/>
        <v>0,00</v>
      </c>
      <c r="G1541" s="52"/>
      <c r="H1541" s="52" t="str">
        <f>IF(A1541="","",VLOOKUP(A1541,'6.A'!$A$11:$E$7984,5,FALSE))</f>
        <v/>
      </c>
      <c r="I1541" s="52" t="str">
        <f t="shared" si="668"/>
        <v/>
      </c>
      <c r="J1541" s="52" t="str">
        <f>IF(H1541="","",VLOOKUP(A1541,'6.A'!$A$11:$E$564,4,FALSE))</f>
        <v/>
      </c>
      <c r="K1541" s="52" t="str">
        <f t="shared" si="669"/>
        <v/>
      </c>
      <c r="L1541" s="52" t="str">
        <f>IF(H1541="","",IF(C1541="","",G1520*C1541))</f>
        <v/>
      </c>
      <c r="M1541" s="117" t="str">
        <f>IF(A1541="","",VLOOKUP(A1541,'6.A'!$A$11:$C$564,2,FALSE))</f>
        <v/>
      </c>
      <c r="N1541" s="57" t="str">
        <f t="shared" si="670"/>
        <v/>
      </c>
      <c r="O1541" s="56"/>
      <c r="P1541" s="56"/>
      <c r="Q1541" s="48"/>
      <c r="R1541" s="48"/>
      <c r="S1541" s="2"/>
    </row>
    <row r="1542" spans="1:19" ht="12.75" customHeight="1" x14ac:dyDescent="0.2">
      <c r="A1542" s="22"/>
      <c r="B1542" s="23" t="str">
        <f>IF(A1542="","",VLOOKUP(A1542,'6.A'!$A$11:$G$180,2,FALSE))</f>
        <v/>
      </c>
      <c r="C1542" s="99"/>
      <c r="D1542" s="57" t="str">
        <f>IF(A1542="","",VLOOKUP(A1542,'6.A'!$A$11:$G$180,4,FALSE))</f>
        <v/>
      </c>
      <c r="E1542" s="100" t="str">
        <f>IF(A1542="","",VLOOKUP(A1542,'6.A'!$A$11:$G$180,5,FALSE))</f>
        <v/>
      </c>
      <c r="F1542" s="24" t="str">
        <f t="shared" si="667"/>
        <v>0,00</v>
      </c>
      <c r="G1542" s="52"/>
      <c r="H1542" s="52" t="str">
        <f>IF(A1542="","",VLOOKUP(A1542,'6.A'!$A$11:$E$7984,5,FALSE))</f>
        <v/>
      </c>
      <c r="I1542" s="52" t="str">
        <f t="shared" si="668"/>
        <v/>
      </c>
      <c r="J1542" s="52" t="str">
        <f>IF(H1542="","",VLOOKUP(A1542,'6.A'!$A$11:$E$564,4,FALSE))</f>
        <v/>
      </c>
      <c r="K1542" s="52" t="str">
        <f t="shared" si="669"/>
        <v/>
      </c>
      <c r="L1542" s="52" t="str">
        <f>IF(H1542="","",IF(C1542="","",G1520*C1542))</f>
        <v/>
      </c>
      <c r="M1542" s="117" t="str">
        <f>IF(A1542="","",VLOOKUP(A1542,'6.A'!$A$11:$C$564,2,FALSE))</f>
        <v/>
      </c>
      <c r="N1542" s="57" t="str">
        <f>IF(A1542="","",IF(M1542=B1542,"si","no"))</f>
        <v/>
      </c>
      <c r="O1542" s="56"/>
      <c r="P1542" s="56"/>
      <c r="Q1542" s="48"/>
      <c r="R1542" s="48"/>
      <c r="S1542" s="2"/>
    </row>
    <row r="1543" spans="1:19" ht="12.75" customHeight="1" x14ac:dyDescent="0.2">
      <c r="A1543" s="22"/>
      <c r="B1543" s="23" t="str">
        <f>IF(A1543="","",VLOOKUP(A1543,'6.A'!$A$11:$G$180,2,FALSE))</f>
        <v/>
      </c>
      <c r="C1543" s="99"/>
      <c r="D1543" s="57" t="str">
        <f>IF(A1543="","",VLOOKUP(A1543,'6.A'!$A$11:$G$180,4,FALSE))</f>
        <v/>
      </c>
      <c r="E1543" s="100" t="str">
        <f>IF(A1543="","",VLOOKUP(A1543,'6.A'!$A$11:$G$180,5,FALSE))</f>
        <v/>
      </c>
      <c r="F1543" s="24" t="str">
        <f t="shared" si="667"/>
        <v>0,00</v>
      </c>
      <c r="G1543" s="52"/>
      <c r="H1543" s="52" t="str">
        <f>IF(A1543="","",VLOOKUP(A1543,'6.A'!$A$11:$E$7984,5,FALSE))</f>
        <v/>
      </c>
      <c r="I1543" s="52" t="str">
        <f t="shared" si="668"/>
        <v/>
      </c>
      <c r="J1543" s="52" t="str">
        <f>IF(H1543="","",VLOOKUP(A1543,'6.A'!$A$11:$E$564,4,FALSE))</f>
        <v/>
      </c>
      <c r="K1543" s="52" t="str">
        <f t="shared" si="669"/>
        <v/>
      </c>
      <c r="L1543" s="52" t="str">
        <f>IF(H1543="","",IF(C1543="","",G1520*C1543))</f>
        <v/>
      </c>
      <c r="M1543" s="117" t="str">
        <f>IF(A1543="","",VLOOKUP(A1543,'6.A'!$A$11:$C$564,2,FALSE))</f>
        <v/>
      </c>
      <c r="N1543" s="57" t="str">
        <f>IF(A1543="","",IF(M1543=B1543,"si","no"))</f>
        <v/>
      </c>
      <c r="O1543" s="56"/>
      <c r="P1543" s="56"/>
      <c r="Q1543" s="48"/>
      <c r="R1543" s="48"/>
      <c r="S1543" s="2"/>
    </row>
    <row r="1544" spans="1:19" ht="12.75" customHeight="1" x14ac:dyDescent="0.2">
      <c r="A1544" s="22"/>
      <c r="B1544" s="23" t="str">
        <f>IF(A1544="","",VLOOKUP(A1544,'6.A'!$A$11:$G$180,2,FALSE))</f>
        <v/>
      </c>
      <c r="C1544" s="99"/>
      <c r="D1544" s="57" t="str">
        <f>IF(A1544="","",VLOOKUP(A1544,'6.A'!$A$11:$G$180,4,FALSE))</f>
        <v/>
      </c>
      <c r="E1544" s="100" t="str">
        <f>IF(A1544="","",VLOOKUP(A1544,'6.A'!$A$11:$G$180,5,FALSE))</f>
        <v/>
      </c>
      <c r="F1544" s="24" t="str">
        <f t="shared" si="667"/>
        <v>0,00</v>
      </c>
      <c r="G1544" s="52"/>
      <c r="H1544" s="52" t="str">
        <f>IF(A1544="","",VLOOKUP(A1544,'6.A'!$A$11:$E$7984,5,FALSE))</f>
        <v/>
      </c>
      <c r="I1544" s="52" t="str">
        <f t="shared" si="668"/>
        <v/>
      </c>
      <c r="J1544" s="52" t="str">
        <f>IF(H1544="","",VLOOKUP(A1544,'6.A'!$A$11:$E$564,4,FALSE))</f>
        <v/>
      </c>
      <c r="K1544" s="52" t="str">
        <f t="shared" si="669"/>
        <v/>
      </c>
      <c r="L1544" s="52" t="str">
        <f>IF(H1544="","",IF(C1544="","",G1520*C1544))</f>
        <v/>
      </c>
      <c r="M1544" s="117" t="str">
        <f>IF(A1544="","",VLOOKUP(A1544,'6.A'!$A$11:$C$564,2,FALSE))</f>
        <v/>
      </c>
      <c r="N1544" s="57" t="str">
        <f t="shared" ref="N1544:N1545" si="671">IF(A1544="","",IF(M1544=B1544,"si","no"))</f>
        <v/>
      </c>
      <c r="O1544" s="56"/>
      <c r="P1544" s="56"/>
      <c r="Q1544" s="48"/>
      <c r="R1544" s="48"/>
      <c r="S1544" s="2"/>
    </row>
    <row r="1545" spans="1:19" ht="12.75" customHeight="1" x14ac:dyDescent="0.2">
      <c r="A1545" s="22"/>
      <c r="B1545" s="23" t="str">
        <f>IF(A1545="","",VLOOKUP(A1545,'6.A'!$A$11:$G$180,2,FALSE))</f>
        <v/>
      </c>
      <c r="C1545" s="99"/>
      <c r="D1545" s="57" t="str">
        <f>IF(A1545="","",VLOOKUP(A1545,'6.A'!$A$11:$G$180,4,FALSE))</f>
        <v/>
      </c>
      <c r="E1545" s="100" t="str">
        <f>IF(A1545="","",VLOOKUP(A1545,'6.A'!$A$11:$G$180,5,FALSE))</f>
        <v/>
      </c>
      <c r="F1545" s="24" t="str">
        <f t="shared" si="667"/>
        <v>0,00</v>
      </c>
      <c r="G1545" s="52"/>
      <c r="H1545" s="52" t="str">
        <f>IF(A1545="","",VLOOKUP(A1545,'6.A'!$A$11:$E$7984,5,FALSE))</f>
        <v/>
      </c>
      <c r="I1545" s="52" t="str">
        <f t="shared" si="668"/>
        <v/>
      </c>
      <c r="J1545" s="52" t="str">
        <f>IF(H1545="","",VLOOKUP(A1545,'6.A'!$A$11:$E$564,4,FALSE))</f>
        <v/>
      </c>
      <c r="K1545" s="52" t="str">
        <f t="shared" si="669"/>
        <v/>
      </c>
      <c r="L1545" s="52" t="str">
        <f>IF(H1545="","",IF(C1545="","",G1520*C1545))</f>
        <v/>
      </c>
      <c r="M1545" s="117" t="str">
        <f>IF(A1545="","",VLOOKUP(A1545,'6.A'!$A$11:$C$564,2,FALSE))</f>
        <v/>
      </c>
      <c r="N1545" s="57" t="str">
        <f t="shared" si="671"/>
        <v/>
      </c>
      <c r="O1545" s="56"/>
      <c r="P1545" s="56"/>
      <c r="Q1545" s="48"/>
      <c r="R1545" s="48"/>
      <c r="S1545" s="2"/>
    </row>
    <row r="1546" spans="1:19" ht="12.75" customHeight="1" x14ac:dyDescent="0.2">
      <c r="A1546" s="22"/>
      <c r="B1546" s="26" t="str">
        <f>$A$9</f>
        <v>BDI</v>
      </c>
      <c r="C1546" s="27">
        <f>$C$9</f>
        <v>0</v>
      </c>
      <c r="D1546" s="57"/>
      <c r="F1546" s="28">
        <f>ROUND(SUM(F1536:F1545)*C1546,2)</f>
        <v>0</v>
      </c>
      <c r="G1546" s="63"/>
      <c r="M1546" s="62"/>
      <c r="N1546" s="57"/>
      <c r="O1546" s="56"/>
      <c r="P1546" s="56"/>
      <c r="Q1546" s="48"/>
      <c r="R1546" s="48"/>
      <c r="S1546" s="2"/>
    </row>
    <row r="1547" spans="1:19" ht="12.75" customHeight="1" x14ac:dyDescent="0.2">
      <c r="A1547" s="30"/>
      <c r="B1547" s="31" t="s">
        <v>117</v>
      </c>
      <c r="C1547" s="36"/>
      <c r="D1547" s="37"/>
      <c r="E1547" s="38"/>
      <c r="F1547" s="35">
        <f>ROUND(SUM(F1536:F1546),2)</f>
        <v>0</v>
      </c>
      <c r="G1547" s="63"/>
      <c r="M1547" s="62"/>
      <c r="N1547" s="57"/>
      <c r="O1547" s="56"/>
      <c r="P1547" s="56"/>
      <c r="Q1547" s="48"/>
      <c r="R1547" s="48"/>
      <c r="S1547" s="2"/>
    </row>
    <row r="1548" spans="1:19" ht="12.75" customHeight="1" x14ac:dyDescent="0.2">
      <c r="A1548" s="17" t="s">
        <v>6</v>
      </c>
      <c r="B1548" s="18" t="s">
        <v>17</v>
      </c>
      <c r="C1548" s="56" t="s">
        <v>59</v>
      </c>
      <c r="D1548" s="56" t="s">
        <v>16</v>
      </c>
      <c r="E1548" s="19" t="s">
        <v>60</v>
      </c>
      <c r="F1548" s="20" t="s">
        <v>61</v>
      </c>
      <c r="G1548" s="21"/>
      <c r="M1548" s="62"/>
      <c r="N1548" s="57"/>
      <c r="O1548" s="56"/>
      <c r="P1548" s="56"/>
      <c r="Q1548" s="48"/>
      <c r="R1548" s="48"/>
      <c r="S1548" s="2"/>
    </row>
    <row r="1549" spans="1:19" ht="12.75" customHeight="1" x14ac:dyDescent="0.2">
      <c r="A1549" s="22">
        <f>'6.A'!$A$139</f>
        <v>39232</v>
      </c>
      <c r="B1549" s="23" t="str">
        <f>IF(A1549="","",VLOOKUP(A1549,'6.A'!$A$11:$G$180,2,FALSE))</f>
        <v>CABO DE COBRE FLEXIVEL CL 4/5, ISOLACAO PVC/A, ANTICHAMA BWF-B, 1 CONDUTOR, 450/750 V, SECAO NOMINAL 25 MM2</v>
      </c>
      <c r="C1549" s="99">
        <v>1.0269999999999999</v>
      </c>
      <c r="D1549" s="57" t="str">
        <f>IF(A1549="","",VLOOKUP(A1549,'6.A'!$A$11:$G$180,4,FALSE))</f>
        <v>M</v>
      </c>
      <c r="E1549" s="100">
        <f>IF(A1549="","",VLOOKUP(A1549,'6.A'!$A$11:$G$180,5,FALSE))</f>
        <v>0</v>
      </c>
      <c r="F1549" s="24">
        <f t="shared" ref="F1549:F1568" si="672">IF(A1549="","0,00",ROUND(C1549*E1549,2))</f>
        <v>0</v>
      </c>
      <c r="G1549" s="52"/>
      <c r="H1549" s="52">
        <f>IF(A1549="","",VLOOKUP(A1549,'6.A'!$A$11:$E$7984,5,FALSE))</f>
        <v>0</v>
      </c>
      <c r="I1549" s="52" t="str">
        <f t="shared" ref="I1549:I1568" si="673">IF(H1549="","",IF(E1549=H1549,"SIM","NÃO"))</f>
        <v>SIM</v>
      </c>
      <c r="J1549" s="52" t="str">
        <f>IF(H1549="","",VLOOKUP(A1549,'6.A'!$A$11:$E$564,4,FALSE))</f>
        <v>M</v>
      </c>
      <c r="K1549" s="52" t="str">
        <f t="shared" ref="K1549:K1568" si="674">IF(H1549="","",IF(J1549=D1549,"SIM","NÃO"))</f>
        <v>SIM</v>
      </c>
      <c r="L1549" s="52">
        <f>IF(H1549="","",IF(C1549="","",G1520*C1549))</f>
        <v>15.404999999999999</v>
      </c>
      <c r="M1549" s="117" t="str">
        <f>IF(A1549="","",VLOOKUP(A1549,'6.A'!$A$11:$C$564,2,FALSE))</f>
        <v>CABO DE COBRE FLEXIVEL CL 4/5, ISOLACAO PVC/A, ANTICHAMA BWF-B, 1 CONDUTOR, 450/750 V, SECAO NOMINAL 25 MM2</v>
      </c>
      <c r="N1549" s="57" t="str">
        <f t="shared" ref="N1549:N1568" si="675">IF(A1549="","",IF(M1549=B1549,"si","no"))</f>
        <v>si</v>
      </c>
      <c r="O1549" s="56"/>
      <c r="P1549" s="56"/>
      <c r="Q1549" s="48"/>
      <c r="R1549" s="48"/>
      <c r="S1549" s="2"/>
    </row>
    <row r="1550" spans="1:19" ht="12.75" customHeight="1" x14ac:dyDescent="0.2">
      <c r="A1550" s="22">
        <f>'6.A'!$A$123</f>
        <v>21127</v>
      </c>
      <c r="B1550" s="23" t="str">
        <f>IF(A1550="","",VLOOKUP(A1550,'6.A'!$A$11:$G$180,2,FALSE))</f>
        <v>FITA ISOLANTE ADESIVA ANTICHAMA, USO ATE 750 V, EM ROLO DE 19 MM X 5 M</v>
      </c>
      <c r="C1550" s="99">
        <v>0.01</v>
      </c>
      <c r="D1550" s="57" t="str">
        <f>IF(A1550="","",VLOOKUP(A1550,'6.A'!$A$11:$G$180,4,FALSE))</f>
        <v>UN</v>
      </c>
      <c r="E1550" s="100">
        <f>IF(A1550="","",VLOOKUP(A1550,'6.A'!$A$11:$G$180,5,FALSE))</f>
        <v>0</v>
      </c>
      <c r="F1550" s="24">
        <f t="shared" si="672"/>
        <v>0</v>
      </c>
      <c r="G1550" s="52"/>
      <c r="H1550" s="52">
        <f>IF(A1550="","",VLOOKUP(A1550,'6.A'!$A$11:$E$7984,5,FALSE))</f>
        <v>0</v>
      </c>
      <c r="I1550" s="52" t="str">
        <f t="shared" si="673"/>
        <v>SIM</v>
      </c>
      <c r="J1550" s="52" t="str">
        <f>IF(H1550="","",VLOOKUP(A1550,'6.A'!$A$11:$E$564,4,FALSE))</f>
        <v>UN</v>
      </c>
      <c r="K1550" s="52" t="str">
        <f t="shared" si="674"/>
        <v>SIM</v>
      </c>
      <c r="L1550" s="52">
        <f>IF(H1550="","",IF(C1550="","",G1520*C1550))</f>
        <v>0.15</v>
      </c>
      <c r="M1550" s="117" t="str">
        <f>IF(A1550="","",VLOOKUP(A1550,'6.A'!$A$11:$C$564,2,FALSE))</f>
        <v>FITA ISOLANTE ADESIVA ANTICHAMA, USO ATE 750 V, EM ROLO DE 19 MM X 5 M</v>
      </c>
      <c r="N1550" s="57" t="str">
        <f t="shared" si="675"/>
        <v>si</v>
      </c>
      <c r="O1550" s="56"/>
      <c r="P1550" s="56"/>
      <c r="Q1550" s="48"/>
      <c r="R1550" s="48"/>
      <c r="S1550" s="2"/>
    </row>
    <row r="1551" spans="1:19" ht="12.75" customHeight="1" x14ac:dyDescent="0.2">
      <c r="A1551" s="22"/>
      <c r="B1551" s="23" t="str">
        <f>IF(A1551="","",VLOOKUP(A1551,'6.A'!$A$11:$G$180,2,FALSE))</f>
        <v/>
      </c>
      <c r="C1551" s="99"/>
      <c r="D1551" s="57" t="str">
        <f>IF(A1551="","",VLOOKUP(A1551,'6.A'!$A$11:$G$180,4,FALSE))</f>
        <v/>
      </c>
      <c r="E1551" s="100" t="str">
        <f>IF(A1551="","",VLOOKUP(A1551,'6.A'!$A$11:$G$180,5,FALSE))</f>
        <v/>
      </c>
      <c r="F1551" s="24" t="str">
        <f t="shared" si="672"/>
        <v>0,00</v>
      </c>
      <c r="G1551" s="52"/>
      <c r="H1551" s="52" t="str">
        <f>IF(A1551="","",VLOOKUP(A1551,'6.A'!$A$11:$E$7984,5,FALSE))</f>
        <v/>
      </c>
      <c r="I1551" s="52" t="str">
        <f t="shared" si="673"/>
        <v/>
      </c>
      <c r="J1551" s="52" t="str">
        <f>IF(H1551="","",VLOOKUP(A1551,'6.A'!$A$11:$E$564,4,FALSE))</f>
        <v/>
      </c>
      <c r="K1551" s="52" t="str">
        <f t="shared" si="674"/>
        <v/>
      </c>
      <c r="L1551" s="52" t="str">
        <f>IF(H1551="","",IF(C1551="","",G1520*C1551))</f>
        <v/>
      </c>
      <c r="M1551" s="117" t="str">
        <f>IF(A1551="","",VLOOKUP(A1551,'6.A'!$A$11:$C$564,2,FALSE))</f>
        <v/>
      </c>
      <c r="N1551" s="57" t="str">
        <f t="shared" si="675"/>
        <v/>
      </c>
      <c r="O1551" s="56"/>
      <c r="P1551" s="56"/>
      <c r="Q1551" s="48"/>
      <c r="R1551" s="48"/>
      <c r="S1551" s="2"/>
    </row>
    <row r="1552" spans="1:19" ht="12.75" customHeight="1" x14ac:dyDescent="0.2">
      <c r="A1552" s="22"/>
      <c r="B1552" s="23" t="str">
        <f>IF(A1552="","",VLOOKUP(A1552,'6.A'!$A$11:$G$180,2,FALSE))</f>
        <v/>
      </c>
      <c r="C1552" s="99"/>
      <c r="D1552" s="57" t="str">
        <f>IF(A1552="","",VLOOKUP(A1552,'6.A'!$A$11:$G$180,4,FALSE))</f>
        <v/>
      </c>
      <c r="E1552" s="100" t="str">
        <f>IF(A1552="","",VLOOKUP(A1552,'6.A'!$A$11:$G$180,5,FALSE))</f>
        <v/>
      </c>
      <c r="F1552" s="24" t="str">
        <f t="shared" si="672"/>
        <v>0,00</v>
      </c>
      <c r="G1552" s="52"/>
      <c r="H1552" s="52" t="str">
        <f>IF(A1552="","",VLOOKUP(A1552,'6.A'!$A$11:$E$7984,5,FALSE))</f>
        <v/>
      </c>
      <c r="I1552" s="52" t="str">
        <f t="shared" si="673"/>
        <v/>
      </c>
      <c r="J1552" s="52" t="str">
        <f>IF(H1552="","",VLOOKUP(A1552,'6.A'!$A$11:$E$564,4,FALSE))</f>
        <v/>
      </c>
      <c r="K1552" s="52" t="str">
        <f t="shared" si="674"/>
        <v/>
      </c>
      <c r="L1552" s="52" t="str">
        <f>IF(H1552="","",IF(C1552="","",G1520*C1552))</f>
        <v/>
      </c>
      <c r="M1552" s="117" t="str">
        <f>IF(A1552="","",VLOOKUP(A1552,'6.A'!$A$11:$C$564,2,FALSE))</f>
        <v/>
      </c>
      <c r="N1552" s="57" t="str">
        <f t="shared" si="675"/>
        <v/>
      </c>
      <c r="O1552" s="56"/>
      <c r="P1552" s="56"/>
      <c r="Q1552" s="48"/>
      <c r="R1552" s="48"/>
      <c r="S1552" s="2"/>
    </row>
    <row r="1553" spans="1:22" ht="12.75" customHeight="1" x14ac:dyDescent="0.2">
      <c r="A1553" s="22"/>
      <c r="B1553" s="23" t="str">
        <f>IF(A1553="","",VLOOKUP(A1553,'6.A'!$A$11:$G$180,2,FALSE))</f>
        <v/>
      </c>
      <c r="C1553" s="99"/>
      <c r="D1553" s="57" t="str">
        <f>IF(A1553="","",VLOOKUP(A1553,'6.A'!$A$11:$G$180,4,FALSE))</f>
        <v/>
      </c>
      <c r="E1553" s="100" t="str">
        <f>IF(A1553="","",VLOOKUP(A1553,'6.A'!$A$11:$G$180,5,FALSE))</f>
        <v/>
      </c>
      <c r="F1553" s="24" t="str">
        <f t="shared" si="672"/>
        <v>0,00</v>
      </c>
      <c r="G1553" s="52"/>
      <c r="H1553" s="52" t="str">
        <f>IF(A1553="","",VLOOKUP(A1553,'6.A'!$A$11:$E$7984,5,FALSE))</f>
        <v/>
      </c>
      <c r="I1553" s="52" t="str">
        <f t="shared" si="673"/>
        <v/>
      </c>
      <c r="J1553" s="52" t="str">
        <f>IF(H1553="","",VLOOKUP(A1553,'6.A'!$A$11:$E$564,4,FALSE))</f>
        <v/>
      </c>
      <c r="K1553" s="52" t="str">
        <f t="shared" si="674"/>
        <v/>
      </c>
      <c r="L1553" s="52" t="str">
        <f>IF(H1553="","",IF(C1553="","",G1520*C1553))</f>
        <v/>
      </c>
      <c r="M1553" s="117" t="str">
        <f>IF(A1553="","",VLOOKUP(A1553,'6.A'!$A$11:$C$564,2,FALSE))</f>
        <v/>
      </c>
      <c r="N1553" s="57" t="str">
        <f t="shared" si="675"/>
        <v/>
      </c>
      <c r="O1553" s="56"/>
      <c r="P1553" s="56"/>
      <c r="Q1553" s="48"/>
      <c r="R1553" s="48"/>
      <c r="S1553" s="2"/>
    </row>
    <row r="1554" spans="1:22" ht="12.75" customHeight="1" x14ac:dyDescent="0.2">
      <c r="A1554" s="22"/>
      <c r="B1554" s="23" t="str">
        <f>IF(A1554="","",VLOOKUP(A1554,'6.A'!$A$11:$G$180,2,FALSE))</f>
        <v/>
      </c>
      <c r="C1554" s="99"/>
      <c r="D1554" s="57" t="str">
        <f>IF(A1554="","",VLOOKUP(A1554,'6.A'!$A$11:$G$180,4,FALSE))</f>
        <v/>
      </c>
      <c r="E1554" s="100" t="str">
        <f>IF(A1554="","",VLOOKUP(A1554,'6.A'!$A$11:$G$180,5,FALSE))</f>
        <v/>
      </c>
      <c r="F1554" s="24" t="str">
        <f t="shared" si="672"/>
        <v>0,00</v>
      </c>
      <c r="G1554" s="52"/>
      <c r="H1554" s="52" t="str">
        <f>IF(A1554="","",VLOOKUP(A1554,'6.A'!$A$11:$E$7984,5,FALSE))</f>
        <v/>
      </c>
      <c r="I1554" s="52" t="str">
        <f t="shared" si="673"/>
        <v/>
      </c>
      <c r="J1554" s="52" t="str">
        <f>IF(H1554="","",VLOOKUP(A1554,'6.A'!$A$11:$E$564,4,FALSE))</f>
        <v/>
      </c>
      <c r="K1554" s="52" t="str">
        <f t="shared" si="674"/>
        <v/>
      </c>
      <c r="L1554" s="52" t="str">
        <f>IF(H1554="","",IF(C1554="","",G1520*C1554))</f>
        <v/>
      </c>
      <c r="M1554" s="117" t="str">
        <f>IF(A1554="","",VLOOKUP(A1554,'6.A'!$A$11:$C$564,2,FALSE))</f>
        <v/>
      </c>
      <c r="N1554" s="57" t="str">
        <f t="shared" si="675"/>
        <v/>
      </c>
      <c r="O1554" s="56"/>
      <c r="P1554" s="56"/>
      <c r="Q1554" s="48"/>
      <c r="R1554" s="48"/>
      <c r="S1554" s="2"/>
    </row>
    <row r="1555" spans="1:22" ht="12.75" customHeight="1" x14ac:dyDescent="0.2">
      <c r="A1555" s="22"/>
      <c r="B1555" s="23" t="str">
        <f>IF(A1555="","",VLOOKUP(A1555,'6.A'!$A$11:$G$180,2,FALSE))</f>
        <v/>
      </c>
      <c r="C1555" s="99"/>
      <c r="D1555" s="57" t="str">
        <f>IF(A1555="","",VLOOKUP(A1555,'6.A'!$A$11:$G$180,4,FALSE))</f>
        <v/>
      </c>
      <c r="E1555" s="100" t="str">
        <f>IF(A1555="","",VLOOKUP(A1555,'6.A'!$A$11:$G$180,5,FALSE))</f>
        <v/>
      </c>
      <c r="F1555" s="24" t="str">
        <f t="shared" si="672"/>
        <v>0,00</v>
      </c>
      <c r="G1555" s="52"/>
      <c r="H1555" s="52" t="str">
        <f>IF(A1555="","",VLOOKUP(A1555,'6.A'!$A$11:$E$7984,5,FALSE))</f>
        <v/>
      </c>
      <c r="I1555" s="52" t="str">
        <f t="shared" si="673"/>
        <v/>
      </c>
      <c r="J1555" s="52" t="str">
        <f>IF(H1555="","",VLOOKUP(A1555,'6.A'!$A$11:$E$564,4,FALSE))</f>
        <v/>
      </c>
      <c r="K1555" s="52" t="str">
        <f t="shared" si="674"/>
        <v/>
      </c>
      <c r="L1555" s="52" t="str">
        <f>IF(H1555="","",IF(C1555="","",G1520*C1555))</f>
        <v/>
      </c>
      <c r="M1555" s="117" t="str">
        <f>IF(A1555="","",VLOOKUP(A1555,'6.A'!$A$11:$C$564,2,FALSE))</f>
        <v/>
      </c>
      <c r="N1555" s="57" t="str">
        <f t="shared" si="675"/>
        <v/>
      </c>
      <c r="O1555" s="56"/>
      <c r="P1555" s="56"/>
      <c r="Q1555" s="48"/>
      <c r="R1555" s="48"/>
      <c r="S1555" s="2"/>
    </row>
    <row r="1556" spans="1:22" s="65" customFormat="1" ht="12.75" customHeight="1" x14ac:dyDescent="0.2">
      <c r="A1556" s="22"/>
      <c r="B1556" s="23" t="str">
        <f>IF(A1556="","",VLOOKUP(A1556,'6.A'!$A$11:$G$180,2,FALSE))</f>
        <v/>
      </c>
      <c r="C1556" s="99"/>
      <c r="D1556" s="57" t="str">
        <f>IF(A1556="","",VLOOKUP(A1556,'6.A'!$A$11:$G$180,4,FALSE))</f>
        <v/>
      </c>
      <c r="E1556" s="100" t="str">
        <f>IF(A1556="","",VLOOKUP(A1556,'6.A'!$A$11:$G$180,5,FALSE))</f>
        <v/>
      </c>
      <c r="F1556" s="24" t="str">
        <f t="shared" si="672"/>
        <v>0,00</v>
      </c>
      <c r="G1556" s="52"/>
      <c r="H1556" s="52" t="str">
        <f>IF(A1556="","",VLOOKUP(A1556,'6.A'!$A$11:$E$7984,5,FALSE))</f>
        <v/>
      </c>
      <c r="I1556" s="52" t="str">
        <f t="shared" si="673"/>
        <v/>
      </c>
      <c r="J1556" s="52" t="str">
        <f>IF(H1556="","",VLOOKUP(A1556,'6.A'!$A$11:$E$564,4,FALSE))</f>
        <v/>
      </c>
      <c r="K1556" s="52" t="str">
        <f t="shared" si="674"/>
        <v/>
      </c>
      <c r="L1556" s="52" t="str">
        <f>IF(H1556="","",IF(C1556="","",G1520*C1556))</f>
        <v/>
      </c>
      <c r="M1556" s="117" t="str">
        <f>IF(A1556="","",VLOOKUP(A1556,'6.A'!$A$11:$C$564,2,FALSE))</f>
        <v/>
      </c>
      <c r="N1556" s="57" t="str">
        <f t="shared" si="675"/>
        <v/>
      </c>
      <c r="O1556" s="56"/>
      <c r="P1556" s="56"/>
      <c r="Q1556" s="48"/>
      <c r="R1556" s="48"/>
      <c r="T1556" s="2"/>
      <c r="U1556" s="2"/>
      <c r="V1556" s="2"/>
    </row>
    <row r="1557" spans="1:22" s="65" customFormat="1" ht="12.75" customHeight="1" x14ac:dyDescent="0.2">
      <c r="A1557" s="22"/>
      <c r="B1557" s="23" t="str">
        <f>IF(A1557="","",VLOOKUP(A1557,'6.A'!$A$11:$G$180,2,FALSE))</f>
        <v/>
      </c>
      <c r="C1557" s="99"/>
      <c r="D1557" s="57" t="str">
        <f>IF(A1557="","",VLOOKUP(A1557,'6.A'!$A$11:$G$180,4,FALSE))</f>
        <v/>
      </c>
      <c r="E1557" s="100" t="str">
        <f>IF(A1557="","",VLOOKUP(A1557,'6.A'!$A$11:$G$180,5,FALSE))</f>
        <v/>
      </c>
      <c r="F1557" s="24" t="str">
        <f t="shared" si="672"/>
        <v>0,00</v>
      </c>
      <c r="G1557" s="52"/>
      <c r="H1557" s="52" t="str">
        <f>IF(A1557="","",VLOOKUP(A1557,'6.A'!$A$11:$E$7984,5,FALSE))</f>
        <v/>
      </c>
      <c r="I1557" s="52" t="str">
        <f t="shared" si="673"/>
        <v/>
      </c>
      <c r="J1557" s="52" t="str">
        <f>IF(H1557="","",VLOOKUP(A1557,'6.A'!$A$11:$E$564,4,FALSE))</f>
        <v/>
      </c>
      <c r="K1557" s="52" t="str">
        <f t="shared" si="674"/>
        <v/>
      </c>
      <c r="L1557" s="52" t="str">
        <f>IF(H1557="","",IF(C1557="","",G1520*C1557))</f>
        <v/>
      </c>
      <c r="M1557" s="117" t="str">
        <f>IF(A1557="","",VLOOKUP(A1557,'6.A'!$A$11:$C$564,2,FALSE))</f>
        <v/>
      </c>
      <c r="N1557" s="57" t="str">
        <f t="shared" si="675"/>
        <v/>
      </c>
      <c r="O1557" s="56"/>
      <c r="P1557" s="56"/>
      <c r="Q1557" s="48"/>
      <c r="R1557" s="48"/>
      <c r="T1557" s="2"/>
      <c r="U1557" s="2"/>
      <c r="V1557" s="2"/>
    </row>
    <row r="1558" spans="1:22" s="65" customFormat="1" ht="12.75" customHeight="1" x14ac:dyDescent="0.2">
      <c r="A1558" s="22"/>
      <c r="B1558" s="23" t="str">
        <f>IF(A1558="","",VLOOKUP(A1558,'6.A'!$A$11:$G$180,2,FALSE))</f>
        <v/>
      </c>
      <c r="C1558" s="99"/>
      <c r="D1558" s="57" t="str">
        <f>IF(A1558="","",VLOOKUP(A1558,'6.A'!$A$11:$G$180,4,FALSE))</f>
        <v/>
      </c>
      <c r="E1558" s="100" t="str">
        <f>IF(A1558="","",VLOOKUP(A1558,'6.A'!$A$11:$G$180,5,FALSE))</f>
        <v/>
      </c>
      <c r="F1558" s="24" t="str">
        <f t="shared" si="672"/>
        <v>0,00</v>
      </c>
      <c r="G1558" s="52"/>
      <c r="H1558" s="52" t="str">
        <f>IF(A1558="","",VLOOKUP(A1558,'6.A'!$A$11:$E$7984,5,FALSE))</f>
        <v/>
      </c>
      <c r="I1558" s="52" t="str">
        <f t="shared" si="673"/>
        <v/>
      </c>
      <c r="J1558" s="52" t="str">
        <f>IF(H1558="","",VLOOKUP(A1558,'6.A'!$A$11:$E$564,4,FALSE))</f>
        <v/>
      </c>
      <c r="K1558" s="52" t="str">
        <f t="shared" si="674"/>
        <v/>
      </c>
      <c r="L1558" s="52" t="str">
        <f>IF(H1558="","",IF(C1558="","",G1520*C1558))</f>
        <v/>
      </c>
      <c r="M1558" s="117" t="str">
        <f>IF(A1558="","",VLOOKUP(A1558,'6.A'!$A$11:$C$564,2,FALSE))</f>
        <v/>
      </c>
      <c r="N1558" s="57" t="str">
        <f t="shared" si="675"/>
        <v/>
      </c>
      <c r="O1558" s="56"/>
      <c r="P1558" s="56"/>
      <c r="Q1558" s="48"/>
      <c r="R1558" s="48"/>
      <c r="T1558" s="2"/>
      <c r="U1558" s="2"/>
      <c r="V1558" s="2"/>
    </row>
    <row r="1559" spans="1:22" s="65" customFormat="1" ht="12.75" customHeight="1" x14ac:dyDescent="0.2">
      <c r="A1559" s="22"/>
      <c r="B1559" s="23" t="str">
        <f>IF(A1559="","",VLOOKUP(A1559,'6.A'!$A$11:$G$180,2,FALSE))</f>
        <v/>
      </c>
      <c r="C1559" s="99"/>
      <c r="D1559" s="57" t="str">
        <f>IF(A1559="","",VLOOKUP(A1559,'6.A'!$A$11:$G$180,4,FALSE))</f>
        <v/>
      </c>
      <c r="E1559" s="100" t="str">
        <f>IF(A1559="","",VLOOKUP(A1559,'6.A'!$A$11:$G$180,5,FALSE))</f>
        <v/>
      </c>
      <c r="F1559" s="24" t="str">
        <f t="shared" si="672"/>
        <v>0,00</v>
      </c>
      <c r="G1559" s="52"/>
      <c r="H1559" s="52" t="str">
        <f>IF(A1559="","",VLOOKUP(A1559,'6.A'!$A$11:$E$7984,5,FALSE))</f>
        <v/>
      </c>
      <c r="I1559" s="52" t="str">
        <f t="shared" si="673"/>
        <v/>
      </c>
      <c r="J1559" s="52" t="str">
        <f>IF(H1559="","",VLOOKUP(A1559,'6.A'!$A$11:$E$564,4,FALSE))</f>
        <v/>
      </c>
      <c r="K1559" s="52" t="str">
        <f t="shared" si="674"/>
        <v/>
      </c>
      <c r="L1559" s="52" t="str">
        <f>IF(H1559="","",IF(C1559="","",G1520*C1559))</f>
        <v/>
      </c>
      <c r="M1559" s="117" t="str">
        <f>IF(A1559="","",VLOOKUP(A1559,'6.A'!$A$11:$C$564,2,FALSE))</f>
        <v/>
      </c>
      <c r="N1559" s="57" t="str">
        <f t="shared" si="675"/>
        <v/>
      </c>
      <c r="O1559" s="56"/>
      <c r="P1559" s="56"/>
      <c r="Q1559" s="48"/>
      <c r="R1559" s="48"/>
      <c r="T1559" s="2"/>
      <c r="U1559" s="2"/>
      <c r="V1559" s="2"/>
    </row>
    <row r="1560" spans="1:22" ht="12.75" customHeight="1" x14ac:dyDescent="0.2">
      <c r="A1560" s="22"/>
      <c r="B1560" s="23" t="str">
        <f>IF(A1560="","",VLOOKUP(A1560,'6.A'!$A$11:$G$180,2,FALSE))</f>
        <v/>
      </c>
      <c r="C1560" s="99"/>
      <c r="D1560" s="57" t="str">
        <f>IF(A1560="","",VLOOKUP(A1560,'6.A'!$A$11:$G$180,4,FALSE))</f>
        <v/>
      </c>
      <c r="E1560" s="100" t="str">
        <f>IF(A1560="","",VLOOKUP(A1560,'6.A'!$A$11:$G$180,5,FALSE))</f>
        <v/>
      </c>
      <c r="F1560" s="24" t="str">
        <f t="shared" si="672"/>
        <v>0,00</v>
      </c>
      <c r="G1560" s="52"/>
      <c r="H1560" s="52" t="str">
        <f>IF(A1560="","",VLOOKUP(A1560,'6.A'!$A$11:$E$7984,5,FALSE))</f>
        <v/>
      </c>
      <c r="I1560" s="52" t="str">
        <f t="shared" si="673"/>
        <v/>
      </c>
      <c r="J1560" s="52" t="str">
        <f>IF(H1560="","",VLOOKUP(A1560,'6.A'!$A$11:$E$564,4,FALSE))</f>
        <v/>
      </c>
      <c r="K1560" s="52" t="str">
        <f t="shared" si="674"/>
        <v/>
      </c>
      <c r="L1560" s="52" t="str">
        <f>IF(H1560="","",IF(C1560="","",G1520*C1560))</f>
        <v/>
      </c>
      <c r="M1560" s="117" t="str">
        <f>IF(A1560="","",VLOOKUP(A1560,'6.A'!$A$11:$C$564,2,FALSE))</f>
        <v/>
      </c>
      <c r="N1560" s="57" t="str">
        <f t="shared" si="675"/>
        <v/>
      </c>
      <c r="O1560" s="56"/>
      <c r="P1560" s="56"/>
      <c r="Q1560" s="48"/>
      <c r="R1560" s="48"/>
    </row>
    <row r="1561" spans="1:22" ht="12.75" customHeight="1" x14ac:dyDescent="0.2">
      <c r="A1561" s="22"/>
      <c r="B1561" s="23" t="str">
        <f>IF(A1561="","",VLOOKUP(A1561,'6.A'!$A$11:$G$180,2,FALSE))</f>
        <v/>
      </c>
      <c r="C1561" s="99"/>
      <c r="D1561" s="57" t="str">
        <f>IF(A1561="","",VLOOKUP(A1561,'6.A'!$A$11:$G$180,4,FALSE))</f>
        <v/>
      </c>
      <c r="E1561" s="100" t="str">
        <f>IF(A1561="","",VLOOKUP(A1561,'6.A'!$A$11:$G$180,5,FALSE))</f>
        <v/>
      </c>
      <c r="F1561" s="24" t="str">
        <f t="shared" si="672"/>
        <v>0,00</v>
      </c>
      <c r="G1561" s="52"/>
      <c r="H1561" s="52" t="str">
        <f>IF(A1561="","",VLOOKUP(A1561,'6.A'!$A$11:$E$7984,5,FALSE))</f>
        <v/>
      </c>
      <c r="I1561" s="52" t="str">
        <f t="shared" si="673"/>
        <v/>
      </c>
      <c r="J1561" s="52" t="str">
        <f>IF(H1561="","",VLOOKUP(A1561,'6.A'!$A$11:$E$564,4,FALSE))</f>
        <v/>
      </c>
      <c r="K1561" s="52" t="str">
        <f t="shared" si="674"/>
        <v/>
      </c>
      <c r="L1561" s="52" t="str">
        <f>IF(H1561="","",IF(C1561="","",G1520*C1561))</f>
        <v/>
      </c>
      <c r="M1561" s="117" t="str">
        <f>IF(A1561="","",VLOOKUP(A1561,'6.A'!$A$11:$C$564,2,FALSE))</f>
        <v/>
      </c>
      <c r="N1561" s="57" t="str">
        <f t="shared" si="675"/>
        <v/>
      </c>
      <c r="O1561" s="56"/>
      <c r="P1561" s="56"/>
      <c r="Q1561" s="48"/>
      <c r="R1561" s="48"/>
    </row>
    <row r="1562" spans="1:22" ht="12.75" customHeight="1" x14ac:dyDescent="0.2">
      <c r="A1562" s="22"/>
      <c r="B1562" s="23" t="str">
        <f>IF(A1562="","",VLOOKUP(A1562,'6.A'!$A$11:$G$180,2,FALSE))</f>
        <v/>
      </c>
      <c r="C1562" s="99"/>
      <c r="D1562" s="57" t="str">
        <f>IF(A1562="","",VLOOKUP(A1562,'6.A'!$A$11:$G$180,4,FALSE))</f>
        <v/>
      </c>
      <c r="E1562" s="100" t="str">
        <f>IF(A1562="","",VLOOKUP(A1562,'6.A'!$A$11:$G$180,5,FALSE))</f>
        <v/>
      </c>
      <c r="F1562" s="24" t="str">
        <f t="shared" si="672"/>
        <v>0,00</v>
      </c>
      <c r="G1562" s="52"/>
      <c r="H1562" s="52" t="str">
        <f>IF(A1562="","",VLOOKUP(A1562,'6.A'!$A$11:$E$7984,5,FALSE))</f>
        <v/>
      </c>
      <c r="I1562" s="52" t="str">
        <f t="shared" si="673"/>
        <v/>
      </c>
      <c r="J1562" s="52" t="str">
        <f>IF(H1562="","",VLOOKUP(A1562,'6.A'!$A$11:$E$564,4,FALSE))</f>
        <v/>
      </c>
      <c r="K1562" s="52" t="str">
        <f t="shared" si="674"/>
        <v/>
      </c>
      <c r="L1562" s="52" t="str">
        <f>IF(H1562="","",IF(C1562="","",G1520*C1562))</f>
        <v/>
      </c>
      <c r="M1562" s="117" t="str">
        <f>IF(A1562="","",VLOOKUP(A1562,'6.A'!$A$11:$C$564,2,FALSE))</f>
        <v/>
      </c>
      <c r="N1562" s="57" t="str">
        <f t="shared" si="675"/>
        <v/>
      </c>
      <c r="O1562" s="56"/>
      <c r="P1562" s="56"/>
      <c r="Q1562" s="48"/>
      <c r="R1562" s="48"/>
    </row>
    <row r="1563" spans="1:22" ht="12.75" customHeight="1" x14ac:dyDescent="0.2">
      <c r="A1563" s="22"/>
      <c r="B1563" s="23" t="str">
        <f>IF(A1563="","",VLOOKUP(A1563,'6.A'!$A$11:$G$180,2,FALSE))</f>
        <v/>
      </c>
      <c r="C1563" s="99"/>
      <c r="D1563" s="57" t="str">
        <f>IF(A1563="","",VLOOKUP(A1563,'6.A'!$A$11:$G$180,4,FALSE))</f>
        <v/>
      </c>
      <c r="E1563" s="100" t="str">
        <f>IF(A1563="","",VLOOKUP(A1563,'6.A'!$A$11:$G$180,5,FALSE))</f>
        <v/>
      </c>
      <c r="F1563" s="24" t="str">
        <f t="shared" si="672"/>
        <v>0,00</v>
      </c>
      <c r="G1563" s="52"/>
      <c r="H1563" s="52" t="str">
        <f>IF(A1563="","",VLOOKUP(A1563,'6.A'!$A$11:$E$7984,5,FALSE))</f>
        <v/>
      </c>
      <c r="I1563" s="52" t="str">
        <f t="shared" si="673"/>
        <v/>
      </c>
      <c r="J1563" s="52" t="str">
        <f>IF(H1563="","",VLOOKUP(A1563,'6.A'!$A$11:$E$564,4,FALSE))</f>
        <v/>
      </c>
      <c r="K1563" s="52" t="str">
        <f t="shared" si="674"/>
        <v/>
      </c>
      <c r="L1563" s="52" t="str">
        <f>IF(H1563="","",IF(C1563="","",G1520*C1563))</f>
        <v/>
      </c>
      <c r="M1563" s="117" t="str">
        <f>IF(A1563="","",VLOOKUP(A1563,'6.A'!$A$11:$C$564,2,FALSE))</f>
        <v/>
      </c>
      <c r="N1563" s="57" t="str">
        <f t="shared" si="675"/>
        <v/>
      </c>
      <c r="O1563" s="56"/>
      <c r="P1563" s="56"/>
      <c r="Q1563" s="48"/>
      <c r="R1563" s="48"/>
    </row>
    <row r="1564" spans="1:22" ht="12.75" customHeight="1" x14ac:dyDescent="0.2">
      <c r="A1564" s="22"/>
      <c r="B1564" s="23" t="str">
        <f>IF(A1564="","",VLOOKUP(A1564,'6.A'!$A$11:$G$180,2,FALSE))</f>
        <v/>
      </c>
      <c r="C1564" s="99"/>
      <c r="D1564" s="57" t="str">
        <f>IF(A1564="","",VLOOKUP(A1564,'6.A'!$A$11:$G$180,4,FALSE))</f>
        <v/>
      </c>
      <c r="E1564" s="100" t="str">
        <f>IF(A1564="","",VLOOKUP(A1564,'6.A'!$A$11:$G$180,5,FALSE))</f>
        <v/>
      </c>
      <c r="F1564" s="24" t="str">
        <f t="shared" si="672"/>
        <v>0,00</v>
      </c>
      <c r="G1564" s="52"/>
      <c r="H1564" s="52" t="str">
        <f>IF(A1564="","",VLOOKUP(A1564,'6.A'!$A$11:$E$7984,5,FALSE))</f>
        <v/>
      </c>
      <c r="I1564" s="52" t="str">
        <f t="shared" si="673"/>
        <v/>
      </c>
      <c r="J1564" s="52" t="str">
        <f>IF(H1564="","",VLOOKUP(A1564,'6.A'!$A$11:$E$564,4,FALSE))</f>
        <v/>
      </c>
      <c r="K1564" s="52" t="str">
        <f t="shared" si="674"/>
        <v/>
      </c>
      <c r="L1564" s="52" t="str">
        <f>IF(H1564="","",IF(C1564="","",G1520*C1564))</f>
        <v/>
      </c>
      <c r="M1564" s="117" t="str">
        <f>IF(A1564="","",VLOOKUP(A1564,'6.A'!$A$11:$C$564,2,FALSE))</f>
        <v/>
      </c>
      <c r="N1564" s="57" t="str">
        <f t="shared" si="675"/>
        <v/>
      </c>
      <c r="O1564" s="56"/>
      <c r="P1564" s="56"/>
      <c r="Q1564" s="48"/>
      <c r="R1564" s="48"/>
    </row>
    <row r="1565" spans="1:22" ht="12.75" customHeight="1" x14ac:dyDescent="0.2">
      <c r="A1565" s="22"/>
      <c r="B1565" s="23" t="str">
        <f>IF(A1565="","",VLOOKUP(A1565,'6.A'!$A$11:$G$180,2,FALSE))</f>
        <v/>
      </c>
      <c r="C1565" s="99"/>
      <c r="D1565" s="57" t="str">
        <f>IF(A1565="","",VLOOKUP(A1565,'6.A'!$A$11:$G$180,4,FALSE))</f>
        <v/>
      </c>
      <c r="E1565" s="100" t="str">
        <f>IF(A1565="","",VLOOKUP(A1565,'6.A'!$A$11:$G$180,5,FALSE))</f>
        <v/>
      </c>
      <c r="F1565" s="24" t="str">
        <f t="shared" si="672"/>
        <v>0,00</v>
      </c>
      <c r="G1565" s="52"/>
      <c r="H1565" s="52" t="str">
        <f>IF(A1565="","",VLOOKUP(A1565,'6.A'!$A$11:$E$7984,5,FALSE))</f>
        <v/>
      </c>
      <c r="I1565" s="52" t="str">
        <f t="shared" si="673"/>
        <v/>
      </c>
      <c r="J1565" s="52" t="str">
        <f>IF(H1565="","",VLOOKUP(A1565,'6.A'!$A$11:$E$564,4,FALSE))</f>
        <v/>
      </c>
      <c r="K1565" s="52" t="str">
        <f t="shared" si="674"/>
        <v/>
      </c>
      <c r="L1565" s="52" t="str">
        <f>IF(H1565="","",IF(C1565="","",G1520*C1565))</f>
        <v/>
      </c>
      <c r="M1565" s="117" t="str">
        <f>IF(A1565="","",VLOOKUP(A1565,'6.A'!$A$11:$C$564,2,FALSE))</f>
        <v/>
      </c>
      <c r="N1565" s="57" t="str">
        <f t="shared" si="675"/>
        <v/>
      </c>
      <c r="O1565" s="56"/>
      <c r="P1565" s="56"/>
      <c r="Q1565" s="48"/>
      <c r="R1565" s="48"/>
    </row>
    <row r="1566" spans="1:22" ht="12.75" customHeight="1" x14ac:dyDescent="0.2">
      <c r="A1566" s="22"/>
      <c r="B1566" s="39" t="str">
        <f>IF(A1566="","",VLOOKUP(A1566,'6.A'!$A$11:$G$180,2,FALSE))</f>
        <v/>
      </c>
      <c r="C1566" s="99"/>
      <c r="D1566" s="57" t="str">
        <f>IF(A1566="","",VLOOKUP(A1566,'6.A'!$A$11:$G$180,4,FALSE))</f>
        <v/>
      </c>
      <c r="E1566" s="100" t="str">
        <f>IF(A1566="","",VLOOKUP(A1566,'6.A'!$A$11:$G$180,5,FALSE))</f>
        <v/>
      </c>
      <c r="F1566" s="24" t="str">
        <f t="shared" si="672"/>
        <v>0,00</v>
      </c>
      <c r="G1566" s="52"/>
      <c r="H1566" s="52" t="str">
        <f>IF(A1566="","",VLOOKUP(A1566,'6.A'!$A$11:$E$7984,5,FALSE))</f>
        <v/>
      </c>
      <c r="I1566" s="52" t="str">
        <f t="shared" si="673"/>
        <v/>
      </c>
      <c r="J1566" s="52" t="str">
        <f>IF(H1566="","",VLOOKUP(A1566,'6.A'!$A$11:$E$564,4,FALSE))</f>
        <v/>
      </c>
      <c r="K1566" s="52" t="str">
        <f t="shared" si="674"/>
        <v/>
      </c>
      <c r="L1566" s="52" t="str">
        <f>IF(H1566="","",IF(C1566="","",G1520*C1566))</f>
        <v/>
      </c>
      <c r="M1566" s="117" t="str">
        <f>IF(A1566="","",VLOOKUP(A1566,'6.A'!$A$11:$C$564,2,FALSE))</f>
        <v/>
      </c>
      <c r="N1566" s="57" t="str">
        <f t="shared" si="675"/>
        <v/>
      </c>
      <c r="O1566" s="56"/>
      <c r="P1566" s="56"/>
      <c r="Q1566" s="48"/>
      <c r="R1566" s="48"/>
    </row>
    <row r="1567" spans="1:22" ht="12.75" customHeight="1" x14ac:dyDescent="0.2">
      <c r="A1567" s="22"/>
      <c r="B1567" s="39" t="str">
        <f>IF(A1567="","",VLOOKUP(A1567,'6.A'!$A$11:$G$180,2,FALSE))</f>
        <v/>
      </c>
      <c r="C1567" s="99"/>
      <c r="D1567" s="57" t="str">
        <f>IF(A1567="","",VLOOKUP(A1567,'6.A'!$A$11:$G$180,4,FALSE))</f>
        <v/>
      </c>
      <c r="E1567" s="100" t="str">
        <f>IF(A1567="","",VLOOKUP(A1567,'6.A'!$A$11:$G$180,5,FALSE))</f>
        <v/>
      </c>
      <c r="F1567" s="24" t="str">
        <f t="shared" si="672"/>
        <v>0,00</v>
      </c>
      <c r="G1567" s="52"/>
      <c r="H1567" s="52" t="str">
        <f>IF(A1567="","",VLOOKUP(A1567,'6.A'!$A$11:$E$7984,5,FALSE))</f>
        <v/>
      </c>
      <c r="I1567" s="52" t="str">
        <f t="shared" si="673"/>
        <v/>
      </c>
      <c r="J1567" s="52" t="str">
        <f>IF(H1567="","",VLOOKUP(A1567,'6.A'!$A$11:$E$564,4,FALSE))</f>
        <v/>
      </c>
      <c r="K1567" s="52" t="str">
        <f t="shared" si="674"/>
        <v/>
      </c>
      <c r="L1567" s="52" t="str">
        <f>IF(H1567="","",IF(C1567="","",G1520*C1567))</f>
        <v/>
      </c>
      <c r="M1567" s="117" t="str">
        <f>IF(A1567="","",VLOOKUP(A1567,'6.A'!$A$11:$C$564,2,FALSE))</f>
        <v/>
      </c>
      <c r="N1567" s="57" t="str">
        <f t="shared" si="675"/>
        <v/>
      </c>
      <c r="O1567" s="56"/>
      <c r="P1567" s="56"/>
      <c r="Q1567" s="48"/>
      <c r="R1567" s="48"/>
    </row>
    <row r="1568" spans="1:22" ht="12.75" customHeight="1" x14ac:dyDescent="0.2">
      <c r="A1568" s="22"/>
      <c r="B1568" s="39" t="str">
        <f>IF(A1568="","",VLOOKUP(A1568,'6.A'!$A$11:$G$180,2,FALSE))</f>
        <v/>
      </c>
      <c r="C1568" s="99"/>
      <c r="D1568" s="57" t="str">
        <f>IF(A1568="","",VLOOKUP(A1568,'6.A'!$A$11:$G$180,4,FALSE))</f>
        <v/>
      </c>
      <c r="E1568" s="100" t="str">
        <f>IF(A1568="","",VLOOKUP(A1568,'6.A'!$A$11:$G$180,5,FALSE))</f>
        <v/>
      </c>
      <c r="F1568" s="24" t="str">
        <f t="shared" si="672"/>
        <v>0,00</v>
      </c>
      <c r="G1568" s="52"/>
      <c r="H1568" s="52" t="str">
        <f>IF(A1568="","",VLOOKUP(A1568,'6.A'!$A$11:$E$7984,5,FALSE))</f>
        <v/>
      </c>
      <c r="I1568" s="52" t="str">
        <f t="shared" si="673"/>
        <v/>
      </c>
      <c r="J1568" s="52" t="str">
        <f>IF(H1568="","",VLOOKUP(A1568,'6.A'!$A$11:$E$564,4,FALSE))</f>
        <v/>
      </c>
      <c r="K1568" s="52" t="str">
        <f t="shared" si="674"/>
        <v/>
      </c>
      <c r="L1568" s="52" t="str">
        <f>IF(H1568="","",IF(C1568="","",G1520*C1568))</f>
        <v/>
      </c>
      <c r="M1568" s="117" t="str">
        <f>IF(A1568="","",VLOOKUP(A1568,'6.A'!$A$11:$C$564,2,FALSE))</f>
        <v/>
      </c>
      <c r="N1568" s="57" t="str">
        <f t="shared" si="675"/>
        <v/>
      </c>
      <c r="O1568" s="56"/>
      <c r="P1568" s="56"/>
      <c r="Q1568" s="48"/>
      <c r="R1568" s="48"/>
    </row>
    <row r="1569" spans="1:23" ht="12.75" customHeight="1" x14ac:dyDescent="0.2">
      <c r="A1569" s="22"/>
      <c r="B1569" s="26" t="str">
        <f>$A$9</f>
        <v>BDI</v>
      </c>
      <c r="C1569" s="40">
        <f>$C$9</f>
        <v>0</v>
      </c>
      <c r="D1569" s="57"/>
      <c r="F1569" s="28">
        <f>ROUND(SUM(F1549:F1568)*C1569,2)</f>
        <v>0</v>
      </c>
      <c r="G1569" s="63"/>
      <c r="M1569" s="57"/>
      <c r="N1569" s="57"/>
      <c r="O1569" s="56"/>
      <c r="P1569" s="56"/>
      <c r="Q1569" s="48"/>
      <c r="R1569" s="48"/>
    </row>
    <row r="1570" spans="1:23" ht="12.75" customHeight="1" thickBot="1" x14ac:dyDescent="0.25">
      <c r="A1570" s="41"/>
      <c r="B1570" s="42" t="s">
        <v>57</v>
      </c>
      <c r="C1570" s="43"/>
      <c r="D1570" s="44"/>
      <c r="E1570" s="45"/>
      <c r="F1570" s="46">
        <f>ROUND(SUM(F1549:F1569),2)</f>
        <v>0</v>
      </c>
      <c r="G1570" s="63"/>
      <c r="M1570" s="57"/>
      <c r="N1570" s="57"/>
      <c r="O1570" s="56"/>
      <c r="P1570" s="56"/>
      <c r="Q1570" s="48"/>
      <c r="R1570" s="48"/>
    </row>
    <row r="1571" spans="1:23" ht="12" customHeight="1" thickBot="1" x14ac:dyDescent="0.25">
      <c r="A1571" s="8"/>
      <c r="B1571" s="9"/>
      <c r="C1571" s="10"/>
      <c r="D1571" s="57"/>
      <c r="F1571" s="12"/>
      <c r="M1571" s="57"/>
      <c r="N1571" s="57"/>
      <c r="O1571" s="56"/>
      <c r="P1571" s="56"/>
    </row>
    <row r="1572" spans="1:23" ht="50.1" customHeight="1" x14ac:dyDescent="0.2">
      <c r="A1572" s="13" t="str">
        <f>'3.A'!$A$46</f>
        <v>3.2.6</v>
      </c>
      <c r="B1572" s="14" t="str">
        <f>IF(A1572="","",VLOOKUP(A1572,'3.A'!$A$17:$M$279,2,FALSE))</f>
        <v>CABO DE COBRE FLEXÍVEL ISOLADO, 25 MM², 0,6/1,0 KV, PARA REDE AÉREA DE ENERGIA ELÉTRICA DE BAIXA TENSÃO - TERRA</v>
      </c>
      <c r="C1572" s="413" t="s">
        <v>62</v>
      </c>
      <c r="D1572" s="413"/>
      <c r="E1572" s="15" t="str">
        <f>IF(A1572="","",VLOOKUP(A1572,'3.A'!$A$17:$M$279,3,FALSE))</f>
        <v>M</v>
      </c>
      <c r="F1572" s="16">
        <f>ROUND(F1586+F1599+F1622,2)</f>
        <v>0</v>
      </c>
      <c r="G1572" s="118">
        <f>VLOOKUP(A1572,'3.A'!$A$19:$I$279,4,FALSE)</f>
        <v>5</v>
      </c>
      <c r="H1572" s="47">
        <f>SUM(F1574:F1585)</f>
        <v>0</v>
      </c>
      <c r="I1572" s="47">
        <f>SUM(F1588:F1598)</f>
        <v>0</v>
      </c>
      <c r="J1572" s="47">
        <f>SUM(F1601:F1621)</f>
        <v>0</v>
      </c>
      <c r="K1572" s="47">
        <f>SUM(H1572:J1572)</f>
        <v>0</v>
      </c>
      <c r="L1572" s="47" t="str">
        <f>IF(K1572=F1572,"SIM","NÃO")</f>
        <v>SIM</v>
      </c>
      <c r="M1572" s="58">
        <f>ROUND(SUM(F1574:F1583)*C1584,2)+ROUND(SUM(F1574:F1584)*C1585,2)+ROUND(SUM(F1574:F1583),2)+ROUND(SUM(F1588:F1597)*C1598,2)+ROUND(SUM(F1588:F1597),2)+ROUND(SUM(F1601:F1620)*C1621,2)+ROUND(SUM(F1601:F1620),2)</f>
        <v>0</v>
      </c>
      <c r="N1572" s="50" t="str">
        <f>IF(M1572=F1572,"SIM","NÃO")</f>
        <v>SIM</v>
      </c>
      <c r="O1572" s="51" t="str">
        <f>VLOOKUP(A1572,'3.A'!$A$8:$E$279,3,FALSE)</f>
        <v>M</v>
      </c>
      <c r="P1572" s="51" t="str">
        <f>IF(O1572=E1572,"SIM","NÃO")</f>
        <v>SIM</v>
      </c>
      <c r="Q1572" s="53">
        <f>ROUND(G1572*F1586,2)+ROUND(G1572*F1599,2)+ROUND(G1572*F1622,2)</f>
        <v>0</v>
      </c>
      <c r="R1572" s="59">
        <f>VLOOKUP(A1572,'3.A'!$A$17:$L$279,12,FALSE)</f>
        <v>0</v>
      </c>
      <c r="S1572" s="60" t="str">
        <f>IF(Q1572=R1572,"si","no")</f>
        <v>si</v>
      </c>
      <c r="T1572" s="61">
        <f>SUM(L1574:L1583)+SUM(L1588:L1597)+SUM(L1601:L1620)</f>
        <v>5.2149999999999999</v>
      </c>
      <c r="U1572" s="52">
        <f>G1572*C1580+G1572*C1582+G1572*C1575+G1572*C1576+G1572*C1578+G1572*C1581+G1572*C1579+G1572*C1574+G1572*C1577+G1572*C1583+G1572*C1594+G1572*C1588+G1572*C1596+G1572*C1595+G1572*C1593+G1572*C1590+G1572*C1589+G1572*C1591+G1572*C1597+G1572*C1592+G1572*C1601+G1572*C1602+G1572*C1603+G1572*C1611+G1572*C1612+G1572*C1613+G1572*C1614+G1572*C1615+G1572*C1616+G1572*C1617+G1572*C1618+G1572*C1619+G1572*C1620+G1572*C1609+G1572*C1610+G1572*C1604+G1572*C1605+G1572*C1606+G1572*C1607+G1572*C1608</f>
        <v>5.2149999999999999</v>
      </c>
      <c r="V1572" s="54" t="str">
        <f>IF(T1572=U1572,"si","no")</f>
        <v>si</v>
      </c>
      <c r="W1572" s="137"/>
    </row>
    <row r="1573" spans="1:23" ht="12.75" customHeight="1" x14ac:dyDescent="0.2">
      <c r="A1573" s="17" t="s">
        <v>3</v>
      </c>
      <c r="B1573" s="18" t="s">
        <v>58</v>
      </c>
      <c r="C1573" s="56" t="s">
        <v>59</v>
      </c>
      <c r="D1573" s="56" t="s">
        <v>16</v>
      </c>
      <c r="E1573" s="19" t="s">
        <v>60</v>
      </c>
      <c r="F1573" s="20" t="s">
        <v>61</v>
      </c>
      <c r="G1573" s="21"/>
      <c r="M1573" s="57"/>
      <c r="N1573" s="57"/>
      <c r="O1573" s="56"/>
      <c r="P1573" s="56"/>
      <c r="Q1573" s="48"/>
      <c r="R1573" s="48"/>
    </row>
    <row r="1574" spans="1:23" ht="12.75" customHeight="1" x14ac:dyDescent="0.2">
      <c r="A1574" s="22">
        <f>'6.A'!$A$18</f>
        <v>88264</v>
      </c>
      <c r="B1574" s="23" t="str">
        <f>IF(A1574="","",VLOOKUP(A1574,'6.A'!$A$11:$G$180,2,FALSE))</f>
        <v>ELETRICISTA COM ENCARGOS COMPLEMENTARES</v>
      </c>
      <c r="C1574" s="99">
        <v>2.8999999999999998E-3</v>
      </c>
      <c r="D1574" s="57" t="str">
        <f>IF(A1574="","",VLOOKUP(A1574,'6.A'!$A$11:$G$180,4,FALSE))</f>
        <v>H</v>
      </c>
      <c r="E1574" s="100">
        <f>IF(A1574="","",VLOOKUP(A1574,'6.A'!$A$11:$G$180,5,FALSE))</f>
        <v>0</v>
      </c>
      <c r="F1574" s="24">
        <f t="shared" ref="F1574:F1583" si="676">IF(A1574="","0,00",ROUND(C1574*E1574,2))</f>
        <v>0</v>
      </c>
      <c r="G1574" s="52"/>
      <c r="H1574" s="52">
        <f>IF(A1574="","",VLOOKUP(A1574,'6.A'!$A$11:$E$7984,5,FALSE))</f>
        <v>0</v>
      </c>
      <c r="I1574" s="52" t="str">
        <f>IF(H1574="","",IF(E1574=H1574,"SIM","NÃO"))</f>
        <v>SIM</v>
      </c>
      <c r="J1574" s="52" t="str">
        <f>IF(H1574="","",VLOOKUP(A1574,'6.A'!$A$11:$E$564,4,FALSE))</f>
        <v>H</v>
      </c>
      <c r="K1574" s="52" t="str">
        <f>IF(H1574="","",IF(J1574=D1574,"SIM","NÃO"))</f>
        <v>SIM</v>
      </c>
      <c r="L1574" s="52">
        <f>IF(H1574="","",IF(C1574="","",G1572*C1574))</f>
        <v>1.4499999999999999E-2</v>
      </c>
      <c r="M1574" s="117" t="str">
        <f>IF(A1574="","",VLOOKUP(A1574,'6.A'!$A$11:$C$564,2,FALSE))</f>
        <v>ELETRICISTA COM ENCARGOS COMPLEMENTARES</v>
      </c>
      <c r="N1574" s="57" t="str">
        <f>IF(A1574="","",IF(M1574=B1574,"si","no"))</f>
        <v>si</v>
      </c>
      <c r="O1574" s="56"/>
      <c r="P1574" s="56"/>
      <c r="Q1574" s="48"/>
      <c r="R1574" s="48"/>
    </row>
    <row r="1575" spans="1:23" ht="12.75" customHeight="1" x14ac:dyDescent="0.2">
      <c r="A1575" s="22"/>
      <c r="B1575" s="23" t="str">
        <f>IF(A1575="","",VLOOKUP(A1575,'6.A'!$A$11:$G$180,2,FALSE))</f>
        <v/>
      </c>
      <c r="C1575" s="99"/>
      <c r="D1575" s="57" t="str">
        <f>IF(A1575="","",VLOOKUP(A1575,'6.A'!$A$11:$G$180,4,FALSE))</f>
        <v/>
      </c>
      <c r="E1575" s="100" t="str">
        <f>IF(A1575="","",VLOOKUP(A1575,'6.A'!$A$11:$G$180,5,FALSE))</f>
        <v/>
      </c>
      <c r="F1575" s="24" t="str">
        <f t="shared" si="676"/>
        <v>0,00</v>
      </c>
      <c r="G1575" s="52"/>
      <c r="H1575" s="52" t="str">
        <f>IF(A1575="","",VLOOKUP(A1575,'6.A'!$A$11:$E$7984,5,FALSE))</f>
        <v/>
      </c>
      <c r="I1575" s="52" t="str">
        <f>IF(H1575="","",IF(E1575=H1575,"SIM","NÃO"))</f>
        <v/>
      </c>
      <c r="J1575" s="52" t="str">
        <f>IF(H1575="","",VLOOKUP(A1575,'6.A'!$A$11:$E$564,4,FALSE))</f>
        <v/>
      </c>
      <c r="K1575" s="52" t="str">
        <f>IF(H1575="","",IF(J1575=D1575,"SIM","NÃO"))</f>
        <v/>
      </c>
      <c r="L1575" s="52" t="str">
        <f>IF(H1575="","",IF(C1575="","",G1572*C1575))</f>
        <v/>
      </c>
      <c r="M1575" s="117" t="str">
        <f>IF(A1575="","",VLOOKUP(A1575,'6.A'!$A$11:$C$564,2,FALSE))</f>
        <v/>
      </c>
      <c r="N1575" s="57" t="str">
        <f>IF(A1575="","",IF(M1575=B1575,"si","no"))</f>
        <v/>
      </c>
      <c r="O1575" s="56"/>
      <c r="P1575" s="56"/>
      <c r="Q1575" s="48"/>
      <c r="R1575" s="48"/>
    </row>
    <row r="1576" spans="1:23" ht="12.75" customHeight="1" x14ac:dyDescent="0.2">
      <c r="A1576" s="22"/>
      <c r="B1576" s="23" t="str">
        <f>IF(A1576="","",VLOOKUP(A1576,'6.A'!$A$11:$G$180,2,FALSE))</f>
        <v/>
      </c>
      <c r="C1576" s="99"/>
      <c r="D1576" s="57" t="str">
        <f>IF(A1576="","",VLOOKUP(A1576,'6.A'!$A$11:$G$180,4,FALSE))</f>
        <v/>
      </c>
      <c r="E1576" s="100" t="str">
        <f>IF(A1576="","",VLOOKUP(A1576,'6.A'!$A$11:$G$180,5,FALSE))</f>
        <v/>
      </c>
      <c r="F1576" s="24" t="str">
        <f t="shared" si="676"/>
        <v>0,00</v>
      </c>
      <c r="G1576" s="52"/>
      <c r="H1576" s="52" t="str">
        <f>IF(A1576="","",VLOOKUP(A1576,'6.A'!$A$11:$E$7984,5,FALSE))</f>
        <v/>
      </c>
      <c r="I1576" s="52" t="str">
        <f>IF(H1576="","",IF(E1576=H1576,"SIM","NÃO"))</f>
        <v/>
      </c>
      <c r="J1576" s="52" t="str">
        <f>IF(H1576="","",VLOOKUP(A1576,'6.A'!$A$11:$E$564,4,FALSE))</f>
        <v/>
      </c>
      <c r="K1576" s="52" t="str">
        <f t="shared" ref="K1576" si="677">IF(H1576="","",IF(J1576=D1576,"SIM","NÃO"))</f>
        <v/>
      </c>
      <c r="L1576" s="52" t="str">
        <f>IF(H1576="","",IF(C1576="","",G1572*C1576))</f>
        <v/>
      </c>
      <c r="M1576" s="117" t="str">
        <f>IF(A1576="","",VLOOKUP(A1576,'6.A'!$A$11:$C$564,2,FALSE))</f>
        <v/>
      </c>
      <c r="N1576" s="57" t="str">
        <f t="shared" ref="N1576" si="678">IF(A1576="","",IF(M1576=B1576,"si","no"))</f>
        <v/>
      </c>
      <c r="O1576" s="56"/>
      <c r="P1576" s="56"/>
      <c r="Q1576" s="48"/>
      <c r="R1576" s="48"/>
      <c r="S1576" s="2"/>
    </row>
    <row r="1577" spans="1:23" ht="12.75" customHeight="1" x14ac:dyDescent="0.2">
      <c r="A1577" s="22"/>
      <c r="B1577" s="23" t="str">
        <f>IF(A1577="","",VLOOKUP(A1577,'6.A'!$A$11:$G$180,2,FALSE))</f>
        <v/>
      </c>
      <c r="C1577" s="99"/>
      <c r="D1577" s="57" t="str">
        <f>IF(A1577="","",VLOOKUP(A1577,'6.A'!$A$11:$G$180,4,FALSE))</f>
        <v/>
      </c>
      <c r="E1577" s="100" t="str">
        <f>IF(A1577="","",VLOOKUP(A1577,'6.A'!$A$11:$G$180,5,FALSE))</f>
        <v/>
      </c>
      <c r="F1577" s="24" t="str">
        <f t="shared" si="676"/>
        <v>0,00</v>
      </c>
      <c r="G1577" s="52"/>
      <c r="H1577" s="52" t="str">
        <f>IF(A1577="","",VLOOKUP(A1577,'6.A'!$A$11:$E$7984,5,FALSE))</f>
        <v/>
      </c>
      <c r="I1577" s="52" t="str">
        <f>IF(H1577="","",IF(E1577=H1577,"SIM","NÃO"))</f>
        <v/>
      </c>
      <c r="J1577" s="52" t="str">
        <f>IF(H1577="","",VLOOKUP(A1577,'6.A'!$A$11:$E$564,4,FALSE))</f>
        <v/>
      </c>
      <c r="K1577" s="52" t="str">
        <f>IF(H1577="","",IF(J1577=D1577,"SIM","NÃO"))</f>
        <v/>
      </c>
      <c r="L1577" s="52" t="str">
        <f>IF(H1577="","",IF(C1577="","",G1572*C1577))</f>
        <v/>
      </c>
      <c r="M1577" s="117" t="str">
        <f>IF(A1577="","",VLOOKUP(A1577,'6.A'!$A$11:$C$564,2,FALSE))</f>
        <v/>
      </c>
      <c r="N1577" s="57" t="str">
        <f>IF(A1577="","",IF(M1577=B1577,"si","no"))</f>
        <v/>
      </c>
      <c r="O1577" s="56"/>
      <c r="P1577" s="56"/>
      <c r="Q1577" s="48"/>
      <c r="R1577" s="48"/>
      <c r="S1577" s="2"/>
    </row>
    <row r="1578" spans="1:23" ht="12.75" customHeight="1" x14ac:dyDescent="0.2">
      <c r="A1578" s="22"/>
      <c r="B1578" s="23" t="str">
        <f>IF(A1578="","",VLOOKUP(A1578,'6.A'!$A$11:$G$180,2,FALSE))</f>
        <v/>
      </c>
      <c r="C1578" s="99"/>
      <c r="D1578" s="57" t="str">
        <f>IF(A1578="","",VLOOKUP(A1578,'6.A'!$A$11:$G$180,4,FALSE))</f>
        <v/>
      </c>
      <c r="E1578" s="101" t="str">
        <f>IF(A1578="","",VLOOKUP(A1578,'6.A'!$A$11:$G$180,5,FALSE))</f>
        <v/>
      </c>
      <c r="F1578" s="24" t="str">
        <f t="shared" si="676"/>
        <v>0,00</v>
      </c>
      <c r="G1578" s="52"/>
      <c r="H1578" s="52" t="str">
        <f>IF(A1578="","",VLOOKUP(A1578,'6.A'!$A$11:$E$7984,5,FALSE))</f>
        <v/>
      </c>
      <c r="I1578" s="52" t="str">
        <f t="shared" ref="I1578" si="679">IF(H1578="","",IF(E1578=H1578,"SIM","NÃO"))</f>
        <v/>
      </c>
      <c r="J1578" s="52" t="str">
        <f>IF(H1578="","",VLOOKUP(A1578,'6.A'!$A$11:$E$564,4,FALSE))</f>
        <v/>
      </c>
      <c r="K1578" s="52" t="str">
        <f t="shared" ref="K1578" si="680">IF(H1578="","",IF(J1578=D1578,"SIM","NÃO"))</f>
        <v/>
      </c>
      <c r="L1578" s="52" t="str">
        <f>IF(H1578="","",IF(C1578="","",G1572*C1578))</f>
        <v/>
      </c>
      <c r="M1578" s="117" t="str">
        <f>IF(A1578="","",VLOOKUP(A1578,'6.A'!$A$11:$C$564,2,FALSE))</f>
        <v/>
      </c>
      <c r="N1578" s="57" t="str">
        <f t="shared" ref="N1578" si="681">IF(A1578="","",IF(M1578=B1578,"si","no"))</f>
        <v/>
      </c>
      <c r="O1578" s="56"/>
      <c r="P1578" s="56"/>
      <c r="Q1578" s="48"/>
      <c r="R1578" s="48"/>
      <c r="S1578" s="2"/>
    </row>
    <row r="1579" spans="1:23" ht="12.75" customHeight="1" x14ac:dyDescent="0.2">
      <c r="A1579" s="22"/>
      <c r="B1579" s="23" t="str">
        <f>IF(A1579="","",VLOOKUP(A1579,'6.A'!$A$11:$G$180,2,FALSE))</f>
        <v/>
      </c>
      <c r="C1579" s="99"/>
      <c r="D1579" s="57" t="str">
        <f>IF(A1579="","",VLOOKUP(A1579,'6.A'!$A$11:$G$180,4,FALSE))</f>
        <v/>
      </c>
      <c r="E1579" s="101" t="str">
        <f>IF(A1579="","",VLOOKUP(A1579,'6.A'!$A$11:$G$180,5,FALSE))</f>
        <v/>
      </c>
      <c r="F1579" s="24" t="str">
        <f t="shared" si="676"/>
        <v>0,00</v>
      </c>
      <c r="G1579" s="52"/>
      <c r="H1579" s="52" t="str">
        <f>IF(A1579="","",VLOOKUP(A1579,'6.A'!$A$11:$E$7984,5,FALSE))</f>
        <v/>
      </c>
      <c r="I1579" s="52" t="str">
        <f>IF(H1579="","",IF(E1579=H1579,"SIM","NÃO"))</f>
        <v/>
      </c>
      <c r="J1579" s="52" t="str">
        <f>IF(H1579="","",VLOOKUP(A1579,'6.A'!$A$11:$E$564,4,FALSE))</f>
        <v/>
      </c>
      <c r="K1579" s="52" t="str">
        <f>IF(H1579="","",IF(J1579=D1579,"SIM","NÃO"))</f>
        <v/>
      </c>
      <c r="L1579" s="52" t="str">
        <f>IF(H1579="","",IF(C1579="","",G1572*C1579))</f>
        <v/>
      </c>
      <c r="M1579" s="117" t="str">
        <f>IF(A1579="","",VLOOKUP(A1579,'6.A'!$A$11:$C$564,2,FALSE))</f>
        <v/>
      </c>
      <c r="N1579" s="57" t="str">
        <f>IF(A1579="","",IF(M1579=B1579,"si","no"))</f>
        <v/>
      </c>
      <c r="O1579" s="56"/>
      <c r="P1579" s="56"/>
      <c r="Q1579" s="48"/>
      <c r="R1579" s="48"/>
      <c r="S1579" s="2"/>
    </row>
    <row r="1580" spans="1:23" ht="12.75" customHeight="1" x14ac:dyDescent="0.2">
      <c r="A1580" s="22"/>
      <c r="B1580" s="23" t="str">
        <f>IF(A1580="","",VLOOKUP(A1580,'6.A'!$A$11:$G$180,2,FALSE))</f>
        <v/>
      </c>
      <c r="C1580" s="99"/>
      <c r="D1580" s="57" t="str">
        <f>IF(A1580="","",VLOOKUP(A1580,'6.A'!$A$11:$G$180,4,FALSE))</f>
        <v/>
      </c>
      <c r="E1580" s="100" t="str">
        <f>IF(A1580="","",VLOOKUP(A1580,'6.A'!$A$11:$G$180,5,FALSE))</f>
        <v/>
      </c>
      <c r="F1580" s="24" t="str">
        <f t="shared" si="676"/>
        <v>0,00</v>
      </c>
      <c r="G1580" s="52"/>
      <c r="H1580" s="52" t="str">
        <f>IF(A1580="","",VLOOKUP(A1580,'6.A'!$A$11:$E$7984,5,FALSE))</f>
        <v/>
      </c>
      <c r="I1580" s="52" t="str">
        <f>IF(H1580="","",IF(E1580=H1580,"SIM","NÃO"))</f>
        <v/>
      </c>
      <c r="J1580" s="52" t="str">
        <f>IF(H1580="","",VLOOKUP(A1580,'6.A'!$A$11:$E$564,4,FALSE))</f>
        <v/>
      </c>
      <c r="K1580" s="52" t="str">
        <f>IF(H1580="","",IF(J1580=D1580,"SIM","NÃO"))</f>
        <v/>
      </c>
      <c r="L1580" s="52" t="str">
        <f>IF(H1580="","",IF(C1580="","",G1572*C1580))</f>
        <v/>
      </c>
      <c r="M1580" s="117" t="str">
        <f>IF(A1580="","",VLOOKUP(A1580,'6.A'!$A$11:$C$564,2,FALSE))</f>
        <v/>
      </c>
      <c r="N1580" s="57" t="str">
        <f>IF(A1580="","",IF(M1580=B1580,"si","no"))</f>
        <v/>
      </c>
      <c r="O1580" s="56"/>
      <c r="P1580" s="56"/>
      <c r="Q1580" s="48"/>
      <c r="R1580" s="48"/>
      <c r="S1580" s="2"/>
    </row>
    <row r="1581" spans="1:23" ht="12.75" customHeight="1" x14ac:dyDescent="0.2">
      <c r="A1581" s="22"/>
      <c r="B1581" s="23" t="str">
        <f>IF(A1581="","",VLOOKUP(A1581,'6.A'!$A$11:$G$180,2,FALSE))</f>
        <v/>
      </c>
      <c r="C1581" s="99"/>
      <c r="D1581" s="57" t="str">
        <f>IF(A1581="","",VLOOKUP(A1581,'6.A'!$A$11:$G$180,4,FALSE))</f>
        <v/>
      </c>
      <c r="E1581" s="100" t="str">
        <f>IF(A1581="","",VLOOKUP(A1581,'6.A'!$A$11:$G$180,5,FALSE))</f>
        <v/>
      </c>
      <c r="F1581" s="24" t="str">
        <f t="shared" si="676"/>
        <v>0,00</v>
      </c>
      <c r="G1581" s="52"/>
      <c r="H1581" s="52" t="str">
        <f>IF(A1581="","",VLOOKUP(A1581,'6.A'!$A$11:$E$7984,5,FALSE))</f>
        <v/>
      </c>
      <c r="I1581" s="52" t="str">
        <f t="shared" ref="I1581" si="682">IF(H1581="","",IF(E1581=H1581,"SIM","NÃO"))</f>
        <v/>
      </c>
      <c r="J1581" s="52" t="str">
        <f>IF(H1581="","",VLOOKUP(A1581,'6.A'!$A$11:$E$564,4,FALSE))</f>
        <v/>
      </c>
      <c r="K1581" s="52" t="str">
        <f t="shared" ref="K1581" si="683">IF(H1581="","",IF(J1581=D1581,"SIM","NÃO"))</f>
        <v/>
      </c>
      <c r="L1581" s="52" t="str">
        <f>IF(H1581="","",IF(C1581="","",G1572*C1581))</f>
        <v/>
      </c>
      <c r="M1581" s="117" t="str">
        <f>IF(A1581="","",VLOOKUP(A1581,'6.A'!$A$11:$C$564,2,FALSE))</f>
        <v/>
      </c>
      <c r="N1581" s="57" t="str">
        <f t="shared" ref="N1581" si="684">IF(A1581="","",IF(M1581=B1581,"si","no"))</f>
        <v/>
      </c>
      <c r="O1581" s="56"/>
      <c r="P1581" s="56"/>
      <c r="Q1581" s="48"/>
      <c r="R1581" s="48"/>
      <c r="S1581" s="2"/>
    </row>
    <row r="1582" spans="1:23" ht="12.75" customHeight="1" x14ac:dyDescent="0.2">
      <c r="A1582" s="22"/>
      <c r="B1582" s="23" t="str">
        <f>IF(A1582="","",VLOOKUP(A1582,'6.A'!$A$11:$G$180,2,FALSE))</f>
        <v/>
      </c>
      <c r="C1582" s="99"/>
      <c r="D1582" s="73" t="str">
        <f>IF(A1582="","",VLOOKUP(A1582,'6.A'!$A$11:$G$180,4,FALSE))</f>
        <v/>
      </c>
      <c r="E1582" s="101" t="str">
        <f>IF(A1582="","",VLOOKUP(A1582,'6.A'!$A$11:$G$180,5,FALSE))</f>
        <v/>
      </c>
      <c r="F1582" s="24" t="str">
        <f t="shared" si="676"/>
        <v>0,00</v>
      </c>
      <c r="G1582" s="52"/>
      <c r="H1582" s="52" t="str">
        <f>IF(A1582="","",VLOOKUP(A1582,'6.A'!$A$11:$E$7984,5,FALSE))</f>
        <v/>
      </c>
      <c r="I1582" s="52" t="str">
        <f>IF(H1582="","",IF(E1582=H1582,"SIM","NÃO"))</f>
        <v/>
      </c>
      <c r="J1582" s="52" t="str">
        <f>IF(H1582="","",VLOOKUP(A1582,'6.A'!$A$11:$E$564,4,FALSE))</f>
        <v/>
      </c>
      <c r="K1582" s="52" t="str">
        <f>IF(H1582="","",IF(J1582=D1582,"SIM","NÃO"))</f>
        <v/>
      </c>
      <c r="L1582" s="52" t="str">
        <f>IF(H1582="","",IF(C1582="","",G1572*C1582))</f>
        <v/>
      </c>
      <c r="M1582" s="117" t="str">
        <f>IF(A1582="","",VLOOKUP(A1582,'6.A'!$A$11:$C$564,2,FALSE))</f>
        <v/>
      </c>
      <c r="N1582" s="57" t="str">
        <f>IF(A1582="","",IF(M1582=B1582,"si","no"))</f>
        <v/>
      </c>
      <c r="O1582" s="56"/>
      <c r="P1582" s="56"/>
      <c r="Q1582" s="48"/>
      <c r="R1582" s="48"/>
      <c r="S1582" s="2"/>
    </row>
    <row r="1583" spans="1:23" ht="12.75" customHeight="1" x14ac:dyDescent="0.2">
      <c r="A1583" s="22"/>
      <c r="B1583" s="23" t="str">
        <f>IF(A1583="","",VLOOKUP(A1583,'6.A'!$A$11:$G$180,2,FALSE))</f>
        <v/>
      </c>
      <c r="C1583" s="99"/>
      <c r="D1583" s="25" t="str">
        <f>IF(A1583="","",VLOOKUP(A1583,'6.A'!$A$11:$G$180,4,FALSE))</f>
        <v/>
      </c>
      <c r="E1583" s="101" t="str">
        <f>IF(A1583="","",VLOOKUP(A1583,'6.A'!$A$11:$G$180,5,FALSE))</f>
        <v/>
      </c>
      <c r="F1583" s="24" t="str">
        <f t="shared" si="676"/>
        <v>0,00</v>
      </c>
      <c r="G1583" s="52"/>
      <c r="H1583" s="52" t="str">
        <f>IF(A1583="","",VLOOKUP(A1583,'6.A'!$A$11:$E$7984,5,FALSE))</f>
        <v/>
      </c>
      <c r="I1583" s="52" t="str">
        <f t="shared" ref="I1583" si="685">IF(H1583="","",IF(E1583=H1583,"SIM","NÃO"))</f>
        <v/>
      </c>
      <c r="J1583" s="52" t="str">
        <f>IF(H1583="","",VLOOKUP(A1583,'6.A'!$A$11:$E$564,4,FALSE))</f>
        <v/>
      </c>
      <c r="K1583" s="52" t="str">
        <f t="shared" ref="K1583" si="686">IF(H1583="","",IF(J1583=D1583,"SIM","NÃO"))</f>
        <v/>
      </c>
      <c r="L1583" s="52" t="str">
        <f>IF(H1583="","",IF(C1583="","",G1572*C1583))</f>
        <v/>
      </c>
      <c r="M1583" s="117" t="str">
        <f>IF(A1583="","",VLOOKUP(A1583,'6.A'!$A$11:$C$564,2,FALSE))</f>
        <v/>
      </c>
      <c r="N1583" s="57" t="str">
        <f t="shared" ref="N1583" si="687">IF(A1583="","",IF(M1583=B1583,"si","no"))</f>
        <v/>
      </c>
      <c r="O1583" s="56"/>
      <c r="P1583" s="56"/>
      <c r="Q1583" s="48"/>
      <c r="R1583" s="48"/>
      <c r="S1583" s="2"/>
    </row>
    <row r="1584" spans="1:23" ht="12.75" customHeight="1" x14ac:dyDescent="0.2">
      <c r="A1584" s="17"/>
      <c r="B1584" s="26" t="str">
        <f>$A$8</f>
        <v>LEIS SOCIAIS HORISTA - JORNADA NORMAL</v>
      </c>
      <c r="C1584" s="27">
        <f>$C$8</f>
        <v>0</v>
      </c>
      <c r="D1584" s="57"/>
      <c r="F1584" s="28">
        <f>ROUND(SUM(F1574:F1583)*C1584,2)</f>
        <v>0</v>
      </c>
      <c r="G1584" s="63"/>
      <c r="M1584" s="62"/>
      <c r="N1584" s="57"/>
      <c r="O1584" s="56"/>
      <c r="P1584" s="56"/>
      <c r="Q1584" s="48"/>
      <c r="R1584" s="48"/>
      <c r="S1584" s="2"/>
    </row>
    <row r="1585" spans="1:19" ht="12.75" customHeight="1" x14ac:dyDescent="0.2">
      <c r="A1585" s="22"/>
      <c r="B1585" s="26" t="str">
        <f>$A$9</f>
        <v>BDI</v>
      </c>
      <c r="C1585" s="27">
        <f>$C$9</f>
        <v>0</v>
      </c>
      <c r="D1585" s="29"/>
      <c r="F1585" s="28">
        <f>ROUND(SUM(F1574:F1584)*C1585,2)</f>
        <v>0</v>
      </c>
      <c r="G1585" s="63"/>
      <c r="M1585" s="62"/>
      <c r="N1585" s="57"/>
      <c r="O1585" s="56"/>
      <c r="P1585" s="56"/>
      <c r="Q1585" s="48"/>
      <c r="R1585" s="48"/>
      <c r="S1585" s="2"/>
    </row>
    <row r="1586" spans="1:19" ht="12.75" customHeight="1" x14ac:dyDescent="0.2">
      <c r="A1586" s="30"/>
      <c r="B1586" s="31" t="s">
        <v>56</v>
      </c>
      <c r="C1586" s="32"/>
      <c r="D1586" s="33"/>
      <c r="E1586" s="34"/>
      <c r="F1586" s="35">
        <f>ROUND(SUM(F1574:F1585),2)</f>
        <v>0</v>
      </c>
      <c r="G1586" s="63"/>
      <c r="M1586" s="62"/>
      <c r="N1586" s="57"/>
      <c r="O1586" s="56"/>
      <c r="P1586" s="56"/>
      <c r="Q1586" s="48"/>
      <c r="R1586" s="48"/>
      <c r="S1586" s="2"/>
    </row>
    <row r="1587" spans="1:19" ht="12.75" customHeight="1" x14ac:dyDescent="0.2">
      <c r="A1587" s="17" t="s">
        <v>5</v>
      </c>
      <c r="B1587" s="153" t="s">
        <v>130</v>
      </c>
      <c r="C1587" s="56" t="s">
        <v>59</v>
      </c>
      <c r="D1587" s="56" t="s">
        <v>16</v>
      </c>
      <c r="E1587" s="19" t="s">
        <v>60</v>
      </c>
      <c r="F1587" s="20" t="s">
        <v>61</v>
      </c>
      <c r="G1587" s="21"/>
      <c r="M1587" s="62"/>
      <c r="N1587" s="57"/>
      <c r="O1587" s="56"/>
      <c r="P1587" s="56"/>
      <c r="Q1587" s="48"/>
      <c r="R1587" s="48"/>
      <c r="S1587" s="2"/>
    </row>
    <row r="1588" spans="1:19" ht="12.75" customHeight="1" x14ac:dyDescent="0.2">
      <c r="A1588" s="22"/>
      <c r="B1588" s="23" t="str">
        <f>IF(A1588="","",VLOOKUP(A1588,'6.A'!$A$11:$G$180,2,FALSE))</f>
        <v/>
      </c>
      <c r="C1588" s="99"/>
      <c r="D1588" s="57" t="str">
        <f>IF(A1588="","",VLOOKUP(A1588,'6.A'!$A$11:$G$180,4,FALSE))</f>
        <v/>
      </c>
      <c r="E1588" s="100" t="str">
        <f>IF(A1588="","",VLOOKUP(A1588,'6.A'!$A$11:$G$180,5,FALSE))</f>
        <v/>
      </c>
      <c r="F1588" s="24" t="str">
        <f t="shared" ref="F1588:F1597" si="688">IF(A1588="","0,00",ROUND(C1588*E1588,2))</f>
        <v>0,00</v>
      </c>
      <c r="G1588" s="52"/>
      <c r="H1588" s="52" t="str">
        <f>IF(A1588="","",VLOOKUP(A1588,'6.A'!$A$11:$E$7984,5,FALSE))</f>
        <v/>
      </c>
      <c r="I1588" s="52" t="str">
        <f t="shared" ref="I1588:I1597" si="689">IF(H1588="","",IF(E1588=H1588,"SIM","NÃO"))</f>
        <v/>
      </c>
      <c r="J1588" s="52" t="str">
        <f>IF(H1588="","",VLOOKUP(A1588,'6.A'!$A$11:$E$564,4,FALSE))</f>
        <v/>
      </c>
      <c r="K1588" s="52" t="str">
        <f t="shared" ref="K1588:K1597" si="690">IF(H1588="","",IF(J1588=D1588,"SIM","NÃO"))</f>
        <v/>
      </c>
      <c r="L1588" s="52" t="str">
        <f>IF(H1588="","",IF(C1588="","",G1572*C1588))</f>
        <v/>
      </c>
      <c r="M1588" s="117" t="str">
        <f>IF(A1588="","",VLOOKUP(A1588,'6.A'!$A$11:$C$564,2,FALSE))</f>
        <v/>
      </c>
      <c r="N1588" s="57" t="str">
        <f t="shared" ref="N1588:N1593" si="691">IF(A1588="","",IF(M1588=B1588,"si","no"))</f>
        <v/>
      </c>
      <c r="O1588" s="56"/>
      <c r="P1588" s="56"/>
      <c r="Q1588" s="48"/>
      <c r="R1588" s="48"/>
      <c r="S1588" s="2"/>
    </row>
    <row r="1589" spans="1:19" ht="12.75" customHeight="1" x14ac:dyDescent="0.2">
      <c r="A1589" s="22"/>
      <c r="B1589" s="23" t="str">
        <f>IF(A1589="","",VLOOKUP(A1589,'6.A'!$A$11:$G$180,2,FALSE))</f>
        <v/>
      </c>
      <c r="C1589" s="99"/>
      <c r="D1589" s="57" t="str">
        <f>IF(A1589="","",VLOOKUP(A1589,'6.A'!$A$11:$G$180,4,FALSE))</f>
        <v/>
      </c>
      <c r="E1589" s="100" t="str">
        <f>IF(A1589="","",VLOOKUP(A1589,'6.A'!$A$11:$G$180,5,FALSE))</f>
        <v/>
      </c>
      <c r="F1589" s="24" t="str">
        <f t="shared" si="688"/>
        <v>0,00</v>
      </c>
      <c r="G1589" s="52"/>
      <c r="H1589" s="52" t="str">
        <f>IF(A1589="","",VLOOKUP(A1589,'6.A'!$A$11:$E$7984,5,FALSE))</f>
        <v/>
      </c>
      <c r="I1589" s="52" t="str">
        <f t="shared" si="689"/>
        <v/>
      </c>
      <c r="J1589" s="52" t="str">
        <f>IF(H1589="","",VLOOKUP(A1589,'6.A'!$A$11:$E$564,4,FALSE))</f>
        <v/>
      </c>
      <c r="K1589" s="52" t="str">
        <f t="shared" si="690"/>
        <v/>
      </c>
      <c r="L1589" s="52" t="str">
        <f>IF(H1589="","",IF(C1589="","",G1572*C1589))</f>
        <v/>
      </c>
      <c r="M1589" s="117" t="str">
        <f>IF(A1589="","",VLOOKUP(A1589,'6.A'!$A$11:$C$564,2,FALSE))</f>
        <v/>
      </c>
      <c r="N1589" s="57" t="str">
        <f t="shared" si="691"/>
        <v/>
      </c>
      <c r="O1589" s="56"/>
      <c r="P1589" s="56"/>
      <c r="Q1589" s="48"/>
      <c r="R1589" s="48"/>
      <c r="S1589" s="2"/>
    </row>
    <row r="1590" spans="1:19" ht="12.75" customHeight="1" x14ac:dyDescent="0.2">
      <c r="A1590" s="22"/>
      <c r="B1590" s="23" t="str">
        <f>IF(A1590="","",VLOOKUP(A1590,'6.A'!$A$11:$G$180,2,FALSE))</f>
        <v/>
      </c>
      <c r="C1590" s="99"/>
      <c r="D1590" s="57" t="str">
        <f>IF(A1590="","",VLOOKUP(A1590,'6.A'!$A$11:$G$180,4,FALSE))</f>
        <v/>
      </c>
      <c r="E1590" s="100" t="str">
        <f>IF(A1590="","",VLOOKUP(A1590,'6.A'!$A$11:$G$180,5,FALSE))</f>
        <v/>
      </c>
      <c r="F1590" s="24" t="str">
        <f t="shared" si="688"/>
        <v>0,00</v>
      </c>
      <c r="G1590" s="52"/>
      <c r="H1590" s="52" t="str">
        <f>IF(A1590="","",VLOOKUP(A1590,'6.A'!$A$11:$E$7984,5,FALSE))</f>
        <v/>
      </c>
      <c r="I1590" s="52" t="str">
        <f t="shared" si="689"/>
        <v/>
      </c>
      <c r="J1590" s="52" t="str">
        <f>IF(H1590="","",VLOOKUP(A1590,'6.A'!$A$11:$E$564,4,FALSE))</f>
        <v/>
      </c>
      <c r="K1590" s="52" t="str">
        <f t="shared" si="690"/>
        <v/>
      </c>
      <c r="L1590" s="52" t="str">
        <f>IF(H1590="","",IF(C1590="","",G1572*C1590))</f>
        <v/>
      </c>
      <c r="M1590" s="117" t="str">
        <f>IF(A1590="","",VLOOKUP(A1590,'6.A'!$A$11:$C$564,2,FALSE))</f>
        <v/>
      </c>
      <c r="N1590" s="57" t="str">
        <f t="shared" si="691"/>
        <v/>
      </c>
      <c r="O1590" s="56"/>
      <c r="P1590" s="56"/>
      <c r="Q1590" s="48"/>
      <c r="R1590" s="48"/>
      <c r="S1590" s="2"/>
    </row>
    <row r="1591" spans="1:19" ht="12.75" customHeight="1" x14ac:dyDescent="0.2">
      <c r="A1591" s="22"/>
      <c r="B1591" s="55" t="str">
        <f>IF(A1591="","",VLOOKUP(A1591,'6.A'!$A$11:$G$180,2,FALSE))</f>
        <v/>
      </c>
      <c r="C1591" s="134"/>
      <c r="D1591" s="57" t="str">
        <f>IF(A1591="","",VLOOKUP(A1591,'6.A'!$A$11:$G$180,4,FALSE))</f>
        <v/>
      </c>
      <c r="E1591" s="100" t="str">
        <f>IF(A1591="","",VLOOKUP(A1591,'6.A'!$A$11:$G$180,5,FALSE))</f>
        <v/>
      </c>
      <c r="F1591" s="24" t="str">
        <f t="shared" si="688"/>
        <v>0,00</v>
      </c>
      <c r="G1591" s="52"/>
      <c r="H1591" s="52" t="str">
        <f>IF(A1591="","",VLOOKUP(A1591,'6.A'!$A$11:$E$7984,5,FALSE))</f>
        <v/>
      </c>
      <c r="I1591" s="52" t="str">
        <f t="shared" si="689"/>
        <v/>
      </c>
      <c r="J1591" s="52" t="str">
        <f>IF(H1591="","",VLOOKUP(A1591,'6.A'!$A$11:$E$564,4,FALSE))</f>
        <v/>
      </c>
      <c r="K1591" s="52" t="str">
        <f t="shared" si="690"/>
        <v/>
      </c>
      <c r="L1591" s="52" t="str">
        <f>IF(H1591="","",IF(C1591="","",G1572*C1591))</f>
        <v/>
      </c>
      <c r="M1591" s="117" t="str">
        <f>IF(A1591="","",VLOOKUP(A1591,'6.A'!$A$11:$C$564,2,FALSE))</f>
        <v/>
      </c>
      <c r="N1591" s="57" t="str">
        <f t="shared" si="691"/>
        <v/>
      </c>
      <c r="O1591" s="56"/>
      <c r="P1591" s="56"/>
      <c r="Q1591" s="48"/>
      <c r="R1591" s="48"/>
      <c r="S1591" s="2"/>
    </row>
    <row r="1592" spans="1:19" ht="12.75" customHeight="1" x14ac:dyDescent="0.2">
      <c r="A1592" s="22"/>
      <c r="B1592" s="23" t="str">
        <f>IF(A1592="","",VLOOKUP(A1592,'6.A'!$A$11:$G$180,2,FALSE))</f>
        <v/>
      </c>
      <c r="C1592" s="99"/>
      <c r="D1592" s="57" t="str">
        <f>IF(A1592="","",VLOOKUP(A1592,'6.A'!$A$11:$G$180,4,FALSE))</f>
        <v/>
      </c>
      <c r="E1592" s="100" t="str">
        <f>IF(A1592="","",VLOOKUP(A1592,'6.A'!$A$11:$G$180,5,FALSE))</f>
        <v/>
      </c>
      <c r="F1592" s="24" t="str">
        <f t="shared" si="688"/>
        <v>0,00</v>
      </c>
      <c r="G1592" s="52"/>
      <c r="H1592" s="52" t="str">
        <f>IF(A1592="","",VLOOKUP(A1592,'6.A'!$A$11:$E$7984,5,FALSE))</f>
        <v/>
      </c>
      <c r="I1592" s="52" t="str">
        <f t="shared" si="689"/>
        <v/>
      </c>
      <c r="J1592" s="52" t="str">
        <f>IF(H1592="","",VLOOKUP(A1592,'6.A'!$A$11:$E$564,4,FALSE))</f>
        <v/>
      </c>
      <c r="K1592" s="52" t="str">
        <f t="shared" si="690"/>
        <v/>
      </c>
      <c r="L1592" s="52" t="str">
        <f>IF(H1592="","",IF(C1592="","",G1572*C1592))</f>
        <v/>
      </c>
      <c r="M1592" s="117" t="str">
        <f>IF(A1592="","",VLOOKUP(A1592,'6.A'!$A$11:$C$564,2,FALSE))</f>
        <v/>
      </c>
      <c r="N1592" s="57" t="str">
        <f t="shared" si="691"/>
        <v/>
      </c>
      <c r="O1592" s="56"/>
      <c r="P1592" s="56"/>
      <c r="Q1592" s="48"/>
      <c r="R1592" s="48"/>
      <c r="S1592" s="2"/>
    </row>
    <row r="1593" spans="1:19" ht="12.75" customHeight="1" x14ac:dyDescent="0.2">
      <c r="A1593" s="22"/>
      <c r="B1593" s="23" t="str">
        <f>IF(A1593="","",VLOOKUP(A1593,'6.A'!$A$11:$G$180,2,FALSE))</f>
        <v/>
      </c>
      <c r="C1593" s="99"/>
      <c r="D1593" s="57" t="str">
        <f>IF(A1593="","",VLOOKUP(A1593,'6.A'!$A$11:$G$180,4,FALSE))</f>
        <v/>
      </c>
      <c r="E1593" s="100" t="str">
        <f>IF(A1593="","",VLOOKUP(A1593,'6.A'!$A$11:$G$180,5,FALSE))</f>
        <v/>
      </c>
      <c r="F1593" s="24" t="str">
        <f t="shared" si="688"/>
        <v>0,00</v>
      </c>
      <c r="G1593" s="52"/>
      <c r="H1593" s="52" t="str">
        <f>IF(A1593="","",VLOOKUP(A1593,'6.A'!$A$11:$E$7984,5,FALSE))</f>
        <v/>
      </c>
      <c r="I1593" s="52" t="str">
        <f t="shared" si="689"/>
        <v/>
      </c>
      <c r="J1593" s="52" t="str">
        <f>IF(H1593="","",VLOOKUP(A1593,'6.A'!$A$11:$E$564,4,FALSE))</f>
        <v/>
      </c>
      <c r="K1593" s="52" t="str">
        <f t="shared" si="690"/>
        <v/>
      </c>
      <c r="L1593" s="52" t="str">
        <f>IF(H1593="","",IF(C1593="","",G1572*C1593))</f>
        <v/>
      </c>
      <c r="M1593" s="117" t="str">
        <f>IF(A1593="","",VLOOKUP(A1593,'6.A'!$A$11:$C$564,2,FALSE))</f>
        <v/>
      </c>
      <c r="N1593" s="57" t="str">
        <f t="shared" si="691"/>
        <v/>
      </c>
      <c r="O1593" s="56"/>
      <c r="P1593" s="56"/>
      <c r="Q1593" s="48"/>
      <c r="R1593" s="48"/>
      <c r="S1593" s="2"/>
    </row>
    <row r="1594" spans="1:19" ht="12.75" customHeight="1" x14ac:dyDescent="0.2">
      <c r="A1594" s="22"/>
      <c r="B1594" s="23" t="str">
        <f>IF(A1594="","",VLOOKUP(A1594,'6.A'!$A$11:$G$180,2,FALSE))</f>
        <v/>
      </c>
      <c r="C1594" s="99"/>
      <c r="D1594" s="57" t="str">
        <f>IF(A1594="","",VLOOKUP(A1594,'6.A'!$A$11:$G$180,4,FALSE))</f>
        <v/>
      </c>
      <c r="E1594" s="100" t="str">
        <f>IF(A1594="","",VLOOKUP(A1594,'6.A'!$A$11:$G$180,5,FALSE))</f>
        <v/>
      </c>
      <c r="F1594" s="24" t="str">
        <f t="shared" si="688"/>
        <v>0,00</v>
      </c>
      <c r="G1594" s="52"/>
      <c r="H1594" s="52" t="str">
        <f>IF(A1594="","",VLOOKUP(A1594,'6.A'!$A$11:$E$7984,5,FALSE))</f>
        <v/>
      </c>
      <c r="I1594" s="52" t="str">
        <f t="shared" si="689"/>
        <v/>
      </c>
      <c r="J1594" s="52" t="str">
        <f>IF(H1594="","",VLOOKUP(A1594,'6.A'!$A$11:$E$564,4,FALSE))</f>
        <v/>
      </c>
      <c r="K1594" s="52" t="str">
        <f t="shared" si="690"/>
        <v/>
      </c>
      <c r="L1594" s="52" t="str">
        <f>IF(H1594="","",IF(C1594="","",G1572*C1594))</f>
        <v/>
      </c>
      <c r="M1594" s="117" t="str">
        <f>IF(A1594="","",VLOOKUP(A1594,'6.A'!$A$11:$C$564,2,FALSE))</f>
        <v/>
      </c>
      <c r="N1594" s="57" t="str">
        <f>IF(A1594="","",IF(M1594=B1594,"si","no"))</f>
        <v/>
      </c>
      <c r="O1594" s="56"/>
      <c r="P1594" s="56"/>
      <c r="Q1594" s="48"/>
      <c r="R1594" s="48"/>
      <c r="S1594" s="2"/>
    </row>
    <row r="1595" spans="1:19" ht="12.75" customHeight="1" x14ac:dyDescent="0.2">
      <c r="A1595" s="22"/>
      <c r="B1595" s="23" t="str">
        <f>IF(A1595="","",VLOOKUP(A1595,'6.A'!$A$11:$G$180,2,FALSE))</f>
        <v/>
      </c>
      <c r="C1595" s="99"/>
      <c r="D1595" s="57" t="str">
        <f>IF(A1595="","",VLOOKUP(A1595,'6.A'!$A$11:$G$180,4,FALSE))</f>
        <v/>
      </c>
      <c r="E1595" s="100" t="str">
        <f>IF(A1595="","",VLOOKUP(A1595,'6.A'!$A$11:$G$180,5,FALSE))</f>
        <v/>
      </c>
      <c r="F1595" s="24" t="str">
        <f t="shared" si="688"/>
        <v>0,00</v>
      </c>
      <c r="G1595" s="52"/>
      <c r="H1595" s="52" t="str">
        <f>IF(A1595="","",VLOOKUP(A1595,'6.A'!$A$11:$E$7984,5,FALSE))</f>
        <v/>
      </c>
      <c r="I1595" s="52" t="str">
        <f t="shared" si="689"/>
        <v/>
      </c>
      <c r="J1595" s="52" t="str">
        <f>IF(H1595="","",VLOOKUP(A1595,'6.A'!$A$11:$E$564,4,FALSE))</f>
        <v/>
      </c>
      <c r="K1595" s="52" t="str">
        <f t="shared" si="690"/>
        <v/>
      </c>
      <c r="L1595" s="52" t="str">
        <f>IF(H1595="","",IF(C1595="","",G1572*C1595))</f>
        <v/>
      </c>
      <c r="M1595" s="117" t="str">
        <f>IF(A1595="","",VLOOKUP(A1595,'6.A'!$A$11:$C$564,2,FALSE))</f>
        <v/>
      </c>
      <c r="N1595" s="57" t="str">
        <f>IF(A1595="","",IF(M1595=B1595,"si","no"))</f>
        <v/>
      </c>
      <c r="O1595" s="56"/>
      <c r="P1595" s="56"/>
      <c r="Q1595" s="48"/>
      <c r="R1595" s="48"/>
      <c r="S1595" s="2"/>
    </row>
    <row r="1596" spans="1:19" ht="12.75" customHeight="1" x14ac:dyDescent="0.2">
      <c r="A1596" s="22"/>
      <c r="B1596" s="23" t="str">
        <f>IF(A1596="","",VLOOKUP(A1596,'6.A'!$A$11:$G$180,2,FALSE))</f>
        <v/>
      </c>
      <c r="C1596" s="99"/>
      <c r="D1596" s="57" t="str">
        <f>IF(A1596="","",VLOOKUP(A1596,'6.A'!$A$11:$G$180,4,FALSE))</f>
        <v/>
      </c>
      <c r="E1596" s="100" t="str">
        <f>IF(A1596="","",VLOOKUP(A1596,'6.A'!$A$11:$G$180,5,FALSE))</f>
        <v/>
      </c>
      <c r="F1596" s="24" t="str">
        <f t="shared" si="688"/>
        <v>0,00</v>
      </c>
      <c r="G1596" s="52"/>
      <c r="H1596" s="52" t="str">
        <f>IF(A1596="","",VLOOKUP(A1596,'6.A'!$A$11:$E$7984,5,FALSE))</f>
        <v/>
      </c>
      <c r="I1596" s="52" t="str">
        <f t="shared" si="689"/>
        <v/>
      </c>
      <c r="J1596" s="52" t="str">
        <f>IF(H1596="","",VLOOKUP(A1596,'6.A'!$A$11:$E$564,4,FALSE))</f>
        <v/>
      </c>
      <c r="K1596" s="52" t="str">
        <f t="shared" si="690"/>
        <v/>
      </c>
      <c r="L1596" s="52" t="str">
        <f>IF(H1596="","",IF(C1596="","",G1572*C1596))</f>
        <v/>
      </c>
      <c r="M1596" s="117" t="str">
        <f>IF(A1596="","",VLOOKUP(A1596,'6.A'!$A$11:$C$564,2,FALSE))</f>
        <v/>
      </c>
      <c r="N1596" s="57" t="str">
        <f t="shared" ref="N1596:N1597" si="692">IF(A1596="","",IF(M1596=B1596,"si","no"))</f>
        <v/>
      </c>
      <c r="O1596" s="56"/>
      <c r="P1596" s="56"/>
      <c r="Q1596" s="48"/>
      <c r="R1596" s="48"/>
      <c r="S1596" s="2"/>
    </row>
    <row r="1597" spans="1:19" ht="12.75" customHeight="1" x14ac:dyDescent="0.2">
      <c r="A1597" s="22"/>
      <c r="B1597" s="23" t="str">
        <f>IF(A1597="","",VLOOKUP(A1597,'6.A'!$A$11:$G$180,2,FALSE))</f>
        <v/>
      </c>
      <c r="C1597" s="99"/>
      <c r="D1597" s="57" t="str">
        <f>IF(A1597="","",VLOOKUP(A1597,'6.A'!$A$11:$G$180,4,FALSE))</f>
        <v/>
      </c>
      <c r="E1597" s="100" t="str">
        <f>IF(A1597="","",VLOOKUP(A1597,'6.A'!$A$11:$G$180,5,FALSE))</f>
        <v/>
      </c>
      <c r="F1597" s="24" t="str">
        <f t="shared" si="688"/>
        <v>0,00</v>
      </c>
      <c r="G1597" s="52"/>
      <c r="H1597" s="52" t="str">
        <f>IF(A1597="","",VLOOKUP(A1597,'6.A'!$A$11:$E$7984,5,FALSE))</f>
        <v/>
      </c>
      <c r="I1597" s="52" t="str">
        <f t="shared" si="689"/>
        <v/>
      </c>
      <c r="J1597" s="52" t="str">
        <f>IF(H1597="","",VLOOKUP(A1597,'6.A'!$A$11:$E$564,4,FALSE))</f>
        <v/>
      </c>
      <c r="K1597" s="52" t="str">
        <f t="shared" si="690"/>
        <v/>
      </c>
      <c r="L1597" s="52" t="str">
        <f>IF(H1597="","",IF(C1597="","",G1572*C1597))</f>
        <v/>
      </c>
      <c r="M1597" s="117" t="str">
        <f>IF(A1597="","",VLOOKUP(A1597,'6.A'!$A$11:$C$564,2,FALSE))</f>
        <v/>
      </c>
      <c r="N1597" s="57" t="str">
        <f t="shared" si="692"/>
        <v/>
      </c>
      <c r="O1597" s="56"/>
      <c r="P1597" s="56"/>
      <c r="Q1597" s="48"/>
      <c r="R1597" s="48"/>
      <c r="S1597" s="2"/>
    </row>
    <row r="1598" spans="1:19" ht="12.75" customHeight="1" x14ac:dyDescent="0.2">
      <c r="A1598" s="22"/>
      <c r="B1598" s="26" t="str">
        <f>$A$9</f>
        <v>BDI</v>
      </c>
      <c r="C1598" s="27">
        <f>$C$9</f>
        <v>0</v>
      </c>
      <c r="D1598" s="57"/>
      <c r="F1598" s="28">
        <f>ROUND(SUM(F1588:F1597)*C1598,2)</f>
        <v>0</v>
      </c>
      <c r="G1598" s="63"/>
      <c r="M1598" s="62"/>
      <c r="N1598" s="57"/>
      <c r="O1598" s="56"/>
      <c r="P1598" s="56"/>
      <c r="Q1598" s="48"/>
      <c r="R1598" s="48"/>
      <c r="S1598" s="2"/>
    </row>
    <row r="1599" spans="1:19" ht="12.75" customHeight="1" x14ac:dyDescent="0.2">
      <c r="A1599" s="30"/>
      <c r="B1599" s="31" t="s">
        <v>117</v>
      </c>
      <c r="C1599" s="36"/>
      <c r="D1599" s="37"/>
      <c r="E1599" s="38"/>
      <c r="F1599" s="35">
        <f>ROUND(SUM(F1588:F1598),2)</f>
        <v>0</v>
      </c>
      <c r="G1599" s="63"/>
      <c r="M1599" s="62"/>
      <c r="N1599" s="57"/>
      <c r="O1599" s="56"/>
      <c r="P1599" s="56"/>
      <c r="Q1599" s="48"/>
      <c r="R1599" s="48"/>
      <c r="S1599" s="2"/>
    </row>
    <row r="1600" spans="1:19" ht="12.75" customHeight="1" x14ac:dyDescent="0.2">
      <c r="A1600" s="17" t="s">
        <v>6</v>
      </c>
      <c r="B1600" s="18" t="s">
        <v>17</v>
      </c>
      <c r="C1600" s="56" t="s">
        <v>59</v>
      </c>
      <c r="D1600" s="56" t="s">
        <v>16</v>
      </c>
      <c r="E1600" s="19" t="s">
        <v>60</v>
      </c>
      <c r="F1600" s="20" t="s">
        <v>61</v>
      </c>
      <c r="G1600" s="21"/>
      <c r="M1600" s="62"/>
      <c r="N1600" s="57"/>
      <c r="O1600" s="56"/>
      <c r="P1600" s="56"/>
      <c r="Q1600" s="48"/>
      <c r="R1600" s="48"/>
      <c r="S1600" s="2"/>
    </row>
    <row r="1601" spans="1:22" ht="12.75" customHeight="1" x14ac:dyDescent="0.2">
      <c r="A1601" s="22">
        <f>'6.A'!$A$74</f>
        <v>996</v>
      </c>
      <c r="B1601" s="23" t="str">
        <f>IF(A1601="","",VLOOKUP(A1601,'6.A'!$A$11:$G$180,2,FALSE))</f>
        <v>CABO DE COBRE, FLEXIVEL, CLASSE 4 OU 5, ISOLACAO EM PVC/A, ANTICHAMA BWF-B, COBERTURA PVC-ST1, ANTICHAMA BWF-B, 1 CONDUTOR, 0,6/1 KV, SECAO NOMINAL 25 MM2</v>
      </c>
      <c r="C1601" s="99">
        <v>1.0401</v>
      </c>
      <c r="D1601" s="57" t="str">
        <f>IF(A1601="","",VLOOKUP(A1601,'6.A'!$A$11:$G$180,4,FALSE))</f>
        <v>M</v>
      </c>
      <c r="E1601" s="100">
        <f>IF(A1601="","",VLOOKUP(A1601,'6.A'!$A$11:$G$180,5,FALSE))</f>
        <v>0</v>
      </c>
      <c r="F1601" s="24">
        <f t="shared" ref="F1601:F1620" si="693">IF(A1601="","0,00",ROUND(C1601*E1601,2))</f>
        <v>0</v>
      </c>
      <c r="G1601" s="52"/>
      <c r="H1601" s="52">
        <f>IF(A1601="","",VLOOKUP(A1601,'6.A'!$A$11:$E$7984,5,FALSE))</f>
        <v>0</v>
      </c>
      <c r="I1601" s="52" t="str">
        <f t="shared" ref="I1601:I1620" si="694">IF(H1601="","",IF(E1601=H1601,"SIM","NÃO"))</f>
        <v>SIM</v>
      </c>
      <c r="J1601" s="52" t="str">
        <f>IF(H1601="","",VLOOKUP(A1601,'6.A'!$A$11:$E$564,4,FALSE))</f>
        <v>M</v>
      </c>
      <c r="K1601" s="52" t="str">
        <f t="shared" ref="K1601:K1620" si="695">IF(H1601="","",IF(J1601=D1601,"SIM","NÃO"))</f>
        <v>SIM</v>
      </c>
      <c r="L1601" s="52">
        <f>IF(H1601="","",IF(C1601="","",G1572*C1601))</f>
        <v>5.2004999999999999</v>
      </c>
      <c r="M1601" s="117" t="str">
        <f>IF(A1601="","",VLOOKUP(A1601,'6.A'!$A$11:$C$564,2,FALSE))</f>
        <v>CABO DE COBRE, FLEXIVEL, CLASSE 4 OU 5, ISOLACAO EM PVC/A, ANTICHAMA BWF-B, COBERTURA PVC-ST1, ANTICHAMA BWF-B, 1 CONDUTOR, 0,6/1 KV, SECAO NOMINAL 25 MM2</v>
      </c>
      <c r="N1601" s="57" t="str">
        <f t="shared" ref="N1601:N1620" si="696">IF(A1601="","",IF(M1601=B1601,"si","no"))</f>
        <v>si</v>
      </c>
      <c r="O1601" s="56"/>
      <c r="P1601" s="56"/>
      <c r="Q1601" s="48"/>
      <c r="R1601" s="48"/>
      <c r="S1601" s="2"/>
    </row>
    <row r="1602" spans="1:22" ht="12.75" customHeight="1" x14ac:dyDescent="0.2">
      <c r="A1602" s="22"/>
      <c r="B1602" s="23" t="str">
        <f>IF(A1602="","",VLOOKUP(A1602,'6.A'!$A$11:$G$180,2,FALSE))</f>
        <v/>
      </c>
      <c r="C1602" s="99"/>
      <c r="D1602" s="57" t="str">
        <f>IF(A1602="","",VLOOKUP(A1602,'6.A'!$A$11:$G$180,4,FALSE))</f>
        <v/>
      </c>
      <c r="E1602" s="100" t="str">
        <f>IF(A1602="","",VLOOKUP(A1602,'6.A'!$A$11:$G$180,5,FALSE))</f>
        <v/>
      </c>
      <c r="F1602" s="24" t="str">
        <f t="shared" si="693"/>
        <v>0,00</v>
      </c>
      <c r="G1602" s="52"/>
      <c r="H1602" s="52" t="str">
        <f>IF(A1602="","",VLOOKUP(A1602,'6.A'!$A$11:$E$7984,5,FALSE))</f>
        <v/>
      </c>
      <c r="I1602" s="52" t="str">
        <f t="shared" si="694"/>
        <v/>
      </c>
      <c r="J1602" s="52" t="str">
        <f>IF(H1602="","",VLOOKUP(A1602,'6.A'!$A$11:$E$564,4,FALSE))</f>
        <v/>
      </c>
      <c r="K1602" s="52" t="str">
        <f t="shared" si="695"/>
        <v/>
      </c>
      <c r="L1602" s="52" t="str">
        <f>IF(H1602="","",IF(C1602="","",G1572*C1602))</f>
        <v/>
      </c>
      <c r="M1602" s="117" t="str">
        <f>IF(A1602="","",VLOOKUP(A1602,'6.A'!$A$11:$C$564,2,FALSE))</f>
        <v/>
      </c>
      <c r="N1602" s="57" t="str">
        <f t="shared" si="696"/>
        <v/>
      </c>
      <c r="O1602" s="56"/>
      <c r="P1602" s="56"/>
      <c r="Q1602" s="48"/>
      <c r="R1602" s="48"/>
      <c r="S1602" s="2"/>
    </row>
    <row r="1603" spans="1:22" ht="12.75" customHeight="1" x14ac:dyDescent="0.2">
      <c r="A1603" s="22"/>
      <c r="B1603" s="23" t="str">
        <f>IF(A1603="","",VLOOKUP(A1603,'6.A'!$A$11:$G$180,2,FALSE))</f>
        <v/>
      </c>
      <c r="C1603" s="99"/>
      <c r="D1603" s="57" t="str">
        <f>IF(A1603="","",VLOOKUP(A1603,'6.A'!$A$11:$G$180,4,FALSE))</f>
        <v/>
      </c>
      <c r="E1603" s="100" t="str">
        <f>IF(A1603="","",VLOOKUP(A1603,'6.A'!$A$11:$G$180,5,FALSE))</f>
        <v/>
      </c>
      <c r="F1603" s="24" t="str">
        <f t="shared" si="693"/>
        <v>0,00</v>
      </c>
      <c r="G1603" s="52"/>
      <c r="H1603" s="52" t="str">
        <f>IF(A1603="","",VLOOKUP(A1603,'6.A'!$A$11:$E$7984,5,FALSE))</f>
        <v/>
      </c>
      <c r="I1603" s="52" t="str">
        <f t="shared" si="694"/>
        <v/>
      </c>
      <c r="J1603" s="52" t="str">
        <f>IF(H1603="","",VLOOKUP(A1603,'6.A'!$A$11:$E$564,4,FALSE))</f>
        <v/>
      </c>
      <c r="K1603" s="52" t="str">
        <f t="shared" si="695"/>
        <v/>
      </c>
      <c r="L1603" s="52" t="str">
        <f>IF(H1603="","",IF(C1603="","",G1572*C1603))</f>
        <v/>
      </c>
      <c r="M1603" s="117" t="str">
        <f>IF(A1603="","",VLOOKUP(A1603,'6.A'!$A$11:$C$564,2,FALSE))</f>
        <v/>
      </c>
      <c r="N1603" s="57" t="str">
        <f t="shared" si="696"/>
        <v/>
      </c>
      <c r="O1603" s="56"/>
      <c r="P1603" s="56"/>
      <c r="Q1603" s="48"/>
      <c r="R1603" s="48"/>
      <c r="S1603" s="2"/>
    </row>
    <row r="1604" spans="1:22" ht="12.75" customHeight="1" x14ac:dyDescent="0.2">
      <c r="A1604" s="22"/>
      <c r="B1604" s="23" t="str">
        <f>IF(A1604="","",VLOOKUP(A1604,'6.A'!$A$11:$G$180,2,FALSE))</f>
        <v/>
      </c>
      <c r="C1604" s="99"/>
      <c r="D1604" s="57" t="str">
        <f>IF(A1604="","",VLOOKUP(A1604,'6.A'!$A$11:$G$180,4,FALSE))</f>
        <v/>
      </c>
      <c r="E1604" s="100" t="str">
        <f>IF(A1604="","",VLOOKUP(A1604,'6.A'!$A$11:$G$180,5,FALSE))</f>
        <v/>
      </c>
      <c r="F1604" s="24" t="str">
        <f t="shared" si="693"/>
        <v>0,00</v>
      </c>
      <c r="G1604" s="52"/>
      <c r="H1604" s="52" t="str">
        <f>IF(A1604="","",VLOOKUP(A1604,'6.A'!$A$11:$E$7984,5,FALSE))</f>
        <v/>
      </c>
      <c r="I1604" s="52" t="str">
        <f t="shared" si="694"/>
        <v/>
      </c>
      <c r="J1604" s="52" t="str">
        <f>IF(H1604="","",VLOOKUP(A1604,'6.A'!$A$11:$E$564,4,FALSE))</f>
        <v/>
      </c>
      <c r="K1604" s="52" t="str">
        <f t="shared" si="695"/>
        <v/>
      </c>
      <c r="L1604" s="52" t="str">
        <f>IF(H1604="","",IF(C1604="","",G1572*C1604))</f>
        <v/>
      </c>
      <c r="M1604" s="117" t="str">
        <f>IF(A1604="","",VLOOKUP(A1604,'6.A'!$A$11:$C$564,2,FALSE))</f>
        <v/>
      </c>
      <c r="N1604" s="57" t="str">
        <f t="shared" si="696"/>
        <v/>
      </c>
      <c r="O1604" s="56"/>
      <c r="P1604" s="56"/>
      <c r="Q1604" s="48"/>
      <c r="R1604" s="48"/>
      <c r="S1604" s="2"/>
    </row>
    <row r="1605" spans="1:22" ht="12.75" customHeight="1" x14ac:dyDescent="0.2">
      <c r="A1605" s="22"/>
      <c r="B1605" s="23" t="str">
        <f>IF(A1605="","",VLOOKUP(A1605,'6.A'!$A$11:$G$180,2,FALSE))</f>
        <v/>
      </c>
      <c r="C1605" s="99"/>
      <c r="D1605" s="57" t="str">
        <f>IF(A1605="","",VLOOKUP(A1605,'6.A'!$A$11:$G$180,4,FALSE))</f>
        <v/>
      </c>
      <c r="E1605" s="100" t="str">
        <f>IF(A1605="","",VLOOKUP(A1605,'6.A'!$A$11:$G$180,5,FALSE))</f>
        <v/>
      </c>
      <c r="F1605" s="24" t="str">
        <f t="shared" si="693"/>
        <v>0,00</v>
      </c>
      <c r="G1605" s="52"/>
      <c r="H1605" s="52" t="str">
        <f>IF(A1605="","",VLOOKUP(A1605,'6.A'!$A$11:$E$7984,5,FALSE))</f>
        <v/>
      </c>
      <c r="I1605" s="52" t="str">
        <f t="shared" si="694"/>
        <v/>
      </c>
      <c r="J1605" s="52" t="str">
        <f>IF(H1605="","",VLOOKUP(A1605,'6.A'!$A$11:$E$564,4,FALSE))</f>
        <v/>
      </c>
      <c r="K1605" s="52" t="str">
        <f t="shared" si="695"/>
        <v/>
      </c>
      <c r="L1605" s="52" t="str">
        <f>IF(H1605="","",IF(C1605="","",G1572*C1605))</f>
        <v/>
      </c>
      <c r="M1605" s="117" t="str">
        <f>IF(A1605="","",VLOOKUP(A1605,'6.A'!$A$11:$C$564,2,FALSE))</f>
        <v/>
      </c>
      <c r="N1605" s="57" t="str">
        <f t="shared" si="696"/>
        <v/>
      </c>
      <c r="O1605" s="56"/>
      <c r="P1605" s="56"/>
      <c r="Q1605" s="48"/>
      <c r="R1605" s="48"/>
      <c r="S1605" s="2"/>
    </row>
    <row r="1606" spans="1:22" ht="12.75" customHeight="1" x14ac:dyDescent="0.2">
      <c r="A1606" s="22"/>
      <c r="B1606" s="23" t="str">
        <f>IF(A1606="","",VLOOKUP(A1606,'6.A'!$A$11:$G$180,2,FALSE))</f>
        <v/>
      </c>
      <c r="C1606" s="99"/>
      <c r="D1606" s="57" t="str">
        <f>IF(A1606="","",VLOOKUP(A1606,'6.A'!$A$11:$G$180,4,FALSE))</f>
        <v/>
      </c>
      <c r="E1606" s="100" t="str">
        <f>IF(A1606="","",VLOOKUP(A1606,'6.A'!$A$11:$G$180,5,FALSE))</f>
        <v/>
      </c>
      <c r="F1606" s="24" t="str">
        <f t="shared" si="693"/>
        <v>0,00</v>
      </c>
      <c r="G1606" s="52"/>
      <c r="H1606" s="52" t="str">
        <f>IF(A1606="","",VLOOKUP(A1606,'6.A'!$A$11:$E$7984,5,FALSE))</f>
        <v/>
      </c>
      <c r="I1606" s="52" t="str">
        <f t="shared" si="694"/>
        <v/>
      </c>
      <c r="J1606" s="52" t="str">
        <f>IF(H1606="","",VLOOKUP(A1606,'6.A'!$A$11:$E$564,4,FALSE))</f>
        <v/>
      </c>
      <c r="K1606" s="52" t="str">
        <f t="shared" si="695"/>
        <v/>
      </c>
      <c r="L1606" s="52" t="str">
        <f>IF(H1606="","",IF(C1606="","",G1572*C1606))</f>
        <v/>
      </c>
      <c r="M1606" s="117" t="str">
        <f>IF(A1606="","",VLOOKUP(A1606,'6.A'!$A$11:$C$564,2,FALSE))</f>
        <v/>
      </c>
      <c r="N1606" s="57" t="str">
        <f t="shared" si="696"/>
        <v/>
      </c>
      <c r="O1606" s="56"/>
      <c r="P1606" s="56"/>
      <c r="Q1606" s="48"/>
      <c r="R1606" s="48"/>
      <c r="S1606" s="2"/>
    </row>
    <row r="1607" spans="1:22" ht="12.75" customHeight="1" x14ac:dyDescent="0.2">
      <c r="A1607" s="22"/>
      <c r="B1607" s="23" t="str">
        <f>IF(A1607="","",VLOOKUP(A1607,'6.A'!$A$11:$G$180,2,FALSE))</f>
        <v/>
      </c>
      <c r="C1607" s="99"/>
      <c r="D1607" s="57" t="str">
        <f>IF(A1607="","",VLOOKUP(A1607,'6.A'!$A$11:$G$180,4,FALSE))</f>
        <v/>
      </c>
      <c r="E1607" s="100" t="str">
        <f>IF(A1607="","",VLOOKUP(A1607,'6.A'!$A$11:$G$180,5,FALSE))</f>
        <v/>
      </c>
      <c r="F1607" s="24" t="str">
        <f t="shared" si="693"/>
        <v>0,00</v>
      </c>
      <c r="G1607" s="52"/>
      <c r="H1607" s="52" t="str">
        <f>IF(A1607="","",VLOOKUP(A1607,'6.A'!$A$11:$E$7984,5,FALSE))</f>
        <v/>
      </c>
      <c r="I1607" s="52" t="str">
        <f t="shared" si="694"/>
        <v/>
      </c>
      <c r="J1607" s="52" t="str">
        <f>IF(H1607="","",VLOOKUP(A1607,'6.A'!$A$11:$E$564,4,FALSE))</f>
        <v/>
      </c>
      <c r="K1607" s="52" t="str">
        <f t="shared" si="695"/>
        <v/>
      </c>
      <c r="L1607" s="52" t="str">
        <f>IF(H1607="","",IF(C1607="","",G1572*C1607))</f>
        <v/>
      </c>
      <c r="M1607" s="117" t="str">
        <f>IF(A1607="","",VLOOKUP(A1607,'6.A'!$A$11:$C$564,2,FALSE))</f>
        <v/>
      </c>
      <c r="N1607" s="57" t="str">
        <f t="shared" si="696"/>
        <v/>
      </c>
      <c r="O1607" s="56"/>
      <c r="P1607" s="56"/>
      <c r="Q1607" s="48"/>
      <c r="R1607" s="48"/>
      <c r="S1607" s="2"/>
    </row>
    <row r="1608" spans="1:22" s="65" customFormat="1" ht="12.75" customHeight="1" x14ac:dyDescent="0.2">
      <c r="A1608" s="22"/>
      <c r="B1608" s="23" t="str">
        <f>IF(A1608="","",VLOOKUP(A1608,'6.A'!$A$11:$G$180,2,FALSE))</f>
        <v/>
      </c>
      <c r="C1608" s="99"/>
      <c r="D1608" s="57" t="str">
        <f>IF(A1608="","",VLOOKUP(A1608,'6.A'!$A$11:$G$180,4,FALSE))</f>
        <v/>
      </c>
      <c r="E1608" s="100" t="str">
        <f>IF(A1608="","",VLOOKUP(A1608,'6.A'!$A$11:$G$180,5,FALSE))</f>
        <v/>
      </c>
      <c r="F1608" s="24" t="str">
        <f t="shared" si="693"/>
        <v>0,00</v>
      </c>
      <c r="G1608" s="52"/>
      <c r="H1608" s="52" t="str">
        <f>IF(A1608="","",VLOOKUP(A1608,'6.A'!$A$11:$E$7984,5,FALSE))</f>
        <v/>
      </c>
      <c r="I1608" s="52" t="str">
        <f t="shared" si="694"/>
        <v/>
      </c>
      <c r="J1608" s="52" t="str">
        <f>IF(H1608="","",VLOOKUP(A1608,'6.A'!$A$11:$E$564,4,FALSE))</f>
        <v/>
      </c>
      <c r="K1608" s="52" t="str">
        <f t="shared" si="695"/>
        <v/>
      </c>
      <c r="L1608" s="52" t="str">
        <f>IF(H1608="","",IF(C1608="","",G1572*C1608))</f>
        <v/>
      </c>
      <c r="M1608" s="117" t="str">
        <f>IF(A1608="","",VLOOKUP(A1608,'6.A'!$A$11:$C$564,2,FALSE))</f>
        <v/>
      </c>
      <c r="N1608" s="57" t="str">
        <f t="shared" si="696"/>
        <v/>
      </c>
      <c r="O1608" s="56"/>
      <c r="P1608" s="56"/>
      <c r="Q1608" s="48"/>
      <c r="R1608" s="48"/>
      <c r="T1608" s="2"/>
      <c r="U1608" s="2"/>
      <c r="V1608" s="2"/>
    </row>
    <row r="1609" spans="1:22" s="65" customFormat="1" ht="12.75" customHeight="1" x14ac:dyDescent="0.2">
      <c r="A1609" s="22"/>
      <c r="B1609" s="23" t="str">
        <f>IF(A1609="","",VLOOKUP(A1609,'6.A'!$A$11:$G$180,2,FALSE))</f>
        <v/>
      </c>
      <c r="C1609" s="99"/>
      <c r="D1609" s="57" t="str">
        <f>IF(A1609="","",VLOOKUP(A1609,'6.A'!$A$11:$G$180,4,FALSE))</f>
        <v/>
      </c>
      <c r="E1609" s="100" t="str">
        <f>IF(A1609="","",VLOOKUP(A1609,'6.A'!$A$11:$G$180,5,FALSE))</f>
        <v/>
      </c>
      <c r="F1609" s="24" t="str">
        <f t="shared" si="693"/>
        <v>0,00</v>
      </c>
      <c r="G1609" s="52"/>
      <c r="H1609" s="52" t="str">
        <f>IF(A1609="","",VLOOKUP(A1609,'6.A'!$A$11:$E$7984,5,FALSE))</f>
        <v/>
      </c>
      <c r="I1609" s="52" t="str">
        <f t="shared" si="694"/>
        <v/>
      </c>
      <c r="J1609" s="52" t="str">
        <f>IF(H1609="","",VLOOKUP(A1609,'6.A'!$A$11:$E$564,4,FALSE))</f>
        <v/>
      </c>
      <c r="K1609" s="52" t="str">
        <f t="shared" si="695"/>
        <v/>
      </c>
      <c r="L1609" s="52" t="str">
        <f>IF(H1609="","",IF(C1609="","",G1572*C1609))</f>
        <v/>
      </c>
      <c r="M1609" s="117" t="str">
        <f>IF(A1609="","",VLOOKUP(A1609,'6.A'!$A$11:$C$564,2,FALSE))</f>
        <v/>
      </c>
      <c r="N1609" s="57" t="str">
        <f t="shared" si="696"/>
        <v/>
      </c>
      <c r="O1609" s="56"/>
      <c r="P1609" s="56"/>
      <c r="Q1609" s="48"/>
      <c r="R1609" s="48"/>
      <c r="T1609" s="2"/>
      <c r="U1609" s="2"/>
      <c r="V1609" s="2"/>
    </row>
    <row r="1610" spans="1:22" s="65" customFormat="1" ht="12.75" customHeight="1" x14ac:dyDescent="0.2">
      <c r="A1610" s="22"/>
      <c r="B1610" s="23" t="str">
        <f>IF(A1610="","",VLOOKUP(A1610,'6.A'!$A$11:$G$180,2,FALSE))</f>
        <v/>
      </c>
      <c r="C1610" s="99"/>
      <c r="D1610" s="57" t="str">
        <f>IF(A1610="","",VLOOKUP(A1610,'6.A'!$A$11:$G$180,4,FALSE))</f>
        <v/>
      </c>
      <c r="E1610" s="100" t="str">
        <f>IF(A1610="","",VLOOKUP(A1610,'6.A'!$A$11:$G$180,5,FALSE))</f>
        <v/>
      </c>
      <c r="F1610" s="24" t="str">
        <f t="shared" si="693"/>
        <v>0,00</v>
      </c>
      <c r="G1610" s="52"/>
      <c r="H1610" s="52" t="str">
        <f>IF(A1610="","",VLOOKUP(A1610,'6.A'!$A$11:$E$7984,5,FALSE))</f>
        <v/>
      </c>
      <c r="I1610" s="52" t="str">
        <f t="shared" si="694"/>
        <v/>
      </c>
      <c r="J1610" s="52" t="str">
        <f>IF(H1610="","",VLOOKUP(A1610,'6.A'!$A$11:$E$564,4,FALSE))</f>
        <v/>
      </c>
      <c r="K1610" s="52" t="str">
        <f t="shared" si="695"/>
        <v/>
      </c>
      <c r="L1610" s="52" t="str">
        <f>IF(H1610="","",IF(C1610="","",G1572*C1610))</f>
        <v/>
      </c>
      <c r="M1610" s="117" t="str">
        <f>IF(A1610="","",VLOOKUP(A1610,'6.A'!$A$11:$C$564,2,FALSE))</f>
        <v/>
      </c>
      <c r="N1610" s="57" t="str">
        <f t="shared" si="696"/>
        <v/>
      </c>
      <c r="O1610" s="56"/>
      <c r="P1610" s="56"/>
      <c r="Q1610" s="48"/>
      <c r="R1610" s="48"/>
      <c r="T1610" s="2"/>
      <c r="U1610" s="2"/>
      <c r="V1610" s="2"/>
    </row>
    <row r="1611" spans="1:22" s="65" customFormat="1" ht="12.75" customHeight="1" x14ac:dyDescent="0.2">
      <c r="A1611" s="22"/>
      <c r="B1611" s="23" t="str">
        <f>IF(A1611="","",VLOOKUP(A1611,'6.A'!$A$11:$G$180,2,FALSE))</f>
        <v/>
      </c>
      <c r="C1611" s="99"/>
      <c r="D1611" s="57" t="str">
        <f>IF(A1611="","",VLOOKUP(A1611,'6.A'!$A$11:$G$180,4,FALSE))</f>
        <v/>
      </c>
      <c r="E1611" s="100" t="str">
        <f>IF(A1611="","",VLOOKUP(A1611,'6.A'!$A$11:$G$180,5,FALSE))</f>
        <v/>
      </c>
      <c r="F1611" s="24" t="str">
        <f t="shared" si="693"/>
        <v>0,00</v>
      </c>
      <c r="G1611" s="52"/>
      <c r="H1611" s="52" t="str">
        <f>IF(A1611="","",VLOOKUP(A1611,'6.A'!$A$11:$E$7984,5,FALSE))</f>
        <v/>
      </c>
      <c r="I1611" s="52" t="str">
        <f t="shared" si="694"/>
        <v/>
      </c>
      <c r="J1611" s="52" t="str">
        <f>IF(H1611="","",VLOOKUP(A1611,'6.A'!$A$11:$E$564,4,FALSE))</f>
        <v/>
      </c>
      <c r="K1611" s="52" t="str">
        <f t="shared" si="695"/>
        <v/>
      </c>
      <c r="L1611" s="52" t="str">
        <f>IF(H1611="","",IF(C1611="","",G1572*C1611))</f>
        <v/>
      </c>
      <c r="M1611" s="117" t="str">
        <f>IF(A1611="","",VLOOKUP(A1611,'6.A'!$A$11:$C$564,2,FALSE))</f>
        <v/>
      </c>
      <c r="N1611" s="57" t="str">
        <f t="shared" si="696"/>
        <v/>
      </c>
      <c r="O1611" s="56"/>
      <c r="P1611" s="56"/>
      <c r="Q1611" s="48"/>
      <c r="R1611" s="48"/>
      <c r="T1611" s="2"/>
      <c r="U1611" s="2"/>
      <c r="V1611" s="2"/>
    </row>
    <row r="1612" spans="1:22" ht="12.75" customHeight="1" x14ac:dyDescent="0.2">
      <c r="A1612" s="22"/>
      <c r="B1612" s="23" t="str">
        <f>IF(A1612="","",VLOOKUP(A1612,'6.A'!$A$11:$G$180,2,FALSE))</f>
        <v/>
      </c>
      <c r="C1612" s="99"/>
      <c r="D1612" s="57" t="str">
        <f>IF(A1612="","",VLOOKUP(A1612,'6.A'!$A$11:$G$180,4,FALSE))</f>
        <v/>
      </c>
      <c r="E1612" s="100" t="str">
        <f>IF(A1612="","",VLOOKUP(A1612,'6.A'!$A$11:$G$180,5,FALSE))</f>
        <v/>
      </c>
      <c r="F1612" s="24" t="str">
        <f t="shared" si="693"/>
        <v>0,00</v>
      </c>
      <c r="G1612" s="52"/>
      <c r="H1612" s="52" t="str">
        <f>IF(A1612="","",VLOOKUP(A1612,'6.A'!$A$11:$E$7984,5,FALSE))</f>
        <v/>
      </c>
      <c r="I1612" s="52" t="str">
        <f t="shared" si="694"/>
        <v/>
      </c>
      <c r="J1612" s="52" t="str">
        <f>IF(H1612="","",VLOOKUP(A1612,'6.A'!$A$11:$E$564,4,FALSE))</f>
        <v/>
      </c>
      <c r="K1612" s="52" t="str">
        <f t="shared" si="695"/>
        <v/>
      </c>
      <c r="L1612" s="52" t="str">
        <f>IF(H1612="","",IF(C1612="","",G1572*C1612))</f>
        <v/>
      </c>
      <c r="M1612" s="117" t="str">
        <f>IF(A1612="","",VLOOKUP(A1612,'6.A'!$A$11:$C$564,2,FALSE))</f>
        <v/>
      </c>
      <c r="N1612" s="57" t="str">
        <f t="shared" si="696"/>
        <v/>
      </c>
      <c r="O1612" s="56"/>
      <c r="P1612" s="56"/>
      <c r="Q1612" s="48"/>
      <c r="R1612" s="48"/>
    </row>
    <row r="1613" spans="1:22" ht="12.75" customHeight="1" x14ac:dyDescent="0.2">
      <c r="A1613" s="22"/>
      <c r="B1613" s="23" t="str">
        <f>IF(A1613="","",VLOOKUP(A1613,'6.A'!$A$11:$G$180,2,FALSE))</f>
        <v/>
      </c>
      <c r="C1613" s="99"/>
      <c r="D1613" s="57" t="str">
        <f>IF(A1613="","",VLOOKUP(A1613,'6.A'!$A$11:$G$180,4,FALSE))</f>
        <v/>
      </c>
      <c r="E1613" s="100" t="str">
        <f>IF(A1613="","",VLOOKUP(A1613,'6.A'!$A$11:$G$180,5,FALSE))</f>
        <v/>
      </c>
      <c r="F1613" s="24" t="str">
        <f t="shared" si="693"/>
        <v>0,00</v>
      </c>
      <c r="G1613" s="52"/>
      <c r="H1613" s="52" t="str">
        <f>IF(A1613="","",VLOOKUP(A1613,'6.A'!$A$11:$E$7984,5,FALSE))</f>
        <v/>
      </c>
      <c r="I1613" s="52" t="str">
        <f t="shared" si="694"/>
        <v/>
      </c>
      <c r="J1613" s="52" t="str">
        <f>IF(H1613="","",VLOOKUP(A1613,'6.A'!$A$11:$E$564,4,FALSE))</f>
        <v/>
      </c>
      <c r="K1613" s="52" t="str">
        <f t="shared" si="695"/>
        <v/>
      </c>
      <c r="L1613" s="52" t="str">
        <f>IF(H1613="","",IF(C1613="","",G1572*C1613))</f>
        <v/>
      </c>
      <c r="M1613" s="117" t="str">
        <f>IF(A1613="","",VLOOKUP(A1613,'6.A'!$A$11:$C$564,2,FALSE))</f>
        <v/>
      </c>
      <c r="N1613" s="57" t="str">
        <f t="shared" si="696"/>
        <v/>
      </c>
      <c r="O1613" s="56"/>
      <c r="P1613" s="56"/>
      <c r="Q1613" s="48"/>
      <c r="R1613" s="48"/>
    </row>
    <row r="1614" spans="1:22" ht="12.75" customHeight="1" x14ac:dyDescent="0.2">
      <c r="A1614" s="22"/>
      <c r="B1614" s="23" t="str">
        <f>IF(A1614="","",VLOOKUP(A1614,'6.A'!$A$11:$G$180,2,FALSE))</f>
        <v/>
      </c>
      <c r="C1614" s="99"/>
      <c r="D1614" s="57" t="str">
        <f>IF(A1614="","",VLOOKUP(A1614,'6.A'!$A$11:$G$180,4,FALSE))</f>
        <v/>
      </c>
      <c r="E1614" s="100" t="str">
        <f>IF(A1614="","",VLOOKUP(A1614,'6.A'!$A$11:$G$180,5,FALSE))</f>
        <v/>
      </c>
      <c r="F1614" s="24" t="str">
        <f t="shared" si="693"/>
        <v>0,00</v>
      </c>
      <c r="G1614" s="52"/>
      <c r="H1614" s="52" t="str">
        <f>IF(A1614="","",VLOOKUP(A1614,'6.A'!$A$11:$E$7984,5,FALSE))</f>
        <v/>
      </c>
      <c r="I1614" s="52" t="str">
        <f t="shared" si="694"/>
        <v/>
      </c>
      <c r="J1614" s="52" t="str">
        <f>IF(H1614="","",VLOOKUP(A1614,'6.A'!$A$11:$E$564,4,FALSE))</f>
        <v/>
      </c>
      <c r="K1614" s="52" t="str">
        <f t="shared" si="695"/>
        <v/>
      </c>
      <c r="L1614" s="52" t="str">
        <f>IF(H1614="","",IF(C1614="","",G1572*C1614))</f>
        <v/>
      </c>
      <c r="M1614" s="117" t="str">
        <f>IF(A1614="","",VLOOKUP(A1614,'6.A'!$A$11:$C$564,2,FALSE))</f>
        <v/>
      </c>
      <c r="N1614" s="57" t="str">
        <f t="shared" si="696"/>
        <v/>
      </c>
      <c r="O1614" s="56"/>
      <c r="P1614" s="56"/>
      <c r="Q1614" s="48"/>
      <c r="R1614" s="48"/>
    </row>
    <row r="1615" spans="1:22" ht="12.75" customHeight="1" x14ac:dyDescent="0.2">
      <c r="A1615" s="22"/>
      <c r="B1615" s="23" t="str">
        <f>IF(A1615="","",VLOOKUP(A1615,'6.A'!$A$11:$G$180,2,FALSE))</f>
        <v/>
      </c>
      <c r="C1615" s="99"/>
      <c r="D1615" s="57" t="str">
        <f>IF(A1615="","",VLOOKUP(A1615,'6.A'!$A$11:$G$180,4,FALSE))</f>
        <v/>
      </c>
      <c r="E1615" s="100" t="str">
        <f>IF(A1615="","",VLOOKUP(A1615,'6.A'!$A$11:$G$180,5,FALSE))</f>
        <v/>
      </c>
      <c r="F1615" s="24" t="str">
        <f t="shared" si="693"/>
        <v>0,00</v>
      </c>
      <c r="G1615" s="52"/>
      <c r="H1615" s="52" t="str">
        <f>IF(A1615="","",VLOOKUP(A1615,'6.A'!$A$11:$E$7984,5,FALSE))</f>
        <v/>
      </c>
      <c r="I1615" s="52" t="str">
        <f t="shared" si="694"/>
        <v/>
      </c>
      <c r="J1615" s="52" t="str">
        <f>IF(H1615="","",VLOOKUP(A1615,'6.A'!$A$11:$E$564,4,FALSE))</f>
        <v/>
      </c>
      <c r="K1615" s="52" t="str">
        <f t="shared" si="695"/>
        <v/>
      </c>
      <c r="L1615" s="52" t="str">
        <f>IF(H1615="","",IF(C1615="","",G1572*C1615))</f>
        <v/>
      </c>
      <c r="M1615" s="117" t="str">
        <f>IF(A1615="","",VLOOKUP(A1615,'6.A'!$A$11:$C$564,2,FALSE))</f>
        <v/>
      </c>
      <c r="N1615" s="57" t="str">
        <f t="shared" si="696"/>
        <v/>
      </c>
      <c r="O1615" s="56"/>
      <c r="P1615" s="56"/>
      <c r="Q1615" s="48"/>
      <c r="R1615" s="48"/>
    </row>
    <row r="1616" spans="1:22" ht="12.75" customHeight="1" x14ac:dyDescent="0.2">
      <c r="A1616" s="22"/>
      <c r="B1616" s="23" t="str">
        <f>IF(A1616="","",VLOOKUP(A1616,'6.A'!$A$11:$G$180,2,FALSE))</f>
        <v/>
      </c>
      <c r="C1616" s="99"/>
      <c r="D1616" s="57" t="str">
        <f>IF(A1616="","",VLOOKUP(A1616,'6.A'!$A$11:$G$180,4,FALSE))</f>
        <v/>
      </c>
      <c r="E1616" s="100" t="str">
        <f>IF(A1616="","",VLOOKUP(A1616,'6.A'!$A$11:$G$180,5,FALSE))</f>
        <v/>
      </c>
      <c r="F1616" s="24" t="str">
        <f t="shared" si="693"/>
        <v>0,00</v>
      </c>
      <c r="G1616" s="52"/>
      <c r="H1616" s="52" t="str">
        <f>IF(A1616="","",VLOOKUP(A1616,'6.A'!$A$11:$E$7984,5,FALSE))</f>
        <v/>
      </c>
      <c r="I1616" s="52" t="str">
        <f t="shared" si="694"/>
        <v/>
      </c>
      <c r="J1616" s="52" t="str">
        <f>IF(H1616="","",VLOOKUP(A1616,'6.A'!$A$11:$E$564,4,FALSE))</f>
        <v/>
      </c>
      <c r="K1616" s="52" t="str">
        <f t="shared" si="695"/>
        <v/>
      </c>
      <c r="L1616" s="52" t="str">
        <f>IF(H1616="","",IF(C1616="","",G1572*C1616))</f>
        <v/>
      </c>
      <c r="M1616" s="117" t="str">
        <f>IF(A1616="","",VLOOKUP(A1616,'6.A'!$A$11:$C$564,2,FALSE))</f>
        <v/>
      </c>
      <c r="N1616" s="57" t="str">
        <f t="shared" si="696"/>
        <v/>
      </c>
      <c r="O1616" s="56"/>
      <c r="P1616" s="56"/>
      <c r="Q1616" s="48"/>
      <c r="R1616" s="48"/>
    </row>
    <row r="1617" spans="1:23" ht="12.75" customHeight="1" x14ac:dyDescent="0.2">
      <c r="A1617" s="22"/>
      <c r="B1617" s="23" t="str">
        <f>IF(A1617="","",VLOOKUP(A1617,'6.A'!$A$11:$G$180,2,FALSE))</f>
        <v/>
      </c>
      <c r="C1617" s="99"/>
      <c r="D1617" s="57" t="str">
        <f>IF(A1617="","",VLOOKUP(A1617,'6.A'!$A$11:$G$180,4,FALSE))</f>
        <v/>
      </c>
      <c r="E1617" s="100" t="str">
        <f>IF(A1617="","",VLOOKUP(A1617,'6.A'!$A$11:$G$180,5,FALSE))</f>
        <v/>
      </c>
      <c r="F1617" s="24" t="str">
        <f t="shared" si="693"/>
        <v>0,00</v>
      </c>
      <c r="G1617" s="52"/>
      <c r="H1617" s="52" t="str">
        <f>IF(A1617="","",VLOOKUP(A1617,'6.A'!$A$11:$E$7984,5,FALSE))</f>
        <v/>
      </c>
      <c r="I1617" s="52" t="str">
        <f t="shared" si="694"/>
        <v/>
      </c>
      <c r="J1617" s="52" t="str">
        <f>IF(H1617="","",VLOOKUP(A1617,'6.A'!$A$11:$E$564,4,FALSE))</f>
        <v/>
      </c>
      <c r="K1617" s="52" t="str">
        <f t="shared" si="695"/>
        <v/>
      </c>
      <c r="L1617" s="52" t="str">
        <f>IF(H1617="","",IF(C1617="","",G1572*C1617))</f>
        <v/>
      </c>
      <c r="M1617" s="117" t="str">
        <f>IF(A1617="","",VLOOKUP(A1617,'6.A'!$A$11:$C$564,2,FALSE))</f>
        <v/>
      </c>
      <c r="N1617" s="57" t="str">
        <f t="shared" si="696"/>
        <v/>
      </c>
      <c r="O1617" s="56"/>
      <c r="P1617" s="56"/>
      <c r="Q1617" s="48"/>
      <c r="R1617" s="48"/>
    </row>
    <row r="1618" spans="1:23" ht="12.75" customHeight="1" x14ac:dyDescent="0.2">
      <c r="A1618" s="22"/>
      <c r="B1618" s="39" t="str">
        <f>IF(A1618="","",VLOOKUP(A1618,'6.A'!$A$11:$G$180,2,FALSE))</f>
        <v/>
      </c>
      <c r="C1618" s="99"/>
      <c r="D1618" s="57" t="str">
        <f>IF(A1618="","",VLOOKUP(A1618,'6.A'!$A$11:$G$180,4,FALSE))</f>
        <v/>
      </c>
      <c r="E1618" s="100" t="str">
        <f>IF(A1618="","",VLOOKUP(A1618,'6.A'!$A$11:$G$180,5,FALSE))</f>
        <v/>
      </c>
      <c r="F1618" s="24" t="str">
        <f t="shared" si="693"/>
        <v>0,00</v>
      </c>
      <c r="G1618" s="52"/>
      <c r="H1618" s="52" t="str">
        <f>IF(A1618="","",VLOOKUP(A1618,'6.A'!$A$11:$E$7984,5,FALSE))</f>
        <v/>
      </c>
      <c r="I1618" s="52" t="str">
        <f t="shared" si="694"/>
        <v/>
      </c>
      <c r="J1618" s="52" t="str">
        <f>IF(H1618="","",VLOOKUP(A1618,'6.A'!$A$11:$E$564,4,FALSE))</f>
        <v/>
      </c>
      <c r="K1618" s="52" t="str">
        <f t="shared" si="695"/>
        <v/>
      </c>
      <c r="L1618" s="52" t="str">
        <f>IF(H1618="","",IF(C1618="","",G1572*C1618))</f>
        <v/>
      </c>
      <c r="M1618" s="117" t="str">
        <f>IF(A1618="","",VLOOKUP(A1618,'6.A'!$A$11:$C$564,2,FALSE))</f>
        <v/>
      </c>
      <c r="N1618" s="57" t="str">
        <f t="shared" si="696"/>
        <v/>
      </c>
      <c r="O1618" s="56"/>
      <c r="P1618" s="56"/>
      <c r="Q1618" s="48"/>
      <c r="R1618" s="48"/>
    </row>
    <row r="1619" spans="1:23" ht="12.75" customHeight="1" x14ac:dyDescent="0.2">
      <c r="A1619" s="22"/>
      <c r="B1619" s="39" t="str">
        <f>IF(A1619="","",VLOOKUP(A1619,'6.A'!$A$11:$G$180,2,FALSE))</f>
        <v/>
      </c>
      <c r="C1619" s="99"/>
      <c r="D1619" s="57" t="str">
        <f>IF(A1619="","",VLOOKUP(A1619,'6.A'!$A$11:$G$180,4,FALSE))</f>
        <v/>
      </c>
      <c r="E1619" s="100" t="str">
        <f>IF(A1619="","",VLOOKUP(A1619,'6.A'!$A$11:$G$180,5,FALSE))</f>
        <v/>
      </c>
      <c r="F1619" s="24" t="str">
        <f t="shared" si="693"/>
        <v>0,00</v>
      </c>
      <c r="G1619" s="52"/>
      <c r="H1619" s="52" t="str">
        <f>IF(A1619="","",VLOOKUP(A1619,'6.A'!$A$11:$E$7984,5,FALSE))</f>
        <v/>
      </c>
      <c r="I1619" s="52" t="str">
        <f t="shared" si="694"/>
        <v/>
      </c>
      <c r="J1619" s="52" t="str">
        <f>IF(H1619="","",VLOOKUP(A1619,'6.A'!$A$11:$E$564,4,FALSE))</f>
        <v/>
      </c>
      <c r="K1619" s="52" t="str">
        <f t="shared" si="695"/>
        <v/>
      </c>
      <c r="L1619" s="52" t="str">
        <f>IF(H1619="","",IF(C1619="","",G1572*C1619))</f>
        <v/>
      </c>
      <c r="M1619" s="117" t="str">
        <f>IF(A1619="","",VLOOKUP(A1619,'6.A'!$A$11:$C$564,2,FALSE))</f>
        <v/>
      </c>
      <c r="N1619" s="57" t="str">
        <f t="shared" si="696"/>
        <v/>
      </c>
      <c r="O1619" s="56"/>
      <c r="P1619" s="56"/>
      <c r="Q1619" s="48"/>
      <c r="R1619" s="48"/>
    </row>
    <row r="1620" spans="1:23" ht="12.75" customHeight="1" x14ac:dyDescent="0.2">
      <c r="A1620" s="22"/>
      <c r="B1620" s="39" t="str">
        <f>IF(A1620="","",VLOOKUP(A1620,'6.A'!$A$11:$G$180,2,FALSE))</f>
        <v/>
      </c>
      <c r="C1620" s="99"/>
      <c r="D1620" s="57" t="str">
        <f>IF(A1620="","",VLOOKUP(A1620,'6.A'!$A$11:$G$180,4,FALSE))</f>
        <v/>
      </c>
      <c r="E1620" s="100" t="str">
        <f>IF(A1620="","",VLOOKUP(A1620,'6.A'!$A$11:$G$180,5,FALSE))</f>
        <v/>
      </c>
      <c r="F1620" s="24" t="str">
        <f t="shared" si="693"/>
        <v>0,00</v>
      </c>
      <c r="G1620" s="52"/>
      <c r="H1620" s="52" t="str">
        <f>IF(A1620="","",VLOOKUP(A1620,'6.A'!$A$11:$E$7984,5,FALSE))</f>
        <v/>
      </c>
      <c r="I1620" s="52" t="str">
        <f t="shared" si="694"/>
        <v/>
      </c>
      <c r="J1620" s="52" t="str">
        <f>IF(H1620="","",VLOOKUP(A1620,'6.A'!$A$11:$E$564,4,FALSE))</f>
        <v/>
      </c>
      <c r="K1620" s="52" t="str">
        <f t="shared" si="695"/>
        <v/>
      </c>
      <c r="L1620" s="52" t="str">
        <f>IF(H1620="","",IF(C1620="","",G1572*C1620))</f>
        <v/>
      </c>
      <c r="M1620" s="117" t="str">
        <f>IF(A1620="","",VLOOKUP(A1620,'6.A'!$A$11:$C$564,2,FALSE))</f>
        <v/>
      </c>
      <c r="N1620" s="57" t="str">
        <f t="shared" si="696"/>
        <v/>
      </c>
      <c r="O1620" s="56"/>
      <c r="P1620" s="56"/>
      <c r="Q1620" s="48"/>
      <c r="R1620" s="48"/>
    </row>
    <row r="1621" spans="1:23" ht="12.75" customHeight="1" x14ac:dyDescent="0.2">
      <c r="A1621" s="22"/>
      <c r="B1621" s="26" t="str">
        <f>$A$9</f>
        <v>BDI</v>
      </c>
      <c r="C1621" s="40">
        <f>$C$9</f>
        <v>0</v>
      </c>
      <c r="D1621" s="57"/>
      <c r="F1621" s="28">
        <f>ROUND(SUM(F1601:F1620)*C1621,2)</f>
        <v>0</v>
      </c>
      <c r="G1621" s="63"/>
      <c r="M1621" s="57"/>
      <c r="N1621" s="57"/>
      <c r="O1621" s="56"/>
      <c r="P1621" s="56"/>
      <c r="Q1621" s="48"/>
      <c r="R1621" s="48"/>
    </row>
    <row r="1622" spans="1:23" ht="12.75" customHeight="1" thickBot="1" x14ac:dyDescent="0.25">
      <c r="A1622" s="41"/>
      <c r="B1622" s="42" t="s">
        <v>57</v>
      </c>
      <c r="C1622" s="43"/>
      <c r="D1622" s="44"/>
      <c r="E1622" s="45"/>
      <c r="F1622" s="46">
        <f>ROUND(SUM(F1601:F1621),2)</f>
        <v>0</v>
      </c>
      <c r="G1622" s="63"/>
      <c r="M1622" s="57"/>
      <c r="N1622" s="57"/>
      <c r="O1622" s="56"/>
      <c r="P1622" s="56"/>
      <c r="Q1622" s="48"/>
      <c r="R1622" s="48"/>
    </row>
    <row r="1623" spans="1:23" ht="12" customHeight="1" thickBot="1" x14ac:dyDescent="0.25">
      <c r="A1623" s="8"/>
      <c r="B1623" s="9"/>
      <c r="C1623" s="10"/>
      <c r="D1623" s="57"/>
      <c r="F1623" s="12"/>
      <c r="M1623" s="57"/>
      <c r="N1623" s="57"/>
      <c r="O1623" s="56"/>
      <c r="P1623" s="56"/>
    </row>
    <row r="1624" spans="1:23" ht="50.1" customHeight="1" x14ac:dyDescent="0.2">
      <c r="A1624" s="13" t="str">
        <f>'3.A'!$A$47</f>
        <v>3.2.7</v>
      </c>
      <c r="B1624" s="14" t="str">
        <f>IF(A1624="","",VLOOKUP(A1624,'3.A'!$A$17:$M$279,2,FALSE))</f>
        <v>CABO DE COBRE FLEXÍVEL ISOLADO, 50 MM², 0,6/1,0 KV, PARA REDE AÉREA DE ENERGIA ELÉTRICA DE BAIXA TENSÃO - FASES</v>
      </c>
      <c r="C1624" s="413" t="s">
        <v>62</v>
      </c>
      <c r="D1624" s="413"/>
      <c r="E1624" s="15" t="str">
        <f>IF(A1624="","",VLOOKUP(A1624,'3.A'!$A$17:$M$279,3,FALSE))</f>
        <v>M</v>
      </c>
      <c r="F1624" s="16">
        <f>ROUND(F1638+F1651+F1674,2)</f>
        <v>0</v>
      </c>
      <c r="G1624" s="118">
        <f>VLOOKUP(A1624,'3.A'!$A$19:$I$279,4,FALSE)</f>
        <v>15</v>
      </c>
      <c r="H1624" s="47">
        <f>SUM(F1626:F1637)</f>
        <v>0</v>
      </c>
      <c r="I1624" s="47">
        <f>SUM(F1640:F1650)</f>
        <v>0</v>
      </c>
      <c r="J1624" s="47">
        <f>SUM(F1653:F1673)</f>
        <v>0</v>
      </c>
      <c r="K1624" s="47">
        <f>SUM(H1624:J1624)</f>
        <v>0</v>
      </c>
      <c r="L1624" s="47" t="str">
        <f>IF(K1624=F1624,"SIM","NÃO")</f>
        <v>SIM</v>
      </c>
      <c r="M1624" s="58">
        <f>ROUND(SUM(F1626:F1635)*C1636,2)+ROUND(SUM(F1626:F1636)*C1637,2)+ROUND(SUM(F1626:F1635),2)+ROUND(SUM(F1640:F1649)*C1650,2)+ROUND(SUM(F1640:F1649),2)+ROUND(SUM(F1653:F1672)*C1673,2)+ROUND(SUM(F1653:F1672),2)</f>
        <v>0</v>
      </c>
      <c r="N1624" s="50" t="str">
        <f>IF(M1624=F1624,"SIM","NÃO")</f>
        <v>SIM</v>
      </c>
      <c r="O1624" s="51" t="str">
        <f>VLOOKUP(A1624,'3.A'!$A$8:$E$279,3,FALSE)</f>
        <v>M</v>
      </c>
      <c r="P1624" s="51" t="str">
        <f>IF(O1624=E1624,"SIM","NÃO")</f>
        <v>SIM</v>
      </c>
      <c r="Q1624" s="53">
        <f>ROUND(G1624*F1638,2)+ROUND(G1624*F1651,2)+ROUND(G1624*F1674,2)</f>
        <v>0</v>
      </c>
      <c r="R1624" s="59">
        <f>VLOOKUP(A1624,'3.A'!$A$17:$L$279,12,FALSE)</f>
        <v>0</v>
      </c>
      <c r="S1624" s="60" t="str">
        <f>IF(Q1624=R1624,"si","no")</f>
        <v>si</v>
      </c>
      <c r="T1624" s="61">
        <f>SUM(L1626:L1635)+SUM(L1640:L1649)+SUM(L1653:L1672)</f>
        <v>15.6465</v>
      </c>
      <c r="U1624" s="52">
        <f>G1624*C1632+G1624*C1634+G1624*C1627+G1624*C1628+G1624*C1630+G1624*C1633+G1624*C1631+G1624*C1626+G1624*C1629+G1624*C1635+G1624*C1646+G1624*C1640+G1624*C1648+G1624*C1647+G1624*C1645+G1624*C1642+G1624*C1641+G1624*C1643+G1624*C1649+G1624*C1644+G1624*C1653+G1624*C1654+G1624*C1655+G1624*C1663+G1624*C1664+G1624*C1665+G1624*C1666+G1624*C1667+G1624*C1668+G1624*C1669+G1624*C1670+G1624*C1671+G1624*C1672+G1624*C1661+G1624*C1662+G1624*C1656+G1624*C1657+G1624*C1658+G1624*C1659+G1624*C1660</f>
        <v>15.6465</v>
      </c>
      <c r="V1624" s="54" t="str">
        <f>IF(T1624=U1624,"si","no")</f>
        <v>si</v>
      </c>
      <c r="W1624" s="137"/>
    </row>
    <row r="1625" spans="1:23" ht="12.75" customHeight="1" x14ac:dyDescent="0.2">
      <c r="A1625" s="17" t="s">
        <v>3</v>
      </c>
      <c r="B1625" s="18" t="s">
        <v>58</v>
      </c>
      <c r="C1625" s="56" t="s">
        <v>59</v>
      </c>
      <c r="D1625" s="56" t="s">
        <v>16</v>
      </c>
      <c r="E1625" s="19" t="s">
        <v>60</v>
      </c>
      <c r="F1625" s="20" t="s">
        <v>61</v>
      </c>
      <c r="G1625" s="21"/>
      <c r="M1625" s="57"/>
      <c r="N1625" s="57"/>
      <c r="O1625" s="56"/>
      <c r="P1625" s="56"/>
      <c r="Q1625" s="48"/>
      <c r="R1625" s="48"/>
    </row>
    <row r="1626" spans="1:23" ht="12.75" customHeight="1" x14ac:dyDescent="0.2">
      <c r="A1626" s="22">
        <f>'6.A'!$A$18</f>
        <v>88264</v>
      </c>
      <c r="B1626" s="23" t="str">
        <f>IF(A1626="","",VLOOKUP(A1626,'6.A'!$A$11:$G$180,2,FALSE))</f>
        <v>ELETRICISTA COM ENCARGOS COMPLEMENTARES</v>
      </c>
      <c r="C1626" s="99">
        <v>3.0000000000000001E-3</v>
      </c>
      <c r="D1626" s="57" t="str">
        <f>IF(A1626="","",VLOOKUP(A1626,'6.A'!$A$11:$G$180,4,FALSE))</f>
        <v>H</v>
      </c>
      <c r="E1626" s="100">
        <f>IF(A1626="","",VLOOKUP(A1626,'6.A'!$A$11:$G$180,5,FALSE))</f>
        <v>0</v>
      </c>
      <c r="F1626" s="24">
        <f t="shared" ref="F1626:F1635" si="697">IF(A1626="","0,00",ROUND(C1626*E1626,2))</f>
        <v>0</v>
      </c>
      <c r="G1626" s="52"/>
      <c r="H1626" s="52">
        <f>IF(A1626="","",VLOOKUP(A1626,'6.A'!$A$11:$E$7984,5,FALSE))</f>
        <v>0</v>
      </c>
      <c r="I1626" s="52" t="str">
        <f>IF(H1626="","",IF(E1626=H1626,"SIM","NÃO"))</f>
        <v>SIM</v>
      </c>
      <c r="J1626" s="52" t="str">
        <f>IF(H1626="","",VLOOKUP(A1626,'6.A'!$A$11:$E$564,4,FALSE))</f>
        <v>H</v>
      </c>
      <c r="K1626" s="52" t="str">
        <f>IF(H1626="","",IF(J1626=D1626,"SIM","NÃO"))</f>
        <v>SIM</v>
      </c>
      <c r="L1626" s="52">
        <f>IF(H1626="","",IF(C1626="","",G1624*C1626))</f>
        <v>4.4999999999999998E-2</v>
      </c>
      <c r="M1626" s="117" t="str">
        <f>IF(A1626="","",VLOOKUP(A1626,'6.A'!$A$11:$C$564,2,FALSE))</f>
        <v>ELETRICISTA COM ENCARGOS COMPLEMENTARES</v>
      </c>
      <c r="N1626" s="57" t="str">
        <f>IF(A1626="","",IF(M1626=B1626,"si","no"))</f>
        <v>si</v>
      </c>
      <c r="O1626" s="56"/>
      <c r="P1626" s="56"/>
      <c r="Q1626" s="48"/>
      <c r="R1626" s="48"/>
    </row>
    <row r="1627" spans="1:23" ht="12.75" customHeight="1" x14ac:dyDescent="0.2">
      <c r="A1627" s="22"/>
      <c r="B1627" s="23" t="str">
        <f>IF(A1627="","",VLOOKUP(A1627,'6.A'!$A$11:$G$180,2,FALSE))</f>
        <v/>
      </c>
      <c r="C1627" s="99"/>
      <c r="D1627" s="57" t="str">
        <f>IF(A1627="","",VLOOKUP(A1627,'6.A'!$A$11:$G$180,4,FALSE))</f>
        <v/>
      </c>
      <c r="E1627" s="100" t="str">
        <f>IF(A1627="","",VLOOKUP(A1627,'6.A'!$A$11:$G$180,5,FALSE))</f>
        <v/>
      </c>
      <c r="F1627" s="24" t="str">
        <f t="shared" si="697"/>
        <v>0,00</v>
      </c>
      <c r="G1627" s="52"/>
      <c r="H1627" s="52" t="str">
        <f>IF(A1627="","",VLOOKUP(A1627,'6.A'!$A$11:$E$7984,5,FALSE))</f>
        <v/>
      </c>
      <c r="I1627" s="52" t="str">
        <f>IF(H1627="","",IF(E1627=H1627,"SIM","NÃO"))</f>
        <v/>
      </c>
      <c r="J1627" s="52" t="str">
        <f>IF(H1627="","",VLOOKUP(A1627,'6.A'!$A$11:$E$564,4,FALSE))</f>
        <v/>
      </c>
      <c r="K1627" s="52" t="str">
        <f>IF(H1627="","",IF(J1627=D1627,"SIM","NÃO"))</f>
        <v/>
      </c>
      <c r="L1627" s="52" t="str">
        <f>IF(H1627="","",IF(C1627="","",G1624*C1627))</f>
        <v/>
      </c>
      <c r="M1627" s="117" t="str">
        <f>IF(A1627="","",VLOOKUP(A1627,'6.A'!$A$11:$C$564,2,FALSE))</f>
        <v/>
      </c>
      <c r="N1627" s="57" t="str">
        <f>IF(A1627="","",IF(M1627=B1627,"si","no"))</f>
        <v/>
      </c>
      <c r="O1627" s="56"/>
      <c r="P1627" s="56"/>
      <c r="Q1627" s="48"/>
      <c r="R1627" s="48"/>
    </row>
    <row r="1628" spans="1:23" ht="12.75" customHeight="1" x14ac:dyDescent="0.2">
      <c r="A1628" s="22"/>
      <c r="B1628" s="23" t="str">
        <f>IF(A1628="","",VLOOKUP(A1628,'6.A'!$A$11:$G$180,2,FALSE))</f>
        <v/>
      </c>
      <c r="C1628" s="99"/>
      <c r="D1628" s="57" t="str">
        <f>IF(A1628="","",VLOOKUP(A1628,'6.A'!$A$11:$G$180,4,FALSE))</f>
        <v/>
      </c>
      <c r="E1628" s="100" t="str">
        <f>IF(A1628="","",VLOOKUP(A1628,'6.A'!$A$11:$G$180,5,FALSE))</f>
        <v/>
      </c>
      <c r="F1628" s="24" t="str">
        <f t="shared" si="697"/>
        <v>0,00</v>
      </c>
      <c r="G1628" s="52"/>
      <c r="H1628" s="52" t="str">
        <f>IF(A1628="","",VLOOKUP(A1628,'6.A'!$A$11:$E$7984,5,FALSE))</f>
        <v/>
      </c>
      <c r="I1628" s="52" t="str">
        <f>IF(H1628="","",IF(E1628=H1628,"SIM","NÃO"))</f>
        <v/>
      </c>
      <c r="J1628" s="52" t="str">
        <f>IF(H1628="","",VLOOKUP(A1628,'6.A'!$A$11:$E$564,4,FALSE))</f>
        <v/>
      </c>
      <c r="K1628" s="52" t="str">
        <f t="shared" ref="K1628" si="698">IF(H1628="","",IF(J1628=D1628,"SIM","NÃO"))</f>
        <v/>
      </c>
      <c r="L1628" s="52" t="str">
        <f>IF(H1628="","",IF(C1628="","",G1624*C1628))</f>
        <v/>
      </c>
      <c r="M1628" s="117" t="str">
        <f>IF(A1628="","",VLOOKUP(A1628,'6.A'!$A$11:$C$564,2,FALSE))</f>
        <v/>
      </c>
      <c r="N1628" s="57" t="str">
        <f t="shared" ref="N1628" si="699">IF(A1628="","",IF(M1628=B1628,"si","no"))</f>
        <v/>
      </c>
      <c r="O1628" s="56"/>
      <c r="P1628" s="56"/>
      <c r="Q1628" s="48"/>
      <c r="R1628" s="48"/>
      <c r="S1628" s="2"/>
    </row>
    <row r="1629" spans="1:23" ht="12.75" customHeight="1" x14ac:dyDescent="0.2">
      <c r="A1629" s="22"/>
      <c r="B1629" s="23" t="str">
        <f>IF(A1629="","",VLOOKUP(A1629,'6.A'!$A$11:$G$180,2,FALSE))</f>
        <v/>
      </c>
      <c r="C1629" s="99"/>
      <c r="D1629" s="57" t="str">
        <f>IF(A1629="","",VLOOKUP(A1629,'6.A'!$A$11:$G$180,4,FALSE))</f>
        <v/>
      </c>
      <c r="E1629" s="100" t="str">
        <f>IF(A1629="","",VLOOKUP(A1629,'6.A'!$A$11:$G$180,5,FALSE))</f>
        <v/>
      </c>
      <c r="F1629" s="24" t="str">
        <f t="shared" si="697"/>
        <v>0,00</v>
      </c>
      <c r="G1629" s="52"/>
      <c r="H1629" s="52" t="str">
        <f>IF(A1629="","",VLOOKUP(A1629,'6.A'!$A$11:$E$7984,5,FALSE))</f>
        <v/>
      </c>
      <c r="I1629" s="52" t="str">
        <f>IF(H1629="","",IF(E1629=H1629,"SIM","NÃO"))</f>
        <v/>
      </c>
      <c r="J1629" s="52" t="str">
        <f>IF(H1629="","",VLOOKUP(A1629,'6.A'!$A$11:$E$564,4,FALSE))</f>
        <v/>
      </c>
      <c r="K1629" s="52" t="str">
        <f>IF(H1629="","",IF(J1629=D1629,"SIM","NÃO"))</f>
        <v/>
      </c>
      <c r="L1629" s="52" t="str">
        <f>IF(H1629="","",IF(C1629="","",G1624*C1629))</f>
        <v/>
      </c>
      <c r="M1629" s="117" t="str">
        <f>IF(A1629="","",VLOOKUP(A1629,'6.A'!$A$11:$C$564,2,FALSE))</f>
        <v/>
      </c>
      <c r="N1629" s="57" t="str">
        <f>IF(A1629="","",IF(M1629=B1629,"si","no"))</f>
        <v/>
      </c>
      <c r="O1629" s="56"/>
      <c r="P1629" s="56"/>
      <c r="Q1629" s="48"/>
      <c r="R1629" s="48"/>
      <c r="S1629" s="2"/>
    </row>
    <row r="1630" spans="1:23" ht="12.75" customHeight="1" x14ac:dyDescent="0.2">
      <c r="A1630" s="22"/>
      <c r="B1630" s="23" t="str">
        <f>IF(A1630="","",VLOOKUP(A1630,'6.A'!$A$11:$G$180,2,FALSE))</f>
        <v/>
      </c>
      <c r="C1630" s="99"/>
      <c r="D1630" s="57" t="str">
        <f>IF(A1630="","",VLOOKUP(A1630,'6.A'!$A$11:$G$180,4,FALSE))</f>
        <v/>
      </c>
      <c r="E1630" s="101" t="str">
        <f>IF(A1630="","",VLOOKUP(A1630,'6.A'!$A$11:$G$180,5,FALSE))</f>
        <v/>
      </c>
      <c r="F1630" s="24" t="str">
        <f t="shared" si="697"/>
        <v>0,00</v>
      </c>
      <c r="G1630" s="52"/>
      <c r="H1630" s="52" t="str">
        <f>IF(A1630="","",VLOOKUP(A1630,'6.A'!$A$11:$E$7984,5,FALSE))</f>
        <v/>
      </c>
      <c r="I1630" s="52" t="str">
        <f t="shared" ref="I1630" si="700">IF(H1630="","",IF(E1630=H1630,"SIM","NÃO"))</f>
        <v/>
      </c>
      <c r="J1630" s="52" t="str">
        <f>IF(H1630="","",VLOOKUP(A1630,'6.A'!$A$11:$E$564,4,FALSE))</f>
        <v/>
      </c>
      <c r="K1630" s="52" t="str">
        <f t="shared" ref="K1630" si="701">IF(H1630="","",IF(J1630=D1630,"SIM","NÃO"))</f>
        <v/>
      </c>
      <c r="L1630" s="52" t="str">
        <f>IF(H1630="","",IF(C1630="","",G1624*C1630))</f>
        <v/>
      </c>
      <c r="M1630" s="117" t="str">
        <f>IF(A1630="","",VLOOKUP(A1630,'6.A'!$A$11:$C$564,2,FALSE))</f>
        <v/>
      </c>
      <c r="N1630" s="57" t="str">
        <f t="shared" ref="N1630" si="702">IF(A1630="","",IF(M1630=B1630,"si","no"))</f>
        <v/>
      </c>
      <c r="O1630" s="56"/>
      <c r="P1630" s="56"/>
      <c r="Q1630" s="48"/>
      <c r="R1630" s="48"/>
      <c r="S1630" s="2"/>
    </row>
    <row r="1631" spans="1:23" ht="12.75" customHeight="1" x14ac:dyDescent="0.2">
      <c r="A1631" s="22"/>
      <c r="B1631" s="23" t="str">
        <f>IF(A1631="","",VLOOKUP(A1631,'6.A'!$A$11:$G$180,2,FALSE))</f>
        <v/>
      </c>
      <c r="C1631" s="99"/>
      <c r="D1631" s="57" t="str">
        <f>IF(A1631="","",VLOOKUP(A1631,'6.A'!$A$11:$G$180,4,FALSE))</f>
        <v/>
      </c>
      <c r="E1631" s="101" t="str">
        <f>IF(A1631="","",VLOOKUP(A1631,'6.A'!$A$11:$G$180,5,FALSE))</f>
        <v/>
      </c>
      <c r="F1631" s="24" t="str">
        <f t="shared" si="697"/>
        <v>0,00</v>
      </c>
      <c r="G1631" s="52"/>
      <c r="H1631" s="52" t="str">
        <f>IF(A1631="","",VLOOKUP(A1631,'6.A'!$A$11:$E$7984,5,FALSE))</f>
        <v/>
      </c>
      <c r="I1631" s="52" t="str">
        <f>IF(H1631="","",IF(E1631=H1631,"SIM","NÃO"))</f>
        <v/>
      </c>
      <c r="J1631" s="52" t="str">
        <f>IF(H1631="","",VLOOKUP(A1631,'6.A'!$A$11:$E$564,4,FALSE))</f>
        <v/>
      </c>
      <c r="K1631" s="52" t="str">
        <f>IF(H1631="","",IF(J1631=D1631,"SIM","NÃO"))</f>
        <v/>
      </c>
      <c r="L1631" s="52" t="str">
        <f>IF(H1631="","",IF(C1631="","",G1624*C1631))</f>
        <v/>
      </c>
      <c r="M1631" s="117" t="str">
        <f>IF(A1631="","",VLOOKUP(A1631,'6.A'!$A$11:$C$564,2,FALSE))</f>
        <v/>
      </c>
      <c r="N1631" s="57" t="str">
        <f>IF(A1631="","",IF(M1631=B1631,"si","no"))</f>
        <v/>
      </c>
      <c r="O1631" s="56"/>
      <c r="P1631" s="56"/>
      <c r="Q1631" s="48"/>
      <c r="R1631" s="48"/>
      <c r="S1631" s="2"/>
    </row>
    <row r="1632" spans="1:23" ht="12.75" customHeight="1" x14ac:dyDescent="0.2">
      <c r="A1632" s="22"/>
      <c r="B1632" s="23" t="str">
        <f>IF(A1632="","",VLOOKUP(A1632,'6.A'!$A$11:$G$180,2,FALSE))</f>
        <v/>
      </c>
      <c r="C1632" s="99"/>
      <c r="D1632" s="57" t="str">
        <f>IF(A1632="","",VLOOKUP(A1632,'6.A'!$A$11:$G$180,4,FALSE))</f>
        <v/>
      </c>
      <c r="E1632" s="100" t="str">
        <f>IF(A1632="","",VLOOKUP(A1632,'6.A'!$A$11:$G$180,5,FALSE))</f>
        <v/>
      </c>
      <c r="F1632" s="24" t="str">
        <f t="shared" si="697"/>
        <v>0,00</v>
      </c>
      <c r="G1632" s="52"/>
      <c r="H1632" s="52" t="str">
        <f>IF(A1632="","",VLOOKUP(A1632,'6.A'!$A$11:$E$7984,5,FALSE))</f>
        <v/>
      </c>
      <c r="I1632" s="52" t="str">
        <f>IF(H1632="","",IF(E1632=H1632,"SIM","NÃO"))</f>
        <v/>
      </c>
      <c r="J1632" s="52" t="str">
        <f>IF(H1632="","",VLOOKUP(A1632,'6.A'!$A$11:$E$564,4,FALSE))</f>
        <v/>
      </c>
      <c r="K1632" s="52" t="str">
        <f>IF(H1632="","",IF(J1632=D1632,"SIM","NÃO"))</f>
        <v/>
      </c>
      <c r="L1632" s="52" t="str">
        <f>IF(H1632="","",IF(C1632="","",G1624*C1632))</f>
        <v/>
      </c>
      <c r="M1632" s="117" t="str">
        <f>IF(A1632="","",VLOOKUP(A1632,'6.A'!$A$11:$C$564,2,FALSE))</f>
        <v/>
      </c>
      <c r="N1632" s="57" t="str">
        <f>IF(A1632="","",IF(M1632=B1632,"si","no"))</f>
        <v/>
      </c>
      <c r="O1632" s="56"/>
      <c r="P1632" s="56"/>
      <c r="Q1632" s="48"/>
      <c r="R1632" s="48"/>
      <c r="S1632" s="2"/>
    </row>
    <row r="1633" spans="1:19" ht="12.75" customHeight="1" x14ac:dyDescent="0.2">
      <c r="A1633" s="22"/>
      <c r="B1633" s="23" t="str">
        <f>IF(A1633="","",VLOOKUP(A1633,'6.A'!$A$11:$G$180,2,FALSE))</f>
        <v/>
      </c>
      <c r="C1633" s="99"/>
      <c r="D1633" s="57" t="str">
        <f>IF(A1633="","",VLOOKUP(A1633,'6.A'!$A$11:$G$180,4,FALSE))</f>
        <v/>
      </c>
      <c r="E1633" s="100" t="str">
        <f>IF(A1633="","",VLOOKUP(A1633,'6.A'!$A$11:$G$180,5,FALSE))</f>
        <v/>
      </c>
      <c r="F1633" s="24" t="str">
        <f t="shared" si="697"/>
        <v>0,00</v>
      </c>
      <c r="G1633" s="52"/>
      <c r="H1633" s="52" t="str">
        <f>IF(A1633="","",VLOOKUP(A1633,'6.A'!$A$11:$E$7984,5,FALSE))</f>
        <v/>
      </c>
      <c r="I1633" s="52" t="str">
        <f t="shared" ref="I1633" si="703">IF(H1633="","",IF(E1633=H1633,"SIM","NÃO"))</f>
        <v/>
      </c>
      <c r="J1633" s="52" t="str">
        <f>IF(H1633="","",VLOOKUP(A1633,'6.A'!$A$11:$E$564,4,FALSE))</f>
        <v/>
      </c>
      <c r="K1633" s="52" t="str">
        <f t="shared" ref="K1633" si="704">IF(H1633="","",IF(J1633=D1633,"SIM","NÃO"))</f>
        <v/>
      </c>
      <c r="L1633" s="52" t="str">
        <f>IF(H1633="","",IF(C1633="","",G1624*C1633))</f>
        <v/>
      </c>
      <c r="M1633" s="117" t="str">
        <f>IF(A1633="","",VLOOKUP(A1633,'6.A'!$A$11:$C$564,2,FALSE))</f>
        <v/>
      </c>
      <c r="N1633" s="57" t="str">
        <f t="shared" ref="N1633" si="705">IF(A1633="","",IF(M1633=B1633,"si","no"))</f>
        <v/>
      </c>
      <c r="O1633" s="56"/>
      <c r="P1633" s="56"/>
      <c r="Q1633" s="48"/>
      <c r="R1633" s="48"/>
      <c r="S1633" s="2"/>
    </row>
    <row r="1634" spans="1:19" ht="12.75" customHeight="1" x14ac:dyDescent="0.2">
      <c r="A1634" s="22"/>
      <c r="B1634" s="23" t="str">
        <f>IF(A1634="","",VLOOKUP(A1634,'6.A'!$A$11:$G$180,2,FALSE))</f>
        <v/>
      </c>
      <c r="C1634" s="99"/>
      <c r="D1634" s="73" t="str">
        <f>IF(A1634="","",VLOOKUP(A1634,'6.A'!$A$11:$G$180,4,FALSE))</f>
        <v/>
      </c>
      <c r="E1634" s="101" t="str">
        <f>IF(A1634="","",VLOOKUP(A1634,'6.A'!$A$11:$G$180,5,FALSE))</f>
        <v/>
      </c>
      <c r="F1634" s="24" t="str">
        <f t="shared" si="697"/>
        <v>0,00</v>
      </c>
      <c r="G1634" s="52"/>
      <c r="H1634" s="52" t="str">
        <f>IF(A1634="","",VLOOKUP(A1634,'6.A'!$A$11:$E$7984,5,FALSE))</f>
        <v/>
      </c>
      <c r="I1634" s="52" t="str">
        <f>IF(H1634="","",IF(E1634=H1634,"SIM","NÃO"))</f>
        <v/>
      </c>
      <c r="J1634" s="52" t="str">
        <f>IF(H1634="","",VLOOKUP(A1634,'6.A'!$A$11:$E$564,4,FALSE))</f>
        <v/>
      </c>
      <c r="K1634" s="52" t="str">
        <f>IF(H1634="","",IF(J1634=D1634,"SIM","NÃO"))</f>
        <v/>
      </c>
      <c r="L1634" s="52" t="str">
        <f>IF(H1634="","",IF(C1634="","",G1624*C1634))</f>
        <v/>
      </c>
      <c r="M1634" s="117" t="str">
        <f>IF(A1634="","",VLOOKUP(A1634,'6.A'!$A$11:$C$564,2,FALSE))</f>
        <v/>
      </c>
      <c r="N1634" s="57" t="str">
        <f>IF(A1634="","",IF(M1634=B1634,"si","no"))</f>
        <v/>
      </c>
      <c r="O1634" s="56"/>
      <c r="P1634" s="56"/>
      <c r="Q1634" s="48"/>
      <c r="R1634" s="48"/>
      <c r="S1634" s="2"/>
    </row>
    <row r="1635" spans="1:19" ht="12.75" customHeight="1" x14ac:dyDescent="0.2">
      <c r="A1635" s="22"/>
      <c r="B1635" s="23" t="str">
        <f>IF(A1635="","",VLOOKUP(A1635,'6.A'!$A$11:$G$180,2,FALSE))</f>
        <v/>
      </c>
      <c r="C1635" s="99"/>
      <c r="D1635" s="25" t="str">
        <f>IF(A1635="","",VLOOKUP(A1635,'6.A'!$A$11:$G$180,4,FALSE))</f>
        <v/>
      </c>
      <c r="E1635" s="101" t="str">
        <f>IF(A1635="","",VLOOKUP(A1635,'6.A'!$A$11:$G$180,5,FALSE))</f>
        <v/>
      </c>
      <c r="F1635" s="24" t="str">
        <f t="shared" si="697"/>
        <v>0,00</v>
      </c>
      <c r="G1635" s="52"/>
      <c r="H1635" s="52" t="str">
        <f>IF(A1635="","",VLOOKUP(A1635,'6.A'!$A$11:$E$7984,5,FALSE))</f>
        <v/>
      </c>
      <c r="I1635" s="52" t="str">
        <f t="shared" ref="I1635" si="706">IF(H1635="","",IF(E1635=H1635,"SIM","NÃO"))</f>
        <v/>
      </c>
      <c r="J1635" s="52" t="str">
        <f>IF(H1635="","",VLOOKUP(A1635,'6.A'!$A$11:$E$564,4,FALSE))</f>
        <v/>
      </c>
      <c r="K1635" s="52" t="str">
        <f t="shared" ref="K1635" si="707">IF(H1635="","",IF(J1635=D1635,"SIM","NÃO"))</f>
        <v/>
      </c>
      <c r="L1635" s="52" t="str">
        <f>IF(H1635="","",IF(C1635="","",G1624*C1635))</f>
        <v/>
      </c>
      <c r="M1635" s="117" t="str">
        <f>IF(A1635="","",VLOOKUP(A1635,'6.A'!$A$11:$C$564,2,FALSE))</f>
        <v/>
      </c>
      <c r="N1635" s="57" t="str">
        <f t="shared" ref="N1635" si="708">IF(A1635="","",IF(M1635=B1635,"si","no"))</f>
        <v/>
      </c>
      <c r="O1635" s="56"/>
      <c r="P1635" s="56"/>
      <c r="Q1635" s="48"/>
      <c r="R1635" s="48"/>
      <c r="S1635" s="2"/>
    </row>
    <row r="1636" spans="1:19" ht="12.75" customHeight="1" x14ac:dyDescent="0.2">
      <c r="A1636" s="17"/>
      <c r="B1636" s="26" t="str">
        <f>$A$8</f>
        <v>LEIS SOCIAIS HORISTA - JORNADA NORMAL</v>
      </c>
      <c r="C1636" s="27">
        <f>$C$8</f>
        <v>0</v>
      </c>
      <c r="D1636" s="57"/>
      <c r="F1636" s="28">
        <f>ROUND(SUM(F1626:F1635)*C1636,2)</f>
        <v>0</v>
      </c>
      <c r="G1636" s="63"/>
      <c r="M1636" s="62"/>
      <c r="N1636" s="57"/>
      <c r="O1636" s="56"/>
      <c r="P1636" s="56"/>
      <c r="Q1636" s="48"/>
      <c r="R1636" s="48"/>
      <c r="S1636" s="2"/>
    </row>
    <row r="1637" spans="1:19" ht="12.75" customHeight="1" x14ac:dyDescent="0.2">
      <c r="A1637" s="22"/>
      <c r="B1637" s="26" t="str">
        <f>$A$9</f>
        <v>BDI</v>
      </c>
      <c r="C1637" s="27">
        <f>$C$9</f>
        <v>0</v>
      </c>
      <c r="D1637" s="29"/>
      <c r="F1637" s="28">
        <f>ROUND(SUM(F1626:F1636)*C1637,2)</f>
        <v>0</v>
      </c>
      <c r="G1637" s="63"/>
      <c r="M1637" s="62"/>
      <c r="N1637" s="57"/>
      <c r="O1637" s="56"/>
      <c r="P1637" s="56"/>
      <c r="Q1637" s="48"/>
      <c r="R1637" s="48"/>
      <c r="S1637" s="2"/>
    </row>
    <row r="1638" spans="1:19" ht="12.75" customHeight="1" x14ac:dyDescent="0.2">
      <c r="A1638" s="30"/>
      <c r="B1638" s="31" t="s">
        <v>56</v>
      </c>
      <c r="C1638" s="32"/>
      <c r="D1638" s="33"/>
      <c r="E1638" s="34"/>
      <c r="F1638" s="35">
        <f>ROUND(SUM(F1626:F1637),2)</f>
        <v>0</v>
      </c>
      <c r="G1638" s="63"/>
      <c r="M1638" s="62"/>
      <c r="N1638" s="57"/>
      <c r="O1638" s="56"/>
      <c r="P1638" s="56"/>
      <c r="Q1638" s="48"/>
      <c r="R1638" s="48"/>
      <c r="S1638" s="2"/>
    </row>
    <row r="1639" spans="1:19" ht="12.75" customHeight="1" x14ac:dyDescent="0.2">
      <c r="A1639" s="17" t="s">
        <v>5</v>
      </c>
      <c r="B1639" s="153" t="s">
        <v>130</v>
      </c>
      <c r="C1639" s="56" t="s">
        <v>59</v>
      </c>
      <c r="D1639" s="56" t="s">
        <v>16</v>
      </c>
      <c r="E1639" s="19" t="s">
        <v>60</v>
      </c>
      <c r="F1639" s="20" t="s">
        <v>61</v>
      </c>
      <c r="G1639" s="21"/>
      <c r="M1639" s="62"/>
      <c r="N1639" s="57"/>
      <c r="O1639" s="56"/>
      <c r="P1639" s="56"/>
      <c r="Q1639" s="48"/>
      <c r="R1639" s="48"/>
      <c r="S1639" s="2"/>
    </row>
    <row r="1640" spans="1:19" ht="12.75" customHeight="1" x14ac:dyDescent="0.2">
      <c r="A1640" s="22"/>
      <c r="B1640" s="23" t="str">
        <f>IF(A1640="","",VLOOKUP(A1640,'6.A'!$A$11:$G$180,2,FALSE))</f>
        <v/>
      </c>
      <c r="C1640" s="99"/>
      <c r="D1640" s="57" t="str">
        <f>IF(A1640="","",VLOOKUP(A1640,'6.A'!$A$11:$G$180,4,FALSE))</f>
        <v/>
      </c>
      <c r="E1640" s="100" t="str">
        <f>IF(A1640="","",VLOOKUP(A1640,'6.A'!$A$11:$G$180,5,FALSE))</f>
        <v/>
      </c>
      <c r="F1640" s="24" t="str">
        <f t="shared" ref="F1640:F1649" si="709">IF(A1640="","0,00",ROUND(C1640*E1640,2))</f>
        <v>0,00</v>
      </c>
      <c r="G1640" s="52"/>
      <c r="H1640" s="52" t="str">
        <f>IF(A1640="","",VLOOKUP(A1640,'6.A'!$A$11:$E$7984,5,FALSE))</f>
        <v/>
      </c>
      <c r="I1640" s="52" t="str">
        <f t="shared" ref="I1640:I1649" si="710">IF(H1640="","",IF(E1640=H1640,"SIM","NÃO"))</f>
        <v/>
      </c>
      <c r="J1640" s="52" t="str">
        <f>IF(H1640="","",VLOOKUP(A1640,'6.A'!$A$11:$E$564,4,FALSE))</f>
        <v/>
      </c>
      <c r="K1640" s="52" t="str">
        <f t="shared" ref="K1640:K1649" si="711">IF(H1640="","",IF(J1640=D1640,"SIM","NÃO"))</f>
        <v/>
      </c>
      <c r="L1640" s="52" t="str">
        <f>IF(H1640="","",IF(C1640="","",G1624*C1640))</f>
        <v/>
      </c>
      <c r="M1640" s="117" t="str">
        <f>IF(A1640="","",VLOOKUP(A1640,'6.A'!$A$11:$C$564,2,FALSE))</f>
        <v/>
      </c>
      <c r="N1640" s="57" t="str">
        <f t="shared" ref="N1640:N1645" si="712">IF(A1640="","",IF(M1640=B1640,"si","no"))</f>
        <v/>
      </c>
      <c r="O1640" s="56"/>
      <c r="P1640" s="56"/>
      <c r="Q1640" s="48"/>
      <c r="R1640" s="48"/>
      <c r="S1640" s="2"/>
    </row>
    <row r="1641" spans="1:19" ht="12.75" customHeight="1" x14ac:dyDescent="0.2">
      <c r="A1641" s="22"/>
      <c r="B1641" s="23" t="str">
        <f>IF(A1641="","",VLOOKUP(A1641,'6.A'!$A$11:$G$180,2,FALSE))</f>
        <v/>
      </c>
      <c r="C1641" s="99"/>
      <c r="D1641" s="57" t="str">
        <f>IF(A1641="","",VLOOKUP(A1641,'6.A'!$A$11:$G$180,4,FALSE))</f>
        <v/>
      </c>
      <c r="E1641" s="100" t="str">
        <f>IF(A1641="","",VLOOKUP(A1641,'6.A'!$A$11:$G$180,5,FALSE))</f>
        <v/>
      </c>
      <c r="F1641" s="24" t="str">
        <f t="shared" si="709"/>
        <v>0,00</v>
      </c>
      <c r="G1641" s="52"/>
      <c r="H1641" s="52" t="str">
        <f>IF(A1641="","",VLOOKUP(A1641,'6.A'!$A$11:$E$7984,5,FALSE))</f>
        <v/>
      </c>
      <c r="I1641" s="52" t="str">
        <f t="shared" si="710"/>
        <v/>
      </c>
      <c r="J1641" s="52" t="str">
        <f>IF(H1641="","",VLOOKUP(A1641,'6.A'!$A$11:$E$564,4,FALSE))</f>
        <v/>
      </c>
      <c r="K1641" s="52" t="str">
        <f t="shared" si="711"/>
        <v/>
      </c>
      <c r="L1641" s="52" t="str">
        <f>IF(H1641="","",IF(C1641="","",G1624*C1641))</f>
        <v/>
      </c>
      <c r="M1641" s="117" t="str">
        <f>IF(A1641="","",VLOOKUP(A1641,'6.A'!$A$11:$C$564,2,FALSE))</f>
        <v/>
      </c>
      <c r="N1641" s="57" t="str">
        <f t="shared" si="712"/>
        <v/>
      </c>
      <c r="O1641" s="56"/>
      <c r="P1641" s="56"/>
      <c r="Q1641" s="48"/>
      <c r="R1641" s="48"/>
      <c r="S1641" s="2"/>
    </row>
    <row r="1642" spans="1:19" ht="12.75" customHeight="1" x14ac:dyDescent="0.2">
      <c r="A1642" s="22"/>
      <c r="B1642" s="23" t="str">
        <f>IF(A1642="","",VLOOKUP(A1642,'6.A'!$A$11:$G$180,2,FALSE))</f>
        <v/>
      </c>
      <c r="C1642" s="99"/>
      <c r="D1642" s="57" t="str">
        <f>IF(A1642="","",VLOOKUP(A1642,'6.A'!$A$11:$G$180,4,FALSE))</f>
        <v/>
      </c>
      <c r="E1642" s="100" t="str">
        <f>IF(A1642="","",VLOOKUP(A1642,'6.A'!$A$11:$G$180,5,FALSE))</f>
        <v/>
      </c>
      <c r="F1642" s="24" t="str">
        <f t="shared" si="709"/>
        <v>0,00</v>
      </c>
      <c r="G1642" s="52"/>
      <c r="H1642" s="52" t="str">
        <f>IF(A1642="","",VLOOKUP(A1642,'6.A'!$A$11:$E$7984,5,FALSE))</f>
        <v/>
      </c>
      <c r="I1642" s="52" t="str">
        <f t="shared" si="710"/>
        <v/>
      </c>
      <c r="J1642" s="52" t="str">
        <f>IF(H1642="","",VLOOKUP(A1642,'6.A'!$A$11:$E$564,4,FALSE))</f>
        <v/>
      </c>
      <c r="K1642" s="52" t="str">
        <f t="shared" si="711"/>
        <v/>
      </c>
      <c r="L1642" s="52" t="str">
        <f>IF(H1642="","",IF(C1642="","",G1624*C1642))</f>
        <v/>
      </c>
      <c r="M1642" s="117" t="str">
        <f>IF(A1642="","",VLOOKUP(A1642,'6.A'!$A$11:$C$564,2,FALSE))</f>
        <v/>
      </c>
      <c r="N1642" s="57" t="str">
        <f t="shared" si="712"/>
        <v/>
      </c>
      <c r="O1642" s="56"/>
      <c r="P1642" s="56"/>
      <c r="Q1642" s="48"/>
      <c r="R1642" s="48"/>
      <c r="S1642" s="2"/>
    </row>
    <row r="1643" spans="1:19" ht="12.75" customHeight="1" x14ac:dyDescent="0.2">
      <c r="A1643" s="22"/>
      <c r="B1643" s="55" t="str">
        <f>IF(A1643="","",VLOOKUP(A1643,'6.A'!$A$11:$G$180,2,FALSE))</f>
        <v/>
      </c>
      <c r="C1643" s="134"/>
      <c r="D1643" s="57" t="str">
        <f>IF(A1643="","",VLOOKUP(A1643,'6.A'!$A$11:$G$180,4,FALSE))</f>
        <v/>
      </c>
      <c r="E1643" s="100" t="str">
        <f>IF(A1643="","",VLOOKUP(A1643,'6.A'!$A$11:$G$180,5,FALSE))</f>
        <v/>
      </c>
      <c r="F1643" s="24" t="str">
        <f t="shared" si="709"/>
        <v>0,00</v>
      </c>
      <c r="G1643" s="52"/>
      <c r="H1643" s="52" t="str">
        <f>IF(A1643="","",VLOOKUP(A1643,'6.A'!$A$11:$E$7984,5,FALSE))</f>
        <v/>
      </c>
      <c r="I1643" s="52" t="str">
        <f t="shared" si="710"/>
        <v/>
      </c>
      <c r="J1643" s="52" t="str">
        <f>IF(H1643="","",VLOOKUP(A1643,'6.A'!$A$11:$E$564,4,FALSE))</f>
        <v/>
      </c>
      <c r="K1643" s="52" t="str">
        <f t="shared" si="711"/>
        <v/>
      </c>
      <c r="L1643" s="52" t="str">
        <f>IF(H1643="","",IF(C1643="","",G1624*C1643))</f>
        <v/>
      </c>
      <c r="M1643" s="117" t="str">
        <f>IF(A1643="","",VLOOKUP(A1643,'6.A'!$A$11:$C$564,2,FALSE))</f>
        <v/>
      </c>
      <c r="N1643" s="57" t="str">
        <f t="shared" si="712"/>
        <v/>
      </c>
      <c r="O1643" s="56"/>
      <c r="P1643" s="56"/>
      <c r="Q1643" s="48"/>
      <c r="R1643" s="48"/>
      <c r="S1643" s="2"/>
    </row>
    <row r="1644" spans="1:19" ht="12.75" customHeight="1" x14ac:dyDescent="0.2">
      <c r="A1644" s="22"/>
      <c r="B1644" s="23" t="str">
        <f>IF(A1644="","",VLOOKUP(A1644,'6.A'!$A$11:$G$180,2,FALSE))</f>
        <v/>
      </c>
      <c r="C1644" s="99"/>
      <c r="D1644" s="57" t="str">
        <f>IF(A1644="","",VLOOKUP(A1644,'6.A'!$A$11:$G$180,4,FALSE))</f>
        <v/>
      </c>
      <c r="E1644" s="100" t="str">
        <f>IF(A1644="","",VLOOKUP(A1644,'6.A'!$A$11:$G$180,5,FALSE))</f>
        <v/>
      </c>
      <c r="F1644" s="24" t="str">
        <f t="shared" si="709"/>
        <v>0,00</v>
      </c>
      <c r="G1644" s="52"/>
      <c r="H1644" s="52" t="str">
        <f>IF(A1644="","",VLOOKUP(A1644,'6.A'!$A$11:$E$7984,5,FALSE))</f>
        <v/>
      </c>
      <c r="I1644" s="52" t="str">
        <f t="shared" si="710"/>
        <v/>
      </c>
      <c r="J1644" s="52" t="str">
        <f>IF(H1644="","",VLOOKUP(A1644,'6.A'!$A$11:$E$564,4,FALSE))</f>
        <v/>
      </c>
      <c r="K1644" s="52" t="str">
        <f t="shared" si="711"/>
        <v/>
      </c>
      <c r="L1644" s="52" t="str">
        <f>IF(H1644="","",IF(C1644="","",G1624*C1644))</f>
        <v/>
      </c>
      <c r="M1644" s="117" t="str">
        <f>IF(A1644="","",VLOOKUP(A1644,'6.A'!$A$11:$C$564,2,FALSE))</f>
        <v/>
      </c>
      <c r="N1644" s="57" t="str">
        <f t="shared" si="712"/>
        <v/>
      </c>
      <c r="O1644" s="56"/>
      <c r="P1644" s="56"/>
      <c r="Q1644" s="48"/>
      <c r="R1644" s="48"/>
      <c r="S1644" s="2"/>
    </row>
    <row r="1645" spans="1:19" ht="12.75" customHeight="1" x14ac:dyDescent="0.2">
      <c r="A1645" s="22"/>
      <c r="B1645" s="23" t="str">
        <f>IF(A1645="","",VLOOKUP(A1645,'6.A'!$A$11:$G$180,2,FALSE))</f>
        <v/>
      </c>
      <c r="C1645" s="99"/>
      <c r="D1645" s="57" t="str">
        <f>IF(A1645="","",VLOOKUP(A1645,'6.A'!$A$11:$G$180,4,FALSE))</f>
        <v/>
      </c>
      <c r="E1645" s="100" t="str">
        <f>IF(A1645="","",VLOOKUP(A1645,'6.A'!$A$11:$G$180,5,FALSE))</f>
        <v/>
      </c>
      <c r="F1645" s="24" t="str">
        <f t="shared" si="709"/>
        <v>0,00</v>
      </c>
      <c r="G1645" s="52"/>
      <c r="H1645" s="52" t="str">
        <f>IF(A1645="","",VLOOKUP(A1645,'6.A'!$A$11:$E$7984,5,FALSE))</f>
        <v/>
      </c>
      <c r="I1645" s="52" t="str">
        <f t="shared" si="710"/>
        <v/>
      </c>
      <c r="J1645" s="52" t="str">
        <f>IF(H1645="","",VLOOKUP(A1645,'6.A'!$A$11:$E$564,4,FALSE))</f>
        <v/>
      </c>
      <c r="K1645" s="52" t="str">
        <f t="shared" si="711"/>
        <v/>
      </c>
      <c r="L1645" s="52" t="str">
        <f>IF(H1645="","",IF(C1645="","",G1624*C1645))</f>
        <v/>
      </c>
      <c r="M1645" s="117" t="str">
        <f>IF(A1645="","",VLOOKUP(A1645,'6.A'!$A$11:$C$564,2,FALSE))</f>
        <v/>
      </c>
      <c r="N1645" s="57" t="str">
        <f t="shared" si="712"/>
        <v/>
      </c>
      <c r="O1645" s="56"/>
      <c r="P1645" s="56"/>
      <c r="Q1645" s="48"/>
      <c r="R1645" s="48"/>
      <c r="S1645" s="2"/>
    </row>
    <row r="1646" spans="1:19" ht="12.75" customHeight="1" x14ac:dyDescent="0.2">
      <c r="A1646" s="22"/>
      <c r="B1646" s="23" t="str">
        <f>IF(A1646="","",VLOOKUP(A1646,'6.A'!$A$11:$G$180,2,FALSE))</f>
        <v/>
      </c>
      <c r="C1646" s="99"/>
      <c r="D1646" s="57" t="str">
        <f>IF(A1646="","",VLOOKUP(A1646,'6.A'!$A$11:$G$180,4,FALSE))</f>
        <v/>
      </c>
      <c r="E1646" s="100" t="str">
        <f>IF(A1646="","",VLOOKUP(A1646,'6.A'!$A$11:$G$180,5,FALSE))</f>
        <v/>
      </c>
      <c r="F1646" s="24" t="str">
        <f t="shared" si="709"/>
        <v>0,00</v>
      </c>
      <c r="G1646" s="52"/>
      <c r="H1646" s="52" t="str">
        <f>IF(A1646="","",VLOOKUP(A1646,'6.A'!$A$11:$E$7984,5,FALSE))</f>
        <v/>
      </c>
      <c r="I1646" s="52" t="str">
        <f t="shared" si="710"/>
        <v/>
      </c>
      <c r="J1646" s="52" t="str">
        <f>IF(H1646="","",VLOOKUP(A1646,'6.A'!$A$11:$E$564,4,FALSE))</f>
        <v/>
      </c>
      <c r="K1646" s="52" t="str">
        <f t="shared" si="711"/>
        <v/>
      </c>
      <c r="L1646" s="52" t="str">
        <f>IF(H1646="","",IF(C1646="","",G1624*C1646))</f>
        <v/>
      </c>
      <c r="M1646" s="117" t="str">
        <f>IF(A1646="","",VLOOKUP(A1646,'6.A'!$A$11:$C$564,2,FALSE))</f>
        <v/>
      </c>
      <c r="N1646" s="57" t="str">
        <f>IF(A1646="","",IF(M1646=B1646,"si","no"))</f>
        <v/>
      </c>
      <c r="O1646" s="56"/>
      <c r="P1646" s="56"/>
      <c r="Q1646" s="48"/>
      <c r="R1646" s="48"/>
      <c r="S1646" s="2"/>
    </row>
    <row r="1647" spans="1:19" ht="12.75" customHeight="1" x14ac:dyDescent="0.2">
      <c r="A1647" s="22"/>
      <c r="B1647" s="23" t="str">
        <f>IF(A1647="","",VLOOKUP(A1647,'6.A'!$A$11:$G$180,2,FALSE))</f>
        <v/>
      </c>
      <c r="C1647" s="99"/>
      <c r="D1647" s="57" t="str">
        <f>IF(A1647="","",VLOOKUP(A1647,'6.A'!$A$11:$G$180,4,FALSE))</f>
        <v/>
      </c>
      <c r="E1647" s="100" t="str">
        <f>IF(A1647="","",VLOOKUP(A1647,'6.A'!$A$11:$G$180,5,FALSE))</f>
        <v/>
      </c>
      <c r="F1647" s="24" t="str">
        <f t="shared" si="709"/>
        <v>0,00</v>
      </c>
      <c r="G1647" s="52"/>
      <c r="H1647" s="52" t="str">
        <f>IF(A1647="","",VLOOKUP(A1647,'6.A'!$A$11:$E$7984,5,FALSE))</f>
        <v/>
      </c>
      <c r="I1647" s="52" t="str">
        <f t="shared" si="710"/>
        <v/>
      </c>
      <c r="J1647" s="52" t="str">
        <f>IF(H1647="","",VLOOKUP(A1647,'6.A'!$A$11:$E$564,4,FALSE))</f>
        <v/>
      </c>
      <c r="K1647" s="52" t="str">
        <f t="shared" si="711"/>
        <v/>
      </c>
      <c r="L1647" s="52" t="str">
        <f>IF(H1647="","",IF(C1647="","",G1624*C1647))</f>
        <v/>
      </c>
      <c r="M1647" s="117" t="str">
        <f>IF(A1647="","",VLOOKUP(A1647,'6.A'!$A$11:$C$564,2,FALSE))</f>
        <v/>
      </c>
      <c r="N1647" s="57" t="str">
        <f>IF(A1647="","",IF(M1647=B1647,"si","no"))</f>
        <v/>
      </c>
      <c r="O1647" s="56"/>
      <c r="P1647" s="56"/>
      <c r="Q1647" s="48"/>
      <c r="R1647" s="48"/>
      <c r="S1647" s="2"/>
    </row>
    <row r="1648" spans="1:19" ht="12.75" customHeight="1" x14ac:dyDescent="0.2">
      <c r="A1648" s="22"/>
      <c r="B1648" s="23" t="str">
        <f>IF(A1648="","",VLOOKUP(A1648,'6.A'!$A$11:$G$180,2,FALSE))</f>
        <v/>
      </c>
      <c r="C1648" s="99"/>
      <c r="D1648" s="57" t="str">
        <f>IF(A1648="","",VLOOKUP(A1648,'6.A'!$A$11:$G$180,4,FALSE))</f>
        <v/>
      </c>
      <c r="E1648" s="100" t="str">
        <f>IF(A1648="","",VLOOKUP(A1648,'6.A'!$A$11:$G$180,5,FALSE))</f>
        <v/>
      </c>
      <c r="F1648" s="24" t="str">
        <f t="shared" si="709"/>
        <v>0,00</v>
      </c>
      <c r="G1648" s="52"/>
      <c r="H1648" s="52" t="str">
        <f>IF(A1648="","",VLOOKUP(A1648,'6.A'!$A$11:$E$7984,5,FALSE))</f>
        <v/>
      </c>
      <c r="I1648" s="52" t="str">
        <f t="shared" si="710"/>
        <v/>
      </c>
      <c r="J1648" s="52" t="str">
        <f>IF(H1648="","",VLOOKUP(A1648,'6.A'!$A$11:$E$564,4,FALSE))</f>
        <v/>
      </c>
      <c r="K1648" s="52" t="str">
        <f t="shared" si="711"/>
        <v/>
      </c>
      <c r="L1648" s="52" t="str">
        <f>IF(H1648="","",IF(C1648="","",G1624*C1648))</f>
        <v/>
      </c>
      <c r="M1648" s="117" t="str">
        <f>IF(A1648="","",VLOOKUP(A1648,'6.A'!$A$11:$C$564,2,FALSE))</f>
        <v/>
      </c>
      <c r="N1648" s="57" t="str">
        <f t="shared" ref="N1648:N1649" si="713">IF(A1648="","",IF(M1648=B1648,"si","no"))</f>
        <v/>
      </c>
      <c r="O1648" s="56"/>
      <c r="P1648" s="56"/>
      <c r="Q1648" s="48"/>
      <c r="R1648" s="48"/>
      <c r="S1648" s="2"/>
    </row>
    <row r="1649" spans="1:22" ht="12.75" customHeight="1" x14ac:dyDescent="0.2">
      <c r="A1649" s="22"/>
      <c r="B1649" s="23" t="str">
        <f>IF(A1649="","",VLOOKUP(A1649,'6.A'!$A$11:$G$180,2,FALSE))</f>
        <v/>
      </c>
      <c r="C1649" s="99"/>
      <c r="D1649" s="57" t="str">
        <f>IF(A1649="","",VLOOKUP(A1649,'6.A'!$A$11:$G$180,4,FALSE))</f>
        <v/>
      </c>
      <c r="E1649" s="100" t="str">
        <f>IF(A1649="","",VLOOKUP(A1649,'6.A'!$A$11:$G$180,5,FALSE))</f>
        <v/>
      </c>
      <c r="F1649" s="24" t="str">
        <f t="shared" si="709"/>
        <v>0,00</v>
      </c>
      <c r="G1649" s="52"/>
      <c r="H1649" s="52" t="str">
        <f>IF(A1649="","",VLOOKUP(A1649,'6.A'!$A$11:$E$7984,5,FALSE))</f>
        <v/>
      </c>
      <c r="I1649" s="52" t="str">
        <f t="shared" si="710"/>
        <v/>
      </c>
      <c r="J1649" s="52" t="str">
        <f>IF(H1649="","",VLOOKUP(A1649,'6.A'!$A$11:$E$564,4,FALSE))</f>
        <v/>
      </c>
      <c r="K1649" s="52" t="str">
        <f t="shared" si="711"/>
        <v/>
      </c>
      <c r="L1649" s="52" t="str">
        <f>IF(H1649="","",IF(C1649="","",G1624*C1649))</f>
        <v/>
      </c>
      <c r="M1649" s="117" t="str">
        <f>IF(A1649="","",VLOOKUP(A1649,'6.A'!$A$11:$C$564,2,FALSE))</f>
        <v/>
      </c>
      <c r="N1649" s="57" t="str">
        <f t="shared" si="713"/>
        <v/>
      </c>
      <c r="O1649" s="56"/>
      <c r="P1649" s="56"/>
      <c r="Q1649" s="48"/>
      <c r="R1649" s="48"/>
      <c r="S1649" s="2"/>
    </row>
    <row r="1650" spans="1:22" ht="12.75" customHeight="1" x14ac:dyDescent="0.2">
      <c r="A1650" s="22"/>
      <c r="B1650" s="26" t="str">
        <f>$A$9</f>
        <v>BDI</v>
      </c>
      <c r="C1650" s="27">
        <f>$C$9</f>
        <v>0</v>
      </c>
      <c r="D1650" s="57"/>
      <c r="F1650" s="28">
        <f>ROUND(SUM(F1640:F1649)*C1650,2)</f>
        <v>0</v>
      </c>
      <c r="G1650" s="63"/>
      <c r="M1650" s="62"/>
      <c r="N1650" s="57"/>
      <c r="O1650" s="56"/>
      <c r="P1650" s="56"/>
      <c r="Q1650" s="48"/>
      <c r="R1650" s="48"/>
      <c r="S1650" s="2"/>
    </row>
    <row r="1651" spans="1:22" ht="12.75" customHeight="1" x14ac:dyDescent="0.2">
      <c r="A1651" s="30"/>
      <c r="B1651" s="31" t="s">
        <v>117</v>
      </c>
      <c r="C1651" s="36"/>
      <c r="D1651" s="37"/>
      <c r="E1651" s="38"/>
      <c r="F1651" s="35">
        <f>ROUND(SUM(F1640:F1650),2)</f>
        <v>0</v>
      </c>
      <c r="G1651" s="63"/>
      <c r="M1651" s="62"/>
      <c r="N1651" s="57"/>
      <c r="O1651" s="56"/>
      <c r="P1651" s="56"/>
      <c r="Q1651" s="48"/>
      <c r="R1651" s="48"/>
      <c r="S1651" s="2"/>
    </row>
    <row r="1652" spans="1:22" ht="12.75" customHeight="1" x14ac:dyDescent="0.2">
      <c r="A1652" s="17" t="s">
        <v>6</v>
      </c>
      <c r="B1652" s="18" t="s">
        <v>17</v>
      </c>
      <c r="C1652" s="56" t="s">
        <v>59</v>
      </c>
      <c r="D1652" s="56" t="s">
        <v>16</v>
      </c>
      <c r="E1652" s="19" t="s">
        <v>60</v>
      </c>
      <c r="F1652" s="20" t="s">
        <v>61</v>
      </c>
      <c r="G1652" s="21"/>
      <c r="M1652" s="62"/>
      <c r="N1652" s="57"/>
      <c r="O1652" s="56"/>
      <c r="P1652" s="56"/>
      <c r="Q1652" s="48"/>
      <c r="R1652" s="48"/>
      <c r="S1652" s="2"/>
    </row>
    <row r="1653" spans="1:22" ht="12.75" customHeight="1" x14ac:dyDescent="0.2">
      <c r="A1653" s="22">
        <f>'6.A'!$A$79</f>
        <v>1018</v>
      </c>
      <c r="B1653" s="23" t="str">
        <f>IF(A1653="","",VLOOKUP(A1653,'6.A'!$A$11:$G$180,2,FALSE))</f>
        <v>CABO DE COBRE, FLEXIVEL, CLASSE 4 OU 5, ISOLACAO EM PVC/A, ANTICHAMA BWF-B, COBERTURA PVC-ST1, ANTICHAMA BWF-B, 1 CONDUTOR, 0,6/1 KV, SECAO NOMINAL 50 MM2</v>
      </c>
      <c r="C1653" s="99">
        <v>1.0401</v>
      </c>
      <c r="D1653" s="57" t="str">
        <f>IF(A1653="","",VLOOKUP(A1653,'6.A'!$A$11:$G$180,4,FALSE))</f>
        <v>M</v>
      </c>
      <c r="E1653" s="100">
        <f>IF(A1653="","",VLOOKUP(A1653,'6.A'!$A$11:$G$180,5,FALSE))</f>
        <v>0</v>
      </c>
      <c r="F1653" s="24">
        <f t="shared" ref="F1653:F1672" si="714">IF(A1653="","0,00",ROUND(C1653*E1653,2))</f>
        <v>0</v>
      </c>
      <c r="G1653" s="52"/>
      <c r="H1653" s="52">
        <f>IF(A1653="","",VLOOKUP(A1653,'6.A'!$A$11:$E$7984,5,FALSE))</f>
        <v>0</v>
      </c>
      <c r="I1653" s="52" t="str">
        <f t="shared" ref="I1653:I1672" si="715">IF(H1653="","",IF(E1653=H1653,"SIM","NÃO"))</f>
        <v>SIM</v>
      </c>
      <c r="J1653" s="52" t="str">
        <f>IF(H1653="","",VLOOKUP(A1653,'6.A'!$A$11:$E$564,4,FALSE))</f>
        <v>M</v>
      </c>
      <c r="K1653" s="52" t="str">
        <f t="shared" ref="K1653:K1672" si="716">IF(H1653="","",IF(J1653=D1653,"SIM","NÃO"))</f>
        <v>SIM</v>
      </c>
      <c r="L1653" s="52">
        <f>IF(H1653="","",IF(C1653="","",G1624*C1653))</f>
        <v>15.6015</v>
      </c>
      <c r="M1653" s="117" t="str">
        <f>IF(A1653="","",VLOOKUP(A1653,'6.A'!$A$11:$C$564,2,FALSE))</f>
        <v>CABO DE COBRE, FLEXIVEL, CLASSE 4 OU 5, ISOLACAO EM PVC/A, ANTICHAMA BWF-B, COBERTURA PVC-ST1, ANTICHAMA BWF-B, 1 CONDUTOR, 0,6/1 KV, SECAO NOMINAL 50 MM2</v>
      </c>
      <c r="N1653" s="57" t="str">
        <f t="shared" ref="N1653:N1672" si="717">IF(A1653="","",IF(M1653=B1653,"si","no"))</f>
        <v>si</v>
      </c>
      <c r="O1653" s="56"/>
      <c r="P1653" s="56"/>
      <c r="Q1653" s="48"/>
      <c r="R1653" s="48"/>
      <c r="S1653" s="2"/>
    </row>
    <row r="1654" spans="1:22" ht="12.75" customHeight="1" x14ac:dyDescent="0.2">
      <c r="A1654" s="22"/>
      <c r="B1654" s="23" t="str">
        <f>IF(A1654="","",VLOOKUP(A1654,'6.A'!$A$11:$G$180,2,FALSE))</f>
        <v/>
      </c>
      <c r="C1654" s="99"/>
      <c r="D1654" s="57" t="str">
        <f>IF(A1654="","",VLOOKUP(A1654,'6.A'!$A$11:$G$180,4,FALSE))</f>
        <v/>
      </c>
      <c r="E1654" s="100" t="str">
        <f>IF(A1654="","",VLOOKUP(A1654,'6.A'!$A$11:$G$180,5,FALSE))</f>
        <v/>
      </c>
      <c r="F1654" s="24" t="str">
        <f t="shared" si="714"/>
        <v>0,00</v>
      </c>
      <c r="G1654" s="52"/>
      <c r="H1654" s="52" t="str">
        <f>IF(A1654="","",VLOOKUP(A1654,'6.A'!$A$11:$E$7984,5,FALSE))</f>
        <v/>
      </c>
      <c r="I1654" s="52" t="str">
        <f t="shared" si="715"/>
        <v/>
      </c>
      <c r="J1654" s="52" t="str">
        <f>IF(H1654="","",VLOOKUP(A1654,'6.A'!$A$11:$E$564,4,FALSE))</f>
        <v/>
      </c>
      <c r="K1654" s="52" t="str">
        <f t="shared" si="716"/>
        <v/>
      </c>
      <c r="L1654" s="52" t="str">
        <f>IF(H1654="","",IF(C1654="","",G1624*C1654))</f>
        <v/>
      </c>
      <c r="M1654" s="117" t="str">
        <f>IF(A1654="","",VLOOKUP(A1654,'6.A'!$A$11:$C$564,2,FALSE))</f>
        <v/>
      </c>
      <c r="N1654" s="57" t="str">
        <f t="shared" si="717"/>
        <v/>
      </c>
      <c r="O1654" s="56"/>
      <c r="P1654" s="56"/>
      <c r="Q1654" s="48"/>
      <c r="R1654" s="48"/>
      <c r="S1654" s="2"/>
    </row>
    <row r="1655" spans="1:22" ht="12.75" customHeight="1" x14ac:dyDescent="0.2">
      <c r="A1655" s="22"/>
      <c r="B1655" s="23" t="str">
        <f>IF(A1655="","",VLOOKUP(A1655,'6.A'!$A$11:$G$180,2,FALSE))</f>
        <v/>
      </c>
      <c r="C1655" s="99"/>
      <c r="D1655" s="57" t="str">
        <f>IF(A1655="","",VLOOKUP(A1655,'6.A'!$A$11:$G$180,4,FALSE))</f>
        <v/>
      </c>
      <c r="E1655" s="100" t="str">
        <f>IF(A1655="","",VLOOKUP(A1655,'6.A'!$A$11:$G$180,5,FALSE))</f>
        <v/>
      </c>
      <c r="F1655" s="24" t="str">
        <f t="shared" si="714"/>
        <v>0,00</v>
      </c>
      <c r="G1655" s="52"/>
      <c r="H1655" s="52" t="str">
        <f>IF(A1655="","",VLOOKUP(A1655,'6.A'!$A$11:$E$7984,5,FALSE))</f>
        <v/>
      </c>
      <c r="I1655" s="52" t="str">
        <f t="shared" si="715"/>
        <v/>
      </c>
      <c r="J1655" s="52" t="str">
        <f>IF(H1655="","",VLOOKUP(A1655,'6.A'!$A$11:$E$564,4,FALSE))</f>
        <v/>
      </c>
      <c r="K1655" s="52" t="str">
        <f t="shared" si="716"/>
        <v/>
      </c>
      <c r="L1655" s="52" t="str">
        <f>IF(H1655="","",IF(C1655="","",G1624*C1655))</f>
        <v/>
      </c>
      <c r="M1655" s="117" t="str">
        <f>IF(A1655="","",VLOOKUP(A1655,'6.A'!$A$11:$C$564,2,FALSE))</f>
        <v/>
      </c>
      <c r="N1655" s="57" t="str">
        <f t="shared" si="717"/>
        <v/>
      </c>
      <c r="O1655" s="56"/>
      <c r="P1655" s="56"/>
      <c r="Q1655" s="48"/>
      <c r="R1655" s="48"/>
      <c r="S1655" s="2"/>
    </row>
    <row r="1656" spans="1:22" ht="12.75" customHeight="1" x14ac:dyDescent="0.2">
      <c r="A1656" s="22"/>
      <c r="B1656" s="23" t="str">
        <f>IF(A1656="","",VLOOKUP(A1656,'6.A'!$A$11:$G$180,2,FALSE))</f>
        <v/>
      </c>
      <c r="C1656" s="99"/>
      <c r="D1656" s="57" t="str">
        <f>IF(A1656="","",VLOOKUP(A1656,'6.A'!$A$11:$G$180,4,FALSE))</f>
        <v/>
      </c>
      <c r="E1656" s="100" t="str">
        <f>IF(A1656="","",VLOOKUP(A1656,'6.A'!$A$11:$G$180,5,FALSE))</f>
        <v/>
      </c>
      <c r="F1656" s="24" t="str">
        <f t="shared" si="714"/>
        <v>0,00</v>
      </c>
      <c r="G1656" s="52"/>
      <c r="H1656" s="52" t="str">
        <f>IF(A1656="","",VLOOKUP(A1656,'6.A'!$A$11:$E$7984,5,FALSE))</f>
        <v/>
      </c>
      <c r="I1656" s="52" t="str">
        <f t="shared" si="715"/>
        <v/>
      </c>
      <c r="J1656" s="52" t="str">
        <f>IF(H1656="","",VLOOKUP(A1656,'6.A'!$A$11:$E$564,4,FALSE))</f>
        <v/>
      </c>
      <c r="K1656" s="52" t="str">
        <f t="shared" si="716"/>
        <v/>
      </c>
      <c r="L1656" s="52" t="str">
        <f>IF(H1656="","",IF(C1656="","",G1624*C1656))</f>
        <v/>
      </c>
      <c r="M1656" s="117" t="str">
        <f>IF(A1656="","",VLOOKUP(A1656,'6.A'!$A$11:$C$564,2,FALSE))</f>
        <v/>
      </c>
      <c r="N1656" s="57" t="str">
        <f t="shared" si="717"/>
        <v/>
      </c>
      <c r="O1656" s="56"/>
      <c r="P1656" s="56"/>
      <c r="Q1656" s="48"/>
      <c r="R1656" s="48"/>
      <c r="S1656" s="2"/>
    </row>
    <row r="1657" spans="1:22" ht="12.75" customHeight="1" x14ac:dyDescent="0.2">
      <c r="A1657" s="22"/>
      <c r="B1657" s="23" t="str">
        <f>IF(A1657="","",VLOOKUP(A1657,'6.A'!$A$11:$G$180,2,FALSE))</f>
        <v/>
      </c>
      <c r="C1657" s="99"/>
      <c r="D1657" s="57" t="str">
        <f>IF(A1657="","",VLOOKUP(A1657,'6.A'!$A$11:$G$180,4,FALSE))</f>
        <v/>
      </c>
      <c r="E1657" s="100" t="str">
        <f>IF(A1657="","",VLOOKUP(A1657,'6.A'!$A$11:$G$180,5,FALSE))</f>
        <v/>
      </c>
      <c r="F1657" s="24" t="str">
        <f t="shared" si="714"/>
        <v>0,00</v>
      </c>
      <c r="G1657" s="52"/>
      <c r="H1657" s="52" t="str">
        <f>IF(A1657="","",VLOOKUP(A1657,'6.A'!$A$11:$E$7984,5,FALSE))</f>
        <v/>
      </c>
      <c r="I1657" s="52" t="str">
        <f t="shared" si="715"/>
        <v/>
      </c>
      <c r="J1657" s="52" t="str">
        <f>IF(H1657="","",VLOOKUP(A1657,'6.A'!$A$11:$E$564,4,FALSE))</f>
        <v/>
      </c>
      <c r="K1657" s="52" t="str">
        <f t="shared" si="716"/>
        <v/>
      </c>
      <c r="L1657" s="52" t="str">
        <f>IF(H1657="","",IF(C1657="","",G1624*C1657))</f>
        <v/>
      </c>
      <c r="M1657" s="117" t="str">
        <f>IF(A1657="","",VLOOKUP(A1657,'6.A'!$A$11:$C$564,2,FALSE))</f>
        <v/>
      </c>
      <c r="N1657" s="57" t="str">
        <f t="shared" si="717"/>
        <v/>
      </c>
      <c r="O1657" s="56"/>
      <c r="P1657" s="56"/>
      <c r="Q1657" s="48"/>
      <c r="R1657" s="48"/>
      <c r="S1657" s="2"/>
    </row>
    <row r="1658" spans="1:22" ht="12.75" customHeight="1" x14ac:dyDescent="0.2">
      <c r="A1658" s="22"/>
      <c r="B1658" s="23" t="str">
        <f>IF(A1658="","",VLOOKUP(A1658,'6.A'!$A$11:$G$180,2,FALSE))</f>
        <v/>
      </c>
      <c r="C1658" s="99"/>
      <c r="D1658" s="57" t="str">
        <f>IF(A1658="","",VLOOKUP(A1658,'6.A'!$A$11:$G$180,4,FALSE))</f>
        <v/>
      </c>
      <c r="E1658" s="100" t="str">
        <f>IF(A1658="","",VLOOKUP(A1658,'6.A'!$A$11:$G$180,5,FALSE))</f>
        <v/>
      </c>
      <c r="F1658" s="24" t="str">
        <f t="shared" si="714"/>
        <v>0,00</v>
      </c>
      <c r="G1658" s="52"/>
      <c r="H1658" s="52" t="str">
        <f>IF(A1658="","",VLOOKUP(A1658,'6.A'!$A$11:$E$7984,5,FALSE))</f>
        <v/>
      </c>
      <c r="I1658" s="52" t="str">
        <f t="shared" si="715"/>
        <v/>
      </c>
      <c r="J1658" s="52" t="str">
        <f>IF(H1658="","",VLOOKUP(A1658,'6.A'!$A$11:$E$564,4,FALSE))</f>
        <v/>
      </c>
      <c r="K1658" s="52" t="str">
        <f t="shared" si="716"/>
        <v/>
      </c>
      <c r="L1658" s="52" t="str">
        <f>IF(H1658="","",IF(C1658="","",G1624*C1658))</f>
        <v/>
      </c>
      <c r="M1658" s="117" t="str">
        <f>IF(A1658="","",VLOOKUP(A1658,'6.A'!$A$11:$C$564,2,FALSE))</f>
        <v/>
      </c>
      <c r="N1658" s="57" t="str">
        <f t="shared" si="717"/>
        <v/>
      </c>
      <c r="O1658" s="56"/>
      <c r="P1658" s="56"/>
      <c r="Q1658" s="48"/>
      <c r="R1658" s="48"/>
      <c r="S1658" s="2"/>
    </row>
    <row r="1659" spans="1:22" ht="12.75" customHeight="1" x14ac:dyDescent="0.2">
      <c r="A1659" s="22"/>
      <c r="B1659" s="23" t="str">
        <f>IF(A1659="","",VLOOKUP(A1659,'6.A'!$A$11:$G$180,2,FALSE))</f>
        <v/>
      </c>
      <c r="C1659" s="99"/>
      <c r="D1659" s="57" t="str">
        <f>IF(A1659="","",VLOOKUP(A1659,'6.A'!$A$11:$G$180,4,FALSE))</f>
        <v/>
      </c>
      <c r="E1659" s="100" t="str">
        <f>IF(A1659="","",VLOOKUP(A1659,'6.A'!$A$11:$G$180,5,FALSE))</f>
        <v/>
      </c>
      <c r="F1659" s="24" t="str">
        <f t="shared" si="714"/>
        <v>0,00</v>
      </c>
      <c r="G1659" s="52"/>
      <c r="H1659" s="52" t="str">
        <f>IF(A1659="","",VLOOKUP(A1659,'6.A'!$A$11:$E$7984,5,FALSE))</f>
        <v/>
      </c>
      <c r="I1659" s="52" t="str">
        <f t="shared" si="715"/>
        <v/>
      </c>
      <c r="J1659" s="52" t="str">
        <f>IF(H1659="","",VLOOKUP(A1659,'6.A'!$A$11:$E$564,4,FALSE))</f>
        <v/>
      </c>
      <c r="K1659" s="52" t="str">
        <f t="shared" si="716"/>
        <v/>
      </c>
      <c r="L1659" s="52" t="str">
        <f>IF(H1659="","",IF(C1659="","",G1624*C1659))</f>
        <v/>
      </c>
      <c r="M1659" s="117" t="str">
        <f>IF(A1659="","",VLOOKUP(A1659,'6.A'!$A$11:$C$564,2,FALSE))</f>
        <v/>
      </c>
      <c r="N1659" s="57" t="str">
        <f t="shared" si="717"/>
        <v/>
      </c>
      <c r="O1659" s="56"/>
      <c r="P1659" s="56"/>
      <c r="Q1659" s="48"/>
      <c r="R1659" s="48"/>
      <c r="S1659" s="2"/>
    </row>
    <row r="1660" spans="1:22" s="65" customFormat="1" ht="12.75" customHeight="1" x14ac:dyDescent="0.2">
      <c r="A1660" s="22"/>
      <c r="B1660" s="23" t="str">
        <f>IF(A1660="","",VLOOKUP(A1660,'6.A'!$A$11:$G$180,2,FALSE))</f>
        <v/>
      </c>
      <c r="C1660" s="99"/>
      <c r="D1660" s="57" t="str">
        <f>IF(A1660="","",VLOOKUP(A1660,'6.A'!$A$11:$G$180,4,FALSE))</f>
        <v/>
      </c>
      <c r="E1660" s="100" t="str">
        <f>IF(A1660="","",VLOOKUP(A1660,'6.A'!$A$11:$G$180,5,FALSE))</f>
        <v/>
      </c>
      <c r="F1660" s="24" t="str">
        <f t="shared" si="714"/>
        <v>0,00</v>
      </c>
      <c r="G1660" s="52"/>
      <c r="H1660" s="52" t="str">
        <f>IF(A1660="","",VLOOKUP(A1660,'6.A'!$A$11:$E$7984,5,FALSE))</f>
        <v/>
      </c>
      <c r="I1660" s="52" t="str">
        <f t="shared" si="715"/>
        <v/>
      </c>
      <c r="J1660" s="52" t="str">
        <f>IF(H1660="","",VLOOKUP(A1660,'6.A'!$A$11:$E$564,4,FALSE))</f>
        <v/>
      </c>
      <c r="K1660" s="52" t="str">
        <f t="shared" si="716"/>
        <v/>
      </c>
      <c r="L1660" s="52" t="str">
        <f>IF(H1660="","",IF(C1660="","",G1624*C1660))</f>
        <v/>
      </c>
      <c r="M1660" s="117" t="str">
        <f>IF(A1660="","",VLOOKUP(A1660,'6.A'!$A$11:$C$564,2,FALSE))</f>
        <v/>
      </c>
      <c r="N1660" s="57" t="str">
        <f t="shared" si="717"/>
        <v/>
      </c>
      <c r="O1660" s="56"/>
      <c r="P1660" s="56"/>
      <c r="Q1660" s="48"/>
      <c r="R1660" s="48"/>
      <c r="T1660" s="2"/>
      <c r="U1660" s="2"/>
      <c r="V1660" s="2"/>
    </row>
    <row r="1661" spans="1:22" s="65" customFormat="1" ht="12.75" customHeight="1" x14ac:dyDescent="0.2">
      <c r="A1661" s="22"/>
      <c r="B1661" s="23" t="str">
        <f>IF(A1661="","",VLOOKUP(A1661,'6.A'!$A$11:$G$180,2,FALSE))</f>
        <v/>
      </c>
      <c r="C1661" s="99"/>
      <c r="D1661" s="57" t="str">
        <f>IF(A1661="","",VLOOKUP(A1661,'6.A'!$A$11:$G$180,4,FALSE))</f>
        <v/>
      </c>
      <c r="E1661" s="100" t="str">
        <f>IF(A1661="","",VLOOKUP(A1661,'6.A'!$A$11:$G$180,5,FALSE))</f>
        <v/>
      </c>
      <c r="F1661" s="24" t="str">
        <f t="shared" si="714"/>
        <v>0,00</v>
      </c>
      <c r="G1661" s="52"/>
      <c r="H1661" s="52" t="str">
        <f>IF(A1661="","",VLOOKUP(A1661,'6.A'!$A$11:$E$7984,5,FALSE))</f>
        <v/>
      </c>
      <c r="I1661" s="52" t="str">
        <f t="shared" si="715"/>
        <v/>
      </c>
      <c r="J1661" s="52" t="str">
        <f>IF(H1661="","",VLOOKUP(A1661,'6.A'!$A$11:$E$564,4,FALSE))</f>
        <v/>
      </c>
      <c r="K1661" s="52" t="str">
        <f t="shared" si="716"/>
        <v/>
      </c>
      <c r="L1661" s="52" t="str">
        <f>IF(H1661="","",IF(C1661="","",G1624*C1661))</f>
        <v/>
      </c>
      <c r="M1661" s="117" t="str">
        <f>IF(A1661="","",VLOOKUP(A1661,'6.A'!$A$11:$C$564,2,FALSE))</f>
        <v/>
      </c>
      <c r="N1661" s="57" t="str">
        <f t="shared" si="717"/>
        <v/>
      </c>
      <c r="O1661" s="56"/>
      <c r="P1661" s="56"/>
      <c r="Q1661" s="48"/>
      <c r="R1661" s="48"/>
      <c r="T1661" s="2"/>
      <c r="U1661" s="2"/>
      <c r="V1661" s="2"/>
    </row>
    <row r="1662" spans="1:22" s="65" customFormat="1" ht="12.75" customHeight="1" x14ac:dyDescent="0.2">
      <c r="A1662" s="22"/>
      <c r="B1662" s="23" t="str">
        <f>IF(A1662="","",VLOOKUP(A1662,'6.A'!$A$11:$G$180,2,FALSE))</f>
        <v/>
      </c>
      <c r="C1662" s="99"/>
      <c r="D1662" s="57" t="str">
        <f>IF(A1662="","",VLOOKUP(A1662,'6.A'!$A$11:$G$180,4,FALSE))</f>
        <v/>
      </c>
      <c r="E1662" s="100" t="str">
        <f>IF(A1662="","",VLOOKUP(A1662,'6.A'!$A$11:$G$180,5,FALSE))</f>
        <v/>
      </c>
      <c r="F1662" s="24" t="str">
        <f t="shared" si="714"/>
        <v>0,00</v>
      </c>
      <c r="G1662" s="52"/>
      <c r="H1662" s="52" t="str">
        <f>IF(A1662="","",VLOOKUP(A1662,'6.A'!$A$11:$E$7984,5,FALSE))</f>
        <v/>
      </c>
      <c r="I1662" s="52" t="str">
        <f t="shared" si="715"/>
        <v/>
      </c>
      <c r="J1662" s="52" t="str">
        <f>IF(H1662="","",VLOOKUP(A1662,'6.A'!$A$11:$E$564,4,FALSE))</f>
        <v/>
      </c>
      <c r="K1662" s="52" t="str">
        <f t="shared" si="716"/>
        <v/>
      </c>
      <c r="L1662" s="52" t="str">
        <f>IF(H1662="","",IF(C1662="","",G1624*C1662))</f>
        <v/>
      </c>
      <c r="M1662" s="117" t="str">
        <f>IF(A1662="","",VLOOKUP(A1662,'6.A'!$A$11:$C$564,2,FALSE))</f>
        <v/>
      </c>
      <c r="N1662" s="57" t="str">
        <f t="shared" si="717"/>
        <v/>
      </c>
      <c r="O1662" s="56"/>
      <c r="P1662" s="56"/>
      <c r="Q1662" s="48"/>
      <c r="R1662" s="48"/>
      <c r="T1662" s="2"/>
      <c r="U1662" s="2"/>
      <c r="V1662" s="2"/>
    </row>
    <row r="1663" spans="1:22" s="65" customFormat="1" ht="12.75" customHeight="1" x14ac:dyDescent="0.2">
      <c r="A1663" s="22"/>
      <c r="B1663" s="23" t="str">
        <f>IF(A1663="","",VLOOKUP(A1663,'6.A'!$A$11:$G$180,2,FALSE))</f>
        <v/>
      </c>
      <c r="C1663" s="99"/>
      <c r="D1663" s="57" t="str">
        <f>IF(A1663="","",VLOOKUP(A1663,'6.A'!$A$11:$G$180,4,FALSE))</f>
        <v/>
      </c>
      <c r="E1663" s="100" t="str">
        <f>IF(A1663="","",VLOOKUP(A1663,'6.A'!$A$11:$G$180,5,FALSE))</f>
        <v/>
      </c>
      <c r="F1663" s="24" t="str">
        <f t="shared" si="714"/>
        <v>0,00</v>
      </c>
      <c r="G1663" s="52"/>
      <c r="H1663" s="52" t="str">
        <f>IF(A1663="","",VLOOKUP(A1663,'6.A'!$A$11:$E$7984,5,FALSE))</f>
        <v/>
      </c>
      <c r="I1663" s="52" t="str">
        <f t="shared" si="715"/>
        <v/>
      </c>
      <c r="J1663" s="52" t="str">
        <f>IF(H1663="","",VLOOKUP(A1663,'6.A'!$A$11:$E$564,4,FALSE))</f>
        <v/>
      </c>
      <c r="K1663" s="52" t="str">
        <f t="shared" si="716"/>
        <v/>
      </c>
      <c r="L1663" s="52" t="str">
        <f>IF(H1663="","",IF(C1663="","",G1624*C1663))</f>
        <v/>
      </c>
      <c r="M1663" s="117" t="str">
        <f>IF(A1663="","",VLOOKUP(A1663,'6.A'!$A$11:$C$564,2,FALSE))</f>
        <v/>
      </c>
      <c r="N1663" s="57" t="str">
        <f t="shared" si="717"/>
        <v/>
      </c>
      <c r="O1663" s="56"/>
      <c r="P1663" s="56"/>
      <c r="Q1663" s="48"/>
      <c r="R1663" s="48"/>
      <c r="T1663" s="2"/>
      <c r="U1663" s="2"/>
      <c r="V1663" s="2"/>
    </row>
    <row r="1664" spans="1:22" ht="12.75" customHeight="1" x14ac:dyDescent="0.2">
      <c r="A1664" s="22"/>
      <c r="B1664" s="23" t="str">
        <f>IF(A1664="","",VLOOKUP(A1664,'6.A'!$A$11:$G$180,2,FALSE))</f>
        <v/>
      </c>
      <c r="C1664" s="99"/>
      <c r="D1664" s="57" t="str">
        <f>IF(A1664="","",VLOOKUP(A1664,'6.A'!$A$11:$G$180,4,FALSE))</f>
        <v/>
      </c>
      <c r="E1664" s="100" t="str">
        <f>IF(A1664="","",VLOOKUP(A1664,'6.A'!$A$11:$G$180,5,FALSE))</f>
        <v/>
      </c>
      <c r="F1664" s="24" t="str">
        <f t="shared" si="714"/>
        <v>0,00</v>
      </c>
      <c r="G1664" s="52"/>
      <c r="H1664" s="52" t="str">
        <f>IF(A1664="","",VLOOKUP(A1664,'6.A'!$A$11:$E$7984,5,FALSE))</f>
        <v/>
      </c>
      <c r="I1664" s="52" t="str">
        <f t="shared" si="715"/>
        <v/>
      </c>
      <c r="J1664" s="52" t="str">
        <f>IF(H1664="","",VLOOKUP(A1664,'6.A'!$A$11:$E$564,4,FALSE))</f>
        <v/>
      </c>
      <c r="K1664" s="52" t="str">
        <f t="shared" si="716"/>
        <v/>
      </c>
      <c r="L1664" s="52" t="str">
        <f>IF(H1664="","",IF(C1664="","",G1624*C1664))</f>
        <v/>
      </c>
      <c r="M1664" s="117" t="str">
        <f>IF(A1664="","",VLOOKUP(A1664,'6.A'!$A$11:$C$564,2,FALSE))</f>
        <v/>
      </c>
      <c r="N1664" s="57" t="str">
        <f t="shared" si="717"/>
        <v/>
      </c>
      <c r="O1664" s="56"/>
      <c r="P1664" s="56"/>
      <c r="Q1664" s="48"/>
      <c r="R1664" s="48"/>
    </row>
    <row r="1665" spans="1:23" ht="12.75" customHeight="1" x14ac:dyDescent="0.2">
      <c r="A1665" s="22"/>
      <c r="B1665" s="23" t="str">
        <f>IF(A1665="","",VLOOKUP(A1665,'6.A'!$A$11:$G$180,2,FALSE))</f>
        <v/>
      </c>
      <c r="C1665" s="99"/>
      <c r="D1665" s="57" t="str">
        <f>IF(A1665="","",VLOOKUP(A1665,'6.A'!$A$11:$G$180,4,FALSE))</f>
        <v/>
      </c>
      <c r="E1665" s="100" t="str">
        <f>IF(A1665="","",VLOOKUP(A1665,'6.A'!$A$11:$G$180,5,FALSE))</f>
        <v/>
      </c>
      <c r="F1665" s="24" t="str">
        <f t="shared" si="714"/>
        <v>0,00</v>
      </c>
      <c r="G1665" s="52"/>
      <c r="H1665" s="52" t="str">
        <f>IF(A1665="","",VLOOKUP(A1665,'6.A'!$A$11:$E$7984,5,FALSE))</f>
        <v/>
      </c>
      <c r="I1665" s="52" t="str">
        <f t="shared" si="715"/>
        <v/>
      </c>
      <c r="J1665" s="52" t="str">
        <f>IF(H1665="","",VLOOKUP(A1665,'6.A'!$A$11:$E$564,4,FALSE))</f>
        <v/>
      </c>
      <c r="K1665" s="52" t="str">
        <f t="shared" si="716"/>
        <v/>
      </c>
      <c r="L1665" s="52" t="str">
        <f>IF(H1665="","",IF(C1665="","",G1624*C1665))</f>
        <v/>
      </c>
      <c r="M1665" s="117" t="str">
        <f>IF(A1665="","",VLOOKUP(A1665,'6.A'!$A$11:$C$564,2,FALSE))</f>
        <v/>
      </c>
      <c r="N1665" s="57" t="str">
        <f t="shared" si="717"/>
        <v/>
      </c>
      <c r="O1665" s="56"/>
      <c r="P1665" s="56"/>
      <c r="Q1665" s="48"/>
      <c r="R1665" s="48"/>
    </row>
    <row r="1666" spans="1:23" ht="12.75" customHeight="1" x14ac:dyDescent="0.2">
      <c r="A1666" s="22"/>
      <c r="B1666" s="23" t="str">
        <f>IF(A1666="","",VLOOKUP(A1666,'6.A'!$A$11:$G$180,2,FALSE))</f>
        <v/>
      </c>
      <c r="C1666" s="99"/>
      <c r="D1666" s="57" t="str">
        <f>IF(A1666="","",VLOOKUP(A1666,'6.A'!$A$11:$G$180,4,FALSE))</f>
        <v/>
      </c>
      <c r="E1666" s="100" t="str">
        <f>IF(A1666="","",VLOOKUP(A1666,'6.A'!$A$11:$G$180,5,FALSE))</f>
        <v/>
      </c>
      <c r="F1666" s="24" t="str">
        <f t="shared" si="714"/>
        <v>0,00</v>
      </c>
      <c r="G1666" s="52"/>
      <c r="H1666" s="52" t="str">
        <f>IF(A1666="","",VLOOKUP(A1666,'6.A'!$A$11:$E$7984,5,FALSE))</f>
        <v/>
      </c>
      <c r="I1666" s="52" t="str">
        <f t="shared" si="715"/>
        <v/>
      </c>
      <c r="J1666" s="52" t="str">
        <f>IF(H1666="","",VLOOKUP(A1666,'6.A'!$A$11:$E$564,4,FALSE))</f>
        <v/>
      </c>
      <c r="K1666" s="52" t="str">
        <f t="shared" si="716"/>
        <v/>
      </c>
      <c r="L1666" s="52" t="str">
        <f>IF(H1666="","",IF(C1666="","",G1624*C1666))</f>
        <v/>
      </c>
      <c r="M1666" s="117" t="str">
        <f>IF(A1666="","",VLOOKUP(A1666,'6.A'!$A$11:$C$564,2,FALSE))</f>
        <v/>
      </c>
      <c r="N1666" s="57" t="str">
        <f t="shared" si="717"/>
        <v/>
      </c>
      <c r="O1666" s="56"/>
      <c r="P1666" s="56"/>
      <c r="Q1666" s="48"/>
      <c r="R1666" s="48"/>
    </row>
    <row r="1667" spans="1:23" ht="12.75" customHeight="1" x14ac:dyDescent="0.2">
      <c r="A1667" s="22"/>
      <c r="B1667" s="23" t="str">
        <f>IF(A1667="","",VLOOKUP(A1667,'6.A'!$A$11:$G$180,2,FALSE))</f>
        <v/>
      </c>
      <c r="C1667" s="99"/>
      <c r="D1667" s="57" t="str">
        <f>IF(A1667="","",VLOOKUP(A1667,'6.A'!$A$11:$G$180,4,FALSE))</f>
        <v/>
      </c>
      <c r="E1667" s="100" t="str">
        <f>IF(A1667="","",VLOOKUP(A1667,'6.A'!$A$11:$G$180,5,FALSE))</f>
        <v/>
      </c>
      <c r="F1667" s="24" t="str">
        <f t="shared" si="714"/>
        <v>0,00</v>
      </c>
      <c r="G1667" s="52"/>
      <c r="H1667" s="52" t="str">
        <f>IF(A1667="","",VLOOKUP(A1667,'6.A'!$A$11:$E$7984,5,FALSE))</f>
        <v/>
      </c>
      <c r="I1667" s="52" t="str">
        <f t="shared" si="715"/>
        <v/>
      </c>
      <c r="J1667" s="52" t="str">
        <f>IF(H1667="","",VLOOKUP(A1667,'6.A'!$A$11:$E$564,4,FALSE))</f>
        <v/>
      </c>
      <c r="K1667" s="52" t="str">
        <f t="shared" si="716"/>
        <v/>
      </c>
      <c r="L1667" s="52" t="str">
        <f>IF(H1667="","",IF(C1667="","",G1624*C1667))</f>
        <v/>
      </c>
      <c r="M1667" s="117" t="str">
        <f>IF(A1667="","",VLOOKUP(A1667,'6.A'!$A$11:$C$564,2,FALSE))</f>
        <v/>
      </c>
      <c r="N1667" s="57" t="str">
        <f t="shared" si="717"/>
        <v/>
      </c>
      <c r="O1667" s="56"/>
      <c r="P1667" s="56"/>
      <c r="Q1667" s="48"/>
      <c r="R1667" s="48"/>
    </row>
    <row r="1668" spans="1:23" ht="12.75" customHeight="1" x14ac:dyDescent="0.2">
      <c r="A1668" s="22"/>
      <c r="B1668" s="23" t="str">
        <f>IF(A1668="","",VLOOKUP(A1668,'6.A'!$A$11:$G$180,2,FALSE))</f>
        <v/>
      </c>
      <c r="C1668" s="99"/>
      <c r="D1668" s="57" t="str">
        <f>IF(A1668="","",VLOOKUP(A1668,'6.A'!$A$11:$G$180,4,FALSE))</f>
        <v/>
      </c>
      <c r="E1668" s="100" t="str">
        <f>IF(A1668="","",VLOOKUP(A1668,'6.A'!$A$11:$G$180,5,FALSE))</f>
        <v/>
      </c>
      <c r="F1668" s="24" t="str">
        <f t="shared" si="714"/>
        <v>0,00</v>
      </c>
      <c r="G1668" s="52"/>
      <c r="H1668" s="52" t="str">
        <f>IF(A1668="","",VLOOKUP(A1668,'6.A'!$A$11:$E$7984,5,FALSE))</f>
        <v/>
      </c>
      <c r="I1668" s="52" t="str">
        <f t="shared" si="715"/>
        <v/>
      </c>
      <c r="J1668" s="52" t="str">
        <f>IF(H1668="","",VLOOKUP(A1668,'6.A'!$A$11:$E$564,4,FALSE))</f>
        <v/>
      </c>
      <c r="K1668" s="52" t="str">
        <f t="shared" si="716"/>
        <v/>
      </c>
      <c r="L1668" s="52" t="str">
        <f>IF(H1668="","",IF(C1668="","",G1624*C1668))</f>
        <v/>
      </c>
      <c r="M1668" s="117" t="str">
        <f>IF(A1668="","",VLOOKUP(A1668,'6.A'!$A$11:$C$564,2,FALSE))</f>
        <v/>
      </c>
      <c r="N1668" s="57" t="str">
        <f t="shared" si="717"/>
        <v/>
      </c>
      <c r="O1668" s="56"/>
      <c r="P1668" s="56"/>
      <c r="Q1668" s="48"/>
      <c r="R1668" s="48"/>
    </row>
    <row r="1669" spans="1:23" ht="12.75" customHeight="1" x14ac:dyDescent="0.2">
      <c r="A1669" s="22"/>
      <c r="B1669" s="23" t="str">
        <f>IF(A1669="","",VLOOKUP(A1669,'6.A'!$A$11:$G$180,2,FALSE))</f>
        <v/>
      </c>
      <c r="C1669" s="99"/>
      <c r="D1669" s="57" t="str">
        <f>IF(A1669="","",VLOOKUP(A1669,'6.A'!$A$11:$G$180,4,FALSE))</f>
        <v/>
      </c>
      <c r="E1669" s="100" t="str">
        <f>IF(A1669="","",VLOOKUP(A1669,'6.A'!$A$11:$G$180,5,FALSE))</f>
        <v/>
      </c>
      <c r="F1669" s="24" t="str">
        <f t="shared" si="714"/>
        <v>0,00</v>
      </c>
      <c r="G1669" s="52"/>
      <c r="H1669" s="52" t="str">
        <f>IF(A1669="","",VLOOKUP(A1669,'6.A'!$A$11:$E$7984,5,FALSE))</f>
        <v/>
      </c>
      <c r="I1669" s="52" t="str">
        <f t="shared" si="715"/>
        <v/>
      </c>
      <c r="J1669" s="52" t="str">
        <f>IF(H1669="","",VLOOKUP(A1669,'6.A'!$A$11:$E$564,4,FALSE))</f>
        <v/>
      </c>
      <c r="K1669" s="52" t="str">
        <f t="shared" si="716"/>
        <v/>
      </c>
      <c r="L1669" s="52" t="str">
        <f>IF(H1669="","",IF(C1669="","",G1624*C1669))</f>
        <v/>
      </c>
      <c r="M1669" s="117" t="str">
        <f>IF(A1669="","",VLOOKUP(A1669,'6.A'!$A$11:$C$564,2,FALSE))</f>
        <v/>
      </c>
      <c r="N1669" s="57" t="str">
        <f t="shared" si="717"/>
        <v/>
      </c>
      <c r="O1669" s="56"/>
      <c r="P1669" s="56"/>
      <c r="Q1669" s="48"/>
      <c r="R1669" s="48"/>
    </row>
    <row r="1670" spans="1:23" ht="12.75" customHeight="1" x14ac:dyDescent="0.2">
      <c r="A1670" s="22"/>
      <c r="B1670" s="39" t="str">
        <f>IF(A1670="","",VLOOKUP(A1670,'6.A'!$A$11:$G$180,2,FALSE))</f>
        <v/>
      </c>
      <c r="C1670" s="99"/>
      <c r="D1670" s="57" t="str">
        <f>IF(A1670="","",VLOOKUP(A1670,'6.A'!$A$11:$G$180,4,FALSE))</f>
        <v/>
      </c>
      <c r="E1670" s="100" t="str">
        <f>IF(A1670="","",VLOOKUP(A1670,'6.A'!$A$11:$G$180,5,FALSE))</f>
        <v/>
      </c>
      <c r="F1670" s="24" t="str">
        <f t="shared" si="714"/>
        <v>0,00</v>
      </c>
      <c r="G1670" s="52"/>
      <c r="H1670" s="52" t="str">
        <f>IF(A1670="","",VLOOKUP(A1670,'6.A'!$A$11:$E$7984,5,FALSE))</f>
        <v/>
      </c>
      <c r="I1670" s="52" t="str">
        <f t="shared" si="715"/>
        <v/>
      </c>
      <c r="J1670" s="52" t="str">
        <f>IF(H1670="","",VLOOKUP(A1670,'6.A'!$A$11:$E$564,4,FALSE))</f>
        <v/>
      </c>
      <c r="K1670" s="52" t="str">
        <f t="shared" si="716"/>
        <v/>
      </c>
      <c r="L1670" s="52" t="str">
        <f>IF(H1670="","",IF(C1670="","",G1624*C1670))</f>
        <v/>
      </c>
      <c r="M1670" s="117" t="str">
        <f>IF(A1670="","",VLOOKUP(A1670,'6.A'!$A$11:$C$564,2,FALSE))</f>
        <v/>
      </c>
      <c r="N1670" s="57" t="str">
        <f t="shared" si="717"/>
        <v/>
      </c>
      <c r="O1670" s="56"/>
      <c r="P1670" s="56"/>
      <c r="Q1670" s="48"/>
      <c r="R1670" s="48"/>
    </row>
    <row r="1671" spans="1:23" ht="12.75" customHeight="1" x14ac:dyDescent="0.2">
      <c r="A1671" s="22"/>
      <c r="B1671" s="39" t="str">
        <f>IF(A1671="","",VLOOKUP(A1671,'6.A'!$A$11:$G$180,2,FALSE))</f>
        <v/>
      </c>
      <c r="C1671" s="99"/>
      <c r="D1671" s="57" t="str">
        <f>IF(A1671="","",VLOOKUP(A1671,'6.A'!$A$11:$G$180,4,FALSE))</f>
        <v/>
      </c>
      <c r="E1671" s="100" t="str">
        <f>IF(A1671="","",VLOOKUP(A1671,'6.A'!$A$11:$G$180,5,FALSE))</f>
        <v/>
      </c>
      <c r="F1671" s="24" t="str">
        <f t="shared" si="714"/>
        <v>0,00</v>
      </c>
      <c r="G1671" s="52"/>
      <c r="H1671" s="52" t="str">
        <f>IF(A1671="","",VLOOKUP(A1671,'6.A'!$A$11:$E$7984,5,FALSE))</f>
        <v/>
      </c>
      <c r="I1671" s="52" t="str">
        <f t="shared" si="715"/>
        <v/>
      </c>
      <c r="J1671" s="52" t="str">
        <f>IF(H1671="","",VLOOKUP(A1671,'6.A'!$A$11:$E$564,4,FALSE))</f>
        <v/>
      </c>
      <c r="K1671" s="52" t="str">
        <f t="shared" si="716"/>
        <v/>
      </c>
      <c r="L1671" s="52" t="str">
        <f>IF(H1671="","",IF(C1671="","",G1624*C1671))</f>
        <v/>
      </c>
      <c r="M1671" s="117" t="str">
        <f>IF(A1671="","",VLOOKUP(A1671,'6.A'!$A$11:$C$564,2,FALSE))</f>
        <v/>
      </c>
      <c r="N1671" s="57" t="str">
        <f t="shared" si="717"/>
        <v/>
      </c>
      <c r="O1671" s="56"/>
      <c r="P1671" s="56"/>
      <c r="Q1671" s="48"/>
      <c r="R1671" s="48"/>
    </row>
    <row r="1672" spans="1:23" ht="12.75" customHeight="1" x14ac:dyDescent="0.2">
      <c r="A1672" s="22"/>
      <c r="B1672" s="39" t="str">
        <f>IF(A1672="","",VLOOKUP(A1672,'6.A'!$A$11:$G$180,2,FALSE))</f>
        <v/>
      </c>
      <c r="C1672" s="99"/>
      <c r="D1672" s="57" t="str">
        <f>IF(A1672="","",VLOOKUP(A1672,'6.A'!$A$11:$G$180,4,FALSE))</f>
        <v/>
      </c>
      <c r="E1672" s="100" t="str">
        <f>IF(A1672="","",VLOOKUP(A1672,'6.A'!$A$11:$G$180,5,FALSE))</f>
        <v/>
      </c>
      <c r="F1672" s="24" t="str">
        <f t="shared" si="714"/>
        <v>0,00</v>
      </c>
      <c r="G1672" s="52"/>
      <c r="H1672" s="52" t="str">
        <f>IF(A1672="","",VLOOKUP(A1672,'6.A'!$A$11:$E$7984,5,FALSE))</f>
        <v/>
      </c>
      <c r="I1672" s="52" t="str">
        <f t="shared" si="715"/>
        <v/>
      </c>
      <c r="J1672" s="52" t="str">
        <f>IF(H1672="","",VLOOKUP(A1672,'6.A'!$A$11:$E$564,4,FALSE))</f>
        <v/>
      </c>
      <c r="K1672" s="52" t="str">
        <f t="shared" si="716"/>
        <v/>
      </c>
      <c r="L1672" s="52" t="str">
        <f>IF(H1672="","",IF(C1672="","",G1624*C1672))</f>
        <v/>
      </c>
      <c r="M1672" s="117" t="str">
        <f>IF(A1672="","",VLOOKUP(A1672,'6.A'!$A$11:$C$564,2,FALSE))</f>
        <v/>
      </c>
      <c r="N1672" s="57" t="str">
        <f t="shared" si="717"/>
        <v/>
      </c>
      <c r="O1672" s="56"/>
      <c r="P1672" s="56"/>
      <c r="Q1672" s="48"/>
      <c r="R1672" s="48"/>
    </row>
    <row r="1673" spans="1:23" ht="12.75" customHeight="1" x14ac:dyDescent="0.2">
      <c r="A1673" s="22"/>
      <c r="B1673" s="26" t="str">
        <f>$A$9</f>
        <v>BDI</v>
      </c>
      <c r="C1673" s="40">
        <f>$C$9</f>
        <v>0</v>
      </c>
      <c r="D1673" s="57"/>
      <c r="F1673" s="28">
        <f>ROUND(SUM(F1653:F1672)*C1673,2)</f>
        <v>0</v>
      </c>
      <c r="G1673" s="63"/>
      <c r="M1673" s="57"/>
      <c r="N1673" s="57"/>
      <c r="O1673" s="56"/>
      <c r="P1673" s="56"/>
      <c r="Q1673" s="48"/>
      <c r="R1673" s="48"/>
    </row>
    <row r="1674" spans="1:23" ht="12.75" customHeight="1" thickBot="1" x14ac:dyDescent="0.25">
      <c r="A1674" s="41"/>
      <c r="B1674" s="42" t="s">
        <v>57</v>
      </c>
      <c r="C1674" s="43"/>
      <c r="D1674" s="44"/>
      <c r="E1674" s="45"/>
      <c r="F1674" s="46">
        <f>ROUND(SUM(F1653:F1673),2)</f>
        <v>0</v>
      </c>
      <c r="G1674" s="63"/>
      <c r="M1674" s="57"/>
      <c r="N1674" s="57"/>
      <c r="O1674" s="56"/>
      <c r="P1674" s="56"/>
      <c r="Q1674" s="48"/>
      <c r="R1674" s="48"/>
    </row>
    <row r="1675" spans="1:23" ht="12" customHeight="1" thickBot="1" x14ac:dyDescent="0.25">
      <c r="A1675" s="8"/>
      <c r="B1675" s="9"/>
      <c r="C1675" s="10"/>
      <c r="D1675" s="57"/>
      <c r="F1675" s="12"/>
      <c r="M1675" s="57"/>
      <c r="N1675" s="57"/>
      <c r="O1675" s="56"/>
      <c r="P1675" s="56"/>
    </row>
    <row r="1676" spans="1:23" ht="50.1" customHeight="1" x14ac:dyDescent="0.2">
      <c r="A1676" s="13" t="str">
        <f>'3.A'!$A$137</f>
        <v>3.2.8</v>
      </c>
      <c r="B1676" s="14" t="str">
        <f>IF(A1676="","",VLOOKUP(A1676,'3.A'!$A$17:$M$279,2,FALSE))</f>
        <v>CABO DE COBRE FLEXÍVEL ISOLADO, 95 MM², ANTI-CHAMA 0,6/1,0 KV, PARA REDE ENTERRADA DE ENERGIA ELÉTRICA - TERRA</v>
      </c>
      <c r="C1676" s="413" t="s">
        <v>62</v>
      </c>
      <c r="D1676" s="413"/>
      <c r="E1676" s="15" t="str">
        <f>IF(A1676="","",VLOOKUP(A1676,'3.A'!$A$17:$M$279,3,FALSE))</f>
        <v>M</v>
      </c>
      <c r="F1676" s="16">
        <f>ROUND(F1690+F1703+F1726,2)</f>
        <v>0</v>
      </c>
      <c r="G1676" s="118">
        <f>VLOOKUP(A1676,'3.A'!$A$19:$I$279,4,FALSE)</f>
        <v>20</v>
      </c>
      <c r="H1676" s="47">
        <f>SUM(F1678:F1689)</f>
        <v>0</v>
      </c>
      <c r="I1676" s="47">
        <f>SUM(F1692:F1702)</f>
        <v>0</v>
      </c>
      <c r="J1676" s="47">
        <f>SUM(F1705:F1725)</f>
        <v>0</v>
      </c>
      <c r="K1676" s="47">
        <f>SUM(H1676:J1676)</f>
        <v>0</v>
      </c>
      <c r="L1676" s="47" t="str">
        <f>IF(K1676=F1676,"SIM","NÃO")</f>
        <v>SIM</v>
      </c>
      <c r="M1676" s="58">
        <f>ROUND(SUM(F1678:F1687)*C1688,2)+ROUND(SUM(F1678:F1688)*C1689,2)+ROUND(SUM(F1678:F1687),2)+ROUND(SUM(F1692:F1701)*C1702,2)+ROUND(SUM(F1692:F1701),2)+ROUND(SUM(F1705:F1724)*C1725,2)+ROUND(SUM(F1705:F1724),2)</f>
        <v>0</v>
      </c>
      <c r="N1676" s="50" t="str">
        <f>IF(M1676=F1676,"SIM","NÃO")</f>
        <v>SIM</v>
      </c>
      <c r="O1676" s="51" t="str">
        <f>VLOOKUP(A1676,'3.A'!$A$8:$E$279,3,FALSE)</f>
        <v>M</v>
      </c>
      <c r="P1676" s="51" t="str">
        <f>IF(O1676=E1676,"SIM","NÃO")</f>
        <v>SIM</v>
      </c>
      <c r="Q1676" s="53">
        <f>ROUND(G1676*F1690,2)+ROUND(G1676*F1703,2)+ROUND(G1676*F1726,2)</f>
        <v>0</v>
      </c>
      <c r="R1676" s="59">
        <f>VLOOKUP(A1676,'3.A'!$A$17:$L$279,12,FALSE)</f>
        <v>0</v>
      </c>
      <c r="S1676" s="60" t="str">
        <f>IF(Q1676=R1676,"si","no")</f>
        <v>si</v>
      </c>
      <c r="T1676" s="61">
        <f>SUM(L1678:L1687)+SUM(L1692:L1701)+SUM(L1705:L1724)</f>
        <v>25.391999999999996</v>
      </c>
      <c r="U1676" s="52">
        <f>G1676*C1684+G1676*C1686+G1676*C1679+G1676*C1680+G1676*C1682+G1676*C1685+G1676*C1683+G1676*C1678+G1676*C1681+G1676*C1687+G1676*C1698+G1676*C1692+G1676*C1700+G1676*C1699+G1676*C1697+G1676*C1694+G1676*C1693+G1676*C1695+G1676*C1701+G1676*C1696+G1676*C1705+G1676*C1706+G1676*C1707+G1676*C1715+G1676*C1716+G1676*C1717+G1676*C1718+G1676*C1719+G1676*C1720+G1676*C1721+G1676*C1722+G1676*C1723+G1676*C1724+G1676*C1713+G1676*C1714+G1676*C1708+G1676*C1709+G1676*C1710+G1676*C1711+G1676*C1712</f>
        <v>25.391999999999996</v>
      </c>
      <c r="V1676" s="54" t="str">
        <f>IF(T1676=U1676,"si","no")</f>
        <v>si</v>
      </c>
      <c r="W1676" s="137"/>
    </row>
    <row r="1677" spans="1:23" ht="12.75" customHeight="1" x14ac:dyDescent="0.2">
      <c r="A1677" s="17" t="s">
        <v>3</v>
      </c>
      <c r="B1677" s="18" t="s">
        <v>58</v>
      </c>
      <c r="C1677" s="56" t="s">
        <v>59</v>
      </c>
      <c r="D1677" s="56" t="s">
        <v>16</v>
      </c>
      <c r="E1677" s="19" t="s">
        <v>60</v>
      </c>
      <c r="F1677" s="20" t="s">
        <v>61</v>
      </c>
      <c r="G1677" s="21"/>
      <c r="M1677" s="57"/>
      <c r="N1677" s="57"/>
      <c r="O1677" s="56"/>
      <c r="P1677" s="56"/>
      <c r="Q1677" s="48"/>
      <c r="R1677" s="48"/>
    </row>
    <row r="1678" spans="1:23" ht="12.75" customHeight="1" x14ac:dyDescent="0.2">
      <c r="A1678" s="22">
        <f>'6.A'!$A$15</f>
        <v>88247</v>
      </c>
      <c r="B1678" s="23" t="str">
        <f>IF(A1678="","",VLOOKUP(A1678,'6.A'!$A$11:$G$180,2,FALSE))</f>
        <v>AUXILIAR DE ELETRICISTA COM ENCARGOS COMPLEMENTARES</v>
      </c>
      <c r="C1678" s="99">
        <v>0.12280000000000001</v>
      </c>
      <c r="D1678" s="57" t="str">
        <f>IF(A1678="","",VLOOKUP(A1678,'6.A'!$A$11:$G$180,4,FALSE))</f>
        <v>H</v>
      </c>
      <c r="E1678" s="100">
        <f>IF(A1678="","",VLOOKUP(A1678,'6.A'!$A$11:$G$180,5,FALSE))</f>
        <v>0</v>
      </c>
      <c r="F1678" s="24">
        <f t="shared" ref="F1678:F1687" si="718">IF(A1678="","0,00",ROUND(C1678*E1678,2))</f>
        <v>0</v>
      </c>
      <c r="G1678" s="52"/>
      <c r="H1678" s="52">
        <f>IF(A1678="","",VLOOKUP(A1678,'6.A'!$A$11:$E$7984,5,FALSE))</f>
        <v>0</v>
      </c>
      <c r="I1678" s="52" t="str">
        <f>IF(H1678="","",IF(E1678=H1678,"SIM","NÃO"))</f>
        <v>SIM</v>
      </c>
      <c r="J1678" s="52" t="str">
        <f>IF(H1678="","",VLOOKUP(A1678,'6.A'!$A$11:$E$564,4,FALSE))</f>
        <v>H</v>
      </c>
      <c r="K1678" s="52" t="str">
        <f>IF(H1678="","",IF(J1678=D1678,"SIM","NÃO"))</f>
        <v>SIM</v>
      </c>
      <c r="L1678" s="52">
        <f>IF(H1678="","",IF(C1678="","",G1676*C1678))</f>
        <v>2.456</v>
      </c>
      <c r="M1678" s="117" t="str">
        <f>IF(A1678="","",VLOOKUP(A1678,'6.A'!$A$11:$C$564,2,FALSE))</f>
        <v>AUXILIAR DE ELETRICISTA COM ENCARGOS COMPLEMENTARES</v>
      </c>
      <c r="N1678" s="57" t="str">
        <f>IF(A1678="","",IF(M1678=B1678,"si","no"))</f>
        <v>si</v>
      </c>
      <c r="O1678" s="56"/>
      <c r="P1678" s="56"/>
      <c r="Q1678" s="48"/>
      <c r="R1678" s="48"/>
    </row>
    <row r="1679" spans="1:23" ht="12.75" customHeight="1" x14ac:dyDescent="0.2">
      <c r="A1679" s="22">
        <f>'6.A'!$A$18</f>
        <v>88264</v>
      </c>
      <c r="B1679" s="23" t="str">
        <f>IF(A1679="","",VLOOKUP(A1679,'6.A'!$A$11:$G$180,2,FALSE))</f>
        <v>ELETRICISTA COM ENCARGOS COMPLEMENTARES</v>
      </c>
      <c r="C1679" s="99">
        <v>0.12280000000000001</v>
      </c>
      <c r="D1679" s="57" t="str">
        <f>IF(A1679="","",VLOOKUP(A1679,'6.A'!$A$11:$G$180,4,FALSE))</f>
        <v>H</v>
      </c>
      <c r="E1679" s="100">
        <f>IF(A1679="","",VLOOKUP(A1679,'6.A'!$A$11:$G$180,5,FALSE))</f>
        <v>0</v>
      </c>
      <c r="F1679" s="24">
        <f t="shared" si="718"/>
        <v>0</v>
      </c>
      <c r="G1679" s="52"/>
      <c r="H1679" s="52">
        <f>IF(A1679="","",VLOOKUP(A1679,'6.A'!$A$11:$E$7984,5,FALSE))</f>
        <v>0</v>
      </c>
      <c r="I1679" s="52" t="str">
        <f>IF(H1679="","",IF(E1679=H1679,"SIM","NÃO"))</f>
        <v>SIM</v>
      </c>
      <c r="J1679" s="52" t="str">
        <f>IF(H1679="","",VLOOKUP(A1679,'6.A'!$A$11:$E$564,4,FALSE))</f>
        <v>H</v>
      </c>
      <c r="K1679" s="52" t="str">
        <f>IF(H1679="","",IF(J1679=D1679,"SIM","NÃO"))</f>
        <v>SIM</v>
      </c>
      <c r="L1679" s="52">
        <f>IF(H1679="","",IF(C1679="","",G1676*C1679))</f>
        <v>2.456</v>
      </c>
      <c r="M1679" s="117" t="str">
        <f>IF(A1679="","",VLOOKUP(A1679,'6.A'!$A$11:$C$564,2,FALSE))</f>
        <v>ELETRICISTA COM ENCARGOS COMPLEMENTARES</v>
      </c>
      <c r="N1679" s="57" t="str">
        <f>IF(A1679="","",IF(M1679=B1679,"si","no"))</f>
        <v>si</v>
      </c>
      <c r="O1679" s="56"/>
      <c r="P1679" s="56"/>
      <c r="Q1679" s="48"/>
      <c r="R1679" s="48"/>
    </row>
    <row r="1680" spans="1:23" ht="12.75" customHeight="1" x14ac:dyDescent="0.2">
      <c r="A1680" s="22"/>
      <c r="B1680" s="23" t="str">
        <f>IF(A1680="","",VLOOKUP(A1680,'6.A'!$A$11:$G$180,2,FALSE))</f>
        <v/>
      </c>
      <c r="C1680" s="99"/>
      <c r="D1680" s="57" t="str">
        <f>IF(A1680="","",VLOOKUP(A1680,'6.A'!$A$11:$G$180,4,FALSE))</f>
        <v/>
      </c>
      <c r="E1680" s="100" t="str">
        <f>IF(A1680="","",VLOOKUP(A1680,'6.A'!$A$11:$G$180,5,FALSE))</f>
        <v/>
      </c>
      <c r="F1680" s="24" t="str">
        <f t="shared" si="718"/>
        <v>0,00</v>
      </c>
      <c r="G1680" s="52"/>
      <c r="H1680" s="52" t="str">
        <f>IF(A1680="","",VLOOKUP(A1680,'6.A'!$A$11:$E$7984,5,FALSE))</f>
        <v/>
      </c>
      <c r="I1680" s="52" t="str">
        <f>IF(H1680="","",IF(E1680=H1680,"SIM","NÃO"))</f>
        <v/>
      </c>
      <c r="J1680" s="52" t="str">
        <f>IF(H1680="","",VLOOKUP(A1680,'6.A'!$A$11:$E$564,4,FALSE))</f>
        <v/>
      </c>
      <c r="K1680" s="52" t="str">
        <f t="shared" ref="K1680" si="719">IF(H1680="","",IF(J1680=D1680,"SIM","NÃO"))</f>
        <v/>
      </c>
      <c r="L1680" s="52" t="str">
        <f>IF(H1680="","",IF(C1680="","",G1676*C1680))</f>
        <v/>
      </c>
      <c r="M1680" s="117" t="str">
        <f>IF(A1680="","",VLOOKUP(A1680,'6.A'!$A$11:$C$564,2,FALSE))</f>
        <v/>
      </c>
      <c r="N1680" s="57" t="str">
        <f t="shared" ref="N1680" si="720">IF(A1680="","",IF(M1680=B1680,"si","no"))</f>
        <v/>
      </c>
      <c r="O1680" s="56"/>
      <c r="P1680" s="56"/>
      <c r="Q1680" s="48"/>
      <c r="R1680" s="48"/>
      <c r="S1680" s="2"/>
    </row>
    <row r="1681" spans="1:19" ht="12.75" customHeight="1" x14ac:dyDescent="0.2">
      <c r="A1681" s="22"/>
      <c r="B1681" s="23" t="str">
        <f>IF(A1681="","",VLOOKUP(A1681,'6.A'!$A$11:$G$180,2,FALSE))</f>
        <v/>
      </c>
      <c r="C1681" s="99"/>
      <c r="D1681" s="57" t="str">
        <f>IF(A1681="","",VLOOKUP(A1681,'6.A'!$A$11:$G$180,4,FALSE))</f>
        <v/>
      </c>
      <c r="E1681" s="100" t="str">
        <f>IF(A1681="","",VLOOKUP(A1681,'6.A'!$A$11:$G$180,5,FALSE))</f>
        <v/>
      </c>
      <c r="F1681" s="24" t="str">
        <f t="shared" si="718"/>
        <v>0,00</v>
      </c>
      <c r="G1681" s="52"/>
      <c r="H1681" s="52" t="str">
        <f>IF(A1681="","",VLOOKUP(A1681,'6.A'!$A$11:$E$7984,5,FALSE))</f>
        <v/>
      </c>
      <c r="I1681" s="52" t="str">
        <f>IF(H1681="","",IF(E1681=H1681,"SIM","NÃO"))</f>
        <v/>
      </c>
      <c r="J1681" s="52" t="str">
        <f>IF(H1681="","",VLOOKUP(A1681,'6.A'!$A$11:$E$564,4,FALSE))</f>
        <v/>
      </c>
      <c r="K1681" s="52" t="str">
        <f>IF(H1681="","",IF(J1681=D1681,"SIM","NÃO"))</f>
        <v/>
      </c>
      <c r="L1681" s="52" t="str">
        <f>IF(H1681="","",IF(C1681="","",G1676*C1681))</f>
        <v/>
      </c>
      <c r="M1681" s="117" t="str">
        <f>IF(A1681="","",VLOOKUP(A1681,'6.A'!$A$11:$C$564,2,FALSE))</f>
        <v/>
      </c>
      <c r="N1681" s="57" t="str">
        <f>IF(A1681="","",IF(M1681=B1681,"si","no"))</f>
        <v/>
      </c>
      <c r="O1681" s="56"/>
      <c r="P1681" s="56"/>
      <c r="Q1681" s="48"/>
      <c r="R1681" s="48"/>
      <c r="S1681" s="2"/>
    </row>
    <row r="1682" spans="1:19" ht="12.75" customHeight="1" x14ac:dyDescent="0.2">
      <c r="A1682" s="22"/>
      <c r="B1682" s="23" t="str">
        <f>IF(A1682="","",VLOOKUP(A1682,'6.A'!$A$11:$G$180,2,FALSE))</f>
        <v/>
      </c>
      <c r="C1682" s="99"/>
      <c r="D1682" s="57" t="str">
        <f>IF(A1682="","",VLOOKUP(A1682,'6.A'!$A$11:$G$180,4,FALSE))</f>
        <v/>
      </c>
      <c r="E1682" s="101" t="str">
        <f>IF(A1682="","",VLOOKUP(A1682,'6.A'!$A$11:$G$180,5,FALSE))</f>
        <v/>
      </c>
      <c r="F1682" s="24" t="str">
        <f t="shared" si="718"/>
        <v>0,00</v>
      </c>
      <c r="G1682" s="52"/>
      <c r="H1682" s="52" t="str">
        <f>IF(A1682="","",VLOOKUP(A1682,'6.A'!$A$11:$E$7984,5,FALSE))</f>
        <v/>
      </c>
      <c r="I1682" s="52" t="str">
        <f t="shared" ref="I1682" si="721">IF(H1682="","",IF(E1682=H1682,"SIM","NÃO"))</f>
        <v/>
      </c>
      <c r="J1682" s="52" t="str">
        <f>IF(H1682="","",VLOOKUP(A1682,'6.A'!$A$11:$E$564,4,FALSE))</f>
        <v/>
      </c>
      <c r="K1682" s="52" t="str">
        <f t="shared" ref="K1682" si="722">IF(H1682="","",IF(J1682=D1682,"SIM","NÃO"))</f>
        <v/>
      </c>
      <c r="L1682" s="52" t="str">
        <f>IF(H1682="","",IF(C1682="","",G1676*C1682))</f>
        <v/>
      </c>
      <c r="M1682" s="117" t="str">
        <f>IF(A1682="","",VLOOKUP(A1682,'6.A'!$A$11:$C$564,2,FALSE))</f>
        <v/>
      </c>
      <c r="N1682" s="57" t="str">
        <f t="shared" ref="N1682" si="723">IF(A1682="","",IF(M1682=B1682,"si","no"))</f>
        <v/>
      </c>
      <c r="O1682" s="56"/>
      <c r="P1682" s="56"/>
      <c r="Q1682" s="48"/>
      <c r="R1682" s="48"/>
      <c r="S1682" s="2"/>
    </row>
    <row r="1683" spans="1:19" ht="12.75" customHeight="1" x14ac:dyDescent="0.2">
      <c r="A1683" s="22"/>
      <c r="B1683" s="23" t="str">
        <f>IF(A1683="","",VLOOKUP(A1683,'6.A'!$A$11:$G$180,2,FALSE))</f>
        <v/>
      </c>
      <c r="C1683" s="99"/>
      <c r="D1683" s="57" t="str">
        <f>IF(A1683="","",VLOOKUP(A1683,'6.A'!$A$11:$G$180,4,FALSE))</f>
        <v/>
      </c>
      <c r="E1683" s="101" t="str">
        <f>IF(A1683="","",VLOOKUP(A1683,'6.A'!$A$11:$G$180,5,FALSE))</f>
        <v/>
      </c>
      <c r="F1683" s="24" t="str">
        <f t="shared" si="718"/>
        <v>0,00</v>
      </c>
      <c r="G1683" s="52"/>
      <c r="H1683" s="52" t="str">
        <f>IF(A1683="","",VLOOKUP(A1683,'6.A'!$A$11:$E$7984,5,FALSE))</f>
        <v/>
      </c>
      <c r="I1683" s="52" t="str">
        <f>IF(H1683="","",IF(E1683=H1683,"SIM","NÃO"))</f>
        <v/>
      </c>
      <c r="J1683" s="52" t="str">
        <f>IF(H1683="","",VLOOKUP(A1683,'6.A'!$A$11:$E$564,4,FALSE))</f>
        <v/>
      </c>
      <c r="K1683" s="52" t="str">
        <f>IF(H1683="","",IF(J1683=D1683,"SIM","NÃO"))</f>
        <v/>
      </c>
      <c r="L1683" s="52" t="str">
        <f>IF(H1683="","",IF(C1683="","",G1676*C1683))</f>
        <v/>
      </c>
      <c r="M1683" s="117" t="str">
        <f>IF(A1683="","",VLOOKUP(A1683,'6.A'!$A$11:$C$564,2,FALSE))</f>
        <v/>
      </c>
      <c r="N1683" s="57" t="str">
        <f>IF(A1683="","",IF(M1683=B1683,"si","no"))</f>
        <v/>
      </c>
      <c r="O1683" s="56"/>
      <c r="P1683" s="56"/>
      <c r="Q1683" s="48"/>
      <c r="R1683" s="48"/>
      <c r="S1683" s="2"/>
    </row>
    <row r="1684" spans="1:19" ht="12.75" customHeight="1" x14ac:dyDescent="0.2">
      <c r="A1684" s="22"/>
      <c r="B1684" s="23" t="str">
        <f>IF(A1684="","",VLOOKUP(A1684,'6.A'!$A$11:$G$180,2,FALSE))</f>
        <v/>
      </c>
      <c r="C1684" s="99"/>
      <c r="D1684" s="57" t="str">
        <f>IF(A1684="","",VLOOKUP(A1684,'6.A'!$A$11:$G$180,4,FALSE))</f>
        <v/>
      </c>
      <c r="E1684" s="100" t="str">
        <f>IF(A1684="","",VLOOKUP(A1684,'6.A'!$A$11:$G$180,5,FALSE))</f>
        <v/>
      </c>
      <c r="F1684" s="24" t="str">
        <f t="shared" si="718"/>
        <v>0,00</v>
      </c>
      <c r="G1684" s="52"/>
      <c r="H1684" s="52" t="str">
        <f>IF(A1684="","",VLOOKUP(A1684,'6.A'!$A$11:$E$7984,5,FALSE))</f>
        <v/>
      </c>
      <c r="I1684" s="52" t="str">
        <f>IF(H1684="","",IF(E1684=H1684,"SIM","NÃO"))</f>
        <v/>
      </c>
      <c r="J1684" s="52" t="str">
        <f>IF(H1684="","",VLOOKUP(A1684,'6.A'!$A$11:$E$564,4,FALSE))</f>
        <v/>
      </c>
      <c r="K1684" s="52" t="str">
        <f>IF(H1684="","",IF(J1684=D1684,"SIM","NÃO"))</f>
        <v/>
      </c>
      <c r="L1684" s="52" t="str">
        <f>IF(H1684="","",IF(C1684="","",G1676*C1684))</f>
        <v/>
      </c>
      <c r="M1684" s="117" t="str">
        <f>IF(A1684="","",VLOOKUP(A1684,'6.A'!$A$11:$C$564,2,FALSE))</f>
        <v/>
      </c>
      <c r="N1684" s="57" t="str">
        <f>IF(A1684="","",IF(M1684=B1684,"si","no"))</f>
        <v/>
      </c>
      <c r="O1684" s="56"/>
      <c r="P1684" s="56"/>
      <c r="Q1684" s="48"/>
      <c r="R1684" s="48"/>
      <c r="S1684" s="2"/>
    </row>
    <row r="1685" spans="1:19" ht="12.75" customHeight="1" x14ac:dyDescent="0.2">
      <c r="A1685" s="22"/>
      <c r="B1685" s="23" t="str">
        <f>IF(A1685="","",VLOOKUP(A1685,'6.A'!$A$11:$G$180,2,FALSE))</f>
        <v/>
      </c>
      <c r="C1685" s="99"/>
      <c r="D1685" s="57" t="str">
        <f>IF(A1685="","",VLOOKUP(A1685,'6.A'!$A$11:$G$180,4,FALSE))</f>
        <v/>
      </c>
      <c r="E1685" s="100" t="str">
        <f>IF(A1685="","",VLOOKUP(A1685,'6.A'!$A$11:$G$180,5,FALSE))</f>
        <v/>
      </c>
      <c r="F1685" s="24" t="str">
        <f t="shared" si="718"/>
        <v>0,00</v>
      </c>
      <c r="G1685" s="52"/>
      <c r="H1685" s="52" t="str">
        <f>IF(A1685="","",VLOOKUP(A1685,'6.A'!$A$11:$E$7984,5,FALSE))</f>
        <v/>
      </c>
      <c r="I1685" s="52" t="str">
        <f t="shared" ref="I1685" si="724">IF(H1685="","",IF(E1685=H1685,"SIM","NÃO"))</f>
        <v/>
      </c>
      <c r="J1685" s="52" t="str">
        <f>IF(H1685="","",VLOOKUP(A1685,'6.A'!$A$11:$E$564,4,FALSE))</f>
        <v/>
      </c>
      <c r="K1685" s="52" t="str">
        <f t="shared" ref="K1685" si="725">IF(H1685="","",IF(J1685=D1685,"SIM","NÃO"))</f>
        <v/>
      </c>
      <c r="L1685" s="52" t="str">
        <f>IF(H1685="","",IF(C1685="","",G1676*C1685))</f>
        <v/>
      </c>
      <c r="M1685" s="117" t="str">
        <f>IF(A1685="","",VLOOKUP(A1685,'6.A'!$A$11:$C$564,2,FALSE))</f>
        <v/>
      </c>
      <c r="N1685" s="57" t="str">
        <f t="shared" ref="N1685" si="726">IF(A1685="","",IF(M1685=B1685,"si","no"))</f>
        <v/>
      </c>
      <c r="O1685" s="56"/>
      <c r="P1685" s="56"/>
      <c r="Q1685" s="48"/>
      <c r="R1685" s="48"/>
      <c r="S1685" s="2"/>
    </row>
    <row r="1686" spans="1:19" ht="12.75" customHeight="1" x14ac:dyDescent="0.2">
      <c r="A1686" s="22"/>
      <c r="B1686" s="23" t="str">
        <f>IF(A1686="","",VLOOKUP(A1686,'6.A'!$A$11:$G$180,2,FALSE))</f>
        <v/>
      </c>
      <c r="C1686" s="99"/>
      <c r="D1686" s="73" t="str">
        <f>IF(A1686="","",VLOOKUP(A1686,'6.A'!$A$11:$G$180,4,FALSE))</f>
        <v/>
      </c>
      <c r="E1686" s="101" t="str">
        <f>IF(A1686="","",VLOOKUP(A1686,'6.A'!$A$11:$G$180,5,FALSE))</f>
        <v/>
      </c>
      <c r="F1686" s="24" t="str">
        <f t="shared" si="718"/>
        <v>0,00</v>
      </c>
      <c r="G1686" s="52"/>
      <c r="H1686" s="52" t="str">
        <f>IF(A1686="","",VLOOKUP(A1686,'6.A'!$A$11:$E$7984,5,FALSE))</f>
        <v/>
      </c>
      <c r="I1686" s="52" t="str">
        <f>IF(H1686="","",IF(E1686=H1686,"SIM","NÃO"))</f>
        <v/>
      </c>
      <c r="J1686" s="52" t="str">
        <f>IF(H1686="","",VLOOKUP(A1686,'6.A'!$A$11:$E$564,4,FALSE))</f>
        <v/>
      </c>
      <c r="K1686" s="52" t="str">
        <f>IF(H1686="","",IF(J1686=D1686,"SIM","NÃO"))</f>
        <v/>
      </c>
      <c r="L1686" s="52" t="str">
        <f>IF(H1686="","",IF(C1686="","",G1676*C1686))</f>
        <v/>
      </c>
      <c r="M1686" s="117" t="str">
        <f>IF(A1686="","",VLOOKUP(A1686,'6.A'!$A$11:$C$564,2,FALSE))</f>
        <v/>
      </c>
      <c r="N1686" s="57" t="str">
        <f>IF(A1686="","",IF(M1686=B1686,"si","no"))</f>
        <v/>
      </c>
      <c r="O1686" s="56"/>
      <c r="P1686" s="56"/>
      <c r="Q1686" s="48"/>
      <c r="R1686" s="48"/>
      <c r="S1686" s="2"/>
    </row>
    <row r="1687" spans="1:19" ht="12.75" customHeight="1" x14ac:dyDescent="0.2">
      <c r="A1687" s="22"/>
      <c r="B1687" s="23" t="str">
        <f>IF(A1687="","",VLOOKUP(A1687,'6.A'!$A$11:$G$180,2,FALSE))</f>
        <v/>
      </c>
      <c r="C1687" s="99"/>
      <c r="D1687" s="25" t="str">
        <f>IF(A1687="","",VLOOKUP(A1687,'6.A'!$A$11:$G$180,4,FALSE))</f>
        <v/>
      </c>
      <c r="E1687" s="101" t="str">
        <f>IF(A1687="","",VLOOKUP(A1687,'6.A'!$A$11:$G$180,5,FALSE))</f>
        <v/>
      </c>
      <c r="F1687" s="24" t="str">
        <f t="shared" si="718"/>
        <v>0,00</v>
      </c>
      <c r="G1687" s="52"/>
      <c r="H1687" s="52" t="str">
        <f>IF(A1687="","",VLOOKUP(A1687,'6.A'!$A$11:$E$7984,5,FALSE))</f>
        <v/>
      </c>
      <c r="I1687" s="52" t="str">
        <f t="shared" ref="I1687" si="727">IF(H1687="","",IF(E1687=H1687,"SIM","NÃO"))</f>
        <v/>
      </c>
      <c r="J1687" s="52" t="str">
        <f>IF(H1687="","",VLOOKUP(A1687,'6.A'!$A$11:$E$564,4,FALSE))</f>
        <v/>
      </c>
      <c r="K1687" s="52" t="str">
        <f t="shared" ref="K1687" si="728">IF(H1687="","",IF(J1687=D1687,"SIM","NÃO"))</f>
        <v/>
      </c>
      <c r="L1687" s="52" t="str">
        <f>IF(H1687="","",IF(C1687="","",G1676*C1687))</f>
        <v/>
      </c>
      <c r="M1687" s="117" t="str">
        <f>IF(A1687="","",VLOOKUP(A1687,'6.A'!$A$11:$C$564,2,FALSE))</f>
        <v/>
      </c>
      <c r="N1687" s="57" t="str">
        <f t="shared" ref="N1687" si="729">IF(A1687="","",IF(M1687=B1687,"si","no"))</f>
        <v/>
      </c>
      <c r="O1687" s="56"/>
      <c r="P1687" s="56"/>
      <c r="Q1687" s="48"/>
      <c r="R1687" s="48"/>
      <c r="S1687" s="2"/>
    </row>
    <row r="1688" spans="1:19" ht="12.75" customHeight="1" x14ac:dyDescent="0.2">
      <c r="A1688" s="17"/>
      <c r="B1688" s="26" t="str">
        <f>$A$8</f>
        <v>LEIS SOCIAIS HORISTA - JORNADA NORMAL</v>
      </c>
      <c r="C1688" s="27">
        <f>$C$8</f>
        <v>0</v>
      </c>
      <c r="D1688" s="57"/>
      <c r="F1688" s="28">
        <f>ROUND(SUM(F1678:F1687)*C1688,2)</f>
        <v>0</v>
      </c>
      <c r="G1688" s="63"/>
      <c r="M1688" s="62"/>
      <c r="N1688" s="57"/>
      <c r="O1688" s="56"/>
      <c r="P1688" s="56"/>
      <c r="Q1688" s="48"/>
      <c r="R1688" s="48"/>
      <c r="S1688" s="2"/>
    </row>
    <row r="1689" spans="1:19" ht="12.75" customHeight="1" x14ac:dyDescent="0.2">
      <c r="A1689" s="22"/>
      <c r="B1689" s="26" t="str">
        <f>$A$9</f>
        <v>BDI</v>
      </c>
      <c r="C1689" s="27">
        <f>$C$9</f>
        <v>0</v>
      </c>
      <c r="D1689" s="29"/>
      <c r="F1689" s="28">
        <f>ROUND(SUM(F1678:F1688)*C1689,2)</f>
        <v>0</v>
      </c>
      <c r="G1689" s="63"/>
      <c r="M1689" s="62"/>
      <c r="N1689" s="57"/>
      <c r="O1689" s="56"/>
      <c r="P1689" s="56"/>
      <c r="Q1689" s="48"/>
      <c r="R1689" s="48"/>
      <c r="S1689" s="2"/>
    </row>
    <row r="1690" spans="1:19" ht="12.75" customHeight="1" x14ac:dyDescent="0.2">
      <c r="A1690" s="30"/>
      <c r="B1690" s="31" t="s">
        <v>56</v>
      </c>
      <c r="C1690" s="32"/>
      <c r="D1690" s="33"/>
      <c r="E1690" s="34"/>
      <c r="F1690" s="35">
        <f>ROUND(SUM(F1678:F1689),2)</f>
        <v>0</v>
      </c>
      <c r="G1690" s="63"/>
      <c r="M1690" s="62"/>
      <c r="N1690" s="57"/>
      <c r="O1690" s="56"/>
      <c r="P1690" s="56"/>
      <c r="Q1690" s="48"/>
      <c r="R1690" s="48"/>
      <c r="S1690" s="2"/>
    </row>
    <row r="1691" spans="1:19" ht="12.75" customHeight="1" x14ac:dyDescent="0.2">
      <c r="A1691" s="17" t="s">
        <v>5</v>
      </c>
      <c r="B1691" s="153" t="s">
        <v>130</v>
      </c>
      <c r="C1691" s="56" t="s">
        <v>59</v>
      </c>
      <c r="D1691" s="56" t="s">
        <v>16</v>
      </c>
      <c r="E1691" s="19" t="s">
        <v>60</v>
      </c>
      <c r="F1691" s="20" t="s">
        <v>61</v>
      </c>
      <c r="G1691" s="21"/>
      <c r="M1691" s="62"/>
      <c r="N1691" s="57"/>
      <c r="O1691" s="56"/>
      <c r="P1691" s="56"/>
      <c r="Q1691" s="48"/>
      <c r="R1691" s="48"/>
      <c r="S1691" s="2"/>
    </row>
    <row r="1692" spans="1:19" ht="12.75" customHeight="1" x14ac:dyDescent="0.2">
      <c r="A1692" s="22"/>
      <c r="B1692" s="23" t="str">
        <f>IF(A1692="","",VLOOKUP(A1692,'6.A'!$A$11:$G$180,2,FALSE))</f>
        <v/>
      </c>
      <c r="C1692" s="99"/>
      <c r="D1692" s="57" t="str">
        <f>IF(A1692="","",VLOOKUP(A1692,'6.A'!$A$11:$G$180,4,FALSE))</f>
        <v/>
      </c>
      <c r="E1692" s="100" t="str">
        <f>IF(A1692="","",VLOOKUP(A1692,'6.A'!$A$11:$G$180,5,FALSE))</f>
        <v/>
      </c>
      <c r="F1692" s="24" t="str">
        <f t="shared" ref="F1692:F1701" si="730">IF(A1692="","0,00",ROUND(C1692*E1692,2))</f>
        <v>0,00</v>
      </c>
      <c r="G1692" s="52"/>
      <c r="H1692" s="52" t="str">
        <f>IF(A1692="","",VLOOKUP(A1692,'6.A'!$A$11:$E$7984,5,FALSE))</f>
        <v/>
      </c>
      <c r="I1692" s="52" t="str">
        <f t="shared" ref="I1692:I1701" si="731">IF(H1692="","",IF(E1692=H1692,"SIM","NÃO"))</f>
        <v/>
      </c>
      <c r="J1692" s="52" t="str">
        <f>IF(H1692="","",VLOOKUP(A1692,'6.A'!$A$11:$E$564,4,FALSE))</f>
        <v/>
      </c>
      <c r="K1692" s="52" t="str">
        <f t="shared" ref="K1692:K1701" si="732">IF(H1692="","",IF(J1692=D1692,"SIM","NÃO"))</f>
        <v/>
      </c>
      <c r="L1692" s="52" t="str">
        <f>IF(H1692="","",IF(C1692="","",G1676*C1692))</f>
        <v/>
      </c>
      <c r="M1692" s="117" t="str">
        <f>IF(A1692="","",VLOOKUP(A1692,'6.A'!$A$11:$C$564,2,FALSE))</f>
        <v/>
      </c>
      <c r="N1692" s="57" t="str">
        <f t="shared" ref="N1692:N1697" si="733">IF(A1692="","",IF(M1692=B1692,"si","no"))</f>
        <v/>
      </c>
      <c r="O1692" s="56"/>
      <c r="P1692" s="56"/>
      <c r="Q1692" s="48"/>
      <c r="R1692" s="48"/>
      <c r="S1692" s="2"/>
    </row>
    <row r="1693" spans="1:19" ht="12.75" customHeight="1" x14ac:dyDescent="0.2">
      <c r="A1693" s="22"/>
      <c r="B1693" s="23" t="str">
        <f>IF(A1693="","",VLOOKUP(A1693,'6.A'!$A$11:$G$180,2,FALSE))</f>
        <v/>
      </c>
      <c r="C1693" s="99"/>
      <c r="D1693" s="57" t="str">
        <f>IF(A1693="","",VLOOKUP(A1693,'6.A'!$A$11:$G$180,4,FALSE))</f>
        <v/>
      </c>
      <c r="E1693" s="100" t="str">
        <f>IF(A1693="","",VLOOKUP(A1693,'6.A'!$A$11:$G$180,5,FALSE))</f>
        <v/>
      </c>
      <c r="F1693" s="24" t="str">
        <f t="shared" si="730"/>
        <v>0,00</v>
      </c>
      <c r="G1693" s="52"/>
      <c r="H1693" s="52" t="str">
        <f>IF(A1693="","",VLOOKUP(A1693,'6.A'!$A$11:$E$7984,5,FALSE))</f>
        <v/>
      </c>
      <c r="I1693" s="52" t="str">
        <f t="shared" si="731"/>
        <v/>
      </c>
      <c r="J1693" s="52" t="str">
        <f>IF(H1693="","",VLOOKUP(A1693,'6.A'!$A$11:$E$564,4,FALSE))</f>
        <v/>
      </c>
      <c r="K1693" s="52" t="str">
        <f t="shared" si="732"/>
        <v/>
      </c>
      <c r="L1693" s="52" t="str">
        <f>IF(H1693="","",IF(C1693="","",G1676*C1693))</f>
        <v/>
      </c>
      <c r="M1693" s="117" t="str">
        <f>IF(A1693="","",VLOOKUP(A1693,'6.A'!$A$11:$C$564,2,FALSE))</f>
        <v/>
      </c>
      <c r="N1693" s="57" t="str">
        <f t="shared" si="733"/>
        <v/>
      </c>
      <c r="O1693" s="56"/>
      <c r="P1693" s="56"/>
      <c r="Q1693" s="48"/>
      <c r="R1693" s="48"/>
      <c r="S1693" s="2"/>
    </row>
    <row r="1694" spans="1:19" ht="12.75" customHeight="1" x14ac:dyDescent="0.2">
      <c r="A1694" s="22"/>
      <c r="B1694" s="23" t="str">
        <f>IF(A1694="","",VLOOKUP(A1694,'6.A'!$A$11:$G$180,2,FALSE))</f>
        <v/>
      </c>
      <c r="C1694" s="99"/>
      <c r="D1694" s="57" t="str">
        <f>IF(A1694="","",VLOOKUP(A1694,'6.A'!$A$11:$G$180,4,FALSE))</f>
        <v/>
      </c>
      <c r="E1694" s="100" t="str">
        <f>IF(A1694="","",VLOOKUP(A1694,'6.A'!$A$11:$G$180,5,FALSE))</f>
        <v/>
      </c>
      <c r="F1694" s="24" t="str">
        <f t="shared" si="730"/>
        <v>0,00</v>
      </c>
      <c r="G1694" s="52"/>
      <c r="H1694" s="52" t="str">
        <f>IF(A1694="","",VLOOKUP(A1694,'6.A'!$A$11:$E$7984,5,FALSE))</f>
        <v/>
      </c>
      <c r="I1694" s="52" t="str">
        <f t="shared" si="731"/>
        <v/>
      </c>
      <c r="J1694" s="52" t="str">
        <f>IF(H1694="","",VLOOKUP(A1694,'6.A'!$A$11:$E$564,4,FALSE))</f>
        <v/>
      </c>
      <c r="K1694" s="52" t="str">
        <f t="shared" si="732"/>
        <v/>
      </c>
      <c r="L1694" s="52" t="str">
        <f>IF(H1694="","",IF(C1694="","",G1676*C1694))</f>
        <v/>
      </c>
      <c r="M1694" s="117" t="str">
        <f>IF(A1694="","",VLOOKUP(A1694,'6.A'!$A$11:$C$564,2,FALSE))</f>
        <v/>
      </c>
      <c r="N1694" s="57" t="str">
        <f t="shared" si="733"/>
        <v/>
      </c>
      <c r="O1694" s="56"/>
      <c r="P1694" s="56"/>
      <c r="Q1694" s="48"/>
      <c r="R1694" s="48"/>
      <c r="S1694" s="2"/>
    </row>
    <row r="1695" spans="1:19" ht="12.75" customHeight="1" x14ac:dyDescent="0.2">
      <c r="A1695" s="22"/>
      <c r="B1695" s="55" t="str">
        <f>IF(A1695="","",VLOOKUP(A1695,'6.A'!$A$11:$G$180,2,FALSE))</f>
        <v/>
      </c>
      <c r="C1695" s="134"/>
      <c r="D1695" s="57" t="str">
        <f>IF(A1695="","",VLOOKUP(A1695,'6.A'!$A$11:$G$180,4,FALSE))</f>
        <v/>
      </c>
      <c r="E1695" s="100" t="str">
        <f>IF(A1695="","",VLOOKUP(A1695,'6.A'!$A$11:$G$180,5,FALSE))</f>
        <v/>
      </c>
      <c r="F1695" s="24" t="str">
        <f t="shared" si="730"/>
        <v>0,00</v>
      </c>
      <c r="G1695" s="52"/>
      <c r="H1695" s="52" t="str">
        <f>IF(A1695="","",VLOOKUP(A1695,'6.A'!$A$11:$E$7984,5,FALSE))</f>
        <v/>
      </c>
      <c r="I1695" s="52" t="str">
        <f t="shared" si="731"/>
        <v/>
      </c>
      <c r="J1695" s="52" t="str">
        <f>IF(H1695="","",VLOOKUP(A1695,'6.A'!$A$11:$E$564,4,FALSE))</f>
        <v/>
      </c>
      <c r="K1695" s="52" t="str">
        <f t="shared" si="732"/>
        <v/>
      </c>
      <c r="L1695" s="52" t="str">
        <f>IF(H1695="","",IF(C1695="","",G1676*C1695))</f>
        <v/>
      </c>
      <c r="M1695" s="117" t="str">
        <f>IF(A1695="","",VLOOKUP(A1695,'6.A'!$A$11:$C$564,2,FALSE))</f>
        <v/>
      </c>
      <c r="N1695" s="57" t="str">
        <f t="shared" si="733"/>
        <v/>
      </c>
      <c r="O1695" s="56"/>
      <c r="P1695" s="56"/>
      <c r="Q1695" s="48"/>
      <c r="R1695" s="48"/>
      <c r="S1695" s="2"/>
    </row>
    <row r="1696" spans="1:19" ht="12.75" customHeight="1" x14ac:dyDescent="0.2">
      <c r="A1696" s="22"/>
      <c r="B1696" s="23" t="str">
        <f>IF(A1696="","",VLOOKUP(A1696,'6.A'!$A$11:$G$180,2,FALSE))</f>
        <v/>
      </c>
      <c r="C1696" s="99"/>
      <c r="D1696" s="57" t="str">
        <f>IF(A1696="","",VLOOKUP(A1696,'6.A'!$A$11:$G$180,4,FALSE))</f>
        <v/>
      </c>
      <c r="E1696" s="100" t="str">
        <f>IF(A1696="","",VLOOKUP(A1696,'6.A'!$A$11:$G$180,5,FALSE))</f>
        <v/>
      </c>
      <c r="F1696" s="24" t="str">
        <f t="shared" si="730"/>
        <v>0,00</v>
      </c>
      <c r="G1696" s="52"/>
      <c r="H1696" s="52" t="str">
        <f>IF(A1696="","",VLOOKUP(A1696,'6.A'!$A$11:$E$7984,5,FALSE))</f>
        <v/>
      </c>
      <c r="I1696" s="52" t="str">
        <f t="shared" si="731"/>
        <v/>
      </c>
      <c r="J1696" s="52" t="str">
        <f>IF(H1696="","",VLOOKUP(A1696,'6.A'!$A$11:$E$564,4,FALSE))</f>
        <v/>
      </c>
      <c r="K1696" s="52" t="str">
        <f t="shared" si="732"/>
        <v/>
      </c>
      <c r="L1696" s="52" t="str">
        <f>IF(H1696="","",IF(C1696="","",G1676*C1696))</f>
        <v/>
      </c>
      <c r="M1696" s="117" t="str">
        <f>IF(A1696="","",VLOOKUP(A1696,'6.A'!$A$11:$C$564,2,FALSE))</f>
        <v/>
      </c>
      <c r="N1696" s="57" t="str">
        <f t="shared" si="733"/>
        <v/>
      </c>
      <c r="O1696" s="56"/>
      <c r="P1696" s="56"/>
      <c r="Q1696" s="48"/>
      <c r="R1696" s="48"/>
      <c r="S1696" s="2"/>
    </row>
    <row r="1697" spans="1:22" ht="12.75" customHeight="1" x14ac:dyDescent="0.2">
      <c r="A1697" s="22"/>
      <c r="B1697" s="23" t="str">
        <f>IF(A1697="","",VLOOKUP(A1697,'6.A'!$A$11:$G$180,2,FALSE))</f>
        <v/>
      </c>
      <c r="C1697" s="99"/>
      <c r="D1697" s="57" t="str">
        <f>IF(A1697="","",VLOOKUP(A1697,'6.A'!$A$11:$G$180,4,FALSE))</f>
        <v/>
      </c>
      <c r="E1697" s="100" t="str">
        <f>IF(A1697="","",VLOOKUP(A1697,'6.A'!$A$11:$G$180,5,FALSE))</f>
        <v/>
      </c>
      <c r="F1697" s="24" t="str">
        <f t="shared" si="730"/>
        <v>0,00</v>
      </c>
      <c r="G1697" s="52"/>
      <c r="H1697" s="52" t="str">
        <f>IF(A1697="","",VLOOKUP(A1697,'6.A'!$A$11:$E$7984,5,FALSE))</f>
        <v/>
      </c>
      <c r="I1697" s="52" t="str">
        <f t="shared" si="731"/>
        <v/>
      </c>
      <c r="J1697" s="52" t="str">
        <f>IF(H1697="","",VLOOKUP(A1697,'6.A'!$A$11:$E$564,4,FALSE))</f>
        <v/>
      </c>
      <c r="K1697" s="52" t="str">
        <f t="shared" si="732"/>
        <v/>
      </c>
      <c r="L1697" s="52" t="str">
        <f>IF(H1697="","",IF(C1697="","",G1676*C1697))</f>
        <v/>
      </c>
      <c r="M1697" s="117" t="str">
        <f>IF(A1697="","",VLOOKUP(A1697,'6.A'!$A$11:$C$564,2,FALSE))</f>
        <v/>
      </c>
      <c r="N1697" s="57" t="str">
        <f t="shared" si="733"/>
        <v/>
      </c>
      <c r="O1697" s="56"/>
      <c r="P1697" s="56"/>
      <c r="Q1697" s="48"/>
      <c r="R1697" s="48"/>
      <c r="S1697" s="2"/>
    </row>
    <row r="1698" spans="1:22" ht="12.75" customHeight="1" x14ac:dyDescent="0.2">
      <c r="A1698" s="22"/>
      <c r="B1698" s="23" t="str">
        <f>IF(A1698="","",VLOOKUP(A1698,'6.A'!$A$11:$G$180,2,FALSE))</f>
        <v/>
      </c>
      <c r="C1698" s="99"/>
      <c r="D1698" s="57" t="str">
        <f>IF(A1698="","",VLOOKUP(A1698,'6.A'!$A$11:$G$180,4,FALSE))</f>
        <v/>
      </c>
      <c r="E1698" s="100" t="str">
        <f>IF(A1698="","",VLOOKUP(A1698,'6.A'!$A$11:$G$180,5,FALSE))</f>
        <v/>
      </c>
      <c r="F1698" s="24" t="str">
        <f t="shared" si="730"/>
        <v>0,00</v>
      </c>
      <c r="G1698" s="52"/>
      <c r="H1698" s="52" t="str">
        <f>IF(A1698="","",VLOOKUP(A1698,'6.A'!$A$11:$E$7984,5,FALSE))</f>
        <v/>
      </c>
      <c r="I1698" s="52" t="str">
        <f t="shared" si="731"/>
        <v/>
      </c>
      <c r="J1698" s="52" t="str">
        <f>IF(H1698="","",VLOOKUP(A1698,'6.A'!$A$11:$E$564,4,FALSE))</f>
        <v/>
      </c>
      <c r="K1698" s="52" t="str">
        <f t="shared" si="732"/>
        <v/>
      </c>
      <c r="L1698" s="52" t="str">
        <f>IF(H1698="","",IF(C1698="","",G1676*C1698))</f>
        <v/>
      </c>
      <c r="M1698" s="117" t="str">
        <f>IF(A1698="","",VLOOKUP(A1698,'6.A'!$A$11:$C$564,2,FALSE))</f>
        <v/>
      </c>
      <c r="N1698" s="57" t="str">
        <f>IF(A1698="","",IF(M1698=B1698,"si","no"))</f>
        <v/>
      </c>
      <c r="O1698" s="56"/>
      <c r="P1698" s="56"/>
      <c r="Q1698" s="48"/>
      <c r="R1698" s="48"/>
      <c r="S1698" s="2"/>
    </row>
    <row r="1699" spans="1:22" ht="12.75" customHeight="1" x14ac:dyDescent="0.2">
      <c r="A1699" s="22"/>
      <c r="B1699" s="23" t="str">
        <f>IF(A1699="","",VLOOKUP(A1699,'6.A'!$A$11:$G$180,2,FALSE))</f>
        <v/>
      </c>
      <c r="C1699" s="99"/>
      <c r="D1699" s="57" t="str">
        <f>IF(A1699="","",VLOOKUP(A1699,'6.A'!$A$11:$G$180,4,FALSE))</f>
        <v/>
      </c>
      <c r="E1699" s="100" t="str">
        <f>IF(A1699="","",VLOOKUP(A1699,'6.A'!$A$11:$G$180,5,FALSE))</f>
        <v/>
      </c>
      <c r="F1699" s="24" t="str">
        <f t="shared" si="730"/>
        <v>0,00</v>
      </c>
      <c r="G1699" s="52"/>
      <c r="H1699" s="52" t="str">
        <f>IF(A1699="","",VLOOKUP(A1699,'6.A'!$A$11:$E$7984,5,FALSE))</f>
        <v/>
      </c>
      <c r="I1699" s="52" t="str">
        <f t="shared" si="731"/>
        <v/>
      </c>
      <c r="J1699" s="52" t="str">
        <f>IF(H1699="","",VLOOKUP(A1699,'6.A'!$A$11:$E$564,4,FALSE))</f>
        <v/>
      </c>
      <c r="K1699" s="52" t="str">
        <f t="shared" si="732"/>
        <v/>
      </c>
      <c r="L1699" s="52" t="str">
        <f>IF(H1699="","",IF(C1699="","",G1676*C1699))</f>
        <v/>
      </c>
      <c r="M1699" s="117" t="str">
        <f>IF(A1699="","",VLOOKUP(A1699,'6.A'!$A$11:$C$564,2,FALSE))</f>
        <v/>
      </c>
      <c r="N1699" s="57" t="str">
        <f>IF(A1699="","",IF(M1699=B1699,"si","no"))</f>
        <v/>
      </c>
      <c r="O1699" s="56"/>
      <c r="P1699" s="56"/>
      <c r="Q1699" s="48"/>
      <c r="R1699" s="48"/>
      <c r="S1699" s="2"/>
    </row>
    <row r="1700" spans="1:22" ht="12.75" customHeight="1" x14ac:dyDescent="0.2">
      <c r="A1700" s="22"/>
      <c r="B1700" s="23" t="str">
        <f>IF(A1700="","",VLOOKUP(A1700,'6.A'!$A$11:$G$180,2,FALSE))</f>
        <v/>
      </c>
      <c r="C1700" s="99"/>
      <c r="D1700" s="57" t="str">
        <f>IF(A1700="","",VLOOKUP(A1700,'6.A'!$A$11:$G$180,4,FALSE))</f>
        <v/>
      </c>
      <c r="E1700" s="100" t="str">
        <f>IF(A1700="","",VLOOKUP(A1700,'6.A'!$A$11:$G$180,5,FALSE))</f>
        <v/>
      </c>
      <c r="F1700" s="24" t="str">
        <f t="shared" si="730"/>
        <v>0,00</v>
      </c>
      <c r="G1700" s="52"/>
      <c r="H1700" s="52" t="str">
        <f>IF(A1700="","",VLOOKUP(A1700,'6.A'!$A$11:$E$7984,5,FALSE))</f>
        <v/>
      </c>
      <c r="I1700" s="52" t="str">
        <f t="shared" si="731"/>
        <v/>
      </c>
      <c r="J1700" s="52" t="str">
        <f>IF(H1700="","",VLOOKUP(A1700,'6.A'!$A$11:$E$564,4,FALSE))</f>
        <v/>
      </c>
      <c r="K1700" s="52" t="str">
        <f t="shared" si="732"/>
        <v/>
      </c>
      <c r="L1700" s="52" t="str">
        <f>IF(H1700="","",IF(C1700="","",G1676*C1700))</f>
        <v/>
      </c>
      <c r="M1700" s="117" t="str">
        <f>IF(A1700="","",VLOOKUP(A1700,'6.A'!$A$11:$C$564,2,FALSE))</f>
        <v/>
      </c>
      <c r="N1700" s="57" t="str">
        <f t="shared" ref="N1700:N1701" si="734">IF(A1700="","",IF(M1700=B1700,"si","no"))</f>
        <v/>
      </c>
      <c r="O1700" s="56"/>
      <c r="P1700" s="56"/>
      <c r="Q1700" s="48"/>
      <c r="R1700" s="48"/>
      <c r="S1700" s="2"/>
    </row>
    <row r="1701" spans="1:22" ht="12.75" customHeight="1" x14ac:dyDescent="0.2">
      <c r="A1701" s="22"/>
      <c r="B1701" s="23" t="str">
        <f>IF(A1701="","",VLOOKUP(A1701,'6.A'!$A$11:$G$180,2,FALSE))</f>
        <v/>
      </c>
      <c r="C1701" s="99"/>
      <c r="D1701" s="57" t="str">
        <f>IF(A1701="","",VLOOKUP(A1701,'6.A'!$A$11:$G$180,4,FALSE))</f>
        <v/>
      </c>
      <c r="E1701" s="100" t="str">
        <f>IF(A1701="","",VLOOKUP(A1701,'6.A'!$A$11:$G$180,5,FALSE))</f>
        <v/>
      </c>
      <c r="F1701" s="24" t="str">
        <f t="shared" si="730"/>
        <v>0,00</v>
      </c>
      <c r="G1701" s="52"/>
      <c r="H1701" s="52" t="str">
        <f>IF(A1701="","",VLOOKUP(A1701,'6.A'!$A$11:$E$7984,5,FALSE))</f>
        <v/>
      </c>
      <c r="I1701" s="52" t="str">
        <f t="shared" si="731"/>
        <v/>
      </c>
      <c r="J1701" s="52" t="str">
        <f>IF(H1701="","",VLOOKUP(A1701,'6.A'!$A$11:$E$564,4,FALSE))</f>
        <v/>
      </c>
      <c r="K1701" s="52" t="str">
        <f t="shared" si="732"/>
        <v/>
      </c>
      <c r="L1701" s="52" t="str">
        <f>IF(H1701="","",IF(C1701="","",G1676*C1701))</f>
        <v/>
      </c>
      <c r="M1701" s="117" t="str">
        <f>IF(A1701="","",VLOOKUP(A1701,'6.A'!$A$11:$C$564,2,FALSE))</f>
        <v/>
      </c>
      <c r="N1701" s="57" t="str">
        <f t="shared" si="734"/>
        <v/>
      </c>
      <c r="O1701" s="56"/>
      <c r="P1701" s="56"/>
      <c r="Q1701" s="48"/>
      <c r="R1701" s="48"/>
      <c r="S1701" s="2"/>
    </row>
    <row r="1702" spans="1:22" ht="12.75" customHeight="1" x14ac:dyDescent="0.2">
      <c r="A1702" s="22"/>
      <c r="B1702" s="26" t="str">
        <f>$A$9</f>
        <v>BDI</v>
      </c>
      <c r="C1702" s="27">
        <f>$C$9</f>
        <v>0</v>
      </c>
      <c r="D1702" s="57"/>
      <c r="F1702" s="28">
        <f>ROUND(SUM(F1692:F1701)*C1702,2)</f>
        <v>0</v>
      </c>
      <c r="G1702" s="63"/>
      <c r="M1702" s="62"/>
      <c r="N1702" s="57"/>
      <c r="O1702" s="56"/>
      <c r="P1702" s="56"/>
      <c r="Q1702" s="48"/>
      <c r="R1702" s="48"/>
      <c r="S1702" s="2"/>
    </row>
    <row r="1703" spans="1:22" ht="12.75" customHeight="1" x14ac:dyDescent="0.2">
      <c r="A1703" s="30"/>
      <c r="B1703" s="31" t="s">
        <v>117</v>
      </c>
      <c r="C1703" s="36"/>
      <c r="D1703" s="37"/>
      <c r="E1703" s="38"/>
      <c r="F1703" s="35">
        <f>ROUND(SUM(F1692:F1702),2)</f>
        <v>0</v>
      </c>
      <c r="G1703" s="63"/>
      <c r="M1703" s="62"/>
      <c r="N1703" s="57"/>
      <c r="O1703" s="56"/>
      <c r="P1703" s="56"/>
      <c r="Q1703" s="48"/>
      <c r="R1703" s="48"/>
      <c r="S1703" s="2"/>
    </row>
    <row r="1704" spans="1:22" ht="12.75" customHeight="1" x14ac:dyDescent="0.2">
      <c r="A1704" s="17" t="s">
        <v>6</v>
      </c>
      <c r="B1704" s="18" t="s">
        <v>17</v>
      </c>
      <c r="C1704" s="56" t="s">
        <v>59</v>
      </c>
      <c r="D1704" s="56" t="s">
        <v>16</v>
      </c>
      <c r="E1704" s="19" t="s">
        <v>60</v>
      </c>
      <c r="F1704" s="20" t="s">
        <v>61</v>
      </c>
      <c r="G1704" s="21"/>
      <c r="M1704" s="62"/>
      <c r="N1704" s="57"/>
      <c r="O1704" s="56"/>
      <c r="P1704" s="56"/>
      <c r="Q1704" s="48"/>
      <c r="R1704" s="48"/>
      <c r="S1704" s="2"/>
    </row>
    <row r="1705" spans="1:22" ht="12.75" customHeight="1" x14ac:dyDescent="0.2">
      <c r="A1705" s="22">
        <f>'6.A'!$A$75</f>
        <v>998</v>
      </c>
      <c r="B1705" s="23" t="str">
        <f>IF(A1705="","",VLOOKUP(A1705,'6.A'!$A$11:$G$180,2,FALSE))</f>
        <v>CABO DE COBRE FLEXIVEL CL 4/5, ISOLACAO PVC/A, BWF-B, COB. PVC-ST1, 1 CONDUTOR, 0,6/1 KV, SECAO NOMINAL 95 MM2</v>
      </c>
      <c r="C1705" s="99">
        <v>1.0149999999999999</v>
      </c>
      <c r="D1705" s="57" t="str">
        <f>IF(A1705="","",VLOOKUP(A1705,'6.A'!$A$11:$G$180,4,FALSE))</f>
        <v>M</v>
      </c>
      <c r="E1705" s="100">
        <f>IF(A1705="","",VLOOKUP(A1705,'6.A'!$A$11:$G$180,5,FALSE))</f>
        <v>0</v>
      </c>
      <c r="F1705" s="24">
        <f t="shared" ref="F1705:F1724" si="735">IF(A1705="","0,00",ROUND(C1705*E1705,2))</f>
        <v>0</v>
      </c>
      <c r="G1705" s="52"/>
      <c r="H1705" s="52">
        <f>IF(A1705="","",VLOOKUP(A1705,'6.A'!$A$11:$E$7984,5,FALSE))</f>
        <v>0</v>
      </c>
      <c r="I1705" s="52" t="str">
        <f t="shared" ref="I1705:I1724" si="736">IF(H1705="","",IF(E1705=H1705,"SIM","NÃO"))</f>
        <v>SIM</v>
      </c>
      <c r="J1705" s="52" t="str">
        <f>IF(H1705="","",VLOOKUP(A1705,'6.A'!$A$11:$E$564,4,FALSE))</f>
        <v>M</v>
      </c>
      <c r="K1705" s="52" t="str">
        <f t="shared" ref="K1705:K1724" si="737">IF(H1705="","",IF(J1705=D1705,"SIM","NÃO"))</f>
        <v>SIM</v>
      </c>
      <c r="L1705" s="52">
        <f>IF(H1705="","",IF(C1705="","",G1676*C1705))</f>
        <v>20.299999999999997</v>
      </c>
      <c r="M1705" s="117" t="str">
        <f>IF(A1705="","",VLOOKUP(A1705,'6.A'!$A$11:$C$564,2,FALSE))</f>
        <v>CABO DE COBRE FLEXIVEL CL 4/5, ISOLACAO PVC/A, BWF-B, COB. PVC-ST1, 1 CONDUTOR, 0,6/1 KV, SECAO NOMINAL 95 MM2</v>
      </c>
      <c r="N1705" s="57" t="str">
        <f t="shared" ref="N1705:N1724" si="738">IF(A1705="","",IF(M1705=B1705,"si","no"))</f>
        <v>si</v>
      </c>
      <c r="O1705" s="56"/>
      <c r="P1705" s="56"/>
      <c r="Q1705" s="48"/>
      <c r="R1705" s="48"/>
      <c r="S1705" s="2"/>
    </row>
    <row r="1706" spans="1:22" ht="12.75" customHeight="1" x14ac:dyDescent="0.2">
      <c r="A1706" s="22">
        <f>'6.A'!$A$123</f>
        <v>21127</v>
      </c>
      <c r="B1706" s="23" t="str">
        <f>IF(A1706="","",VLOOKUP(A1706,'6.A'!$A$11:$G$180,2,FALSE))</f>
        <v>FITA ISOLANTE ADESIVA ANTICHAMA, USO ATE 750 V, EM ROLO DE 19 MM X 5 M</v>
      </c>
      <c r="C1706" s="99">
        <v>8.9999999999999993E-3</v>
      </c>
      <c r="D1706" s="57" t="str">
        <f>IF(A1706="","",VLOOKUP(A1706,'6.A'!$A$11:$G$180,4,FALSE))</f>
        <v>UN</v>
      </c>
      <c r="E1706" s="100">
        <f>IF(A1706="","",VLOOKUP(A1706,'6.A'!$A$11:$G$180,5,FALSE))</f>
        <v>0</v>
      </c>
      <c r="F1706" s="24">
        <f t="shared" si="735"/>
        <v>0</v>
      </c>
      <c r="G1706" s="52"/>
      <c r="H1706" s="52">
        <f>IF(A1706="","",VLOOKUP(A1706,'6.A'!$A$11:$E$7984,5,FALSE))</f>
        <v>0</v>
      </c>
      <c r="I1706" s="52" t="str">
        <f t="shared" si="736"/>
        <v>SIM</v>
      </c>
      <c r="J1706" s="52" t="str">
        <f>IF(H1706="","",VLOOKUP(A1706,'6.A'!$A$11:$E$564,4,FALSE))</f>
        <v>UN</v>
      </c>
      <c r="K1706" s="52" t="str">
        <f t="shared" si="737"/>
        <v>SIM</v>
      </c>
      <c r="L1706" s="52">
        <f>IF(H1706="","",IF(C1706="","",G1676*C1706))</f>
        <v>0.18</v>
      </c>
      <c r="M1706" s="117" t="str">
        <f>IF(A1706="","",VLOOKUP(A1706,'6.A'!$A$11:$C$564,2,FALSE))</f>
        <v>FITA ISOLANTE ADESIVA ANTICHAMA, USO ATE 750 V, EM ROLO DE 19 MM X 5 M</v>
      </c>
      <c r="N1706" s="57" t="str">
        <f t="shared" si="738"/>
        <v>si</v>
      </c>
      <c r="O1706" s="56"/>
      <c r="P1706" s="56"/>
      <c r="Q1706" s="48"/>
      <c r="R1706" s="48"/>
      <c r="S1706" s="2"/>
    </row>
    <row r="1707" spans="1:22" ht="12.75" customHeight="1" x14ac:dyDescent="0.2">
      <c r="A1707" s="22"/>
      <c r="B1707" s="23" t="str">
        <f>IF(A1707="","",VLOOKUP(A1707,'6.A'!$A$11:$G$180,2,FALSE))</f>
        <v/>
      </c>
      <c r="C1707" s="99"/>
      <c r="D1707" s="57" t="str">
        <f>IF(A1707="","",VLOOKUP(A1707,'6.A'!$A$11:$G$180,4,FALSE))</f>
        <v/>
      </c>
      <c r="E1707" s="100" t="str">
        <f>IF(A1707="","",VLOOKUP(A1707,'6.A'!$A$11:$G$180,5,FALSE))</f>
        <v/>
      </c>
      <c r="F1707" s="24" t="str">
        <f t="shared" si="735"/>
        <v>0,00</v>
      </c>
      <c r="G1707" s="52"/>
      <c r="H1707" s="52" t="str">
        <f>IF(A1707="","",VLOOKUP(A1707,'6.A'!$A$11:$E$7984,5,FALSE))</f>
        <v/>
      </c>
      <c r="I1707" s="52" t="str">
        <f t="shared" si="736"/>
        <v/>
      </c>
      <c r="J1707" s="52" t="str">
        <f>IF(H1707="","",VLOOKUP(A1707,'6.A'!$A$11:$E$564,4,FALSE))</f>
        <v/>
      </c>
      <c r="K1707" s="52" t="str">
        <f t="shared" si="737"/>
        <v/>
      </c>
      <c r="L1707" s="52" t="str">
        <f>IF(H1707="","",IF(C1707="","",G1676*C1707))</f>
        <v/>
      </c>
      <c r="M1707" s="117" t="str">
        <f>IF(A1707="","",VLOOKUP(A1707,'6.A'!$A$11:$C$564,2,FALSE))</f>
        <v/>
      </c>
      <c r="N1707" s="57" t="str">
        <f t="shared" si="738"/>
        <v/>
      </c>
      <c r="O1707" s="56"/>
      <c r="P1707" s="56"/>
      <c r="Q1707" s="48"/>
      <c r="R1707" s="48"/>
      <c r="S1707" s="2"/>
    </row>
    <row r="1708" spans="1:22" ht="12.75" customHeight="1" x14ac:dyDescent="0.2">
      <c r="A1708" s="22"/>
      <c r="B1708" s="23" t="str">
        <f>IF(A1708="","",VLOOKUP(A1708,'6.A'!$A$11:$G$180,2,FALSE))</f>
        <v/>
      </c>
      <c r="C1708" s="99"/>
      <c r="D1708" s="57" t="str">
        <f>IF(A1708="","",VLOOKUP(A1708,'6.A'!$A$11:$G$180,4,FALSE))</f>
        <v/>
      </c>
      <c r="E1708" s="100" t="str">
        <f>IF(A1708="","",VLOOKUP(A1708,'6.A'!$A$11:$G$180,5,FALSE))</f>
        <v/>
      </c>
      <c r="F1708" s="24" t="str">
        <f t="shared" si="735"/>
        <v>0,00</v>
      </c>
      <c r="G1708" s="52"/>
      <c r="H1708" s="52" t="str">
        <f>IF(A1708="","",VLOOKUP(A1708,'6.A'!$A$11:$E$7984,5,FALSE))</f>
        <v/>
      </c>
      <c r="I1708" s="52" t="str">
        <f t="shared" si="736"/>
        <v/>
      </c>
      <c r="J1708" s="52" t="str">
        <f>IF(H1708="","",VLOOKUP(A1708,'6.A'!$A$11:$E$564,4,FALSE))</f>
        <v/>
      </c>
      <c r="K1708" s="52" t="str">
        <f t="shared" si="737"/>
        <v/>
      </c>
      <c r="L1708" s="52" t="str">
        <f>IF(H1708="","",IF(C1708="","",G1676*C1708))</f>
        <v/>
      </c>
      <c r="M1708" s="117" t="str">
        <f>IF(A1708="","",VLOOKUP(A1708,'6.A'!$A$11:$C$564,2,FALSE))</f>
        <v/>
      </c>
      <c r="N1708" s="57" t="str">
        <f t="shared" si="738"/>
        <v/>
      </c>
      <c r="O1708" s="56"/>
      <c r="P1708" s="56"/>
      <c r="Q1708" s="48"/>
      <c r="R1708" s="48"/>
      <c r="S1708" s="2"/>
    </row>
    <row r="1709" spans="1:22" ht="12.75" customHeight="1" x14ac:dyDescent="0.2">
      <c r="A1709" s="22"/>
      <c r="B1709" s="23" t="str">
        <f>IF(A1709="","",VLOOKUP(A1709,'6.A'!$A$11:$G$180,2,FALSE))</f>
        <v/>
      </c>
      <c r="C1709" s="99"/>
      <c r="D1709" s="57" t="str">
        <f>IF(A1709="","",VLOOKUP(A1709,'6.A'!$A$11:$G$180,4,FALSE))</f>
        <v/>
      </c>
      <c r="E1709" s="100" t="str">
        <f>IF(A1709="","",VLOOKUP(A1709,'6.A'!$A$11:$G$180,5,FALSE))</f>
        <v/>
      </c>
      <c r="F1709" s="24" t="str">
        <f t="shared" si="735"/>
        <v>0,00</v>
      </c>
      <c r="G1709" s="52"/>
      <c r="H1709" s="52" t="str">
        <f>IF(A1709="","",VLOOKUP(A1709,'6.A'!$A$11:$E$7984,5,FALSE))</f>
        <v/>
      </c>
      <c r="I1709" s="52" t="str">
        <f t="shared" si="736"/>
        <v/>
      </c>
      <c r="J1709" s="52" t="str">
        <f>IF(H1709="","",VLOOKUP(A1709,'6.A'!$A$11:$E$564,4,FALSE))</f>
        <v/>
      </c>
      <c r="K1709" s="52" t="str">
        <f t="shared" si="737"/>
        <v/>
      </c>
      <c r="L1709" s="52" t="str">
        <f>IF(H1709="","",IF(C1709="","",G1676*C1709))</f>
        <v/>
      </c>
      <c r="M1709" s="117" t="str">
        <f>IF(A1709="","",VLOOKUP(A1709,'6.A'!$A$11:$C$564,2,FALSE))</f>
        <v/>
      </c>
      <c r="N1709" s="57" t="str">
        <f t="shared" si="738"/>
        <v/>
      </c>
      <c r="O1709" s="56"/>
      <c r="P1709" s="56"/>
      <c r="Q1709" s="48"/>
      <c r="R1709" s="48"/>
      <c r="S1709" s="2"/>
    </row>
    <row r="1710" spans="1:22" ht="12.75" customHeight="1" x14ac:dyDescent="0.2">
      <c r="A1710" s="22"/>
      <c r="B1710" s="23" t="str">
        <f>IF(A1710="","",VLOOKUP(A1710,'6.A'!$A$11:$G$180,2,FALSE))</f>
        <v/>
      </c>
      <c r="C1710" s="99"/>
      <c r="D1710" s="57" t="str">
        <f>IF(A1710="","",VLOOKUP(A1710,'6.A'!$A$11:$G$180,4,FALSE))</f>
        <v/>
      </c>
      <c r="E1710" s="100" t="str">
        <f>IF(A1710="","",VLOOKUP(A1710,'6.A'!$A$11:$G$180,5,FALSE))</f>
        <v/>
      </c>
      <c r="F1710" s="24" t="str">
        <f t="shared" si="735"/>
        <v>0,00</v>
      </c>
      <c r="G1710" s="52"/>
      <c r="H1710" s="52" t="str">
        <f>IF(A1710="","",VLOOKUP(A1710,'6.A'!$A$11:$E$7984,5,FALSE))</f>
        <v/>
      </c>
      <c r="I1710" s="52" t="str">
        <f t="shared" si="736"/>
        <v/>
      </c>
      <c r="J1710" s="52" t="str">
        <f>IF(H1710="","",VLOOKUP(A1710,'6.A'!$A$11:$E$564,4,FALSE))</f>
        <v/>
      </c>
      <c r="K1710" s="52" t="str">
        <f t="shared" si="737"/>
        <v/>
      </c>
      <c r="L1710" s="52" t="str">
        <f>IF(H1710="","",IF(C1710="","",G1676*C1710))</f>
        <v/>
      </c>
      <c r="M1710" s="117" t="str">
        <f>IF(A1710="","",VLOOKUP(A1710,'6.A'!$A$11:$C$564,2,FALSE))</f>
        <v/>
      </c>
      <c r="N1710" s="57" t="str">
        <f t="shared" si="738"/>
        <v/>
      </c>
      <c r="O1710" s="56"/>
      <c r="P1710" s="56"/>
      <c r="Q1710" s="48"/>
      <c r="R1710" s="48"/>
      <c r="S1710" s="2"/>
    </row>
    <row r="1711" spans="1:22" ht="12.75" customHeight="1" x14ac:dyDescent="0.2">
      <c r="A1711" s="22"/>
      <c r="B1711" s="23" t="str">
        <f>IF(A1711="","",VLOOKUP(A1711,'6.A'!$A$11:$G$180,2,FALSE))</f>
        <v/>
      </c>
      <c r="C1711" s="99"/>
      <c r="D1711" s="57" t="str">
        <f>IF(A1711="","",VLOOKUP(A1711,'6.A'!$A$11:$G$180,4,FALSE))</f>
        <v/>
      </c>
      <c r="E1711" s="100" t="str">
        <f>IF(A1711="","",VLOOKUP(A1711,'6.A'!$A$11:$G$180,5,FALSE))</f>
        <v/>
      </c>
      <c r="F1711" s="24" t="str">
        <f t="shared" si="735"/>
        <v>0,00</v>
      </c>
      <c r="G1711" s="52"/>
      <c r="H1711" s="52" t="str">
        <f>IF(A1711="","",VLOOKUP(A1711,'6.A'!$A$11:$E$7984,5,FALSE))</f>
        <v/>
      </c>
      <c r="I1711" s="52" t="str">
        <f t="shared" si="736"/>
        <v/>
      </c>
      <c r="J1711" s="52" t="str">
        <f>IF(H1711="","",VLOOKUP(A1711,'6.A'!$A$11:$E$564,4,FALSE))</f>
        <v/>
      </c>
      <c r="K1711" s="52" t="str">
        <f t="shared" si="737"/>
        <v/>
      </c>
      <c r="L1711" s="52" t="str">
        <f>IF(H1711="","",IF(C1711="","",G1676*C1711))</f>
        <v/>
      </c>
      <c r="M1711" s="117" t="str">
        <f>IF(A1711="","",VLOOKUP(A1711,'6.A'!$A$11:$C$564,2,FALSE))</f>
        <v/>
      </c>
      <c r="N1711" s="57" t="str">
        <f t="shared" si="738"/>
        <v/>
      </c>
      <c r="O1711" s="56"/>
      <c r="P1711" s="56"/>
      <c r="Q1711" s="48"/>
      <c r="R1711" s="48"/>
      <c r="S1711" s="2"/>
    </row>
    <row r="1712" spans="1:22" s="65" customFormat="1" ht="12.75" customHeight="1" x14ac:dyDescent="0.2">
      <c r="A1712" s="22"/>
      <c r="B1712" s="23" t="str">
        <f>IF(A1712="","",VLOOKUP(A1712,'6.A'!$A$11:$G$180,2,FALSE))</f>
        <v/>
      </c>
      <c r="C1712" s="99"/>
      <c r="D1712" s="57" t="str">
        <f>IF(A1712="","",VLOOKUP(A1712,'6.A'!$A$11:$G$180,4,FALSE))</f>
        <v/>
      </c>
      <c r="E1712" s="100" t="str">
        <f>IF(A1712="","",VLOOKUP(A1712,'6.A'!$A$11:$G$180,5,FALSE))</f>
        <v/>
      </c>
      <c r="F1712" s="24" t="str">
        <f t="shared" si="735"/>
        <v>0,00</v>
      </c>
      <c r="G1712" s="52"/>
      <c r="H1712" s="52" t="str">
        <f>IF(A1712="","",VLOOKUP(A1712,'6.A'!$A$11:$E$7984,5,FALSE))</f>
        <v/>
      </c>
      <c r="I1712" s="52" t="str">
        <f t="shared" si="736"/>
        <v/>
      </c>
      <c r="J1712" s="52" t="str">
        <f>IF(H1712="","",VLOOKUP(A1712,'6.A'!$A$11:$E$564,4,FALSE))</f>
        <v/>
      </c>
      <c r="K1712" s="52" t="str">
        <f t="shared" si="737"/>
        <v/>
      </c>
      <c r="L1712" s="52" t="str">
        <f>IF(H1712="","",IF(C1712="","",G1676*C1712))</f>
        <v/>
      </c>
      <c r="M1712" s="117" t="str">
        <f>IF(A1712="","",VLOOKUP(A1712,'6.A'!$A$11:$C$564,2,FALSE))</f>
        <v/>
      </c>
      <c r="N1712" s="57" t="str">
        <f t="shared" si="738"/>
        <v/>
      </c>
      <c r="O1712" s="56"/>
      <c r="P1712" s="56"/>
      <c r="Q1712" s="48"/>
      <c r="R1712" s="48"/>
      <c r="T1712" s="2"/>
      <c r="U1712" s="2"/>
      <c r="V1712" s="2"/>
    </row>
    <row r="1713" spans="1:23" s="65" customFormat="1" ht="12.75" customHeight="1" x14ac:dyDescent="0.2">
      <c r="A1713" s="22"/>
      <c r="B1713" s="23" t="str">
        <f>IF(A1713="","",VLOOKUP(A1713,'6.A'!$A$11:$G$180,2,FALSE))</f>
        <v/>
      </c>
      <c r="C1713" s="99"/>
      <c r="D1713" s="57" t="str">
        <f>IF(A1713="","",VLOOKUP(A1713,'6.A'!$A$11:$G$180,4,FALSE))</f>
        <v/>
      </c>
      <c r="E1713" s="100" t="str">
        <f>IF(A1713="","",VLOOKUP(A1713,'6.A'!$A$11:$G$180,5,FALSE))</f>
        <v/>
      </c>
      <c r="F1713" s="24" t="str">
        <f t="shared" si="735"/>
        <v>0,00</v>
      </c>
      <c r="G1713" s="52"/>
      <c r="H1713" s="52" t="str">
        <f>IF(A1713="","",VLOOKUP(A1713,'6.A'!$A$11:$E$7984,5,FALSE))</f>
        <v/>
      </c>
      <c r="I1713" s="52" t="str">
        <f t="shared" si="736"/>
        <v/>
      </c>
      <c r="J1713" s="52" t="str">
        <f>IF(H1713="","",VLOOKUP(A1713,'6.A'!$A$11:$E$564,4,FALSE))</f>
        <v/>
      </c>
      <c r="K1713" s="52" t="str">
        <f t="shared" si="737"/>
        <v/>
      </c>
      <c r="L1713" s="52" t="str">
        <f>IF(H1713="","",IF(C1713="","",G1676*C1713))</f>
        <v/>
      </c>
      <c r="M1713" s="117" t="str">
        <f>IF(A1713="","",VLOOKUP(A1713,'6.A'!$A$11:$C$564,2,FALSE))</f>
        <v/>
      </c>
      <c r="N1713" s="57" t="str">
        <f t="shared" si="738"/>
        <v/>
      </c>
      <c r="O1713" s="56"/>
      <c r="P1713" s="56"/>
      <c r="Q1713" s="48"/>
      <c r="R1713" s="48"/>
      <c r="T1713" s="2"/>
      <c r="U1713" s="2"/>
      <c r="V1713" s="2"/>
    </row>
    <row r="1714" spans="1:23" s="65" customFormat="1" ht="12.75" customHeight="1" x14ac:dyDescent="0.2">
      <c r="A1714" s="22"/>
      <c r="B1714" s="23" t="str">
        <f>IF(A1714="","",VLOOKUP(A1714,'6.A'!$A$11:$G$180,2,FALSE))</f>
        <v/>
      </c>
      <c r="C1714" s="99"/>
      <c r="D1714" s="57" t="str">
        <f>IF(A1714="","",VLOOKUP(A1714,'6.A'!$A$11:$G$180,4,FALSE))</f>
        <v/>
      </c>
      <c r="E1714" s="100" t="str">
        <f>IF(A1714="","",VLOOKUP(A1714,'6.A'!$A$11:$G$180,5,FALSE))</f>
        <v/>
      </c>
      <c r="F1714" s="24" t="str">
        <f t="shared" si="735"/>
        <v>0,00</v>
      </c>
      <c r="G1714" s="52"/>
      <c r="H1714" s="52" t="str">
        <f>IF(A1714="","",VLOOKUP(A1714,'6.A'!$A$11:$E$7984,5,FALSE))</f>
        <v/>
      </c>
      <c r="I1714" s="52" t="str">
        <f t="shared" si="736"/>
        <v/>
      </c>
      <c r="J1714" s="52" t="str">
        <f>IF(H1714="","",VLOOKUP(A1714,'6.A'!$A$11:$E$564,4,FALSE))</f>
        <v/>
      </c>
      <c r="K1714" s="52" t="str">
        <f t="shared" si="737"/>
        <v/>
      </c>
      <c r="L1714" s="52" t="str">
        <f>IF(H1714="","",IF(C1714="","",G1676*C1714))</f>
        <v/>
      </c>
      <c r="M1714" s="117" t="str">
        <f>IF(A1714="","",VLOOKUP(A1714,'6.A'!$A$11:$C$564,2,FALSE))</f>
        <v/>
      </c>
      <c r="N1714" s="57" t="str">
        <f t="shared" si="738"/>
        <v/>
      </c>
      <c r="O1714" s="56"/>
      <c r="P1714" s="56"/>
      <c r="Q1714" s="48"/>
      <c r="R1714" s="48"/>
      <c r="T1714" s="2"/>
      <c r="U1714" s="2"/>
      <c r="V1714" s="2"/>
    </row>
    <row r="1715" spans="1:23" s="65" customFormat="1" ht="12.75" customHeight="1" x14ac:dyDescent="0.2">
      <c r="A1715" s="22"/>
      <c r="B1715" s="23" t="str">
        <f>IF(A1715="","",VLOOKUP(A1715,'6.A'!$A$11:$G$180,2,FALSE))</f>
        <v/>
      </c>
      <c r="C1715" s="99"/>
      <c r="D1715" s="57" t="str">
        <f>IF(A1715="","",VLOOKUP(A1715,'6.A'!$A$11:$G$180,4,FALSE))</f>
        <v/>
      </c>
      <c r="E1715" s="100" t="str">
        <f>IF(A1715="","",VLOOKUP(A1715,'6.A'!$A$11:$G$180,5,FALSE))</f>
        <v/>
      </c>
      <c r="F1715" s="24" t="str">
        <f t="shared" si="735"/>
        <v>0,00</v>
      </c>
      <c r="G1715" s="52"/>
      <c r="H1715" s="52" t="str">
        <f>IF(A1715="","",VLOOKUP(A1715,'6.A'!$A$11:$E$7984,5,FALSE))</f>
        <v/>
      </c>
      <c r="I1715" s="52" t="str">
        <f t="shared" si="736"/>
        <v/>
      </c>
      <c r="J1715" s="52" t="str">
        <f>IF(H1715="","",VLOOKUP(A1715,'6.A'!$A$11:$E$564,4,FALSE))</f>
        <v/>
      </c>
      <c r="K1715" s="52" t="str">
        <f t="shared" si="737"/>
        <v/>
      </c>
      <c r="L1715" s="52" t="str">
        <f>IF(H1715="","",IF(C1715="","",G1676*C1715))</f>
        <v/>
      </c>
      <c r="M1715" s="117" t="str">
        <f>IF(A1715="","",VLOOKUP(A1715,'6.A'!$A$11:$C$564,2,FALSE))</f>
        <v/>
      </c>
      <c r="N1715" s="57" t="str">
        <f t="shared" si="738"/>
        <v/>
      </c>
      <c r="O1715" s="56"/>
      <c r="P1715" s="56"/>
      <c r="Q1715" s="48"/>
      <c r="R1715" s="48"/>
      <c r="T1715" s="2"/>
      <c r="U1715" s="2"/>
      <c r="V1715" s="2"/>
    </row>
    <row r="1716" spans="1:23" ht="12.75" customHeight="1" x14ac:dyDescent="0.2">
      <c r="A1716" s="22"/>
      <c r="B1716" s="23" t="str">
        <f>IF(A1716="","",VLOOKUP(A1716,'6.A'!$A$11:$G$180,2,FALSE))</f>
        <v/>
      </c>
      <c r="C1716" s="99"/>
      <c r="D1716" s="57" t="str">
        <f>IF(A1716="","",VLOOKUP(A1716,'6.A'!$A$11:$G$180,4,FALSE))</f>
        <v/>
      </c>
      <c r="E1716" s="100" t="str">
        <f>IF(A1716="","",VLOOKUP(A1716,'6.A'!$A$11:$G$180,5,FALSE))</f>
        <v/>
      </c>
      <c r="F1716" s="24" t="str">
        <f t="shared" si="735"/>
        <v>0,00</v>
      </c>
      <c r="G1716" s="52"/>
      <c r="H1716" s="52" t="str">
        <f>IF(A1716="","",VLOOKUP(A1716,'6.A'!$A$11:$E$7984,5,FALSE))</f>
        <v/>
      </c>
      <c r="I1716" s="52" t="str">
        <f t="shared" si="736"/>
        <v/>
      </c>
      <c r="J1716" s="52" t="str">
        <f>IF(H1716="","",VLOOKUP(A1716,'6.A'!$A$11:$E$564,4,FALSE))</f>
        <v/>
      </c>
      <c r="K1716" s="52" t="str">
        <f t="shared" si="737"/>
        <v/>
      </c>
      <c r="L1716" s="52" t="str">
        <f>IF(H1716="","",IF(C1716="","",G1676*C1716))</f>
        <v/>
      </c>
      <c r="M1716" s="117" t="str">
        <f>IF(A1716="","",VLOOKUP(A1716,'6.A'!$A$11:$C$564,2,FALSE))</f>
        <v/>
      </c>
      <c r="N1716" s="57" t="str">
        <f t="shared" si="738"/>
        <v/>
      </c>
      <c r="O1716" s="56"/>
      <c r="P1716" s="56"/>
      <c r="Q1716" s="48"/>
      <c r="R1716" s="48"/>
    </row>
    <row r="1717" spans="1:23" ht="12.75" customHeight="1" x14ac:dyDescent="0.2">
      <c r="A1717" s="22"/>
      <c r="B1717" s="23" t="str">
        <f>IF(A1717="","",VLOOKUP(A1717,'6.A'!$A$11:$G$180,2,FALSE))</f>
        <v/>
      </c>
      <c r="C1717" s="99"/>
      <c r="D1717" s="57" t="str">
        <f>IF(A1717="","",VLOOKUP(A1717,'6.A'!$A$11:$G$180,4,FALSE))</f>
        <v/>
      </c>
      <c r="E1717" s="100" t="str">
        <f>IF(A1717="","",VLOOKUP(A1717,'6.A'!$A$11:$G$180,5,FALSE))</f>
        <v/>
      </c>
      <c r="F1717" s="24" t="str">
        <f t="shared" si="735"/>
        <v>0,00</v>
      </c>
      <c r="G1717" s="52"/>
      <c r="H1717" s="52" t="str">
        <f>IF(A1717="","",VLOOKUP(A1717,'6.A'!$A$11:$E$7984,5,FALSE))</f>
        <v/>
      </c>
      <c r="I1717" s="52" t="str">
        <f t="shared" si="736"/>
        <v/>
      </c>
      <c r="J1717" s="52" t="str">
        <f>IF(H1717="","",VLOOKUP(A1717,'6.A'!$A$11:$E$564,4,FALSE))</f>
        <v/>
      </c>
      <c r="K1717" s="52" t="str">
        <f t="shared" si="737"/>
        <v/>
      </c>
      <c r="L1717" s="52" t="str">
        <f>IF(H1717="","",IF(C1717="","",G1676*C1717))</f>
        <v/>
      </c>
      <c r="M1717" s="117" t="str">
        <f>IF(A1717="","",VLOOKUP(A1717,'6.A'!$A$11:$C$564,2,FALSE))</f>
        <v/>
      </c>
      <c r="N1717" s="57" t="str">
        <f t="shared" si="738"/>
        <v/>
      </c>
      <c r="O1717" s="56"/>
      <c r="P1717" s="56"/>
      <c r="Q1717" s="48"/>
      <c r="R1717" s="48"/>
    </row>
    <row r="1718" spans="1:23" ht="12.75" customHeight="1" x14ac:dyDescent="0.2">
      <c r="A1718" s="22"/>
      <c r="B1718" s="23" t="str">
        <f>IF(A1718="","",VLOOKUP(A1718,'6.A'!$A$11:$G$180,2,FALSE))</f>
        <v/>
      </c>
      <c r="C1718" s="99"/>
      <c r="D1718" s="57" t="str">
        <f>IF(A1718="","",VLOOKUP(A1718,'6.A'!$A$11:$G$180,4,FALSE))</f>
        <v/>
      </c>
      <c r="E1718" s="100" t="str">
        <f>IF(A1718="","",VLOOKUP(A1718,'6.A'!$A$11:$G$180,5,FALSE))</f>
        <v/>
      </c>
      <c r="F1718" s="24" t="str">
        <f t="shared" si="735"/>
        <v>0,00</v>
      </c>
      <c r="G1718" s="52"/>
      <c r="H1718" s="52" t="str">
        <f>IF(A1718="","",VLOOKUP(A1718,'6.A'!$A$11:$E$7984,5,FALSE))</f>
        <v/>
      </c>
      <c r="I1718" s="52" t="str">
        <f t="shared" si="736"/>
        <v/>
      </c>
      <c r="J1718" s="52" t="str">
        <f>IF(H1718="","",VLOOKUP(A1718,'6.A'!$A$11:$E$564,4,FALSE))</f>
        <v/>
      </c>
      <c r="K1718" s="52" t="str">
        <f t="shared" si="737"/>
        <v/>
      </c>
      <c r="L1718" s="52" t="str">
        <f>IF(H1718="","",IF(C1718="","",G1676*C1718))</f>
        <v/>
      </c>
      <c r="M1718" s="117" t="str">
        <f>IF(A1718="","",VLOOKUP(A1718,'6.A'!$A$11:$C$564,2,FALSE))</f>
        <v/>
      </c>
      <c r="N1718" s="57" t="str">
        <f t="shared" si="738"/>
        <v/>
      </c>
      <c r="O1718" s="56"/>
      <c r="P1718" s="56"/>
      <c r="Q1718" s="48"/>
      <c r="R1718" s="48"/>
    </row>
    <row r="1719" spans="1:23" ht="12.75" customHeight="1" x14ac:dyDescent="0.2">
      <c r="A1719" s="22"/>
      <c r="B1719" s="23" t="str">
        <f>IF(A1719="","",VLOOKUP(A1719,'6.A'!$A$11:$G$180,2,FALSE))</f>
        <v/>
      </c>
      <c r="C1719" s="99"/>
      <c r="D1719" s="57" t="str">
        <f>IF(A1719="","",VLOOKUP(A1719,'6.A'!$A$11:$G$180,4,FALSE))</f>
        <v/>
      </c>
      <c r="E1719" s="100" t="str">
        <f>IF(A1719="","",VLOOKUP(A1719,'6.A'!$A$11:$G$180,5,FALSE))</f>
        <v/>
      </c>
      <c r="F1719" s="24" t="str">
        <f t="shared" si="735"/>
        <v>0,00</v>
      </c>
      <c r="G1719" s="52"/>
      <c r="H1719" s="52" t="str">
        <f>IF(A1719="","",VLOOKUP(A1719,'6.A'!$A$11:$E$7984,5,FALSE))</f>
        <v/>
      </c>
      <c r="I1719" s="52" t="str">
        <f t="shared" si="736"/>
        <v/>
      </c>
      <c r="J1719" s="52" t="str">
        <f>IF(H1719="","",VLOOKUP(A1719,'6.A'!$A$11:$E$564,4,FALSE))</f>
        <v/>
      </c>
      <c r="K1719" s="52" t="str">
        <f t="shared" si="737"/>
        <v/>
      </c>
      <c r="L1719" s="52" t="str">
        <f>IF(H1719="","",IF(C1719="","",G1676*C1719))</f>
        <v/>
      </c>
      <c r="M1719" s="117" t="str">
        <f>IF(A1719="","",VLOOKUP(A1719,'6.A'!$A$11:$C$564,2,FALSE))</f>
        <v/>
      </c>
      <c r="N1719" s="57" t="str">
        <f t="shared" si="738"/>
        <v/>
      </c>
      <c r="O1719" s="56"/>
      <c r="P1719" s="56"/>
      <c r="Q1719" s="48"/>
      <c r="R1719" s="48"/>
    </row>
    <row r="1720" spans="1:23" ht="12.75" customHeight="1" x14ac:dyDescent="0.2">
      <c r="A1720" s="22"/>
      <c r="B1720" s="23" t="str">
        <f>IF(A1720="","",VLOOKUP(A1720,'6.A'!$A$11:$G$180,2,FALSE))</f>
        <v/>
      </c>
      <c r="C1720" s="99"/>
      <c r="D1720" s="57" t="str">
        <f>IF(A1720="","",VLOOKUP(A1720,'6.A'!$A$11:$G$180,4,FALSE))</f>
        <v/>
      </c>
      <c r="E1720" s="100" t="str">
        <f>IF(A1720="","",VLOOKUP(A1720,'6.A'!$A$11:$G$180,5,FALSE))</f>
        <v/>
      </c>
      <c r="F1720" s="24" t="str">
        <f t="shared" si="735"/>
        <v>0,00</v>
      </c>
      <c r="G1720" s="52"/>
      <c r="H1720" s="52" t="str">
        <f>IF(A1720="","",VLOOKUP(A1720,'6.A'!$A$11:$E$7984,5,FALSE))</f>
        <v/>
      </c>
      <c r="I1720" s="52" t="str">
        <f t="shared" si="736"/>
        <v/>
      </c>
      <c r="J1720" s="52" t="str">
        <f>IF(H1720="","",VLOOKUP(A1720,'6.A'!$A$11:$E$564,4,FALSE))</f>
        <v/>
      </c>
      <c r="K1720" s="52" t="str">
        <f t="shared" si="737"/>
        <v/>
      </c>
      <c r="L1720" s="52" t="str">
        <f>IF(H1720="","",IF(C1720="","",G1676*C1720))</f>
        <v/>
      </c>
      <c r="M1720" s="117" t="str">
        <f>IF(A1720="","",VLOOKUP(A1720,'6.A'!$A$11:$C$564,2,FALSE))</f>
        <v/>
      </c>
      <c r="N1720" s="57" t="str">
        <f t="shared" si="738"/>
        <v/>
      </c>
      <c r="O1720" s="56"/>
      <c r="P1720" s="56"/>
      <c r="Q1720" s="48"/>
      <c r="R1720" s="48"/>
    </row>
    <row r="1721" spans="1:23" ht="12.75" customHeight="1" x14ac:dyDescent="0.2">
      <c r="A1721" s="22"/>
      <c r="B1721" s="23" t="str">
        <f>IF(A1721="","",VLOOKUP(A1721,'6.A'!$A$11:$G$180,2,FALSE))</f>
        <v/>
      </c>
      <c r="C1721" s="99"/>
      <c r="D1721" s="57" t="str">
        <f>IF(A1721="","",VLOOKUP(A1721,'6.A'!$A$11:$G$180,4,FALSE))</f>
        <v/>
      </c>
      <c r="E1721" s="100" t="str">
        <f>IF(A1721="","",VLOOKUP(A1721,'6.A'!$A$11:$G$180,5,FALSE))</f>
        <v/>
      </c>
      <c r="F1721" s="24" t="str">
        <f t="shared" si="735"/>
        <v>0,00</v>
      </c>
      <c r="G1721" s="52"/>
      <c r="H1721" s="52" t="str">
        <f>IF(A1721="","",VLOOKUP(A1721,'6.A'!$A$11:$E$7984,5,FALSE))</f>
        <v/>
      </c>
      <c r="I1721" s="52" t="str">
        <f t="shared" si="736"/>
        <v/>
      </c>
      <c r="J1721" s="52" t="str">
        <f>IF(H1721="","",VLOOKUP(A1721,'6.A'!$A$11:$E$564,4,FALSE))</f>
        <v/>
      </c>
      <c r="K1721" s="52" t="str">
        <f t="shared" si="737"/>
        <v/>
      </c>
      <c r="L1721" s="52" t="str">
        <f>IF(H1721="","",IF(C1721="","",G1676*C1721))</f>
        <v/>
      </c>
      <c r="M1721" s="117" t="str">
        <f>IF(A1721="","",VLOOKUP(A1721,'6.A'!$A$11:$C$564,2,FALSE))</f>
        <v/>
      </c>
      <c r="N1721" s="57" t="str">
        <f t="shared" si="738"/>
        <v/>
      </c>
      <c r="O1721" s="56"/>
      <c r="P1721" s="56"/>
      <c r="Q1721" s="48"/>
      <c r="R1721" s="48"/>
    </row>
    <row r="1722" spans="1:23" ht="12.75" customHeight="1" x14ac:dyDescent="0.2">
      <c r="A1722" s="22"/>
      <c r="B1722" s="39" t="str">
        <f>IF(A1722="","",VLOOKUP(A1722,'6.A'!$A$11:$G$180,2,FALSE))</f>
        <v/>
      </c>
      <c r="C1722" s="99"/>
      <c r="D1722" s="57" t="str">
        <f>IF(A1722="","",VLOOKUP(A1722,'6.A'!$A$11:$G$180,4,FALSE))</f>
        <v/>
      </c>
      <c r="E1722" s="100" t="str">
        <f>IF(A1722="","",VLOOKUP(A1722,'6.A'!$A$11:$G$180,5,FALSE))</f>
        <v/>
      </c>
      <c r="F1722" s="24" t="str">
        <f t="shared" si="735"/>
        <v>0,00</v>
      </c>
      <c r="G1722" s="52"/>
      <c r="H1722" s="52" t="str">
        <f>IF(A1722="","",VLOOKUP(A1722,'6.A'!$A$11:$E$7984,5,FALSE))</f>
        <v/>
      </c>
      <c r="I1722" s="52" t="str">
        <f t="shared" si="736"/>
        <v/>
      </c>
      <c r="J1722" s="52" t="str">
        <f>IF(H1722="","",VLOOKUP(A1722,'6.A'!$A$11:$E$564,4,FALSE))</f>
        <v/>
      </c>
      <c r="K1722" s="52" t="str">
        <f t="shared" si="737"/>
        <v/>
      </c>
      <c r="L1722" s="52" t="str">
        <f>IF(H1722="","",IF(C1722="","",G1676*C1722))</f>
        <v/>
      </c>
      <c r="M1722" s="117" t="str">
        <f>IF(A1722="","",VLOOKUP(A1722,'6.A'!$A$11:$C$564,2,FALSE))</f>
        <v/>
      </c>
      <c r="N1722" s="57" t="str">
        <f t="shared" si="738"/>
        <v/>
      </c>
      <c r="O1722" s="56"/>
      <c r="P1722" s="56"/>
      <c r="Q1722" s="48"/>
      <c r="R1722" s="48"/>
    </row>
    <row r="1723" spans="1:23" ht="12.75" customHeight="1" x14ac:dyDescent="0.2">
      <c r="A1723" s="22"/>
      <c r="B1723" s="39" t="str">
        <f>IF(A1723="","",VLOOKUP(A1723,'6.A'!$A$11:$G$180,2,FALSE))</f>
        <v/>
      </c>
      <c r="C1723" s="99"/>
      <c r="D1723" s="57" t="str">
        <f>IF(A1723="","",VLOOKUP(A1723,'6.A'!$A$11:$G$180,4,FALSE))</f>
        <v/>
      </c>
      <c r="E1723" s="100" t="str">
        <f>IF(A1723="","",VLOOKUP(A1723,'6.A'!$A$11:$G$180,5,FALSE))</f>
        <v/>
      </c>
      <c r="F1723" s="24" t="str">
        <f t="shared" si="735"/>
        <v>0,00</v>
      </c>
      <c r="G1723" s="52"/>
      <c r="H1723" s="52" t="str">
        <f>IF(A1723="","",VLOOKUP(A1723,'6.A'!$A$11:$E$7984,5,FALSE))</f>
        <v/>
      </c>
      <c r="I1723" s="52" t="str">
        <f t="shared" si="736"/>
        <v/>
      </c>
      <c r="J1723" s="52" t="str">
        <f>IF(H1723="","",VLOOKUP(A1723,'6.A'!$A$11:$E$564,4,FALSE))</f>
        <v/>
      </c>
      <c r="K1723" s="52" t="str">
        <f t="shared" si="737"/>
        <v/>
      </c>
      <c r="L1723" s="52" t="str">
        <f>IF(H1723="","",IF(C1723="","",G1676*C1723))</f>
        <v/>
      </c>
      <c r="M1723" s="117" t="str">
        <f>IF(A1723="","",VLOOKUP(A1723,'6.A'!$A$11:$C$564,2,FALSE))</f>
        <v/>
      </c>
      <c r="N1723" s="57" t="str">
        <f t="shared" si="738"/>
        <v/>
      </c>
      <c r="O1723" s="56"/>
      <c r="P1723" s="56"/>
      <c r="Q1723" s="48"/>
      <c r="R1723" s="48"/>
    </row>
    <row r="1724" spans="1:23" ht="12.75" customHeight="1" x14ac:dyDescent="0.2">
      <c r="A1724" s="22"/>
      <c r="B1724" s="39" t="str">
        <f>IF(A1724="","",VLOOKUP(A1724,'6.A'!$A$11:$G$180,2,FALSE))</f>
        <v/>
      </c>
      <c r="C1724" s="99"/>
      <c r="D1724" s="57" t="str">
        <f>IF(A1724="","",VLOOKUP(A1724,'6.A'!$A$11:$G$180,4,FALSE))</f>
        <v/>
      </c>
      <c r="E1724" s="100" t="str">
        <f>IF(A1724="","",VLOOKUP(A1724,'6.A'!$A$11:$G$180,5,FALSE))</f>
        <v/>
      </c>
      <c r="F1724" s="24" t="str">
        <f t="shared" si="735"/>
        <v>0,00</v>
      </c>
      <c r="G1724" s="52"/>
      <c r="H1724" s="52" t="str">
        <f>IF(A1724="","",VLOOKUP(A1724,'6.A'!$A$11:$E$7984,5,FALSE))</f>
        <v/>
      </c>
      <c r="I1724" s="52" t="str">
        <f t="shared" si="736"/>
        <v/>
      </c>
      <c r="J1724" s="52" t="str">
        <f>IF(H1724="","",VLOOKUP(A1724,'6.A'!$A$11:$E$564,4,FALSE))</f>
        <v/>
      </c>
      <c r="K1724" s="52" t="str">
        <f t="shared" si="737"/>
        <v/>
      </c>
      <c r="L1724" s="52" t="str">
        <f>IF(H1724="","",IF(C1724="","",G1676*C1724))</f>
        <v/>
      </c>
      <c r="M1724" s="117" t="str">
        <f>IF(A1724="","",VLOOKUP(A1724,'6.A'!$A$11:$C$564,2,FALSE))</f>
        <v/>
      </c>
      <c r="N1724" s="57" t="str">
        <f t="shared" si="738"/>
        <v/>
      </c>
      <c r="O1724" s="56"/>
      <c r="P1724" s="56"/>
      <c r="Q1724" s="48"/>
      <c r="R1724" s="48"/>
    </row>
    <row r="1725" spans="1:23" ht="12.75" customHeight="1" x14ac:dyDescent="0.2">
      <c r="A1725" s="22"/>
      <c r="B1725" s="26" t="str">
        <f>$A$9</f>
        <v>BDI</v>
      </c>
      <c r="C1725" s="40">
        <f>$C$9</f>
        <v>0</v>
      </c>
      <c r="D1725" s="57"/>
      <c r="F1725" s="28">
        <f>ROUND(SUM(F1705:F1724)*C1725,2)</f>
        <v>0</v>
      </c>
      <c r="G1725" s="63"/>
      <c r="M1725" s="57"/>
      <c r="N1725" s="57"/>
      <c r="O1725" s="56"/>
      <c r="P1725" s="56"/>
      <c r="Q1725" s="48"/>
      <c r="R1725" s="48"/>
    </row>
    <row r="1726" spans="1:23" ht="12.75" customHeight="1" thickBot="1" x14ac:dyDescent="0.25">
      <c r="A1726" s="41"/>
      <c r="B1726" s="42" t="s">
        <v>57</v>
      </c>
      <c r="C1726" s="43"/>
      <c r="D1726" s="44"/>
      <c r="E1726" s="45"/>
      <c r="F1726" s="46">
        <f>ROUND(SUM(F1705:F1725),2)</f>
        <v>0</v>
      </c>
      <c r="G1726" s="63"/>
      <c r="M1726" s="57"/>
      <c r="N1726" s="57"/>
      <c r="O1726" s="56"/>
      <c r="P1726" s="56"/>
      <c r="Q1726" s="48"/>
      <c r="R1726" s="48"/>
    </row>
    <row r="1727" spans="1:23" ht="12" customHeight="1" thickBot="1" x14ac:dyDescent="0.25">
      <c r="A1727" s="8"/>
      <c r="B1727" s="9"/>
      <c r="C1727" s="10"/>
      <c r="D1727" s="57"/>
      <c r="F1727" s="12"/>
      <c r="M1727" s="57"/>
      <c r="N1727" s="57"/>
      <c r="O1727" s="56"/>
      <c r="P1727" s="56"/>
    </row>
    <row r="1728" spans="1:23" ht="50.1" customHeight="1" x14ac:dyDescent="0.2">
      <c r="A1728" s="13" t="str">
        <f>'3.A'!$A$217</f>
        <v>3.2.9</v>
      </c>
      <c r="B1728" s="14" t="str">
        <f>IF(A1728="","",VLOOKUP(A1728,'3.A'!$A$17:$M$279,2,FALSE))</f>
        <v>CABO DE COBRE FLEXÍVEL ISOLADO, 95 MM², ANTI-CHAMA 0,6/1,0 KV, PARA REDE ENTERRADA DE ENERGIA ELÉTRICA - FASES</v>
      </c>
      <c r="C1728" s="413" t="s">
        <v>62</v>
      </c>
      <c r="D1728" s="413"/>
      <c r="E1728" s="15" t="str">
        <f>IF(A1728="","",VLOOKUP(A1728,'3.A'!$A$17:$M$279,3,FALSE))</f>
        <v>M</v>
      </c>
      <c r="F1728" s="16">
        <f>ROUND(F1742+F1755+F1778,2)</f>
        <v>0</v>
      </c>
      <c r="G1728" s="118">
        <f>VLOOKUP(A1728,'3.A'!$A$19:$I$279,4,FALSE)</f>
        <v>150</v>
      </c>
      <c r="H1728" s="47">
        <f>SUM(F1730:F1741)</f>
        <v>0</v>
      </c>
      <c r="I1728" s="47">
        <f>SUM(F1744:F1754)</f>
        <v>0</v>
      </c>
      <c r="J1728" s="47">
        <f>SUM(F1757:F1777)</f>
        <v>0</v>
      </c>
      <c r="K1728" s="47">
        <f>SUM(H1728:J1728)</f>
        <v>0</v>
      </c>
      <c r="L1728" s="47" t="str">
        <f>IF(K1728=F1728,"SIM","NÃO")</f>
        <v>SIM</v>
      </c>
      <c r="M1728" s="58">
        <f>ROUND(SUM(F1730:F1739)*C1740,2)+ROUND(SUM(F1730:F1740)*C1741,2)+ROUND(SUM(F1730:F1739),2)+ROUND(SUM(F1744:F1753)*C1754,2)+ROUND(SUM(F1744:F1753),2)+ROUND(SUM(F1757:F1776)*C1777,2)+ROUND(SUM(F1757:F1776),2)</f>
        <v>0</v>
      </c>
      <c r="N1728" s="50" t="str">
        <f>IF(M1728=F1728,"SIM","NÃO")</f>
        <v>SIM</v>
      </c>
      <c r="O1728" s="51" t="str">
        <f>VLOOKUP(A1728,'3.A'!$A$8:$E$279,3,FALSE)</f>
        <v>M</v>
      </c>
      <c r="P1728" s="51" t="str">
        <f>IF(O1728=E1728,"SIM","NÃO")</f>
        <v>SIM</v>
      </c>
      <c r="Q1728" s="53">
        <f>ROUND(G1728*F1742,2)+ROUND(G1728*F1755,2)+ROUND(G1728*F1778,2)</f>
        <v>0</v>
      </c>
      <c r="R1728" s="59">
        <f>VLOOKUP(A1728,'3.A'!$A$17:$L$279,12,FALSE)</f>
        <v>0</v>
      </c>
      <c r="S1728" s="60" t="str">
        <f>IF(Q1728=R1728,"si","no")</f>
        <v>si</v>
      </c>
      <c r="T1728" s="61">
        <f>SUM(L1730:L1739)+SUM(L1744:L1753)+SUM(L1757:L1776)</f>
        <v>190.43999999999997</v>
      </c>
      <c r="U1728" s="52">
        <f>G1728*C1736+G1728*C1738+G1728*C1731+G1728*C1732+G1728*C1734+G1728*C1737+G1728*C1735+G1728*C1730+G1728*C1733+G1728*C1739+G1728*C1750+G1728*C1744+G1728*C1752+G1728*C1751+G1728*C1749+G1728*C1746+G1728*C1745+G1728*C1747+G1728*C1753+G1728*C1748+G1728*C1757+G1728*C1758+G1728*C1759+G1728*C1767+G1728*C1768+G1728*C1769+G1728*C1770+G1728*C1771+G1728*C1772+G1728*C1773+G1728*C1774+G1728*C1775+G1728*C1776+G1728*C1765+G1728*C1766+G1728*C1760+G1728*C1761+G1728*C1762+G1728*C1763+G1728*C1764</f>
        <v>190.43999999999997</v>
      </c>
      <c r="V1728" s="54" t="str">
        <f>IF(T1728=U1728,"si","no")</f>
        <v>si</v>
      </c>
      <c r="W1728" s="137"/>
    </row>
    <row r="1729" spans="1:19" ht="12.75" customHeight="1" x14ac:dyDescent="0.2">
      <c r="A1729" s="17" t="s">
        <v>3</v>
      </c>
      <c r="B1729" s="18" t="s">
        <v>58</v>
      </c>
      <c r="C1729" s="56" t="s">
        <v>59</v>
      </c>
      <c r="D1729" s="56" t="s">
        <v>16</v>
      </c>
      <c r="E1729" s="19" t="s">
        <v>60</v>
      </c>
      <c r="F1729" s="20" t="s">
        <v>61</v>
      </c>
      <c r="G1729" s="21"/>
      <c r="M1729" s="57"/>
      <c r="N1729" s="57"/>
      <c r="O1729" s="56"/>
      <c r="P1729" s="56"/>
      <c r="Q1729" s="48"/>
      <c r="R1729" s="48"/>
    </row>
    <row r="1730" spans="1:19" ht="12.75" customHeight="1" x14ac:dyDescent="0.2">
      <c r="A1730" s="22">
        <f>'6.A'!$A$15</f>
        <v>88247</v>
      </c>
      <c r="B1730" s="23" t="str">
        <f>IF(A1730="","",VLOOKUP(A1730,'6.A'!$A$11:$G$180,2,FALSE))</f>
        <v>AUXILIAR DE ELETRICISTA COM ENCARGOS COMPLEMENTARES</v>
      </c>
      <c r="C1730" s="99">
        <v>0.12280000000000001</v>
      </c>
      <c r="D1730" s="57" t="str">
        <f>IF(A1730="","",VLOOKUP(A1730,'6.A'!$A$11:$G$180,4,FALSE))</f>
        <v>H</v>
      </c>
      <c r="E1730" s="100">
        <f>IF(A1730="","",VLOOKUP(A1730,'6.A'!$A$11:$G$180,5,FALSE))</f>
        <v>0</v>
      </c>
      <c r="F1730" s="24">
        <f t="shared" ref="F1730:F1739" si="739">IF(A1730="","0,00",ROUND(C1730*E1730,2))</f>
        <v>0</v>
      </c>
      <c r="G1730" s="52"/>
      <c r="H1730" s="52">
        <f>IF(A1730="","",VLOOKUP(A1730,'6.A'!$A$11:$E$7984,5,FALSE))</f>
        <v>0</v>
      </c>
      <c r="I1730" s="52" t="str">
        <f>IF(H1730="","",IF(E1730=H1730,"SIM","NÃO"))</f>
        <v>SIM</v>
      </c>
      <c r="J1730" s="52" t="str">
        <f>IF(H1730="","",VLOOKUP(A1730,'6.A'!$A$11:$E$564,4,FALSE))</f>
        <v>H</v>
      </c>
      <c r="K1730" s="52" t="str">
        <f>IF(H1730="","",IF(J1730=D1730,"SIM","NÃO"))</f>
        <v>SIM</v>
      </c>
      <c r="L1730" s="52">
        <f>IF(H1730="","",IF(C1730="","",G1728*C1730))</f>
        <v>18.420000000000002</v>
      </c>
      <c r="M1730" s="117" t="str">
        <f>IF(A1730="","",VLOOKUP(A1730,'6.A'!$A$11:$C$564,2,FALSE))</f>
        <v>AUXILIAR DE ELETRICISTA COM ENCARGOS COMPLEMENTARES</v>
      </c>
      <c r="N1730" s="57" t="str">
        <f>IF(A1730="","",IF(M1730=B1730,"si","no"))</f>
        <v>si</v>
      </c>
      <c r="O1730" s="56"/>
      <c r="P1730" s="56"/>
      <c r="Q1730" s="48"/>
      <c r="R1730" s="48"/>
    </row>
    <row r="1731" spans="1:19" ht="12.75" customHeight="1" x14ac:dyDescent="0.2">
      <c r="A1731" s="22">
        <f>'6.A'!$A$18</f>
        <v>88264</v>
      </c>
      <c r="B1731" s="23" t="str">
        <f>IF(A1731="","",VLOOKUP(A1731,'6.A'!$A$11:$G$180,2,FALSE))</f>
        <v>ELETRICISTA COM ENCARGOS COMPLEMENTARES</v>
      </c>
      <c r="C1731" s="99">
        <v>0.12280000000000001</v>
      </c>
      <c r="D1731" s="57" t="str">
        <f>IF(A1731="","",VLOOKUP(A1731,'6.A'!$A$11:$G$180,4,FALSE))</f>
        <v>H</v>
      </c>
      <c r="E1731" s="100">
        <f>IF(A1731="","",VLOOKUP(A1731,'6.A'!$A$11:$G$180,5,FALSE))</f>
        <v>0</v>
      </c>
      <c r="F1731" s="24">
        <f t="shared" si="739"/>
        <v>0</v>
      </c>
      <c r="G1731" s="52"/>
      <c r="H1731" s="52">
        <f>IF(A1731="","",VLOOKUP(A1731,'6.A'!$A$11:$E$7984,5,FALSE))</f>
        <v>0</v>
      </c>
      <c r="I1731" s="52" t="str">
        <f>IF(H1731="","",IF(E1731=H1731,"SIM","NÃO"))</f>
        <v>SIM</v>
      </c>
      <c r="J1731" s="52" t="str">
        <f>IF(H1731="","",VLOOKUP(A1731,'6.A'!$A$11:$E$564,4,FALSE))</f>
        <v>H</v>
      </c>
      <c r="K1731" s="52" t="str">
        <f>IF(H1731="","",IF(J1731=D1731,"SIM","NÃO"))</f>
        <v>SIM</v>
      </c>
      <c r="L1731" s="52">
        <f>IF(H1731="","",IF(C1731="","",G1728*C1731))</f>
        <v>18.420000000000002</v>
      </c>
      <c r="M1731" s="117" t="str">
        <f>IF(A1731="","",VLOOKUP(A1731,'6.A'!$A$11:$C$564,2,FALSE))</f>
        <v>ELETRICISTA COM ENCARGOS COMPLEMENTARES</v>
      </c>
      <c r="N1731" s="57" t="str">
        <f>IF(A1731="","",IF(M1731=B1731,"si","no"))</f>
        <v>si</v>
      </c>
      <c r="O1731" s="56"/>
      <c r="P1731" s="56"/>
      <c r="Q1731" s="48"/>
      <c r="R1731" s="48"/>
    </row>
    <row r="1732" spans="1:19" ht="12.75" customHeight="1" x14ac:dyDescent="0.2">
      <c r="A1732" s="22"/>
      <c r="B1732" s="23" t="str">
        <f>IF(A1732="","",VLOOKUP(A1732,'6.A'!$A$11:$G$180,2,FALSE))</f>
        <v/>
      </c>
      <c r="C1732" s="99"/>
      <c r="D1732" s="57" t="str">
        <f>IF(A1732="","",VLOOKUP(A1732,'6.A'!$A$11:$G$180,4,FALSE))</f>
        <v/>
      </c>
      <c r="E1732" s="100" t="str">
        <f>IF(A1732="","",VLOOKUP(A1732,'6.A'!$A$11:$G$180,5,FALSE))</f>
        <v/>
      </c>
      <c r="F1732" s="24" t="str">
        <f t="shared" si="739"/>
        <v>0,00</v>
      </c>
      <c r="G1732" s="52"/>
      <c r="H1732" s="52" t="str">
        <f>IF(A1732="","",VLOOKUP(A1732,'6.A'!$A$11:$E$7984,5,FALSE))</f>
        <v/>
      </c>
      <c r="I1732" s="52" t="str">
        <f>IF(H1732="","",IF(E1732=H1732,"SIM","NÃO"))</f>
        <v/>
      </c>
      <c r="J1732" s="52" t="str">
        <f>IF(H1732="","",VLOOKUP(A1732,'6.A'!$A$11:$E$564,4,FALSE))</f>
        <v/>
      </c>
      <c r="K1732" s="52" t="str">
        <f t="shared" ref="K1732" si="740">IF(H1732="","",IF(J1732=D1732,"SIM","NÃO"))</f>
        <v/>
      </c>
      <c r="L1732" s="52" t="str">
        <f>IF(H1732="","",IF(C1732="","",G1728*C1732))</f>
        <v/>
      </c>
      <c r="M1732" s="117" t="str">
        <f>IF(A1732="","",VLOOKUP(A1732,'6.A'!$A$11:$C$564,2,FALSE))</f>
        <v/>
      </c>
      <c r="N1732" s="57" t="str">
        <f t="shared" ref="N1732" si="741">IF(A1732="","",IF(M1732=B1732,"si","no"))</f>
        <v/>
      </c>
      <c r="O1732" s="56"/>
      <c r="P1732" s="56"/>
      <c r="Q1732" s="48"/>
      <c r="R1732" s="48"/>
      <c r="S1732" s="2"/>
    </row>
    <row r="1733" spans="1:19" ht="12.75" customHeight="1" x14ac:dyDescent="0.2">
      <c r="A1733" s="22"/>
      <c r="B1733" s="23" t="str">
        <f>IF(A1733="","",VLOOKUP(A1733,'6.A'!$A$11:$G$180,2,FALSE))</f>
        <v/>
      </c>
      <c r="C1733" s="99"/>
      <c r="D1733" s="57" t="str">
        <f>IF(A1733="","",VLOOKUP(A1733,'6.A'!$A$11:$G$180,4,FALSE))</f>
        <v/>
      </c>
      <c r="E1733" s="100" t="str">
        <f>IF(A1733="","",VLOOKUP(A1733,'6.A'!$A$11:$G$180,5,FALSE))</f>
        <v/>
      </c>
      <c r="F1733" s="24" t="str">
        <f t="shared" si="739"/>
        <v>0,00</v>
      </c>
      <c r="G1733" s="52"/>
      <c r="H1733" s="52" t="str">
        <f>IF(A1733="","",VLOOKUP(A1733,'6.A'!$A$11:$E$7984,5,FALSE))</f>
        <v/>
      </c>
      <c r="I1733" s="52" t="str">
        <f>IF(H1733="","",IF(E1733=H1733,"SIM","NÃO"))</f>
        <v/>
      </c>
      <c r="J1733" s="52" t="str">
        <f>IF(H1733="","",VLOOKUP(A1733,'6.A'!$A$11:$E$564,4,FALSE))</f>
        <v/>
      </c>
      <c r="K1733" s="52" t="str">
        <f>IF(H1733="","",IF(J1733=D1733,"SIM","NÃO"))</f>
        <v/>
      </c>
      <c r="L1733" s="52" t="str">
        <f>IF(H1733="","",IF(C1733="","",G1728*C1733))</f>
        <v/>
      </c>
      <c r="M1733" s="117" t="str">
        <f>IF(A1733="","",VLOOKUP(A1733,'6.A'!$A$11:$C$564,2,FALSE))</f>
        <v/>
      </c>
      <c r="N1733" s="57" t="str">
        <f>IF(A1733="","",IF(M1733=B1733,"si","no"))</f>
        <v/>
      </c>
      <c r="O1733" s="56"/>
      <c r="P1733" s="56"/>
      <c r="Q1733" s="48"/>
      <c r="R1733" s="48"/>
      <c r="S1733" s="2"/>
    </row>
    <row r="1734" spans="1:19" ht="12.75" customHeight="1" x14ac:dyDescent="0.2">
      <c r="A1734" s="22"/>
      <c r="B1734" s="23" t="str">
        <f>IF(A1734="","",VLOOKUP(A1734,'6.A'!$A$11:$G$180,2,FALSE))</f>
        <v/>
      </c>
      <c r="C1734" s="99"/>
      <c r="D1734" s="57" t="str">
        <f>IF(A1734="","",VLOOKUP(A1734,'6.A'!$A$11:$G$180,4,FALSE))</f>
        <v/>
      </c>
      <c r="E1734" s="101" t="str">
        <f>IF(A1734="","",VLOOKUP(A1734,'6.A'!$A$11:$G$180,5,FALSE))</f>
        <v/>
      </c>
      <c r="F1734" s="24" t="str">
        <f t="shared" si="739"/>
        <v>0,00</v>
      </c>
      <c r="G1734" s="52"/>
      <c r="H1734" s="52" t="str">
        <f>IF(A1734="","",VLOOKUP(A1734,'6.A'!$A$11:$E$7984,5,FALSE))</f>
        <v/>
      </c>
      <c r="I1734" s="52" t="str">
        <f t="shared" ref="I1734" si="742">IF(H1734="","",IF(E1734=H1734,"SIM","NÃO"))</f>
        <v/>
      </c>
      <c r="J1734" s="52" t="str">
        <f>IF(H1734="","",VLOOKUP(A1734,'6.A'!$A$11:$E$564,4,FALSE))</f>
        <v/>
      </c>
      <c r="K1734" s="52" t="str">
        <f t="shared" ref="K1734" si="743">IF(H1734="","",IF(J1734=D1734,"SIM","NÃO"))</f>
        <v/>
      </c>
      <c r="L1734" s="52" t="str">
        <f>IF(H1734="","",IF(C1734="","",G1728*C1734))</f>
        <v/>
      </c>
      <c r="M1734" s="117" t="str">
        <f>IF(A1734="","",VLOOKUP(A1734,'6.A'!$A$11:$C$564,2,FALSE))</f>
        <v/>
      </c>
      <c r="N1734" s="57" t="str">
        <f t="shared" ref="N1734" si="744">IF(A1734="","",IF(M1734=B1734,"si","no"))</f>
        <v/>
      </c>
      <c r="O1734" s="56"/>
      <c r="P1734" s="56"/>
      <c r="Q1734" s="48"/>
      <c r="R1734" s="48"/>
      <c r="S1734" s="2"/>
    </row>
    <row r="1735" spans="1:19" ht="12.75" customHeight="1" x14ac:dyDescent="0.2">
      <c r="A1735" s="22"/>
      <c r="B1735" s="23" t="str">
        <f>IF(A1735="","",VLOOKUP(A1735,'6.A'!$A$11:$G$180,2,FALSE))</f>
        <v/>
      </c>
      <c r="C1735" s="99"/>
      <c r="D1735" s="57" t="str">
        <f>IF(A1735="","",VLOOKUP(A1735,'6.A'!$A$11:$G$180,4,FALSE))</f>
        <v/>
      </c>
      <c r="E1735" s="101" t="str">
        <f>IF(A1735="","",VLOOKUP(A1735,'6.A'!$A$11:$G$180,5,FALSE))</f>
        <v/>
      </c>
      <c r="F1735" s="24" t="str">
        <f t="shared" si="739"/>
        <v>0,00</v>
      </c>
      <c r="G1735" s="52"/>
      <c r="H1735" s="52" t="str">
        <f>IF(A1735="","",VLOOKUP(A1735,'6.A'!$A$11:$E$7984,5,FALSE))</f>
        <v/>
      </c>
      <c r="I1735" s="52" t="str">
        <f>IF(H1735="","",IF(E1735=H1735,"SIM","NÃO"))</f>
        <v/>
      </c>
      <c r="J1735" s="52" t="str">
        <f>IF(H1735="","",VLOOKUP(A1735,'6.A'!$A$11:$E$564,4,FALSE))</f>
        <v/>
      </c>
      <c r="K1735" s="52" t="str">
        <f>IF(H1735="","",IF(J1735=D1735,"SIM","NÃO"))</f>
        <v/>
      </c>
      <c r="L1735" s="52" t="str">
        <f>IF(H1735="","",IF(C1735="","",G1728*C1735))</f>
        <v/>
      </c>
      <c r="M1735" s="117" t="str">
        <f>IF(A1735="","",VLOOKUP(A1735,'6.A'!$A$11:$C$564,2,FALSE))</f>
        <v/>
      </c>
      <c r="N1735" s="57" t="str">
        <f>IF(A1735="","",IF(M1735=B1735,"si","no"))</f>
        <v/>
      </c>
      <c r="O1735" s="56"/>
      <c r="P1735" s="56"/>
      <c r="Q1735" s="48"/>
      <c r="R1735" s="48"/>
      <c r="S1735" s="2"/>
    </row>
    <row r="1736" spans="1:19" ht="12.75" customHeight="1" x14ac:dyDescent="0.2">
      <c r="A1736" s="22"/>
      <c r="B1736" s="23" t="str">
        <f>IF(A1736="","",VLOOKUP(A1736,'6.A'!$A$11:$G$180,2,FALSE))</f>
        <v/>
      </c>
      <c r="C1736" s="99"/>
      <c r="D1736" s="57" t="str">
        <f>IF(A1736="","",VLOOKUP(A1736,'6.A'!$A$11:$G$180,4,FALSE))</f>
        <v/>
      </c>
      <c r="E1736" s="100" t="str">
        <f>IF(A1736="","",VLOOKUP(A1736,'6.A'!$A$11:$G$180,5,FALSE))</f>
        <v/>
      </c>
      <c r="F1736" s="24" t="str">
        <f t="shared" si="739"/>
        <v>0,00</v>
      </c>
      <c r="G1736" s="52"/>
      <c r="H1736" s="52" t="str">
        <f>IF(A1736="","",VLOOKUP(A1736,'6.A'!$A$11:$E$7984,5,FALSE))</f>
        <v/>
      </c>
      <c r="I1736" s="52" t="str">
        <f>IF(H1736="","",IF(E1736=H1736,"SIM","NÃO"))</f>
        <v/>
      </c>
      <c r="J1736" s="52" t="str">
        <f>IF(H1736="","",VLOOKUP(A1736,'6.A'!$A$11:$E$564,4,FALSE))</f>
        <v/>
      </c>
      <c r="K1736" s="52" t="str">
        <f>IF(H1736="","",IF(J1736=D1736,"SIM","NÃO"))</f>
        <v/>
      </c>
      <c r="L1736" s="52" t="str">
        <f>IF(H1736="","",IF(C1736="","",G1728*C1736))</f>
        <v/>
      </c>
      <c r="M1736" s="117" t="str">
        <f>IF(A1736="","",VLOOKUP(A1736,'6.A'!$A$11:$C$564,2,FALSE))</f>
        <v/>
      </c>
      <c r="N1736" s="57" t="str">
        <f>IF(A1736="","",IF(M1736=B1736,"si","no"))</f>
        <v/>
      </c>
      <c r="O1736" s="56"/>
      <c r="P1736" s="56"/>
      <c r="Q1736" s="48"/>
      <c r="R1736" s="48"/>
      <c r="S1736" s="2"/>
    </row>
    <row r="1737" spans="1:19" ht="12.75" customHeight="1" x14ac:dyDescent="0.2">
      <c r="A1737" s="22"/>
      <c r="B1737" s="23" t="str">
        <f>IF(A1737="","",VLOOKUP(A1737,'6.A'!$A$11:$G$180,2,FALSE))</f>
        <v/>
      </c>
      <c r="C1737" s="99"/>
      <c r="D1737" s="57" t="str">
        <f>IF(A1737="","",VLOOKUP(A1737,'6.A'!$A$11:$G$180,4,FALSE))</f>
        <v/>
      </c>
      <c r="E1737" s="100" t="str">
        <f>IF(A1737="","",VLOOKUP(A1737,'6.A'!$A$11:$G$180,5,FALSE))</f>
        <v/>
      </c>
      <c r="F1737" s="24" t="str">
        <f t="shared" si="739"/>
        <v>0,00</v>
      </c>
      <c r="G1737" s="52"/>
      <c r="H1737" s="52" t="str">
        <f>IF(A1737="","",VLOOKUP(A1737,'6.A'!$A$11:$E$7984,5,FALSE))</f>
        <v/>
      </c>
      <c r="I1737" s="52" t="str">
        <f t="shared" ref="I1737" si="745">IF(H1737="","",IF(E1737=H1737,"SIM","NÃO"))</f>
        <v/>
      </c>
      <c r="J1737" s="52" t="str">
        <f>IF(H1737="","",VLOOKUP(A1737,'6.A'!$A$11:$E$564,4,FALSE))</f>
        <v/>
      </c>
      <c r="K1737" s="52" t="str">
        <f t="shared" ref="K1737" si="746">IF(H1737="","",IF(J1737=D1737,"SIM","NÃO"))</f>
        <v/>
      </c>
      <c r="L1737" s="52" t="str">
        <f>IF(H1737="","",IF(C1737="","",G1728*C1737))</f>
        <v/>
      </c>
      <c r="M1737" s="117" t="str">
        <f>IF(A1737="","",VLOOKUP(A1737,'6.A'!$A$11:$C$564,2,FALSE))</f>
        <v/>
      </c>
      <c r="N1737" s="57" t="str">
        <f t="shared" ref="N1737" si="747">IF(A1737="","",IF(M1737=B1737,"si","no"))</f>
        <v/>
      </c>
      <c r="O1737" s="56"/>
      <c r="P1737" s="56"/>
      <c r="Q1737" s="48"/>
      <c r="R1737" s="48"/>
      <c r="S1737" s="2"/>
    </row>
    <row r="1738" spans="1:19" ht="12.75" customHeight="1" x14ac:dyDescent="0.2">
      <c r="A1738" s="22"/>
      <c r="B1738" s="23" t="str">
        <f>IF(A1738="","",VLOOKUP(A1738,'6.A'!$A$11:$G$180,2,FALSE))</f>
        <v/>
      </c>
      <c r="C1738" s="99"/>
      <c r="D1738" s="73" t="str">
        <f>IF(A1738="","",VLOOKUP(A1738,'6.A'!$A$11:$G$180,4,FALSE))</f>
        <v/>
      </c>
      <c r="E1738" s="101" t="str">
        <f>IF(A1738="","",VLOOKUP(A1738,'6.A'!$A$11:$G$180,5,FALSE))</f>
        <v/>
      </c>
      <c r="F1738" s="24" t="str">
        <f t="shared" si="739"/>
        <v>0,00</v>
      </c>
      <c r="G1738" s="52"/>
      <c r="H1738" s="52" t="str">
        <f>IF(A1738="","",VLOOKUP(A1738,'6.A'!$A$11:$E$7984,5,FALSE))</f>
        <v/>
      </c>
      <c r="I1738" s="52" t="str">
        <f>IF(H1738="","",IF(E1738=H1738,"SIM","NÃO"))</f>
        <v/>
      </c>
      <c r="J1738" s="52" t="str">
        <f>IF(H1738="","",VLOOKUP(A1738,'6.A'!$A$11:$E$564,4,FALSE))</f>
        <v/>
      </c>
      <c r="K1738" s="52" t="str">
        <f>IF(H1738="","",IF(J1738=D1738,"SIM","NÃO"))</f>
        <v/>
      </c>
      <c r="L1738" s="52" t="str">
        <f>IF(H1738="","",IF(C1738="","",G1728*C1738))</f>
        <v/>
      </c>
      <c r="M1738" s="117" t="str">
        <f>IF(A1738="","",VLOOKUP(A1738,'6.A'!$A$11:$C$564,2,FALSE))</f>
        <v/>
      </c>
      <c r="N1738" s="57" t="str">
        <f>IF(A1738="","",IF(M1738=B1738,"si","no"))</f>
        <v/>
      </c>
      <c r="O1738" s="56"/>
      <c r="P1738" s="56"/>
      <c r="Q1738" s="48"/>
      <c r="R1738" s="48"/>
      <c r="S1738" s="2"/>
    </row>
    <row r="1739" spans="1:19" ht="12.75" customHeight="1" x14ac:dyDescent="0.2">
      <c r="A1739" s="22"/>
      <c r="B1739" s="23" t="str">
        <f>IF(A1739="","",VLOOKUP(A1739,'6.A'!$A$11:$G$180,2,FALSE))</f>
        <v/>
      </c>
      <c r="C1739" s="99"/>
      <c r="D1739" s="25" t="str">
        <f>IF(A1739="","",VLOOKUP(A1739,'6.A'!$A$11:$G$180,4,FALSE))</f>
        <v/>
      </c>
      <c r="E1739" s="101" t="str">
        <f>IF(A1739="","",VLOOKUP(A1739,'6.A'!$A$11:$G$180,5,FALSE))</f>
        <v/>
      </c>
      <c r="F1739" s="24" t="str">
        <f t="shared" si="739"/>
        <v>0,00</v>
      </c>
      <c r="G1739" s="52"/>
      <c r="H1739" s="52" t="str">
        <f>IF(A1739="","",VLOOKUP(A1739,'6.A'!$A$11:$E$7984,5,FALSE))</f>
        <v/>
      </c>
      <c r="I1739" s="52" t="str">
        <f t="shared" ref="I1739" si="748">IF(H1739="","",IF(E1739=H1739,"SIM","NÃO"))</f>
        <v/>
      </c>
      <c r="J1739" s="52" t="str">
        <f>IF(H1739="","",VLOOKUP(A1739,'6.A'!$A$11:$E$564,4,FALSE))</f>
        <v/>
      </c>
      <c r="K1739" s="52" t="str">
        <f t="shared" ref="K1739" si="749">IF(H1739="","",IF(J1739=D1739,"SIM","NÃO"))</f>
        <v/>
      </c>
      <c r="L1739" s="52" t="str">
        <f>IF(H1739="","",IF(C1739="","",G1728*C1739))</f>
        <v/>
      </c>
      <c r="M1739" s="117" t="str">
        <f>IF(A1739="","",VLOOKUP(A1739,'6.A'!$A$11:$C$564,2,FALSE))</f>
        <v/>
      </c>
      <c r="N1739" s="57" t="str">
        <f t="shared" ref="N1739" si="750">IF(A1739="","",IF(M1739=B1739,"si","no"))</f>
        <v/>
      </c>
      <c r="O1739" s="56"/>
      <c r="P1739" s="56"/>
      <c r="Q1739" s="48"/>
      <c r="R1739" s="48"/>
      <c r="S1739" s="2"/>
    </row>
    <row r="1740" spans="1:19" ht="12.75" customHeight="1" x14ac:dyDescent="0.2">
      <c r="A1740" s="17"/>
      <c r="B1740" s="26" t="str">
        <f>$A$8</f>
        <v>LEIS SOCIAIS HORISTA - JORNADA NORMAL</v>
      </c>
      <c r="C1740" s="27">
        <f>$C$8</f>
        <v>0</v>
      </c>
      <c r="D1740" s="57"/>
      <c r="F1740" s="28">
        <f>ROUND(SUM(F1730:F1739)*C1740,2)</f>
        <v>0</v>
      </c>
      <c r="G1740" s="63"/>
      <c r="M1740" s="62"/>
      <c r="N1740" s="57"/>
      <c r="O1740" s="56"/>
      <c r="P1740" s="56"/>
      <c r="Q1740" s="48"/>
      <c r="R1740" s="48"/>
      <c r="S1740" s="2"/>
    </row>
    <row r="1741" spans="1:19" ht="12.75" customHeight="1" x14ac:dyDescent="0.2">
      <c r="A1741" s="22"/>
      <c r="B1741" s="26" t="str">
        <f>$A$9</f>
        <v>BDI</v>
      </c>
      <c r="C1741" s="27">
        <f>$C$9</f>
        <v>0</v>
      </c>
      <c r="D1741" s="29"/>
      <c r="F1741" s="28">
        <f>ROUND(SUM(F1730:F1740)*C1741,2)</f>
        <v>0</v>
      </c>
      <c r="G1741" s="63"/>
      <c r="M1741" s="62"/>
      <c r="N1741" s="57"/>
      <c r="O1741" s="56"/>
      <c r="P1741" s="56"/>
      <c r="Q1741" s="48"/>
      <c r="R1741" s="48"/>
      <c r="S1741" s="2"/>
    </row>
    <row r="1742" spans="1:19" ht="12.75" customHeight="1" x14ac:dyDescent="0.2">
      <c r="A1742" s="30"/>
      <c r="B1742" s="31" t="s">
        <v>56</v>
      </c>
      <c r="C1742" s="32"/>
      <c r="D1742" s="33"/>
      <c r="E1742" s="34"/>
      <c r="F1742" s="35">
        <f>ROUND(SUM(F1730:F1741),2)</f>
        <v>0</v>
      </c>
      <c r="G1742" s="63"/>
      <c r="M1742" s="62"/>
      <c r="N1742" s="57"/>
      <c r="O1742" s="56"/>
      <c r="P1742" s="56"/>
      <c r="Q1742" s="48"/>
      <c r="R1742" s="48"/>
      <c r="S1742" s="2"/>
    </row>
    <row r="1743" spans="1:19" ht="12.75" customHeight="1" x14ac:dyDescent="0.2">
      <c r="A1743" s="17" t="s">
        <v>5</v>
      </c>
      <c r="B1743" s="153" t="s">
        <v>130</v>
      </c>
      <c r="C1743" s="56" t="s">
        <v>59</v>
      </c>
      <c r="D1743" s="56" t="s">
        <v>16</v>
      </c>
      <c r="E1743" s="19" t="s">
        <v>60</v>
      </c>
      <c r="F1743" s="20" t="s">
        <v>61</v>
      </c>
      <c r="G1743" s="21"/>
      <c r="M1743" s="62"/>
      <c r="N1743" s="57"/>
      <c r="O1743" s="56"/>
      <c r="P1743" s="56"/>
      <c r="Q1743" s="48"/>
      <c r="R1743" s="48"/>
      <c r="S1743" s="2"/>
    </row>
    <row r="1744" spans="1:19" ht="12.75" customHeight="1" x14ac:dyDescent="0.2">
      <c r="A1744" s="22"/>
      <c r="B1744" s="23" t="str">
        <f>IF(A1744="","",VLOOKUP(A1744,'6.A'!$A$11:$G$180,2,FALSE))</f>
        <v/>
      </c>
      <c r="C1744" s="99"/>
      <c r="D1744" s="57" t="str">
        <f>IF(A1744="","",VLOOKUP(A1744,'6.A'!$A$11:$G$180,4,FALSE))</f>
        <v/>
      </c>
      <c r="E1744" s="100" t="str">
        <f>IF(A1744="","",VLOOKUP(A1744,'6.A'!$A$11:$G$180,5,FALSE))</f>
        <v/>
      </c>
      <c r="F1744" s="24" t="str">
        <f t="shared" ref="F1744:F1753" si="751">IF(A1744="","0,00",ROUND(C1744*E1744,2))</f>
        <v>0,00</v>
      </c>
      <c r="G1744" s="52"/>
      <c r="H1744" s="52" t="str">
        <f>IF(A1744="","",VLOOKUP(A1744,'6.A'!$A$11:$E$7984,5,FALSE))</f>
        <v/>
      </c>
      <c r="I1744" s="52" t="str">
        <f t="shared" ref="I1744:I1753" si="752">IF(H1744="","",IF(E1744=H1744,"SIM","NÃO"))</f>
        <v/>
      </c>
      <c r="J1744" s="52" t="str">
        <f>IF(H1744="","",VLOOKUP(A1744,'6.A'!$A$11:$E$564,4,FALSE))</f>
        <v/>
      </c>
      <c r="K1744" s="52" t="str">
        <f t="shared" ref="K1744:K1753" si="753">IF(H1744="","",IF(J1744=D1744,"SIM","NÃO"))</f>
        <v/>
      </c>
      <c r="L1744" s="52" t="str">
        <f>IF(H1744="","",IF(C1744="","",G1728*C1744))</f>
        <v/>
      </c>
      <c r="M1744" s="117" t="str">
        <f>IF(A1744="","",VLOOKUP(A1744,'6.A'!$A$11:$C$564,2,FALSE))</f>
        <v/>
      </c>
      <c r="N1744" s="57" t="str">
        <f t="shared" ref="N1744:N1749" si="754">IF(A1744="","",IF(M1744=B1744,"si","no"))</f>
        <v/>
      </c>
      <c r="O1744" s="56"/>
      <c r="P1744" s="56"/>
      <c r="Q1744" s="48"/>
      <c r="R1744" s="48"/>
      <c r="S1744" s="2"/>
    </row>
    <row r="1745" spans="1:19" ht="12.75" customHeight="1" x14ac:dyDescent="0.2">
      <c r="A1745" s="22"/>
      <c r="B1745" s="23" t="str">
        <f>IF(A1745="","",VLOOKUP(A1745,'6.A'!$A$11:$G$180,2,FALSE))</f>
        <v/>
      </c>
      <c r="C1745" s="99"/>
      <c r="D1745" s="57" t="str">
        <f>IF(A1745="","",VLOOKUP(A1745,'6.A'!$A$11:$G$180,4,FALSE))</f>
        <v/>
      </c>
      <c r="E1745" s="100" t="str">
        <f>IF(A1745="","",VLOOKUP(A1745,'6.A'!$A$11:$G$180,5,FALSE))</f>
        <v/>
      </c>
      <c r="F1745" s="24" t="str">
        <f t="shared" si="751"/>
        <v>0,00</v>
      </c>
      <c r="G1745" s="52"/>
      <c r="H1745" s="52" t="str">
        <f>IF(A1745="","",VLOOKUP(A1745,'6.A'!$A$11:$E$7984,5,FALSE))</f>
        <v/>
      </c>
      <c r="I1745" s="52" t="str">
        <f t="shared" si="752"/>
        <v/>
      </c>
      <c r="J1745" s="52" t="str">
        <f>IF(H1745="","",VLOOKUP(A1745,'6.A'!$A$11:$E$564,4,FALSE))</f>
        <v/>
      </c>
      <c r="K1745" s="52" t="str">
        <f t="shared" si="753"/>
        <v/>
      </c>
      <c r="L1745" s="52" t="str">
        <f>IF(H1745="","",IF(C1745="","",G1728*C1745))</f>
        <v/>
      </c>
      <c r="M1745" s="117" t="str">
        <f>IF(A1745="","",VLOOKUP(A1745,'6.A'!$A$11:$C$564,2,FALSE))</f>
        <v/>
      </c>
      <c r="N1745" s="57" t="str">
        <f t="shared" si="754"/>
        <v/>
      </c>
      <c r="O1745" s="56"/>
      <c r="P1745" s="56"/>
      <c r="Q1745" s="48"/>
      <c r="R1745" s="48"/>
      <c r="S1745" s="2"/>
    </row>
    <row r="1746" spans="1:19" ht="12.75" customHeight="1" x14ac:dyDescent="0.2">
      <c r="A1746" s="22"/>
      <c r="B1746" s="23" t="str">
        <f>IF(A1746="","",VLOOKUP(A1746,'6.A'!$A$11:$G$180,2,FALSE))</f>
        <v/>
      </c>
      <c r="C1746" s="99"/>
      <c r="D1746" s="57" t="str">
        <f>IF(A1746="","",VLOOKUP(A1746,'6.A'!$A$11:$G$180,4,FALSE))</f>
        <v/>
      </c>
      <c r="E1746" s="100" t="str">
        <f>IF(A1746="","",VLOOKUP(A1746,'6.A'!$A$11:$G$180,5,FALSE))</f>
        <v/>
      </c>
      <c r="F1746" s="24" t="str">
        <f t="shared" si="751"/>
        <v>0,00</v>
      </c>
      <c r="G1746" s="52"/>
      <c r="H1746" s="52" t="str">
        <f>IF(A1746="","",VLOOKUP(A1746,'6.A'!$A$11:$E$7984,5,FALSE))</f>
        <v/>
      </c>
      <c r="I1746" s="52" t="str">
        <f t="shared" si="752"/>
        <v/>
      </c>
      <c r="J1746" s="52" t="str">
        <f>IF(H1746="","",VLOOKUP(A1746,'6.A'!$A$11:$E$564,4,FALSE))</f>
        <v/>
      </c>
      <c r="K1746" s="52" t="str">
        <f t="shared" si="753"/>
        <v/>
      </c>
      <c r="L1746" s="52" t="str">
        <f>IF(H1746="","",IF(C1746="","",G1728*C1746))</f>
        <v/>
      </c>
      <c r="M1746" s="117" t="str">
        <f>IF(A1746="","",VLOOKUP(A1746,'6.A'!$A$11:$C$564,2,FALSE))</f>
        <v/>
      </c>
      <c r="N1746" s="57" t="str">
        <f t="shared" si="754"/>
        <v/>
      </c>
      <c r="O1746" s="56"/>
      <c r="P1746" s="56"/>
      <c r="Q1746" s="48"/>
      <c r="R1746" s="48"/>
      <c r="S1746" s="2"/>
    </row>
    <row r="1747" spans="1:19" ht="12.75" customHeight="1" x14ac:dyDescent="0.2">
      <c r="A1747" s="22"/>
      <c r="B1747" s="55" t="str">
        <f>IF(A1747="","",VLOOKUP(A1747,'6.A'!$A$11:$G$180,2,FALSE))</f>
        <v/>
      </c>
      <c r="C1747" s="134"/>
      <c r="D1747" s="57" t="str">
        <f>IF(A1747="","",VLOOKUP(A1747,'6.A'!$A$11:$G$180,4,FALSE))</f>
        <v/>
      </c>
      <c r="E1747" s="100" t="str">
        <f>IF(A1747="","",VLOOKUP(A1747,'6.A'!$A$11:$G$180,5,FALSE))</f>
        <v/>
      </c>
      <c r="F1747" s="24" t="str">
        <f t="shared" si="751"/>
        <v>0,00</v>
      </c>
      <c r="G1747" s="52"/>
      <c r="H1747" s="52" t="str">
        <f>IF(A1747="","",VLOOKUP(A1747,'6.A'!$A$11:$E$7984,5,FALSE))</f>
        <v/>
      </c>
      <c r="I1747" s="52" t="str">
        <f t="shared" si="752"/>
        <v/>
      </c>
      <c r="J1747" s="52" t="str">
        <f>IF(H1747="","",VLOOKUP(A1747,'6.A'!$A$11:$E$564,4,FALSE))</f>
        <v/>
      </c>
      <c r="K1747" s="52" t="str">
        <f t="shared" si="753"/>
        <v/>
      </c>
      <c r="L1747" s="52" t="str">
        <f>IF(H1747="","",IF(C1747="","",G1728*C1747))</f>
        <v/>
      </c>
      <c r="M1747" s="117" t="str">
        <f>IF(A1747="","",VLOOKUP(A1747,'6.A'!$A$11:$C$564,2,FALSE))</f>
        <v/>
      </c>
      <c r="N1747" s="57" t="str">
        <f t="shared" si="754"/>
        <v/>
      </c>
      <c r="O1747" s="56"/>
      <c r="P1747" s="56"/>
      <c r="Q1747" s="48"/>
      <c r="R1747" s="48"/>
      <c r="S1747" s="2"/>
    </row>
    <row r="1748" spans="1:19" ht="12.75" customHeight="1" x14ac:dyDescent="0.2">
      <c r="A1748" s="22"/>
      <c r="B1748" s="23" t="str">
        <f>IF(A1748="","",VLOOKUP(A1748,'6.A'!$A$11:$G$180,2,FALSE))</f>
        <v/>
      </c>
      <c r="C1748" s="99"/>
      <c r="D1748" s="57" t="str">
        <f>IF(A1748="","",VLOOKUP(A1748,'6.A'!$A$11:$G$180,4,FALSE))</f>
        <v/>
      </c>
      <c r="E1748" s="100" t="str">
        <f>IF(A1748="","",VLOOKUP(A1748,'6.A'!$A$11:$G$180,5,FALSE))</f>
        <v/>
      </c>
      <c r="F1748" s="24" t="str">
        <f t="shared" si="751"/>
        <v>0,00</v>
      </c>
      <c r="G1748" s="52"/>
      <c r="H1748" s="52" t="str">
        <f>IF(A1748="","",VLOOKUP(A1748,'6.A'!$A$11:$E$7984,5,FALSE))</f>
        <v/>
      </c>
      <c r="I1748" s="52" t="str">
        <f t="shared" si="752"/>
        <v/>
      </c>
      <c r="J1748" s="52" t="str">
        <f>IF(H1748="","",VLOOKUP(A1748,'6.A'!$A$11:$E$564,4,FALSE))</f>
        <v/>
      </c>
      <c r="K1748" s="52" t="str">
        <f t="shared" si="753"/>
        <v/>
      </c>
      <c r="L1748" s="52" t="str">
        <f>IF(H1748="","",IF(C1748="","",G1728*C1748))</f>
        <v/>
      </c>
      <c r="M1748" s="117" t="str">
        <f>IF(A1748="","",VLOOKUP(A1748,'6.A'!$A$11:$C$564,2,FALSE))</f>
        <v/>
      </c>
      <c r="N1748" s="57" t="str">
        <f t="shared" si="754"/>
        <v/>
      </c>
      <c r="O1748" s="56"/>
      <c r="P1748" s="56"/>
      <c r="Q1748" s="48"/>
      <c r="R1748" s="48"/>
      <c r="S1748" s="2"/>
    </row>
    <row r="1749" spans="1:19" ht="12.75" customHeight="1" x14ac:dyDescent="0.2">
      <c r="A1749" s="22"/>
      <c r="B1749" s="23" t="str">
        <f>IF(A1749="","",VLOOKUP(A1749,'6.A'!$A$11:$G$180,2,FALSE))</f>
        <v/>
      </c>
      <c r="C1749" s="99"/>
      <c r="D1749" s="57" t="str">
        <f>IF(A1749="","",VLOOKUP(A1749,'6.A'!$A$11:$G$180,4,FALSE))</f>
        <v/>
      </c>
      <c r="E1749" s="100" t="str">
        <f>IF(A1749="","",VLOOKUP(A1749,'6.A'!$A$11:$G$180,5,FALSE))</f>
        <v/>
      </c>
      <c r="F1749" s="24" t="str">
        <f t="shared" si="751"/>
        <v>0,00</v>
      </c>
      <c r="G1749" s="52"/>
      <c r="H1749" s="52" t="str">
        <f>IF(A1749="","",VLOOKUP(A1749,'6.A'!$A$11:$E$7984,5,FALSE))</f>
        <v/>
      </c>
      <c r="I1749" s="52" t="str">
        <f t="shared" si="752"/>
        <v/>
      </c>
      <c r="J1749" s="52" t="str">
        <f>IF(H1749="","",VLOOKUP(A1749,'6.A'!$A$11:$E$564,4,FALSE))</f>
        <v/>
      </c>
      <c r="K1749" s="52" t="str">
        <f t="shared" si="753"/>
        <v/>
      </c>
      <c r="L1749" s="52" t="str">
        <f>IF(H1749="","",IF(C1749="","",G1728*C1749))</f>
        <v/>
      </c>
      <c r="M1749" s="117" t="str">
        <f>IF(A1749="","",VLOOKUP(A1749,'6.A'!$A$11:$C$564,2,FALSE))</f>
        <v/>
      </c>
      <c r="N1749" s="57" t="str">
        <f t="shared" si="754"/>
        <v/>
      </c>
      <c r="O1749" s="56"/>
      <c r="P1749" s="56"/>
      <c r="Q1749" s="48"/>
      <c r="R1749" s="48"/>
      <c r="S1749" s="2"/>
    </row>
    <row r="1750" spans="1:19" ht="12.75" customHeight="1" x14ac:dyDescent="0.2">
      <c r="A1750" s="22"/>
      <c r="B1750" s="23" t="str">
        <f>IF(A1750="","",VLOOKUP(A1750,'6.A'!$A$11:$G$180,2,FALSE))</f>
        <v/>
      </c>
      <c r="C1750" s="99"/>
      <c r="D1750" s="57" t="str">
        <f>IF(A1750="","",VLOOKUP(A1750,'6.A'!$A$11:$G$180,4,FALSE))</f>
        <v/>
      </c>
      <c r="E1750" s="100" t="str">
        <f>IF(A1750="","",VLOOKUP(A1750,'6.A'!$A$11:$G$180,5,FALSE))</f>
        <v/>
      </c>
      <c r="F1750" s="24" t="str">
        <f t="shared" si="751"/>
        <v>0,00</v>
      </c>
      <c r="G1750" s="52"/>
      <c r="H1750" s="52" t="str">
        <f>IF(A1750="","",VLOOKUP(A1750,'6.A'!$A$11:$E$7984,5,FALSE))</f>
        <v/>
      </c>
      <c r="I1750" s="52" t="str">
        <f t="shared" si="752"/>
        <v/>
      </c>
      <c r="J1750" s="52" t="str">
        <f>IF(H1750="","",VLOOKUP(A1750,'6.A'!$A$11:$E$564,4,FALSE))</f>
        <v/>
      </c>
      <c r="K1750" s="52" t="str">
        <f t="shared" si="753"/>
        <v/>
      </c>
      <c r="L1750" s="52" t="str">
        <f>IF(H1750="","",IF(C1750="","",G1728*C1750))</f>
        <v/>
      </c>
      <c r="M1750" s="117" t="str">
        <f>IF(A1750="","",VLOOKUP(A1750,'6.A'!$A$11:$C$564,2,FALSE))</f>
        <v/>
      </c>
      <c r="N1750" s="57" t="str">
        <f>IF(A1750="","",IF(M1750=B1750,"si","no"))</f>
        <v/>
      </c>
      <c r="O1750" s="56"/>
      <c r="P1750" s="56"/>
      <c r="Q1750" s="48"/>
      <c r="R1750" s="48"/>
      <c r="S1750" s="2"/>
    </row>
    <row r="1751" spans="1:19" ht="12.75" customHeight="1" x14ac:dyDescent="0.2">
      <c r="A1751" s="22"/>
      <c r="B1751" s="23" t="str">
        <f>IF(A1751="","",VLOOKUP(A1751,'6.A'!$A$11:$G$180,2,FALSE))</f>
        <v/>
      </c>
      <c r="C1751" s="99"/>
      <c r="D1751" s="57" t="str">
        <f>IF(A1751="","",VLOOKUP(A1751,'6.A'!$A$11:$G$180,4,FALSE))</f>
        <v/>
      </c>
      <c r="E1751" s="100" t="str">
        <f>IF(A1751="","",VLOOKUP(A1751,'6.A'!$A$11:$G$180,5,FALSE))</f>
        <v/>
      </c>
      <c r="F1751" s="24" t="str">
        <f t="shared" si="751"/>
        <v>0,00</v>
      </c>
      <c r="G1751" s="52"/>
      <c r="H1751" s="52" t="str">
        <f>IF(A1751="","",VLOOKUP(A1751,'6.A'!$A$11:$E$7984,5,FALSE))</f>
        <v/>
      </c>
      <c r="I1751" s="52" t="str">
        <f t="shared" si="752"/>
        <v/>
      </c>
      <c r="J1751" s="52" t="str">
        <f>IF(H1751="","",VLOOKUP(A1751,'6.A'!$A$11:$E$564,4,FALSE))</f>
        <v/>
      </c>
      <c r="K1751" s="52" t="str">
        <f t="shared" si="753"/>
        <v/>
      </c>
      <c r="L1751" s="52" t="str">
        <f>IF(H1751="","",IF(C1751="","",G1728*C1751))</f>
        <v/>
      </c>
      <c r="M1751" s="117" t="str">
        <f>IF(A1751="","",VLOOKUP(A1751,'6.A'!$A$11:$C$564,2,FALSE))</f>
        <v/>
      </c>
      <c r="N1751" s="57" t="str">
        <f>IF(A1751="","",IF(M1751=B1751,"si","no"))</f>
        <v/>
      </c>
      <c r="O1751" s="56"/>
      <c r="P1751" s="56"/>
      <c r="Q1751" s="48"/>
      <c r="R1751" s="48"/>
      <c r="S1751" s="2"/>
    </row>
    <row r="1752" spans="1:19" ht="12.75" customHeight="1" x14ac:dyDescent="0.2">
      <c r="A1752" s="22"/>
      <c r="B1752" s="23" t="str">
        <f>IF(A1752="","",VLOOKUP(A1752,'6.A'!$A$11:$G$180,2,FALSE))</f>
        <v/>
      </c>
      <c r="C1752" s="99"/>
      <c r="D1752" s="57" t="str">
        <f>IF(A1752="","",VLOOKUP(A1752,'6.A'!$A$11:$G$180,4,FALSE))</f>
        <v/>
      </c>
      <c r="E1752" s="100" t="str">
        <f>IF(A1752="","",VLOOKUP(A1752,'6.A'!$A$11:$G$180,5,FALSE))</f>
        <v/>
      </c>
      <c r="F1752" s="24" t="str">
        <f t="shared" si="751"/>
        <v>0,00</v>
      </c>
      <c r="G1752" s="52"/>
      <c r="H1752" s="52" t="str">
        <f>IF(A1752="","",VLOOKUP(A1752,'6.A'!$A$11:$E$7984,5,FALSE))</f>
        <v/>
      </c>
      <c r="I1752" s="52" t="str">
        <f t="shared" si="752"/>
        <v/>
      </c>
      <c r="J1752" s="52" t="str">
        <f>IF(H1752="","",VLOOKUP(A1752,'6.A'!$A$11:$E$564,4,FALSE))</f>
        <v/>
      </c>
      <c r="K1752" s="52" t="str">
        <f t="shared" si="753"/>
        <v/>
      </c>
      <c r="L1752" s="52" t="str">
        <f>IF(H1752="","",IF(C1752="","",G1728*C1752))</f>
        <v/>
      </c>
      <c r="M1752" s="117" t="str">
        <f>IF(A1752="","",VLOOKUP(A1752,'6.A'!$A$11:$C$564,2,FALSE))</f>
        <v/>
      </c>
      <c r="N1752" s="57" t="str">
        <f t="shared" ref="N1752:N1753" si="755">IF(A1752="","",IF(M1752=B1752,"si","no"))</f>
        <v/>
      </c>
      <c r="O1752" s="56"/>
      <c r="P1752" s="56"/>
      <c r="Q1752" s="48"/>
      <c r="R1752" s="48"/>
      <c r="S1752" s="2"/>
    </row>
    <row r="1753" spans="1:19" ht="12.75" customHeight="1" x14ac:dyDescent="0.2">
      <c r="A1753" s="22"/>
      <c r="B1753" s="23" t="str">
        <f>IF(A1753="","",VLOOKUP(A1753,'6.A'!$A$11:$G$180,2,FALSE))</f>
        <v/>
      </c>
      <c r="C1753" s="99"/>
      <c r="D1753" s="57" t="str">
        <f>IF(A1753="","",VLOOKUP(A1753,'6.A'!$A$11:$G$180,4,FALSE))</f>
        <v/>
      </c>
      <c r="E1753" s="100" t="str">
        <f>IF(A1753="","",VLOOKUP(A1753,'6.A'!$A$11:$G$180,5,FALSE))</f>
        <v/>
      </c>
      <c r="F1753" s="24" t="str">
        <f t="shared" si="751"/>
        <v>0,00</v>
      </c>
      <c r="G1753" s="52"/>
      <c r="H1753" s="52" t="str">
        <f>IF(A1753="","",VLOOKUP(A1753,'6.A'!$A$11:$E$7984,5,FALSE))</f>
        <v/>
      </c>
      <c r="I1753" s="52" t="str">
        <f t="shared" si="752"/>
        <v/>
      </c>
      <c r="J1753" s="52" t="str">
        <f>IF(H1753="","",VLOOKUP(A1753,'6.A'!$A$11:$E$564,4,FALSE))</f>
        <v/>
      </c>
      <c r="K1753" s="52" t="str">
        <f t="shared" si="753"/>
        <v/>
      </c>
      <c r="L1753" s="52" t="str">
        <f>IF(H1753="","",IF(C1753="","",G1728*C1753))</f>
        <v/>
      </c>
      <c r="M1753" s="117" t="str">
        <f>IF(A1753="","",VLOOKUP(A1753,'6.A'!$A$11:$C$564,2,FALSE))</f>
        <v/>
      </c>
      <c r="N1753" s="57" t="str">
        <f t="shared" si="755"/>
        <v/>
      </c>
      <c r="O1753" s="56"/>
      <c r="P1753" s="56"/>
      <c r="Q1753" s="48"/>
      <c r="R1753" s="48"/>
      <c r="S1753" s="2"/>
    </row>
    <row r="1754" spans="1:19" ht="12.75" customHeight="1" x14ac:dyDescent="0.2">
      <c r="A1754" s="22"/>
      <c r="B1754" s="26" t="str">
        <f>$A$9</f>
        <v>BDI</v>
      </c>
      <c r="C1754" s="27">
        <f>$C$9</f>
        <v>0</v>
      </c>
      <c r="D1754" s="57"/>
      <c r="F1754" s="28">
        <f>ROUND(SUM(F1744:F1753)*C1754,2)</f>
        <v>0</v>
      </c>
      <c r="G1754" s="63"/>
      <c r="M1754" s="62"/>
      <c r="N1754" s="57"/>
      <c r="O1754" s="56"/>
      <c r="P1754" s="56"/>
      <c r="Q1754" s="48"/>
      <c r="R1754" s="48"/>
      <c r="S1754" s="2"/>
    </row>
    <row r="1755" spans="1:19" ht="12.75" customHeight="1" x14ac:dyDescent="0.2">
      <c r="A1755" s="30"/>
      <c r="B1755" s="31" t="s">
        <v>117</v>
      </c>
      <c r="C1755" s="36"/>
      <c r="D1755" s="37"/>
      <c r="E1755" s="38"/>
      <c r="F1755" s="35">
        <f>ROUND(SUM(F1744:F1754),2)</f>
        <v>0</v>
      </c>
      <c r="G1755" s="63"/>
      <c r="M1755" s="62"/>
      <c r="N1755" s="57"/>
      <c r="O1755" s="56"/>
      <c r="P1755" s="56"/>
      <c r="Q1755" s="48"/>
      <c r="R1755" s="48"/>
      <c r="S1755" s="2"/>
    </row>
    <row r="1756" spans="1:19" ht="12.75" customHeight="1" x14ac:dyDescent="0.2">
      <c r="A1756" s="17" t="s">
        <v>6</v>
      </c>
      <c r="B1756" s="18" t="s">
        <v>17</v>
      </c>
      <c r="C1756" s="56" t="s">
        <v>59</v>
      </c>
      <c r="D1756" s="56" t="s">
        <v>16</v>
      </c>
      <c r="E1756" s="19" t="s">
        <v>60</v>
      </c>
      <c r="F1756" s="20" t="s">
        <v>61</v>
      </c>
      <c r="G1756" s="21"/>
      <c r="M1756" s="62"/>
      <c r="N1756" s="57"/>
      <c r="O1756" s="56"/>
      <c r="P1756" s="56"/>
      <c r="Q1756" s="48"/>
      <c r="R1756" s="48"/>
      <c r="S1756" s="2"/>
    </row>
    <row r="1757" spans="1:19" ht="12.75" customHeight="1" x14ac:dyDescent="0.2">
      <c r="A1757" s="22">
        <f>'6.A'!$A$75</f>
        <v>998</v>
      </c>
      <c r="B1757" s="23" t="str">
        <f>IF(A1757="","",VLOOKUP(A1757,'6.A'!$A$11:$G$180,2,FALSE))</f>
        <v>CABO DE COBRE FLEXIVEL CL 4/5, ISOLACAO PVC/A, BWF-B, COB. PVC-ST1, 1 CONDUTOR, 0,6/1 KV, SECAO NOMINAL 95 MM2</v>
      </c>
      <c r="C1757" s="99">
        <v>1.0149999999999999</v>
      </c>
      <c r="D1757" s="57" t="str">
        <f>IF(A1757="","",VLOOKUP(A1757,'6.A'!$A$11:$G$180,4,FALSE))</f>
        <v>M</v>
      </c>
      <c r="E1757" s="100">
        <f>IF(A1757="","",VLOOKUP(A1757,'6.A'!$A$11:$G$180,5,FALSE))</f>
        <v>0</v>
      </c>
      <c r="F1757" s="24">
        <f t="shared" ref="F1757:F1776" si="756">IF(A1757="","0,00",ROUND(C1757*E1757,2))</f>
        <v>0</v>
      </c>
      <c r="G1757" s="52"/>
      <c r="H1757" s="52">
        <f>IF(A1757="","",VLOOKUP(A1757,'6.A'!$A$11:$E$7984,5,FALSE))</f>
        <v>0</v>
      </c>
      <c r="I1757" s="52" t="str">
        <f t="shared" ref="I1757:I1776" si="757">IF(H1757="","",IF(E1757=H1757,"SIM","NÃO"))</f>
        <v>SIM</v>
      </c>
      <c r="J1757" s="52" t="str">
        <f>IF(H1757="","",VLOOKUP(A1757,'6.A'!$A$11:$E$564,4,FALSE))</f>
        <v>M</v>
      </c>
      <c r="K1757" s="52" t="str">
        <f t="shared" ref="K1757:K1776" si="758">IF(H1757="","",IF(J1757=D1757,"SIM","NÃO"))</f>
        <v>SIM</v>
      </c>
      <c r="L1757" s="52">
        <f>IF(H1757="","",IF(C1757="","",G1728*C1757))</f>
        <v>152.24999999999997</v>
      </c>
      <c r="M1757" s="117" t="str">
        <f>IF(A1757="","",VLOOKUP(A1757,'6.A'!$A$11:$C$564,2,FALSE))</f>
        <v>CABO DE COBRE FLEXIVEL CL 4/5, ISOLACAO PVC/A, BWF-B, COB. PVC-ST1, 1 CONDUTOR, 0,6/1 KV, SECAO NOMINAL 95 MM2</v>
      </c>
      <c r="N1757" s="57" t="str">
        <f t="shared" ref="N1757:N1776" si="759">IF(A1757="","",IF(M1757=B1757,"si","no"))</f>
        <v>si</v>
      </c>
      <c r="O1757" s="56"/>
      <c r="P1757" s="56"/>
      <c r="Q1757" s="48"/>
      <c r="R1757" s="48"/>
      <c r="S1757" s="2"/>
    </row>
    <row r="1758" spans="1:19" ht="12.75" customHeight="1" x14ac:dyDescent="0.2">
      <c r="A1758" s="22">
        <f>'6.A'!$A$123</f>
        <v>21127</v>
      </c>
      <c r="B1758" s="23" t="str">
        <f>IF(A1758="","",VLOOKUP(A1758,'6.A'!$A$11:$G$180,2,FALSE))</f>
        <v>FITA ISOLANTE ADESIVA ANTICHAMA, USO ATE 750 V, EM ROLO DE 19 MM X 5 M</v>
      </c>
      <c r="C1758" s="99">
        <v>8.9999999999999993E-3</v>
      </c>
      <c r="D1758" s="57" t="str">
        <f>IF(A1758="","",VLOOKUP(A1758,'6.A'!$A$11:$G$180,4,FALSE))</f>
        <v>UN</v>
      </c>
      <c r="E1758" s="100">
        <f>IF(A1758="","",VLOOKUP(A1758,'6.A'!$A$11:$G$180,5,FALSE))</f>
        <v>0</v>
      </c>
      <c r="F1758" s="24">
        <f t="shared" si="756"/>
        <v>0</v>
      </c>
      <c r="G1758" s="52"/>
      <c r="H1758" s="52">
        <f>IF(A1758="","",VLOOKUP(A1758,'6.A'!$A$11:$E$7984,5,FALSE))</f>
        <v>0</v>
      </c>
      <c r="I1758" s="52" t="str">
        <f t="shared" si="757"/>
        <v>SIM</v>
      </c>
      <c r="J1758" s="52" t="str">
        <f>IF(H1758="","",VLOOKUP(A1758,'6.A'!$A$11:$E$564,4,FALSE))</f>
        <v>UN</v>
      </c>
      <c r="K1758" s="52" t="str">
        <f t="shared" si="758"/>
        <v>SIM</v>
      </c>
      <c r="L1758" s="52">
        <f>IF(H1758="","",IF(C1758="","",G1728*C1758))</f>
        <v>1.3499999999999999</v>
      </c>
      <c r="M1758" s="117" t="str">
        <f>IF(A1758="","",VLOOKUP(A1758,'6.A'!$A$11:$C$564,2,FALSE))</f>
        <v>FITA ISOLANTE ADESIVA ANTICHAMA, USO ATE 750 V, EM ROLO DE 19 MM X 5 M</v>
      </c>
      <c r="N1758" s="57" t="str">
        <f t="shared" si="759"/>
        <v>si</v>
      </c>
      <c r="O1758" s="56"/>
      <c r="P1758" s="56"/>
      <c r="Q1758" s="48"/>
      <c r="R1758" s="48"/>
      <c r="S1758" s="2"/>
    </row>
    <row r="1759" spans="1:19" ht="12.75" customHeight="1" x14ac:dyDescent="0.2">
      <c r="A1759" s="22"/>
      <c r="B1759" s="23" t="str">
        <f>IF(A1759="","",VLOOKUP(A1759,'6.A'!$A$11:$G$180,2,FALSE))</f>
        <v/>
      </c>
      <c r="C1759" s="99"/>
      <c r="D1759" s="57" t="str">
        <f>IF(A1759="","",VLOOKUP(A1759,'6.A'!$A$11:$G$180,4,FALSE))</f>
        <v/>
      </c>
      <c r="E1759" s="100" t="str">
        <f>IF(A1759="","",VLOOKUP(A1759,'6.A'!$A$11:$G$180,5,FALSE))</f>
        <v/>
      </c>
      <c r="F1759" s="24" t="str">
        <f t="shared" si="756"/>
        <v>0,00</v>
      </c>
      <c r="G1759" s="52"/>
      <c r="H1759" s="52" t="str">
        <f>IF(A1759="","",VLOOKUP(A1759,'6.A'!$A$11:$E$7984,5,FALSE))</f>
        <v/>
      </c>
      <c r="I1759" s="52" t="str">
        <f t="shared" si="757"/>
        <v/>
      </c>
      <c r="J1759" s="52" t="str">
        <f>IF(H1759="","",VLOOKUP(A1759,'6.A'!$A$11:$E$564,4,FALSE))</f>
        <v/>
      </c>
      <c r="K1759" s="52" t="str">
        <f t="shared" si="758"/>
        <v/>
      </c>
      <c r="L1759" s="52" t="str">
        <f>IF(H1759="","",IF(C1759="","",G1728*C1759))</f>
        <v/>
      </c>
      <c r="M1759" s="117" t="str">
        <f>IF(A1759="","",VLOOKUP(A1759,'6.A'!$A$11:$C$564,2,FALSE))</f>
        <v/>
      </c>
      <c r="N1759" s="57" t="str">
        <f t="shared" si="759"/>
        <v/>
      </c>
      <c r="O1759" s="56"/>
      <c r="P1759" s="56"/>
      <c r="Q1759" s="48"/>
      <c r="R1759" s="48"/>
      <c r="S1759" s="2"/>
    </row>
    <row r="1760" spans="1:19" ht="12.75" customHeight="1" x14ac:dyDescent="0.2">
      <c r="A1760" s="22"/>
      <c r="B1760" s="23" t="str">
        <f>IF(A1760="","",VLOOKUP(A1760,'6.A'!$A$11:$G$180,2,FALSE))</f>
        <v/>
      </c>
      <c r="C1760" s="99"/>
      <c r="D1760" s="57" t="str">
        <f>IF(A1760="","",VLOOKUP(A1760,'6.A'!$A$11:$G$180,4,FALSE))</f>
        <v/>
      </c>
      <c r="E1760" s="100" t="str">
        <f>IF(A1760="","",VLOOKUP(A1760,'6.A'!$A$11:$G$180,5,FALSE))</f>
        <v/>
      </c>
      <c r="F1760" s="24" t="str">
        <f t="shared" si="756"/>
        <v>0,00</v>
      </c>
      <c r="G1760" s="52"/>
      <c r="H1760" s="52" t="str">
        <f>IF(A1760="","",VLOOKUP(A1760,'6.A'!$A$11:$E$7984,5,FALSE))</f>
        <v/>
      </c>
      <c r="I1760" s="52" t="str">
        <f t="shared" si="757"/>
        <v/>
      </c>
      <c r="J1760" s="52" t="str">
        <f>IF(H1760="","",VLOOKUP(A1760,'6.A'!$A$11:$E$564,4,FALSE))</f>
        <v/>
      </c>
      <c r="K1760" s="52" t="str">
        <f t="shared" si="758"/>
        <v/>
      </c>
      <c r="L1760" s="52" t="str">
        <f>IF(H1760="","",IF(C1760="","",G1728*C1760))</f>
        <v/>
      </c>
      <c r="M1760" s="117" t="str">
        <f>IF(A1760="","",VLOOKUP(A1760,'6.A'!$A$11:$C$564,2,FALSE))</f>
        <v/>
      </c>
      <c r="N1760" s="57" t="str">
        <f t="shared" si="759"/>
        <v/>
      </c>
      <c r="O1760" s="56"/>
      <c r="P1760" s="56"/>
      <c r="Q1760" s="48"/>
      <c r="R1760" s="48"/>
      <c r="S1760" s="2"/>
    </row>
    <row r="1761" spans="1:22" ht="12.75" customHeight="1" x14ac:dyDescent="0.2">
      <c r="A1761" s="22"/>
      <c r="B1761" s="23" t="str">
        <f>IF(A1761="","",VLOOKUP(A1761,'6.A'!$A$11:$G$180,2,FALSE))</f>
        <v/>
      </c>
      <c r="C1761" s="99"/>
      <c r="D1761" s="57" t="str">
        <f>IF(A1761="","",VLOOKUP(A1761,'6.A'!$A$11:$G$180,4,FALSE))</f>
        <v/>
      </c>
      <c r="E1761" s="100" t="str">
        <f>IF(A1761="","",VLOOKUP(A1761,'6.A'!$A$11:$G$180,5,FALSE))</f>
        <v/>
      </c>
      <c r="F1761" s="24" t="str">
        <f t="shared" si="756"/>
        <v>0,00</v>
      </c>
      <c r="G1761" s="52"/>
      <c r="H1761" s="52" t="str">
        <f>IF(A1761="","",VLOOKUP(A1761,'6.A'!$A$11:$E$7984,5,FALSE))</f>
        <v/>
      </c>
      <c r="I1761" s="52" t="str">
        <f t="shared" si="757"/>
        <v/>
      </c>
      <c r="J1761" s="52" t="str">
        <f>IF(H1761="","",VLOOKUP(A1761,'6.A'!$A$11:$E$564,4,FALSE))</f>
        <v/>
      </c>
      <c r="K1761" s="52" t="str">
        <f t="shared" si="758"/>
        <v/>
      </c>
      <c r="L1761" s="52" t="str">
        <f>IF(H1761="","",IF(C1761="","",G1728*C1761))</f>
        <v/>
      </c>
      <c r="M1761" s="117" t="str">
        <f>IF(A1761="","",VLOOKUP(A1761,'6.A'!$A$11:$C$564,2,FALSE))</f>
        <v/>
      </c>
      <c r="N1761" s="57" t="str">
        <f t="shared" si="759"/>
        <v/>
      </c>
      <c r="O1761" s="56"/>
      <c r="P1761" s="56"/>
      <c r="Q1761" s="48"/>
      <c r="R1761" s="48"/>
      <c r="S1761" s="2"/>
    </row>
    <row r="1762" spans="1:22" ht="12.75" customHeight="1" x14ac:dyDescent="0.2">
      <c r="A1762" s="22"/>
      <c r="B1762" s="23" t="str">
        <f>IF(A1762="","",VLOOKUP(A1762,'6.A'!$A$11:$G$180,2,FALSE))</f>
        <v/>
      </c>
      <c r="C1762" s="99"/>
      <c r="D1762" s="57" t="str">
        <f>IF(A1762="","",VLOOKUP(A1762,'6.A'!$A$11:$G$180,4,FALSE))</f>
        <v/>
      </c>
      <c r="E1762" s="100" t="str">
        <f>IF(A1762="","",VLOOKUP(A1762,'6.A'!$A$11:$G$180,5,FALSE))</f>
        <v/>
      </c>
      <c r="F1762" s="24" t="str">
        <f t="shared" si="756"/>
        <v>0,00</v>
      </c>
      <c r="G1762" s="52"/>
      <c r="H1762" s="52" t="str">
        <f>IF(A1762="","",VLOOKUP(A1762,'6.A'!$A$11:$E$7984,5,FALSE))</f>
        <v/>
      </c>
      <c r="I1762" s="52" t="str">
        <f t="shared" si="757"/>
        <v/>
      </c>
      <c r="J1762" s="52" t="str">
        <f>IF(H1762="","",VLOOKUP(A1762,'6.A'!$A$11:$E$564,4,FALSE))</f>
        <v/>
      </c>
      <c r="K1762" s="52" t="str">
        <f t="shared" si="758"/>
        <v/>
      </c>
      <c r="L1762" s="52" t="str">
        <f>IF(H1762="","",IF(C1762="","",G1728*C1762))</f>
        <v/>
      </c>
      <c r="M1762" s="117" t="str">
        <f>IF(A1762="","",VLOOKUP(A1762,'6.A'!$A$11:$C$564,2,FALSE))</f>
        <v/>
      </c>
      <c r="N1762" s="57" t="str">
        <f t="shared" si="759"/>
        <v/>
      </c>
      <c r="O1762" s="56"/>
      <c r="P1762" s="56"/>
      <c r="Q1762" s="48"/>
      <c r="R1762" s="48"/>
      <c r="S1762" s="2"/>
    </row>
    <row r="1763" spans="1:22" ht="12.75" customHeight="1" x14ac:dyDescent="0.2">
      <c r="A1763" s="22"/>
      <c r="B1763" s="23" t="str">
        <f>IF(A1763="","",VLOOKUP(A1763,'6.A'!$A$11:$G$180,2,FALSE))</f>
        <v/>
      </c>
      <c r="C1763" s="99"/>
      <c r="D1763" s="57" t="str">
        <f>IF(A1763="","",VLOOKUP(A1763,'6.A'!$A$11:$G$180,4,FALSE))</f>
        <v/>
      </c>
      <c r="E1763" s="100" t="str">
        <f>IF(A1763="","",VLOOKUP(A1763,'6.A'!$A$11:$G$180,5,FALSE))</f>
        <v/>
      </c>
      <c r="F1763" s="24" t="str">
        <f t="shared" si="756"/>
        <v>0,00</v>
      </c>
      <c r="G1763" s="52"/>
      <c r="H1763" s="52" t="str">
        <f>IF(A1763="","",VLOOKUP(A1763,'6.A'!$A$11:$E$7984,5,FALSE))</f>
        <v/>
      </c>
      <c r="I1763" s="52" t="str">
        <f t="shared" si="757"/>
        <v/>
      </c>
      <c r="J1763" s="52" t="str">
        <f>IF(H1763="","",VLOOKUP(A1763,'6.A'!$A$11:$E$564,4,FALSE))</f>
        <v/>
      </c>
      <c r="K1763" s="52" t="str">
        <f t="shared" si="758"/>
        <v/>
      </c>
      <c r="L1763" s="52" t="str">
        <f>IF(H1763="","",IF(C1763="","",G1728*C1763))</f>
        <v/>
      </c>
      <c r="M1763" s="117" t="str">
        <f>IF(A1763="","",VLOOKUP(A1763,'6.A'!$A$11:$C$564,2,FALSE))</f>
        <v/>
      </c>
      <c r="N1763" s="57" t="str">
        <f t="shared" si="759"/>
        <v/>
      </c>
      <c r="O1763" s="56"/>
      <c r="P1763" s="56"/>
      <c r="Q1763" s="48"/>
      <c r="R1763" s="48"/>
      <c r="S1763" s="2"/>
    </row>
    <row r="1764" spans="1:22" s="65" customFormat="1" ht="12.75" customHeight="1" x14ac:dyDescent="0.2">
      <c r="A1764" s="22"/>
      <c r="B1764" s="23" t="str">
        <f>IF(A1764="","",VLOOKUP(A1764,'6.A'!$A$11:$G$180,2,FALSE))</f>
        <v/>
      </c>
      <c r="C1764" s="99"/>
      <c r="D1764" s="57" t="str">
        <f>IF(A1764="","",VLOOKUP(A1764,'6.A'!$A$11:$G$180,4,FALSE))</f>
        <v/>
      </c>
      <c r="E1764" s="100" t="str">
        <f>IF(A1764="","",VLOOKUP(A1764,'6.A'!$A$11:$G$180,5,FALSE))</f>
        <v/>
      </c>
      <c r="F1764" s="24" t="str">
        <f t="shared" si="756"/>
        <v>0,00</v>
      </c>
      <c r="G1764" s="52"/>
      <c r="H1764" s="52" t="str">
        <f>IF(A1764="","",VLOOKUP(A1764,'6.A'!$A$11:$E$7984,5,FALSE))</f>
        <v/>
      </c>
      <c r="I1764" s="52" t="str">
        <f t="shared" si="757"/>
        <v/>
      </c>
      <c r="J1764" s="52" t="str">
        <f>IF(H1764="","",VLOOKUP(A1764,'6.A'!$A$11:$E$564,4,FALSE))</f>
        <v/>
      </c>
      <c r="K1764" s="52" t="str">
        <f t="shared" si="758"/>
        <v/>
      </c>
      <c r="L1764" s="52" t="str">
        <f>IF(H1764="","",IF(C1764="","",G1728*C1764))</f>
        <v/>
      </c>
      <c r="M1764" s="117" t="str">
        <f>IF(A1764="","",VLOOKUP(A1764,'6.A'!$A$11:$C$564,2,FALSE))</f>
        <v/>
      </c>
      <c r="N1764" s="57" t="str">
        <f t="shared" si="759"/>
        <v/>
      </c>
      <c r="O1764" s="56"/>
      <c r="P1764" s="56"/>
      <c r="Q1764" s="48"/>
      <c r="R1764" s="48"/>
      <c r="T1764" s="2"/>
      <c r="U1764" s="2"/>
      <c r="V1764" s="2"/>
    </row>
    <row r="1765" spans="1:22" s="65" customFormat="1" ht="12.75" customHeight="1" x14ac:dyDescent="0.2">
      <c r="A1765" s="22"/>
      <c r="B1765" s="23" t="str">
        <f>IF(A1765="","",VLOOKUP(A1765,'6.A'!$A$11:$G$180,2,FALSE))</f>
        <v/>
      </c>
      <c r="C1765" s="99"/>
      <c r="D1765" s="57" t="str">
        <f>IF(A1765="","",VLOOKUP(A1765,'6.A'!$A$11:$G$180,4,FALSE))</f>
        <v/>
      </c>
      <c r="E1765" s="100" t="str">
        <f>IF(A1765="","",VLOOKUP(A1765,'6.A'!$A$11:$G$180,5,FALSE))</f>
        <v/>
      </c>
      <c r="F1765" s="24" t="str">
        <f t="shared" si="756"/>
        <v>0,00</v>
      </c>
      <c r="G1765" s="52"/>
      <c r="H1765" s="52" t="str">
        <f>IF(A1765="","",VLOOKUP(A1765,'6.A'!$A$11:$E$7984,5,FALSE))</f>
        <v/>
      </c>
      <c r="I1765" s="52" t="str">
        <f t="shared" si="757"/>
        <v/>
      </c>
      <c r="J1765" s="52" t="str">
        <f>IF(H1765="","",VLOOKUP(A1765,'6.A'!$A$11:$E$564,4,FALSE))</f>
        <v/>
      </c>
      <c r="K1765" s="52" t="str">
        <f t="shared" si="758"/>
        <v/>
      </c>
      <c r="L1765" s="52" t="str">
        <f>IF(H1765="","",IF(C1765="","",G1728*C1765))</f>
        <v/>
      </c>
      <c r="M1765" s="117" t="str">
        <f>IF(A1765="","",VLOOKUP(A1765,'6.A'!$A$11:$C$564,2,FALSE))</f>
        <v/>
      </c>
      <c r="N1765" s="57" t="str">
        <f t="shared" si="759"/>
        <v/>
      </c>
      <c r="O1765" s="56"/>
      <c r="P1765" s="56"/>
      <c r="Q1765" s="48"/>
      <c r="R1765" s="48"/>
      <c r="T1765" s="2"/>
      <c r="U1765" s="2"/>
      <c r="V1765" s="2"/>
    </row>
    <row r="1766" spans="1:22" s="65" customFormat="1" ht="12.75" customHeight="1" x14ac:dyDescent="0.2">
      <c r="A1766" s="22"/>
      <c r="B1766" s="23" t="str">
        <f>IF(A1766="","",VLOOKUP(A1766,'6.A'!$A$11:$G$180,2,FALSE))</f>
        <v/>
      </c>
      <c r="C1766" s="99"/>
      <c r="D1766" s="57" t="str">
        <f>IF(A1766="","",VLOOKUP(A1766,'6.A'!$A$11:$G$180,4,FALSE))</f>
        <v/>
      </c>
      <c r="E1766" s="100" t="str">
        <f>IF(A1766="","",VLOOKUP(A1766,'6.A'!$A$11:$G$180,5,FALSE))</f>
        <v/>
      </c>
      <c r="F1766" s="24" t="str">
        <f t="shared" si="756"/>
        <v>0,00</v>
      </c>
      <c r="G1766" s="52"/>
      <c r="H1766" s="52" t="str">
        <f>IF(A1766="","",VLOOKUP(A1766,'6.A'!$A$11:$E$7984,5,FALSE))</f>
        <v/>
      </c>
      <c r="I1766" s="52" t="str">
        <f t="shared" si="757"/>
        <v/>
      </c>
      <c r="J1766" s="52" t="str">
        <f>IF(H1766="","",VLOOKUP(A1766,'6.A'!$A$11:$E$564,4,FALSE))</f>
        <v/>
      </c>
      <c r="K1766" s="52" t="str">
        <f t="shared" si="758"/>
        <v/>
      </c>
      <c r="L1766" s="52" t="str">
        <f>IF(H1766="","",IF(C1766="","",G1728*C1766))</f>
        <v/>
      </c>
      <c r="M1766" s="117" t="str">
        <f>IF(A1766="","",VLOOKUP(A1766,'6.A'!$A$11:$C$564,2,FALSE))</f>
        <v/>
      </c>
      <c r="N1766" s="57" t="str">
        <f t="shared" si="759"/>
        <v/>
      </c>
      <c r="O1766" s="56"/>
      <c r="P1766" s="56"/>
      <c r="Q1766" s="48"/>
      <c r="R1766" s="48"/>
      <c r="T1766" s="2"/>
      <c r="U1766" s="2"/>
      <c r="V1766" s="2"/>
    </row>
    <row r="1767" spans="1:22" s="65" customFormat="1" ht="12.75" customHeight="1" x14ac:dyDescent="0.2">
      <c r="A1767" s="22"/>
      <c r="B1767" s="23" t="str">
        <f>IF(A1767="","",VLOOKUP(A1767,'6.A'!$A$11:$G$180,2,FALSE))</f>
        <v/>
      </c>
      <c r="C1767" s="99"/>
      <c r="D1767" s="57" t="str">
        <f>IF(A1767="","",VLOOKUP(A1767,'6.A'!$A$11:$G$180,4,FALSE))</f>
        <v/>
      </c>
      <c r="E1767" s="100" t="str">
        <f>IF(A1767="","",VLOOKUP(A1767,'6.A'!$A$11:$G$180,5,FALSE))</f>
        <v/>
      </c>
      <c r="F1767" s="24" t="str">
        <f t="shared" si="756"/>
        <v>0,00</v>
      </c>
      <c r="G1767" s="52"/>
      <c r="H1767" s="52" t="str">
        <f>IF(A1767="","",VLOOKUP(A1767,'6.A'!$A$11:$E$7984,5,FALSE))</f>
        <v/>
      </c>
      <c r="I1767" s="52" t="str">
        <f t="shared" si="757"/>
        <v/>
      </c>
      <c r="J1767" s="52" t="str">
        <f>IF(H1767="","",VLOOKUP(A1767,'6.A'!$A$11:$E$564,4,FALSE))</f>
        <v/>
      </c>
      <c r="K1767" s="52" t="str">
        <f t="shared" si="758"/>
        <v/>
      </c>
      <c r="L1767" s="52" t="str">
        <f>IF(H1767="","",IF(C1767="","",G1728*C1767))</f>
        <v/>
      </c>
      <c r="M1767" s="117" t="str">
        <f>IF(A1767="","",VLOOKUP(A1767,'6.A'!$A$11:$C$564,2,FALSE))</f>
        <v/>
      </c>
      <c r="N1767" s="57" t="str">
        <f t="shared" si="759"/>
        <v/>
      </c>
      <c r="O1767" s="56"/>
      <c r="P1767" s="56"/>
      <c r="Q1767" s="48"/>
      <c r="R1767" s="48"/>
      <c r="T1767" s="2"/>
      <c r="U1767" s="2"/>
      <c r="V1767" s="2"/>
    </row>
    <row r="1768" spans="1:22" ht="12.75" customHeight="1" x14ac:dyDescent="0.2">
      <c r="A1768" s="22"/>
      <c r="B1768" s="23" t="str">
        <f>IF(A1768="","",VLOOKUP(A1768,'6.A'!$A$11:$G$180,2,FALSE))</f>
        <v/>
      </c>
      <c r="C1768" s="99"/>
      <c r="D1768" s="57" t="str">
        <f>IF(A1768="","",VLOOKUP(A1768,'6.A'!$A$11:$G$180,4,FALSE))</f>
        <v/>
      </c>
      <c r="E1768" s="100" t="str">
        <f>IF(A1768="","",VLOOKUP(A1768,'6.A'!$A$11:$G$180,5,FALSE))</f>
        <v/>
      </c>
      <c r="F1768" s="24" t="str">
        <f t="shared" si="756"/>
        <v>0,00</v>
      </c>
      <c r="G1768" s="52"/>
      <c r="H1768" s="52" t="str">
        <f>IF(A1768="","",VLOOKUP(A1768,'6.A'!$A$11:$E$7984,5,FALSE))</f>
        <v/>
      </c>
      <c r="I1768" s="52" t="str">
        <f t="shared" si="757"/>
        <v/>
      </c>
      <c r="J1768" s="52" t="str">
        <f>IF(H1768="","",VLOOKUP(A1768,'6.A'!$A$11:$E$564,4,FALSE))</f>
        <v/>
      </c>
      <c r="K1768" s="52" t="str">
        <f t="shared" si="758"/>
        <v/>
      </c>
      <c r="L1768" s="52" t="str">
        <f>IF(H1768="","",IF(C1768="","",G1728*C1768))</f>
        <v/>
      </c>
      <c r="M1768" s="117" t="str">
        <f>IF(A1768="","",VLOOKUP(A1768,'6.A'!$A$11:$C$564,2,FALSE))</f>
        <v/>
      </c>
      <c r="N1768" s="57" t="str">
        <f t="shared" si="759"/>
        <v/>
      </c>
      <c r="O1768" s="56"/>
      <c r="P1768" s="56"/>
      <c r="Q1768" s="48"/>
      <c r="R1768" s="48"/>
    </row>
    <row r="1769" spans="1:22" ht="12.75" customHeight="1" x14ac:dyDescent="0.2">
      <c r="A1769" s="22"/>
      <c r="B1769" s="23" t="str">
        <f>IF(A1769="","",VLOOKUP(A1769,'6.A'!$A$11:$G$180,2,FALSE))</f>
        <v/>
      </c>
      <c r="C1769" s="99"/>
      <c r="D1769" s="57" t="str">
        <f>IF(A1769="","",VLOOKUP(A1769,'6.A'!$A$11:$G$180,4,FALSE))</f>
        <v/>
      </c>
      <c r="E1769" s="100" t="str">
        <f>IF(A1769="","",VLOOKUP(A1769,'6.A'!$A$11:$G$180,5,FALSE))</f>
        <v/>
      </c>
      <c r="F1769" s="24" t="str">
        <f t="shared" si="756"/>
        <v>0,00</v>
      </c>
      <c r="G1769" s="52"/>
      <c r="H1769" s="52" t="str">
        <f>IF(A1769="","",VLOOKUP(A1769,'6.A'!$A$11:$E$7984,5,FALSE))</f>
        <v/>
      </c>
      <c r="I1769" s="52" t="str">
        <f t="shared" si="757"/>
        <v/>
      </c>
      <c r="J1769" s="52" t="str">
        <f>IF(H1769="","",VLOOKUP(A1769,'6.A'!$A$11:$E$564,4,FALSE))</f>
        <v/>
      </c>
      <c r="K1769" s="52" t="str">
        <f t="shared" si="758"/>
        <v/>
      </c>
      <c r="L1769" s="52" t="str">
        <f>IF(H1769="","",IF(C1769="","",G1728*C1769))</f>
        <v/>
      </c>
      <c r="M1769" s="117" t="str">
        <f>IF(A1769="","",VLOOKUP(A1769,'6.A'!$A$11:$C$564,2,FALSE))</f>
        <v/>
      </c>
      <c r="N1769" s="57" t="str">
        <f t="shared" si="759"/>
        <v/>
      </c>
      <c r="O1769" s="56"/>
      <c r="P1769" s="56"/>
      <c r="Q1769" s="48"/>
      <c r="R1769" s="48"/>
    </row>
    <row r="1770" spans="1:22" ht="12.75" customHeight="1" x14ac:dyDescent="0.2">
      <c r="A1770" s="22"/>
      <c r="B1770" s="23" t="str">
        <f>IF(A1770="","",VLOOKUP(A1770,'6.A'!$A$11:$G$180,2,FALSE))</f>
        <v/>
      </c>
      <c r="C1770" s="99"/>
      <c r="D1770" s="57" t="str">
        <f>IF(A1770="","",VLOOKUP(A1770,'6.A'!$A$11:$G$180,4,FALSE))</f>
        <v/>
      </c>
      <c r="E1770" s="100" t="str">
        <f>IF(A1770="","",VLOOKUP(A1770,'6.A'!$A$11:$G$180,5,FALSE))</f>
        <v/>
      </c>
      <c r="F1770" s="24" t="str">
        <f t="shared" si="756"/>
        <v>0,00</v>
      </c>
      <c r="G1770" s="52"/>
      <c r="H1770" s="52" t="str">
        <f>IF(A1770="","",VLOOKUP(A1770,'6.A'!$A$11:$E$7984,5,FALSE))</f>
        <v/>
      </c>
      <c r="I1770" s="52" t="str">
        <f t="shared" si="757"/>
        <v/>
      </c>
      <c r="J1770" s="52" t="str">
        <f>IF(H1770="","",VLOOKUP(A1770,'6.A'!$A$11:$E$564,4,FALSE))</f>
        <v/>
      </c>
      <c r="K1770" s="52" t="str">
        <f t="shared" si="758"/>
        <v/>
      </c>
      <c r="L1770" s="52" t="str">
        <f>IF(H1770="","",IF(C1770="","",G1728*C1770))</f>
        <v/>
      </c>
      <c r="M1770" s="117" t="str">
        <f>IF(A1770="","",VLOOKUP(A1770,'6.A'!$A$11:$C$564,2,FALSE))</f>
        <v/>
      </c>
      <c r="N1770" s="57" t="str">
        <f t="shared" si="759"/>
        <v/>
      </c>
      <c r="O1770" s="56"/>
      <c r="P1770" s="56"/>
      <c r="Q1770" s="48"/>
      <c r="R1770" s="48"/>
    </row>
    <row r="1771" spans="1:22" ht="12.75" customHeight="1" x14ac:dyDescent="0.2">
      <c r="A1771" s="22"/>
      <c r="B1771" s="23" t="str">
        <f>IF(A1771="","",VLOOKUP(A1771,'6.A'!$A$11:$G$180,2,FALSE))</f>
        <v/>
      </c>
      <c r="C1771" s="99"/>
      <c r="D1771" s="57" t="str">
        <f>IF(A1771="","",VLOOKUP(A1771,'6.A'!$A$11:$G$180,4,FALSE))</f>
        <v/>
      </c>
      <c r="E1771" s="100" t="str">
        <f>IF(A1771="","",VLOOKUP(A1771,'6.A'!$A$11:$G$180,5,FALSE))</f>
        <v/>
      </c>
      <c r="F1771" s="24" t="str">
        <f t="shared" si="756"/>
        <v>0,00</v>
      </c>
      <c r="G1771" s="52"/>
      <c r="H1771" s="52" t="str">
        <f>IF(A1771="","",VLOOKUP(A1771,'6.A'!$A$11:$E$7984,5,FALSE))</f>
        <v/>
      </c>
      <c r="I1771" s="52" t="str">
        <f t="shared" si="757"/>
        <v/>
      </c>
      <c r="J1771" s="52" t="str">
        <f>IF(H1771="","",VLOOKUP(A1771,'6.A'!$A$11:$E$564,4,FALSE))</f>
        <v/>
      </c>
      <c r="K1771" s="52" t="str">
        <f t="shared" si="758"/>
        <v/>
      </c>
      <c r="L1771" s="52" t="str">
        <f>IF(H1771="","",IF(C1771="","",G1728*C1771))</f>
        <v/>
      </c>
      <c r="M1771" s="117" t="str">
        <f>IF(A1771="","",VLOOKUP(A1771,'6.A'!$A$11:$C$564,2,FALSE))</f>
        <v/>
      </c>
      <c r="N1771" s="57" t="str">
        <f t="shared" si="759"/>
        <v/>
      </c>
      <c r="O1771" s="56"/>
      <c r="P1771" s="56"/>
      <c r="Q1771" s="48"/>
      <c r="R1771" s="48"/>
    </row>
    <row r="1772" spans="1:22" ht="12.75" customHeight="1" x14ac:dyDescent="0.2">
      <c r="A1772" s="22"/>
      <c r="B1772" s="23" t="str">
        <f>IF(A1772="","",VLOOKUP(A1772,'6.A'!$A$11:$G$180,2,FALSE))</f>
        <v/>
      </c>
      <c r="C1772" s="99"/>
      <c r="D1772" s="57" t="str">
        <f>IF(A1772="","",VLOOKUP(A1772,'6.A'!$A$11:$G$180,4,FALSE))</f>
        <v/>
      </c>
      <c r="E1772" s="100" t="str">
        <f>IF(A1772="","",VLOOKUP(A1772,'6.A'!$A$11:$G$180,5,FALSE))</f>
        <v/>
      </c>
      <c r="F1772" s="24" t="str">
        <f t="shared" si="756"/>
        <v>0,00</v>
      </c>
      <c r="G1772" s="52"/>
      <c r="H1772" s="52" t="str">
        <f>IF(A1772="","",VLOOKUP(A1772,'6.A'!$A$11:$E$7984,5,FALSE))</f>
        <v/>
      </c>
      <c r="I1772" s="52" t="str">
        <f t="shared" si="757"/>
        <v/>
      </c>
      <c r="J1772" s="52" t="str">
        <f>IF(H1772="","",VLOOKUP(A1772,'6.A'!$A$11:$E$564,4,FALSE))</f>
        <v/>
      </c>
      <c r="K1772" s="52" t="str">
        <f t="shared" si="758"/>
        <v/>
      </c>
      <c r="L1772" s="52" t="str">
        <f>IF(H1772="","",IF(C1772="","",G1728*C1772))</f>
        <v/>
      </c>
      <c r="M1772" s="117" t="str">
        <f>IF(A1772="","",VLOOKUP(A1772,'6.A'!$A$11:$C$564,2,FALSE))</f>
        <v/>
      </c>
      <c r="N1772" s="57" t="str">
        <f t="shared" si="759"/>
        <v/>
      </c>
      <c r="O1772" s="56"/>
      <c r="P1772" s="56"/>
      <c r="Q1772" s="48"/>
      <c r="R1772" s="48"/>
    </row>
    <row r="1773" spans="1:22" ht="12.75" customHeight="1" x14ac:dyDescent="0.2">
      <c r="A1773" s="22"/>
      <c r="B1773" s="23" t="str">
        <f>IF(A1773="","",VLOOKUP(A1773,'6.A'!$A$11:$G$180,2,FALSE))</f>
        <v/>
      </c>
      <c r="C1773" s="99"/>
      <c r="D1773" s="57" t="str">
        <f>IF(A1773="","",VLOOKUP(A1773,'6.A'!$A$11:$G$180,4,FALSE))</f>
        <v/>
      </c>
      <c r="E1773" s="100" t="str">
        <f>IF(A1773="","",VLOOKUP(A1773,'6.A'!$A$11:$G$180,5,FALSE))</f>
        <v/>
      </c>
      <c r="F1773" s="24" t="str">
        <f t="shared" si="756"/>
        <v>0,00</v>
      </c>
      <c r="G1773" s="52"/>
      <c r="H1773" s="52" t="str">
        <f>IF(A1773="","",VLOOKUP(A1773,'6.A'!$A$11:$E$7984,5,FALSE))</f>
        <v/>
      </c>
      <c r="I1773" s="52" t="str">
        <f t="shared" si="757"/>
        <v/>
      </c>
      <c r="J1773" s="52" t="str">
        <f>IF(H1773="","",VLOOKUP(A1773,'6.A'!$A$11:$E$564,4,FALSE))</f>
        <v/>
      </c>
      <c r="K1773" s="52" t="str">
        <f t="shared" si="758"/>
        <v/>
      </c>
      <c r="L1773" s="52" t="str">
        <f>IF(H1773="","",IF(C1773="","",G1728*C1773))</f>
        <v/>
      </c>
      <c r="M1773" s="117" t="str">
        <f>IF(A1773="","",VLOOKUP(A1773,'6.A'!$A$11:$C$564,2,FALSE))</f>
        <v/>
      </c>
      <c r="N1773" s="57" t="str">
        <f t="shared" si="759"/>
        <v/>
      </c>
      <c r="O1773" s="56"/>
      <c r="P1773" s="56"/>
      <c r="Q1773" s="48"/>
      <c r="R1773" s="48"/>
    </row>
    <row r="1774" spans="1:22" ht="12.75" customHeight="1" x14ac:dyDescent="0.2">
      <c r="A1774" s="22"/>
      <c r="B1774" s="39" t="str">
        <f>IF(A1774="","",VLOOKUP(A1774,'6.A'!$A$11:$G$180,2,FALSE))</f>
        <v/>
      </c>
      <c r="C1774" s="99"/>
      <c r="D1774" s="57" t="str">
        <f>IF(A1774="","",VLOOKUP(A1774,'6.A'!$A$11:$G$180,4,FALSE))</f>
        <v/>
      </c>
      <c r="E1774" s="100" t="str">
        <f>IF(A1774="","",VLOOKUP(A1774,'6.A'!$A$11:$G$180,5,FALSE))</f>
        <v/>
      </c>
      <c r="F1774" s="24" t="str">
        <f t="shared" si="756"/>
        <v>0,00</v>
      </c>
      <c r="G1774" s="52"/>
      <c r="H1774" s="52" t="str">
        <f>IF(A1774="","",VLOOKUP(A1774,'6.A'!$A$11:$E$7984,5,FALSE))</f>
        <v/>
      </c>
      <c r="I1774" s="52" t="str">
        <f t="shared" si="757"/>
        <v/>
      </c>
      <c r="J1774" s="52" t="str">
        <f>IF(H1774="","",VLOOKUP(A1774,'6.A'!$A$11:$E$564,4,FALSE))</f>
        <v/>
      </c>
      <c r="K1774" s="52" t="str">
        <f t="shared" si="758"/>
        <v/>
      </c>
      <c r="L1774" s="52" t="str">
        <f>IF(H1774="","",IF(C1774="","",G1728*C1774))</f>
        <v/>
      </c>
      <c r="M1774" s="117" t="str">
        <f>IF(A1774="","",VLOOKUP(A1774,'6.A'!$A$11:$C$564,2,FALSE))</f>
        <v/>
      </c>
      <c r="N1774" s="57" t="str">
        <f t="shared" si="759"/>
        <v/>
      </c>
      <c r="O1774" s="56"/>
      <c r="P1774" s="56"/>
      <c r="Q1774" s="48"/>
      <c r="R1774" s="48"/>
    </row>
    <row r="1775" spans="1:22" ht="12.75" customHeight="1" x14ac:dyDescent="0.2">
      <c r="A1775" s="22"/>
      <c r="B1775" s="39" t="str">
        <f>IF(A1775="","",VLOOKUP(A1775,'6.A'!$A$11:$G$180,2,FALSE))</f>
        <v/>
      </c>
      <c r="C1775" s="99"/>
      <c r="D1775" s="57" t="str">
        <f>IF(A1775="","",VLOOKUP(A1775,'6.A'!$A$11:$G$180,4,FALSE))</f>
        <v/>
      </c>
      <c r="E1775" s="100" t="str">
        <f>IF(A1775="","",VLOOKUP(A1775,'6.A'!$A$11:$G$180,5,FALSE))</f>
        <v/>
      </c>
      <c r="F1775" s="24" t="str">
        <f t="shared" si="756"/>
        <v>0,00</v>
      </c>
      <c r="G1775" s="52"/>
      <c r="H1775" s="52" t="str">
        <f>IF(A1775="","",VLOOKUP(A1775,'6.A'!$A$11:$E$7984,5,FALSE))</f>
        <v/>
      </c>
      <c r="I1775" s="52" t="str">
        <f t="shared" si="757"/>
        <v/>
      </c>
      <c r="J1775" s="52" t="str">
        <f>IF(H1775="","",VLOOKUP(A1775,'6.A'!$A$11:$E$564,4,FALSE))</f>
        <v/>
      </c>
      <c r="K1775" s="52" t="str">
        <f t="shared" si="758"/>
        <v/>
      </c>
      <c r="L1775" s="52" t="str">
        <f>IF(H1775="","",IF(C1775="","",G1728*C1775))</f>
        <v/>
      </c>
      <c r="M1775" s="117" t="str">
        <f>IF(A1775="","",VLOOKUP(A1775,'6.A'!$A$11:$C$564,2,FALSE))</f>
        <v/>
      </c>
      <c r="N1775" s="57" t="str">
        <f t="shared" si="759"/>
        <v/>
      </c>
      <c r="O1775" s="56"/>
      <c r="P1775" s="56"/>
      <c r="Q1775" s="48"/>
      <c r="R1775" s="48"/>
    </row>
    <row r="1776" spans="1:22" ht="12.75" customHeight="1" x14ac:dyDescent="0.2">
      <c r="A1776" s="22"/>
      <c r="B1776" s="39" t="str">
        <f>IF(A1776="","",VLOOKUP(A1776,'6.A'!$A$11:$G$180,2,FALSE))</f>
        <v/>
      </c>
      <c r="C1776" s="99"/>
      <c r="D1776" s="57" t="str">
        <f>IF(A1776="","",VLOOKUP(A1776,'6.A'!$A$11:$G$180,4,FALSE))</f>
        <v/>
      </c>
      <c r="E1776" s="100" t="str">
        <f>IF(A1776="","",VLOOKUP(A1776,'6.A'!$A$11:$G$180,5,FALSE))</f>
        <v/>
      </c>
      <c r="F1776" s="24" t="str">
        <f t="shared" si="756"/>
        <v>0,00</v>
      </c>
      <c r="G1776" s="52"/>
      <c r="H1776" s="52" t="str">
        <f>IF(A1776="","",VLOOKUP(A1776,'6.A'!$A$11:$E$7984,5,FALSE))</f>
        <v/>
      </c>
      <c r="I1776" s="52" t="str">
        <f t="shared" si="757"/>
        <v/>
      </c>
      <c r="J1776" s="52" t="str">
        <f>IF(H1776="","",VLOOKUP(A1776,'6.A'!$A$11:$E$564,4,FALSE))</f>
        <v/>
      </c>
      <c r="K1776" s="52" t="str">
        <f t="shared" si="758"/>
        <v/>
      </c>
      <c r="L1776" s="52" t="str">
        <f>IF(H1776="","",IF(C1776="","",G1728*C1776))</f>
        <v/>
      </c>
      <c r="M1776" s="117" t="str">
        <f>IF(A1776="","",VLOOKUP(A1776,'6.A'!$A$11:$C$564,2,FALSE))</f>
        <v/>
      </c>
      <c r="N1776" s="57" t="str">
        <f t="shared" si="759"/>
        <v/>
      </c>
      <c r="O1776" s="56"/>
      <c r="P1776" s="56"/>
      <c r="Q1776" s="48"/>
      <c r="R1776" s="48"/>
    </row>
    <row r="1777" spans="1:23" ht="12.75" customHeight="1" x14ac:dyDescent="0.2">
      <c r="A1777" s="22"/>
      <c r="B1777" s="26" t="str">
        <f>$A$9</f>
        <v>BDI</v>
      </c>
      <c r="C1777" s="40">
        <f>$C$9</f>
        <v>0</v>
      </c>
      <c r="D1777" s="57"/>
      <c r="F1777" s="28">
        <f>ROUND(SUM(F1757:F1776)*C1777,2)</f>
        <v>0</v>
      </c>
      <c r="G1777" s="63"/>
      <c r="M1777" s="57"/>
      <c r="N1777" s="57"/>
      <c r="O1777" s="56"/>
      <c r="P1777" s="56"/>
      <c r="Q1777" s="48"/>
      <c r="R1777" s="48"/>
    </row>
    <row r="1778" spans="1:23" ht="12.75" customHeight="1" thickBot="1" x14ac:dyDescent="0.25">
      <c r="A1778" s="41"/>
      <c r="B1778" s="42" t="s">
        <v>57</v>
      </c>
      <c r="C1778" s="43"/>
      <c r="D1778" s="44"/>
      <c r="E1778" s="45"/>
      <c r="F1778" s="46">
        <f>ROUND(SUM(F1757:F1777),2)</f>
        <v>0</v>
      </c>
      <c r="G1778" s="63"/>
      <c r="M1778" s="57"/>
      <c r="N1778" s="57"/>
      <c r="O1778" s="56"/>
      <c r="P1778" s="56"/>
      <c r="Q1778" s="48"/>
      <c r="R1778" s="48"/>
    </row>
    <row r="1779" spans="1:23" ht="12" customHeight="1" thickBot="1" x14ac:dyDescent="0.25">
      <c r="A1779" s="8"/>
      <c r="B1779" s="9"/>
      <c r="C1779" s="10"/>
      <c r="D1779" s="57"/>
      <c r="F1779" s="12"/>
      <c r="M1779" s="57"/>
      <c r="N1779" s="57"/>
      <c r="O1779" s="56"/>
      <c r="P1779" s="56"/>
    </row>
    <row r="1780" spans="1:23" ht="50.1" customHeight="1" x14ac:dyDescent="0.2">
      <c r="A1780" s="13" t="str">
        <f>'3.A'!$A$218</f>
        <v>3.2.10</v>
      </c>
      <c r="B1780" s="14" t="str">
        <f>IF(A1780="","",VLOOKUP(A1780,'3.A'!$A$17:$M$279,2,FALSE))</f>
        <v>CABO DE COBRE FLEXÍVEL ISOLADO, 95 MM², ANTI-CHAMA 0,6/1,0 KV, PARA REDE ENTERRADA DE ENERGIA ELÉTRICA - NEUTRO</v>
      </c>
      <c r="C1780" s="413" t="s">
        <v>62</v>
      </c>
      <c r="D1780" s="413"/>
      <c r="E1780" s="15" t="str">
        <f>IF(A1780="","",VLOOKUP(A1780,'3.A'!$A$17:$M$279,3,FALSE))</f>
        <v>M</v>
      </c>
      <c r="F1780" s="16">
        <f>ROUND(F1794+F1807+F1830,2)</f>
        <v>0</v>
      </c>
      <c r="G1780" s="118">
        <f>VLOOKUP(A1780,'3.A'!$A$19:$I$279,4,FALSE)</f>
        <v>25</v>
      </c>
      <c r="H1780" s="47">
        <f>SUM(F1782:F1793)</f>
        <v>0</v>
      </c>
      <c r="I1780" s="47">
        <f>SUM(F1796:F1806)</f>
        <v>0</v>
      </c>
      <c r="J1780" s="47">
        <f>SUM(F1809:F1829)</f>
        <v>0</v>
      </c>
      <c r="K1780" s="47">
        <f>SUM(H1780:J1780)</f>
        <v>0</v>
      </c>
      <c r="L1780" s="47" t="str">
        <f>IF(K1780=F1780,"SIM","NÃO")</f>
        <v>SIM</v>
      </c>
      <c r="M1780" s="58">
        <f>ROUND(SUM(F1782:F1791)*C1792,2)+ROUND(SUM(F1782:F1792)*C1793,2)+ROUND(SUM(F1782:F1791),2)+ROUND(SUM(F1796:F1805)*C1806,2)+ROUND(SUM(F1796:F1805),2)+ROUND(SUM(F1809:F1828)*C1829,2)+ROUND(SUM(F1809:F1828),2)</f>
        <v>0</v>
      </c>
      <c r="N1780" s="50" t="str">
        <f>IF(M1780=F1780,"SIM","NÃO")</f>
        <v>SIM</v>
      </c>
      <c r="O1780" s="51" t="str">
        <f>VLOOKUP(A1780,'3.A'!$A$8:$E$279,3,FALSE)</f>
        <v>M</v>
      </c>
      <c r="P1780" s="51" t="str">
        <f>IF(O1780=E1780,"SIM","NÃO")</f>
        <v>SIM</v>
      </c>
      <c r="Q1780" s="53">
        <f>ROUND(G1780*F1794,2)+ROUND(G1780*F1807,2)+ROUND(G1780*F1830,2)</f>
        <v>0</v>
      </c>
      <c r="R1780" s="59">
        <f>VLOOKUP(A1780,'3.A'!$A$17:$L$279,12,FALSE)</f>
        <v>0</v>
      </c>
      <c r="S1780" s="60" t="str">
        <f>IF(Q1780=R1780,"si","no")</f>
        <v>si</v>
      </c>
      <c r="T1780" s="61">
        <f>SUM(L1782:L1791)+SUM(L1796:L1805)+SUM(L1809:L1828)</f>
        <v>31.74</v>
      </c>
      <c r="U1780" s="52">
        <f>G1780*C1788+G1780*C1790+G1780*C1783+G1780*C1784+G1780*C1786+G1780*C1789+G1780*C1787+G1780*C1782+G1780*C1785+G1780*C1791+G1780*C1802+G1780*C1796+G1780*C1804+G1780*C1803+G1780*C1801+G1780*C1798+G1780*C1797+G1780*C1799+G1780*C1805+G1780*C1800+G1780*C1809+G1780*C1810+G1780*C1811+G1780*C1819+G1780*C1820+G1780*C1821+G1780*C1822+G1780*C1823+G1780*C1824+G1780*C1825+G1780*C1826+G1780*C1827+G1780*C1828+G1780*C1817+G1780*C1818+G1780*C1812+G1780*C1813+G1780*C1814+G1780*C1815+G1780*C1816</f>
        <v>31.74</v>
      </c>
      <c r="V1780" s="54" t="str">
        <f>IF(T1780=U1780,"si","no")</f>
        <v>si</v>
      </c>
      <c r="W1780" s="137"/>
    </row>
    <row r="1781" spans="1:23" ht="12.75" customHeight="1" x14ac:dyDescent="0.2">
      <c r="A1781" s="17" t="s">
        <v>3</v>
      </c>
      <c r="B1781" s="18" t="s">
        <v>58</v>
      </c>
      <c r="C1781" s="56" t="s">
        <v>59</v>
      </c>
      <c r="D1781" s="56" t="s">
        <v>16</v>
      </c>
      <c r="E1781" s="19" t="s">
        <v>60</v>
      </c>
      <c r="F1781" s="20" t="s">
        <v>61</v>
      </c>
      <c r="G1781" s="21"/>
      <c r="M1781" s="57"/>
      <c r="N1781" s="57"/>
      <c r="O1781" s="56"/>
      <c r="P1781" s="56"/>
      <c r="Q1781" s="48"/>
      <c r="R1781" s="48"/>
    </row>
    <row r="1782" spans="1:23" ht="12.75" customHeight="1" x14ac:dyDescent="0.2">
      <c r="A1782" s="22">
        <f>'6.A'!$A$15</f>
        <v>88247</v>
      </c>
      <c r="B1782" s="23" t="str">
        <f>IF(A1782="","",VLOOKUP(A1782,'6.A'!$A$11:$G$180,2,FALSE))</f>
        <v>AUXILIAR DE ELETRICISTA COM ENCARGOS COMPLEMENTARES</v>
      </c>
      <c r="C1782" s="99">
        <v>0.12280000000000001</v>
      </c>
      <c r="D1782" s="57" t="str">
        <f>IF(A1782="","",VLOOKUP(A1782,'6.A'!$A$11:$G$180,4,FALSE))</f>
        <v>H</v>
      </c>
      <c r="E1782" s="100">
        <f>IF(A1782="","",VLOOKUP(A1782,'6.A'!$A$11:$G$180,5,FALSE))</f>
        <v>0</v>
      </c>
      <c r="F1782" s="24">
        <f t="shared" ref="F1782:F1791" si="760">IF(A1782="","0,00",ROUND(C1782*E1782,2))</f>
        <v>0</v>
      </c>
      <c r="G1782" s="52"/>
      <c r="H1782" s="52">
        <f>IF(A1782="","",VLOOKUP(A1782,'6.A'!$A$11:$E$7984,5,FALSE))</f>
        <v>0</v>
      </c>
      <c r="I1782" s="52" t="str">
        <f>IF(H1782="","",IF(E1782=H1782,"SIM","NÃO"))</f>
        <v>SIM</v>
      </c>
      <c r="J1782" s="52" t="str">
        <f>IF(H1782="","",VLOOKUP(A1782,'6.A'!$A$11:$E$564,4,FALSE))</f>
        <v>H</v>
      </c>
      <c r="K1782" s="52" t="str">
        <f>IF(H1782="","",IF(J1782=D1782,"SIM","NÃO"))</f>
        <v>SIM</v>
      </c>
      <c r="L1782" s="52">
        <f>IF(H1782="","",IF(C1782="","",G1780*C1782))</f>
        <v>3.0700000000000003</v>
      </c>
      <c r="M1782" s="117" t="str">
        <f>IF(A1782="","",VLOOKUP(A1782,'6.A'!$A$11:$C$564,2,FALSE))</f>
        <v>AUXILIAR DE ELETRICISTA COM ENCARGOS COMPLEMENTARES</v>
      </c>
      <c r="N1782" s="57" t="str">
        <f>IF(A1782="","",IF(M1782=B1782,"si","no"))</f>
        <v>si</v>
      </c>
      <c r="O1782" s="56"/>
      <c r="P1782" s="56"/>
      <c r="Q1782" s="48"/>
      <c r="R1782" s="48"/>
    </row>
    <row r="1783" spans="1:23" ht="12.75" customHeight="1" x14ac:dyDescent="0.2">
      <c r="A1783" s="22">
        <f>'6.A'!$A$18</f>
        <v>88264</v>
      </c>
      <c r="B1783" s="23" t="str">
        <f>IF(A1783="","",VLOOKUP(A1783,'6.A'!$A$11:$G$180,2,FALSE))</f>
        <v>ELETRICISTA COM ENCARGOS COMPLEMENTARES</v>
      </c>
      <c r="C1783" s="99">
        <v>0.12280000000000001</v>
      </c>
      <c r="D1783" s="57" t="str">
        <f>IF(A1783="","",VLOOKUP(A1783,'6.A'!$A$11:$G$180,4,FALSE))</f>
        <v>H</v>
      </c>
      <c r="E1783" s="100">
        <f>IF(A1783="","",VLOOKUP(A1783,'6.A'!$A$11:$G$180,5,FALSE))</f>
        <v>0</v>
      </c>
      <c r="F1783" s="24">
        <f t="shared" si="760"/>
        <v>0</v>
      </c>
      <c r="G1783" s="52"/>
      <c r="H1783" s="52">
        <f>IF(A1783="","",VLOOKUP(A1783,'6.A'!$A$11:$E$7984,5,FALSE))</f>
        <v>0</v>
      </c>
      <c r="I1783" s="52" t="str">
        <f>IF(H1783="","",IF(E1783=H1783,"SIM","NÃO"))</f>
        <v>SIM</v>
      </c>
      <c r="J1783" s="52" t="str">
        <f>IF(H1783="","",VLOOKUP(A1783,'6.A'!$A$11:$E$564,4,FALSE))</f>
        <v>H</v>
      </c>
      <c r="K1783" s="52" t="str">
        <f>IF(H1783="","",IF(J1783=D1783,"SIM","NÃO"))</f>
        <v>SIM</v>
      </c>
      <c r="L1783" s="52">
        <f>IF(H1783="","",IF(C1783="","",G1780*C1783))</f>
        <v>3.0700000000000003</v>
      </c>
      <c r="M1783" s="117" t="str">
        <f>IF(A1783="","",VLOOKUP(A1783,'6.A'!$A$11:$C$564,2,FALSE))</f>
        <v>ELETRICISTA COM ENCARGOS COMPLEMENTARES</v>
      </c>
      <c r="N1783" s="57" t="str">
        <f>IF(A1783="","",IF(M1783=B1783,"si","no"))</f>
        <v>si</v>
      </c>
      <c r="O1783" s="56"/>
      <c r="P1783" s="56"/>
      <c r="Q1783" s="48"/>
      <c r="R1783" s="48"/>
    </row>
    <row r="1784" spans="1:23" ht="12.75" customHeight="1" x14ac:dyDescent="0.2">
      <c r="A1784" s="22"/>
      <c r="B1784" s="23" t="str">
        <f>IF(A1784="","",VLOOKUP(A1784,'6.A'!$A$11:$G$180,2,FALSE))</f>
        <v/>
      </c>
      <c r="C1784" s="99"/>
      <c r="D1784" s="57" t="str">
        <f>IF(A1784="","",VLOOKUP(A1784,'6.A'!$A$11:$G$180,4,FALSE))</f>
        <v/>
      </c>
      <c r="E1784" s="100" t="str">
        <f>IF(A1784="","",VLOOKUP(A1784,'6.A'!$A$11:$G$180,5,FALSE))</f>
        <v/>
      </c>
      <c r="F1784" s="24" t="str">
        <f t="shared" si="760"/>
        <v>0,00</v>
      </c>
      <c r="G1784" s="52"/>
      <c r="H1784" s="52" t="str">
        <f>IF(A1784="","",VLOOKUP(A1784,'6.A'!$A$11:$E$7984,5,FALSE))</f>
        <v/>
      </c>
      <c r="I1784" s="52" t="str">
        <f>IF(H1784="","",IF(E1784=H1784,"SIM","NÃO"))</f>
        <v/>
      </c>
      <c r="J1784" s="52" t="str">
        <f>IF(H1784="","",VLOOKUP(A1784,'6.A'!$A$11:$E$564,4,FALSE))</f>
        <v/>
      </c>
      <c r="K1784" s="52" t="str">
        <f t="shared" ref="K1784" si="761">IF(H1784="","",IF(J1784=D1784,"SIM","NÃO"))</f>
        <v/>
      </c>
      <c r="L1784" s="52" t="str">
        <f>IF(H1784="","",IF(C1784="","",G1780*C1784))</f>
        <v/>
      </c>
      <c r="M1784" s="117" t="str">
        <f>IF(A1784="","",VLOOKUP(A1784,'6.A'!$A$11:$C$564,2,FALSE))</f>
        <v/>
      </c>
      <c r="N1784" s="57" t="str">
        <f t="shared" ref="N1784" si="762">IF(A1784="","",IF(M1784=B1784,"si","no"))</f>
        <v/>
      </c>
      <c r="O1784" s="56"/>
      <c r="P1784" s="56"/>
      <c r="Q1784" s="48"/>
      <c r="R1784" s="48"/>
      <c r="S1784" s="2"/>
    </row>
    <row r="1785" spans="1:23" ht="12.75" customHeight="1" x14ac:dyDescent="0.2">
      <c r="A1785" s="22"/>
      <c r="B1785" s="23" t="str">
        <f>IF(A1785="","",VLOOKUP(A1785,'6.A'!$A$11:$G$180,2,FALSE))</f>
        <v/>
      </c>
      <c r="C1785" s="99"/>
      <c r="D1785" s="57" t="str">
        <f>IF(A1785="","",VLOOKUP(A1785,'6.A'!$A$11:$G$180,4,FALSE))</f>
        <v/>
      </c>
      <c r="E1785" s="100" t="str">
        <f>IF(A1785="","",VLOOKUP(A1785,'6.A'!$A$11:$G$180,5,FALSE))</f>
        <v/>
      </c>
      <c r="F1785" s="24" t="str">
        <f t="shared" si="760"/>
        <v>0,00</v>
      </c>
      <c r="G1785" s="52"/>
      <c r="H1785" s="52" t="str">
        <f>IF(A1785="","",VLOOKUP(A1785,'6.A'!$A$11:$E$7984,5,FALSE))</f>
        <v/>
      </c>
      <c r="I1785" s="52" t="str">
        <f>IF(H1785="","",IF(E1785=H1785,"SIM","NÃO"))</f>
        <v/>
      </c>
      <c r="J1785" s="52" t="str">
        <f>IF(H1785="","",VLOOKUP(A1785,'6.A'!$A$11:$E$564,4,FALSE))</f>
        <v/>
      </c>
      <c r="K1785" s="52" t="str">
        <f>IF(H1785="","",IF(J1785=D1785,"SIM","NÃO"))</f>
        <v/>
      </c>
      <c r="L1785" s="52" t="str">
        <f>IF(H1785="","",IF(C1785="","",G1780*C1785))</f>
        <v/>
      </c>
      <c r="M1785" s="117" t="str">
        <f>IF(A1785="","",VLOOKUP(A1785,'6.A'!$A$11:$C$564,2,FALSE))</f>
        <v/>
      </c>
      <c r="N1785" s="57" t="str">
        <f>IF(A1785="","",IF(M1785=B1785,"si","no"))</f>
        <v/>
      </c>
      <c r="O1785" s="56"/>
      <c r="P1785" s="56"/>
      <c r="Q1785" s="48"/>
      <c r="R1785" s="48"/>
      <c r="S1785" s="2"/>
    </row>
    <row r="1786" spans="1:23" ht="12.75" customHeight="1" x14ac:dyDescent="0.2">
      <c r="A1786" s="22"/>
      <c r="B1786" s="23" t="str">
        <f>IF(A1786="","",VLOOKUP(A1786,'6.A'!$A$11:$G$180,2,FALSE))</f>
        <v/>
      </c>
      <c r="C1786" s="99"/>
      <c r="D1786" s="57" t="str">
        <f>IF(A1786="","",VLOOKUP(A1786,'6.A'!$A$11:$G$180,4,FALSE))</f>
        <v/>
      </c>
      <c r="E1786" s="101" t="str">
        <f>IF(A1786="","",VLOOKUP(A1786,'6.A'!$A$11:$G$180,5,FALSE))</f>
        <v/>
      </c>
      <c r="F1786" s="24" t="str">
        <f t="shared" si="760"/>
        <v>0,00</v>
      </c>
      <c r="G1786" s="52"/>
      <c r="H1786" s="52" t="str">
        <f>IF(A1786="","",VLOOKUP(A1786,'6.A'!$A$11:$E$7984,5,FALSE))</f>
        <v/>
      </c>
      <c r="I1786" s="52" t="str">
        <f t="shared" ref="I1786" si="763">IF(H1786="","",IF(E1786=H1786,"SIM","NÃO"))</f>
        <v/>
      </c>
      <c r="J1786" s="52" t="str">
        <f>IF(H1786="","",VLOOKUP(A1786,'6.A'!$A$11:$E$564,4,FALSE))</f>
        <v/>
      </c>
      <c r="K1786" s="52" t="str">
        <f t="shared" ref="K1786" si="764">IF(H1786="","",IF(J1786=D1786,"SIM","NÃO"))</f>
        <v/>
      </c>
      <c r="L1786" s="52" t="str">
        <f>IF(H1786="","",IF(C1786="","",G1780*C1786))</f>
        <v/>
      </c>
      <c r="M1786" s="117" t="str">
        <f>IF(A1786="","",VLOOKUP(A1786,'6.A'!$A$11:$C$564,2,FALSE))</f>
        <v/>
      </c>
      <c r="N1786" s="57" t="str">
        <f t="shared" ref="N1786" si="765">IF(A1786="","",IF(M1786=B1786,"si","no"))</f>
        <v/>
      </c>
      <c r="O1786" s="56"/>
      <c r="P1786" s="56"/>
      <c r="Q1786" s="48"/>
      <c r="R1786" s="48"/>
      <c r="S1786" s="2"/>
    </row>
    <row r="1787" spans="1:23" ht="12.75" customHeight="1" x14ac:dyDescent="0.2">
      <c r="A1787" s="22"/>
      <c r="B1787" s="23" t="str">
        <f>IF(A1787="","",VLOOKUP(A1787,'6.A'!$A$11:$G$180,2,FALSE))</f>
        <v/>
      </c>
      <c r="C1787" s="99"/>
      <c r="D1787" s="57" t="str">
        <f>IF(A1787="","",VLOOKUP(A1787,'6.A'!$A$11:$G$180,4,FALSE))</f>
        <v/>
      </c>
      <c r="E1787" s="101" t="str">
        <f>IF(A1787="","",VLOOKUP(A1787,'6.A'!$A$11:$G$180,5,FALSE))</f>
        <v/>
      </c>
      <c r="F1787" s="24" t="str">
        <f t="shared" si="760"/>
        <v>0,00</v>
      </c>
      <c r="G1787" s="52"/>
      <c r="H1787" s="52" t="str">
        <f>IF(A1787="","",VLOOKUP(A1787,'6.A'!$A$11:$E$7984,5,FALSE))</f>
        <v/>
      </c>
      <c r="I1787" s="52" t="str">
        <f>IF(H1787="","",IF(E1787=H1787,"SIM","NÃO"))</f>
        <v/>
      </c>
      <c r="J1787" s="52" t="str">
        <f>IF(H1787="","",VLOOKUP(A1787,'6.A'!$A$11:$E$564,4,FALSE))</f>
        <v/>
      </c>
      <c r="K1787" s="52" t="str">
        <f>IF(H1787="","",IF(J1787=D1787,"SIM","NÃO"))</f>
        <v/>
      </c>
      <c r="L1787" s="52" t="str">
        <f>IF(H1787="","",IF(C1787="","",G1780*C1787))</f>
        <v/>
      </c>
      <c r="M1787" s="117" t="str">
        <f>IF(A1787="","",VLOOKUP(A1787,'6.A'!$A$11:$C$564,2,FALSE))</f>
        <v/>
      </c>
      <c r="N1787" s="57" t="str">
        <f>IF(A1787="","",IF(M1787=B1787,"si","no"))</f>
        <v/>
      </c>
      <c r="O1787" s="56"/>
      <c r="P1787" s="56"/>
      <c r="Q1787" s="48"/>
      <c r="R1787" s="48"/>
      <c r="S1787" s="2"/>
    </row>
    <row r="1788" spans="1:23" ht="12.75" customHeight="1" x14ac:dyDescent="0.2">
      <c r="A1788" s="22"/>
      <c r="B1788" s="23" t="str">
        <f>IF(A1788="","",VLOOKUP(A1788,'6.A'!$A$11:$G$180,2,FALSE))</f>
        <v/>
      </c>
      <c r="C1788" s="99"/>
      <c r="D1788" s="57" t="str">
        <f>IF(A1788="","",VLOOKUP(A1788,'6.A'!$A$11:$G$180,4,FALSE))</f>
        <v/>
      </c>
      <c r="E1788" s="100" t="str">
        <f>IF(A1788="","",VLOOKUP(A1788,'6.A'!$A$11:$G$180,5,FALSE))</f>
        <v/>
      </c>
      <c r="F1788" s="24" t="str">
        <f t="shared" si="760"/>
        <v>0,00</v>
      </c>
      <c r="G1788" s="52"/>
      <c r="H1788" s="52" t="str">
        <f>IF(A1788="","",VLOOKUP(A1788,'6.A'!$A$11:$E$7984,5,FALSE))</f>
        <v/>
      </c>
      <c r="I1788" s="52" t="str">
        <f>IF(H1788="","",IF(E1788=H1788,"SIM","NÃO"))</f>
        <v/>
      </c>
      <c r="J1788" s="52" t="str">
        <f>IF(H1788="","",VLOOKUP(A1788,'6.A'!$A$11:$E$564,4,FALSE))</f>
        <v/>
      </c>
      <c r="K1788" s="52" t="str">
        <f>IF(H1788="","",IF(J1788=D1788,"SIM","NÃO"))</f>
        <v/>
      </c>
      <c r="L1788" s="52" t="str">
        <f>IF(H1788="","",IF(C1788="","",G1780*C1788))</f>
        <v/>
      </c>
      <c r="M1788" s="117" t="str">
        <f>IF(A1788="","",VLOOKUP(A1788,'6.A'!$A$11:$C$564,2,FALSE))</f>
        <v/>
      </c>
      <c r="N1788" s="57" t="str">
        <f>IF(A1788="","",IF(M1788=B1788,"si","no"))</f>
        <v/>
      </c>
      <c r="O1788" s="56"/>
      <c r="P1788" s="56"/>
      <c r="Q1788" s="48"/>
      <c r="R1788" s="48"/>
      <c r="S1788" s="2"/>
    </row>
    <row r="1789" spans="1:23" ht="12.75" customHeight="1" x14ac:dyDescent="0.2">
      <c r="A1789" s="22"/>
      <c r="B1789" s="23" t="str">
        <f>IF(A1789="","",VLOOKUP(A1789,'6.A'!$A$11:$G$180,2,FALSE))</f>
        <v/>
      </c>
      <c r="C1789" s="99"/>
      <c r="D1789" s="57" t="str">
        <f>IF(A1789="","",VLOOKUP(A1789,'6.A'!$A$11:$G$180,4,FALSE))</f>
        <v/>
      </c>
      <c r="E1789" s="100" t="str">
        <f>IF(A1789="","",VLOOKUP(A1789,'6.A'!$A$11:$G$180,5,FALSE))</f>
        <v/>
      </c>
      <c r="F1789" s="24" t="str">
        <f t="shared" si="760"/>
        <v>0,00</v>
      </c>
      <c r="G1789" s="52"/>
      <c r="H1789" s="52" t="str">
        <f>IF(A1789="","",VLOOKUP(A1789,'6.A'!$A$11:$E$7984,5,FALSE))</f>
        <v/>
      </c>
      <c r="I1789" s="52" t="str">
        <f t="shared" ref="I1789" si="766">IF(H1789="","",IF(E1789=H1789,"SIM","NÃO"))</f>
        <v/>
      </c>
      <c r="J1789" s="52" t="str">
        <f>IF(H1789="","",VLOOKUP(A1789,'6.A'!$A$11:$E$564,4,FALSE))</f>
        <v/>
      </c>
      <c r="K1789" s="52" t="str">
        <f t="shared" ref="K1789" si="767">IF(H1789="","",IF(J1789=D1789,"SIM","NÃO"))</f>
        <v/>
      </c>
      <c r="L1789" s="52" t="str">
        <f>IF(H1789="","",IF(C1789="","",G1780*C1789))</f>
        <v/>
      </c>
      <c r="M1789" s="117" t="str">
        <f>IF(A1789="","",VLOOKUP(A1789,'6.A'!$A$11:$C$564,2,FALSE))</f>
        <v/>
      </c>
      <c r="N1789" s="57" t="str">
        <f t="shared" ref="N1789" si="768">IF(A1789="","",IF(M1789=B1789,"si","no"))</f>
        <v/>
      </c>
      <c r="O1789" s="56"/>
      <c r="P1789" s="56"/>
      <c r="Q1789" s="48"/>
      <c r="R1789" s="48"/>
      <c r="S1789" s="2"/>
    </row>
    <row r="1790" spans="1:23" ht="12.75" customHeight="1" x14ac:dyDescent="0.2">
      <c r="A1790" s="22"/>
      <c r="B1790" s="23" t="str">
        <f>IF(A1790="","",VLOOKUP(A1790,'6.A'!$A$11:$G$180,2,FALSE))</f>
        <v/>
      </c>
      <c r="C1790" s="99"/>
      <c r="D1790" s="73" t="str">
        <f>IF(A1790="","",VLOOKUP(A1790,'6.A'!$A$11:$G$180,4,FALSE))</f>
        <v/>
      </c>
      <c r="E1790" s="101" t="str">
        <f>IF(A1790="","",VLOOKUP(A1790,'6.A'!$A$11:$G$180,5,FALSE))</f>
        <v/>
      </c>
      <c r="F1790" s="24" t="str">
        <f t="shared" si="760"/>
        <v>0,00</v>
      </c>
      <c r="G1790" s="52"/>
      <c r="H1790" s="52" t="str">
        <f>IF(A1790="","",VLOOKUP(A1790,'6.A'!$A$11:$E$7984,5,FALSE))</f>
        <v/>
      </c>
      <c r="I1790" s="52" t="str">
        <f>IF(H1790="","",IF(E1790=H1790,"SIM","NÃO"))</f>
        <v/>
      </c>
      <c r="J1790" s="52" t="str">
        <f>IF(H1790="","",VLOOKUP(A1790,'6.A'!$A$11:$E$564,4,FALSE))</f>
        <v/>
      </c>
      <c r="K1790" s="52" t="str">
        <f>IF(H1790="","",IF(J1790=D1790,"SIM","NÃO"))</f>
        <v/>
      </c>
      <c r="L1790" s="52" t="str">
        <f>IF(H1790="","",IF(C1790="","",G1780*C1790))</f>
        <v/>
      </c>
      <c r="M1790" s="117" t="str">
        <f>IF(A1790="","",VLOOKUP(A1790,'6.A'!$A$11:$C$564,2,FALSE))</f>
        <v/>
      </c>
      <c r="N1790" s="57" t="str">
        <f>IF(A1790="","",IF(M1790=B1790,"si","no"))</f>
        <v/>
      </c>
      <c r="O1790" s="56"/>
      <c r="P1790" s="56"/>
      <c r="Q1790" s="48"/>
      <c r="R1790" s="48"/>
      <c r="S1790" s="2"/>
    </row>
    <row r="1791" spans="1:23" ht="12.75" customHeight="1" x14ac:dyDescent="0.2">
      <c r="A1791" s="22"/>
      <c r="B1791" s="23" t="str">
        <f>IF(A1791="","",VLOOKUP(A1791,'6.A'!$A$11:$G$180,2,FALSE))</f>
        <v/>
      </c>
      <c r="C1791" s="99"/>
      <c r="D1791" s="25" t="str">
        <f>IF(A1791="","",VLOOKUP(A1791,'6.A'!$A$11:$G$180,4,FALSE))</f>
        <v/>
      </c>
      <c r="E1791" s="101" t="str">
        <f>IF(A1791="","",VLOOKUP(A1791,'6.A'!$A$11:$G$180,5,FALSE))</f>
        <v/>
      </c>
      <c r="F1791" s="24" t="str">
        <f t="shared" si="760"/>
        <v>0,00</v>
      </c>
      <c r="G1791" s="52"/>
      <c r="H1791" s="52" t="str">
        <f>IF(A1791="","",VLOOKUP(A1791,'6.A'!$A$11:$E$7984,5,FALSE))</f>
        <v/>
      </c>
      <c r="I1791" s="52" t="str">
        <f t="shared" ref="I1791" si="769">IF(H1791="","",IF(E1791=H1791,"SIM","NÃO"))</f>
        <v/>
      </c>
      <c r="J1791" s="52" t="str">
        <f>IF(H1791="","",VLOOKUP(A1791,'6.A'!$A$11:$E$564,4,FALSE))</f>
        <v/>
      </c>
      <c r="K1791" s="52" t="str">
        <f t="shared" ref="K1791" si="770">IF(H1791="","",IF(J1791=D1791,"SIM","NÃO"))</f>
        <v/>
      </c>
      <c r="L1791" s="52" t="str">
        <f>IF(H1791="","",IF(C1791="","",G1780*C1791))</f>
        <v/>
      </c>
      <c r="M1791" s="117" t="str">
        <f>IF(A1791="","",VLOOKUP(A1791,'6.A'!$A$11:$C$564,2,FALSE))</f>
        <v/>
      </c>
      <c r="N1791" s="57" t="str">
        <f t="shared" ref="N1791" si="771">IF(A1791="","",IF(M1791=B1791,"si","no"))</f>
        <v/>
      </c>
      <c r="O1791" s="56"/>
      <c r="P1791" s="56"/>
      <c r="Q1791" s="48"/>
      <c r="R1791" s="48"/>
      <c r="S1791" s="2"/>
    </row>
    <row r="1792" spans="1:23" ht="12.75" customHeight="1" x14ac:dyDescent="0.2">
      <c r="A1792" s="17"/>
      <c r="B1792" s="26" t="str">
        <f>$A$8</f>
        <v>LEIS SOCIAIS HORISTA - JORNADA NORMAL</v>
      </c>
      <c r="C1792" s="27">
        <f>$C$8</f>
        <v>0</v>
      </c>
      <c r="D1792" s="57"/>
      <c r="F1792" s="28">
        <f>ROUND(SUM(F1782:F1791)*C1792,2)</f>
        <v>0</v>
      </c>
      <c r="G1792" s="63"/>
      <c r="M1792" s="62"/>
      <c r="N1792" s="57"/>
      <c r="O1792" s="56"/>
      <c r="P1792" s="56"/>
      <c r="Q1792" s="48"/>
      <c r="R1792" s="48"/>
      <c r="S1792" s="2"/>
    </row>
    <row r="1793" spans="1:19" ht="12.75" customHeight="1" x14ac:dyDescent="0.2">
      <c r="A1793" s="22"/>
      <c r="B1793" s="26" t="str">
        <f>$A$9</f>
        <v>BDI</v>
      </c>
      <c r="C1793" s="27">
        <f>$C$9</f>
        <v>0</v>
      </c>
      <c r="D1793" s="29"/>
      <c r="F1793" s="28">
        <f>ROUND(SUM(F1782:F1792)*C1793,2)</f>
        <v>0</v>
      </c>
      <c r="G1793" s="63"/>
      <c r="M1793" s="62"/>
      <c r="N1793" s="57"/>
      <c r="O1793" s="56"/>
      <c r="P1793" s="56"/>
      <c r="Q1793" s="48"/>
      <c r="R1793" s="48"/>
      <c r="S1793" s="2"/>
    </row>
    <row r="1794" spans="1:19" ht="12.75" customHeight="1" x14ac:dyDescent="0.2">
      <c r="A1794" s="30"/>
      <c r="B1794" s="31" t="s">
        <v>56</v>
      </c>
      <c r="C1794" s="32"/>
      <c r="D1794" s="33"/>
      <c r="E1794" s="34"/>
      <c r="F1794" s="35">
        <f>ROUND(SUM(F1782:F1793),2)</f>
        <v>0</v>
      </c>
      <c r="G1794" s="63"/>
      <c r="M1794" s="62"/>
      <c r="N1794" s="57"/>
      <c r="O1794" s="56"/>
      <c r="P1794" s="56"/>
      <c r="Q1794" s="48"/>
      <c r="R1794" s="48"/>
      <c r="S1794" s="2"/>
    </row>
    <row r="1795" spans="1:19" ht="12.75" customHeight="1" x14ac:dyDescent="0.2">
      <c r="A1795" s="17" t="s">
        <v>5</v>
      </c>
      <c r="B1795" s="153" t="s">
        <v>130</v>
      </c>
      <c r="C1795" s="56" t="s">
        <v>59</v>
      </c>
      <c r="D1795" s="56" t="s">
        <v>16</v>
      </c>
      <c r="E1795" s="19" t="s">
        <v>60</v>
      </c>
      <c r="F1795" s="20" t="s">
        <v>61</v>
      </c>
      <c r="G1795" s="21"/>
      <c r="M1795" s="62"/>
      <c r="N1795" s="57"/>
      <c r="O1795" s="56"/>
      <c r="P1795" s="56"/>
      <c r="Q1795" s="48"/>
      <c r="R1795" s="48"/>
      <c r="S1795" s="2"/>
    </row>
    <row r="1796" spans="1:19" ht="12.75" customHeight="1" x14ac:dyDescent="0.2">
      <c r="A1796" s="22"/>
      <c r="B1796" s="23" t="str">
        <f>IF(A1796="","",VLOOKUP(A1796,'6.A'!$A$11:$G$180,2,FALSE))</f>
        <v/>
      </c>
      <c r="C1796" s="99"/>
      <c r="D1796" s="57" t="str">
        <f>IF(A1796="","",VLOOKUP(A1796,'6.A'!$A$11:$G$180,4,FALSE))</f>
        <v/>
      </c>
      <c r="E1796" s="100" t="str">
        <f>IF(A1796="","",VLOOKUP(A1796,'6.A'!$A$11:$G$180,5,FALSE))</f>
        <v/>
      </c>
      <c r="F1796" s="24" t="str">
        <f t="shared" ref="F1796:F1805" si="772">IF(A1796="","0,00",ROUND(C1796*E1796,2))</f>
        <v>0,00</v>
      </c>
      <c r="G1796" s="52"/>
      <c r="H1796" s="52" t="str">
        <f>IF(A1796="","",VLOOKUP(A1796,'6.A'!$A$11:$E$7984,5,FALSE))</f>
        <v/>
      </c>
      <c r="I1796" s="52" t="str">
        <f t="shared" ref="I1796:I1805" si="773">IF(H1796="","",IF(E1796=H1796,"SIM","NÃO"))</f>
        <v/>
      </c>
      <c r="J1796" s="52" t="str">
        <f>IF(H1796="","",VLOOKUP(A1796,'6.A'!$A$11:$E$564,4,FALSE))</f>
        <v/>
      </c>
      <c r="K1796" s="52" t="str">
        <f t="shared" ref="K1796:K1805" si="774">IF(H1796="","",IF(J1796=D1796,"SIM","NÃO"))</f>
        <v/>
      </c>
      <c r="L1796" s="52" t="str">
        <f>IF(H1796="","",IF(C1796="","",G1780*C1796))</f>
        <v/>
      </c>
      <c r="M1796" s="117" t="str">
        <f>IF(A1796="","",VLOOKUP(A1796,'6.A'!$A$11:$C$564,2,FALSE))</f>
        <v/>
      </c>
      <c r="N1796" s="57" t="str">
        <f t="shared" ref="N1796:N1801" si="775">IF(A1796="","",IF(M1796=B1796,"si","no"))</f>
        <v/>
      </c>
      <c r="O1796" s="56"/>
      <c r="P1796" s="56"/>
      <c r="Q1796" s="48"/>
      <c r="R1796" s="48"/>
      <c r="S1796" s="2"/>
    </row>
    <row r="1797" spans="1:19" ht="12.75" customHeight="1" x14ac:dyDescent="0.2">
      <c r="A1797" s="22"/>
      <c r="B1797" s="23" t="str">
        <f>IF(A1797="","",VLOOKUP(A1797,'6.A'!$A$11:$G$180,2,FALSE))</f>
        <v/>
      </c>
      <c r="C1797" s="99"/>
      <c r="D1797" s="57" t="str">
        <f>IF(A1797="","",VLOOKUP(A1797,'6.A'!$A$11:$G$180,4,FALSE))</f>
        <v/>
      </c>
      <c r="E1797" s="100" t="str">
        <f>IF(A1797="","",VLOOKUP(A1797,'6.A'!$A$11:$G$180,5,FALSE))</f>
        <v/>
      </c>
      <c r="F1797" s="24" t="str">
        <f t="shared" si="772"/>
        <v>0,00</v>
      </c>
      <c r="G1797" s="52"/>
      <c r="H1797" s="52" t="str">
        <f>IF(A1797="","",VLOOKUP(A1797,'6.A'!$A$11:$E$7984,5,FALSE))</f>
        <v/>
      </c>
      <c r="I1797" s="52" t="str">
        <f t="shared" si="773"/>
        <v/>
      </c>
      <c r="J1797" s="52" t="str">
        <f>IF(H1797="","",VLOOKUP(A1797,'6.A'!$A$11:$E$564,4,FALSE))</f>
        <v/>
      </c>
      <c r="K1797" s="52" t="str">
        <f t="shared" si="774"/>
        <v/>
      </c>
      <c r="L1797" s="52" t="str">
        <f>IF(H1797="","",IF(C1797="","",G1780*C1797))</f>
        <v/>
      </c>
      <c r="M1797" s="117" t="str">
        <f>IF(A1797="","",VLOOKUP(A1797,'6.A'!$A$11:$C$564,2,FALSE))</f>
        <v/>
      </c>
      <c r="N1797" s="57" t="str">
        <f t="shared" si="775"/>
        <v/>
      </c>
      <c r="O1797" s="56"/>
      <c r="P1797" s="56"/>
      <c r="Q1797" s="48"/>
      <c r="R1797" s="48"/>
      <c r="S1797" s="2"/>
    </row>
    <row r="1798" spans="1:19" ht="12.75" customHeight="1" x14ac:dyDescent="0.2">
      <c r="A1798" s="22"/>
      <c r="B1798" s="23" t="str">
        <f>IF(A1798="","",VLOOKUP(A1798,'6.A'!$A$11:$G$180,2,FALSE))</f>
        <v/>
      </c>
      <c r="C1798" s="99"/>
      <c r="D1798" s="57" t="str">
        <f>IF(A1798="","",VLOOKUP(A1798,'6.A'!$A$11:$G$180,4,FALSE))</f>
        <v/>
      </c>
      <c r="E1798" s="100" t="str">
        <f>IF(A1798="","",VLOOKUP(A1798,'6.A'!$A$11:$G$180,5,FALSE))</f>
        <v/>
      </c>
      <c r="F1798" s="24" t="str">
        <f t="shared" si="772"/>
        <v>0,00</v>
      </c>
      <c r="G1798" s="52"/>
      <c r="H1798" s="52" t="str">
        <f>IF(A1798="","",VLOOKUP(A1798,'6.A'!$A$11:$E$7984,5,FALSE))</f>
        <v/>
      </c>
      <c r="I1798" s="52" t="str">
        <f t="shared" si="773"/>
        <v/>
      </c>
      <c r="J1798" s="52" t="str">
        <f>IF(H1798="","",VLOOKUP(A1798,'6.A'!$A$11:$E$564,4,FALSE))</f>
        <v/>
      </c>
      <c r="K1798" s="52" t="str">
        <f t="shared" si="774"/>
        <v/>
      </c>
      <c r="L1798" s="52" t="str">
        <f>IF(H1798="","",IF(C1798="","",G1780*C1798))</f>
        <v/>
      </c>
      <c r="M1798" s="117" t="str">
        <f>IF(A1798="","",VLOOKUP(A1798,'6.A'!$A$11:$C$564,2,FALSE))</f>
        <v/>
      </c>
      <c r="N1798" s="57" t="str">
        <f t="shared" si="775"/>
        <v/>
      </c>
      <c r="O1798" s="56"/>
      <c r="P1798" s="56"/>
      <c r="Q1798" s="48"/>
      <c r="R1798" s="48"/>
      <c r="S1798" s="2"/>
    </row>
    <row r="1799" spans="1:19" ht="12.75" customHeight="1" x14ac:dyDescent="0.2">
      <c r="A1799" s="22"/>
      <c r="B1799" s="55" t="str">
        <f>IF(A1799="","",VLOOKUP(A1799,'6.A'!$A$11:$G$180,2,FALSE))</f>
        <v/>
      </c>
      <c r="C1799" s="134"/>
      <c r="D1799" s="57" t="str">
        <f>IF(A1799="","",VLOOKUP(A1799,'6.A'!$A$11:$G$180,4,FALSE))</f>
        <v/>
      </c>
      <c r="E1799" s="100" t="str">
        <f>IF(A1799="","",VLOOKUP(A1799,'6.A'!$A$11:$G$180,5,FALSE))</f>
        <v/>
      </c>
      <c r="F1799" s="24" t="str">
        <f t="shared" si="772"/>
        <v>0,00</v>
      </c>
      <c r="G1799" s="52"/>
      <c r="H1799" s="52" t="str">
        <f>IF(A1799="","",VLOOKUP(A1799,'6.A'!$A$11:$E$7984,5,FALSE))</f>
        <v/>
      </c>
      <c r="I1799" s="52" t="str">
        <f t="shared" si="773"/>
        <v/>
      </c>
      <c r="J1799" s="52" t="str">
        <f>IF(H1799="","",VLOOKUP(A1799,'6.A'!$A$11:$E$564,4,FALSE))</f>
        <v/>
      </c>
      <c r="K1799" s="52" t="str">
        <f t="shared" si="774"/>
        <v/>
      </c>
      <c r="L1799" s="52" t="str">
        <f>IF(H1799="","",IF(C1799="","",G1780*C1799))</f>
        <v/>
      </c>
      <c r="M1799" s="117" t="str">
        <f>IF(A1799="","",VLOOKUP(A1799,'6.A'!$A$11:$C$564,2,FALSE))</f>
        <v/>
      </c>
      <c r="N1799" s="57" t="str">
        <f t="shared" si="775"/>
        <v/>
      </c>
      <c r="O1799" s="56"/>
      <c r="P1799" s="56"/>
      <c r="Q1799" s="48"/>
      <c r="R1799" s="48"/>
      <c r="S1799" s="2"/>
    </row>
    <row r="1800" spans="1:19" ht="12.75" customHeight="1" x14ac:dyDescent="0.2">
      <c r="A1800" s="22"/>
      <c r="B1800" s="23" t="str">
        <f>IF(A1800="","",VLOOKUP(A1800,'6.A'!$A$11:$G$180,2,FALSE))</f>
        <v/>
      </c>
      <c r="C1800" s="99"/>
      <c r="D1800" s="57" t="str">
        <f>IF(A1800="","",VLOOKUP(A1800,'6.A'!$A$11:$G$180,4,FALSE))</f>
        <v/>
      </c>
      <c r="E1800" s="100" t="str">
        <f>IF(A1800="","",VLOOKUP(A1800,'6.A'!$A$11:$G$180,5,FALSE))</f>
        <v/>
      </c>
      <c r="F1800" s="24" t="str">
        <f t="shared" si="772"/>
        <v>0,00</v>
      </c>
      <c r="G1800" s="52"/>
      <c r="H1800" s="52" t="str">
        <f>IF(A1800="","",VLOOKUP(A1800,'6.A'!$A$11:$E$7984,5,FALSE))</f>
        <v/>
      </c>
      <c r="I1800" s="52" t="str">
        <f t="shared" si="773"/>
        <v/>
      </c>
      <c r="J1800" s="52" t="str">
        <f>IF(H1800="","",VLOOKUP(A1800,'6.A'!$A$11:$E$564,4,FALSE))</f>
        <v/>
      </c>
      <c r="K1800" s="52" t="str">
        <f t="shared" si="774"/>
        <v/>
      </c>
      <c r="L1800" s="52" t="str">
        <f>IF(H1800="","",IF(C1800="","",G1780*C1800))</f>
        <v/>
      </c>
      <c r="M1800" s="117" t="str">
        <f>IF(A1800="","",VLOOKUP(A1800,'6.A'!$A$11:$C$564,2,FALSE))</f>
        <v/>
      </c>
      <c r="N1800" s="57" t="str">
        <f t="shared" si="775"/>
        <v/>
      </c>
      <c r="O1800" s="56"/>
      <c r="P1800" s="56"/>
      <c r="Q1800" s="48"/>
      <c r="R1800" s="48"/>
      <c r="S1800" s="2"/>
    </row>
    <row r="1801" spans="1:19" ht="12.75" customHeight="1" x14ac:dyDescent="0.2">
      <c r="A1801" s="22"/>
      <c r="B1801" s="23" t="str">
        <f>IF(A1801="","",VLOOKUP(A1801,'6.A'!$A$11:$G$180,2,FALSE))</f>
        <v/>
      </c>
      <c r="C1801" s="99"/>
      <c r="D1801" s="57" t="str">
        <f>IF(A1801="","",VLOOKUP(A1801,'6.A'!$A$11:$G$180,4,FALSE))</f>
        <v/>
      </c>
      <c r="E1801" s="100" t="str">
        <f>IF(A1801="","",VLOOKUP(A1801,'6.A'!$A$11:$G$180,5,FALSE))</f>
        <v/>
      </c>
      <c r="F1801" s="24" t="str">
        <f t="shared" si="772"/>
        <v>0,00</v>
      </c>
      <c r="G1801" s="52"/>
      <c r="H1801" s="52" t="str">
        <f>IF(A1801="","",VLOOKUP(A1801,'6.A'!$A$11:$E$7984,5,FALSE))</f>
        <v/>
      </c>
      <c r="I1801" s="52" t="str">
        <f t="shared" si="773"/>
        <v/>
      </c>
      <c r="J1801" s="52" t="str">
        <f>IF(H1801="","",VLOOKUP(A1801,'6.A'!$A$11:$E$564,4,FALSE))</f>
        <v/>
      </c>
      <c r="K1801" s="52" t="str">
        <f t="shared" si="774"/>
        <v/>
      </c>
      <c r="L1801" s="52" t="str">
        <f>IF(H1801="","",IF(C1801="","",G1780*C1801))</f>
        <v/>
      </c>
      <c r="M1801" s="117" t="str">
        <f>IF(A1801="","",VLOOKUP(A1801,'6.A'!$A$11:$C$564,2,FALSE))</f>
        <v/>
      </c>
      <c r="N1801" s="57" t="str">
        <f t="shared" si="775"/>
        <v/>
      </c>
      <c r="O1801" s="56"/>
      <c r="P1801" s="56"/>
      <c r="Q1801" s="48"/>
      <c r="R1801" s="48"/>
      <c r="S1801" s="2"/>
    </row>
    <row r="1802" spans="1:19" ht="12.75" customHeight="1" x14ac:dyDescent="0.2">
      <c r="A1802" s="22"/>
      <c r="B1802" s="23" t="str">
        <f>IF(A1802="","",VLOOKUP(A1802,'6.A'!$A$11:$G$180,2,FALSE))</f>
        <v/>
      </c>
      <c r="C1802" s="99"/>
      <c r="D1802" s="57" t="str">
        <f>IF(A1802="","",VLOOKUP(A1802,'6.A'!$A$11:$G$180,4,FALSE))</f>
        <v/>
      </c>
      <c r="E1802" s="100" t="str">
        <f>IF(A1802="","",VLOOKUP(A1802,'6.A'!$A$11:$G$180,5,FALSE))</f>
        <v/>
      </c>
      <c r="F1802" s="24" t="str">
        <f t="shared" si="772"/>
        <v>0,00</v>
      </c>
      <c r="G1802" s="52"/>
      <c r="H1802" s="52" t="str">
        <f>IF(A1802="","",VLOOKUP(A1802,'6.A'!$A$11:$E$7984,5,FALSE))</f>
        <v/>
      </c>
      <c r="I1802" s="52" t="str">
        <f t="shared" si="773"/>
        <v/>
      </c>
      <c r="J1802" s="52" t="str">
        <f>IF(H1802="","",VLOOKUP(A1802,'6.A'!$A$11:$E$564,4,FALSE))</f>
        <v/>
      </c>
      <c r="K1802" s="52" t="str">
        <f t="shared" si="774"/>
        <v/>
      </c>
      <c r="L1802" s="52" t="str">
        <f>IF(H1802="","",IF(C1802="","",G1780*C1802))</f>
        <v/>
      </c>
      <c r="M1802" s="117" t="str">
        <f>IF(A1802="","",VLOOKUP(A1802,'6.A'!$A$11:$C$564,2,FALSE))</f>
        <v/>
      </c>
      <c r="N1802" s="57" t="str">
        <f>IF(A1802="","",IF(M1802=B1802,"si","no"))</f>
        <v/>
      </c>
      <c r="O1802" s="56"/>
      <c r="P1802" s="56"/>
      <c r="Q1802" s="48"/>
      <c r="R1802" s="48"/>
      <c r="S1802" s="2"/>
    </row>
    <row r="1803" spans="1:19" ht="12.75" customHeight="1" x14ac:dyDescent="0.2">
      <c r="A1803" s="22"/>
      <c r="B1803" s="23" t="str">
        <f>IF(A1803="","",VLOOKUP(A1803,'6.A'!$A$11:$G$180,2,FALSE))</f>
        <v/>
      </c>
      <c r="C1803" s="99"/>
      <c r="D1803" s="57" t="str">
        <f>IF(A1803="","",VLOOKUP(A1803,'6.A'!$A$11:$G$180,4,FALSE))</f>
        <v/>
      </c>
      <c r="E1803" s="100" t="str">
        <f>IF(A1803="","",VLOOKUP(A1803,'6.A'!$A$11:$G$180,5,FALSE))</f>
        <v/>
      </c>
      <c r="F1803" s="24" t="str">
        <f t="shared" si="772"/>
        <v>0,00</v>
      </c>
      <c r="G1803" s="52"/>
      <c r="H1803" s="52" t="str">
        <f>IF(A1803="","",VLOOKUP(A1803,'6.A'!$A$11:$E$7984,5,FALSE))</f>
        <v/>
      </c>
      <c r="I1803" s="52" t="str">
        <f t="shared" si="773"/>
        <v/>
      </c>
      <c r="J1803" s="52" t="str">
        <f>IF(H1803="","",VLOOKUP(A1803,'6.A'!$A$11:$E$564,4,FALSE))</f>
        <v/>
      </c>
      <c r="K1803" s="52" t="str">
        <f t="shared" si="774"/>
        <v/>
      </c>
      <c r="L1803" s="52" t="str">
        <f>IF(H1803="","",IF(C1803="","",G1780*C1803))</f>
        <v/>
      </c>
      <c r="M1803" s="117" t="str">
        <f>IF(A1803="","",VLOOKUP(A1803,'6.A'!$A$11:$C$564,2,FALSE))</f>
        <v/>
      </c>
      <c r="N1803" s="57" t="str">
        <f>IF(A1803="","",IF(M1803=B1803,"si","no"))</f>
        <v/>
      </c>
      <c r="O1803" s="56"/>
      <c r="P1803" s="56"/>
      <c r="Q1803" s="48"/>
      <c r="R1803" s="48"/>
      <c r="S1803" s="2"/>
    </row>
    <row r="1804" spans="1:19" ht="12.75" customHeight="1" x14ac:dyDescent="0.2">
      <c r="A1804" s="22"/>
      <c r="B1804" s="23" t="str">
        <f>IF(A1804="","",VLOOKUP(A1804,'6.A'!$A$11:$G$180,2,FALSE))</f>
        <v/>
      </c>
      <c r="C1804" s="99"/>
      <c r="D1804" s="57" t="str">
        <f>IF(A1804="","",VLOOKUP(A1804,'6.A'!$A$11:$G$180,4,FALSE))</f>
        <v/>
      </c>
      <c r="E1804" s="100" t="str">
        <f>IF(A1804="","",VLOOKUP(A1804,'6.A'!$A$11:$G$180,5,FALSE))</f>
        <v/>
      </c>
      <c r="F1804" s="24" t="str">
        <f t="shared" si="772"/>
        <v>0,00</v>
      </c>
      <c r="G1804" s="52"/>
      <c r="H1804" s="52" t="str">
        <f>IF(A1804="","",VLOOKUP(A1804,'6.A'!$A$11:$E$7984,5,FALSE))</f>
        <v/>
      </c>
      <c r="I1804" s="52" t="str">
        <f t="shared" si="773"/>
        <v/>
      </c>
      <c r="J1804" s="52" t="str">
        <f>IF(H1804="","",VLOOKUP(A1804,'6.A'!$A$11:$E$564,4,FALSE))</f>
        <v/>
      </c>
      <c r="K1804" s="52" t="str">
        <f t="shared" si="774"/>
        <v/>
      </c>
      <c r="L1804" s="52" t="str">
        <f>IF(H1804="","",IF(C1804="","",G1780*C1804))</f>
        <v/>
      </c>
      <c r="M1804" s="117" t="str">
        <f>IF(A1804="","",VLOOKUP(A1804,'6.A'!$A$11:$C$564,2,FALSE))</f>
        <v/>
      </c>
      <c r="N1804" s="57" t="str">
        <f t="shared" ref="N1804:N1805" si="776">IF(A1804="","",IF(M1804=B1804,"si","no"))</f>
        <v/>
      </c>
      <c r="O1804" s="56"/>
      <c r="P1804" s="56"/>
      <c r="Q1804" s="48"/>
      <c r="R1804" s="48"/>
      <c r="S1804" s="2"/>
    </row>
    <row r="1805" spans="1:19" ht="12.75" customHeight="1" x14ac:dyDescent="0.2">
      <c r="A1805" s="22"/>
      <c r="B1805" s="23" t="str">
        <f>IF(A1805="","",VLOOKUP(A1805,'6.A'!$A$11:$G$180,2,FALSE))</f>
        <v/>
      </c>
      <c r="C1805" s="99"/>
      <c r="D1805" s="57" t="str">
        <f>IF(A1805="","",VLOOKUP(A1805,'6.A'!$A$11:$G$180,4,FALSE))</f>
        <v/>
      </c>
      <c r="E1805" s="100" t="str">
        <f>IF(A1805="","",VLOOKUP(A1805,'6.A'!$A$11:$G$180,5,FALSE))</f>
        <v/>
      </c>
      <c r="F1805" s="24" t="str">
        <f t="shared" si="772"/>
        <v>0,00</v>
      </c>
      <c r="G1805" s="52"/>
      <c r="H1805" s="52" t="str">
        <f>IF(A1805="","",VLOOKUP(A1805,'6.A'!$A$11:$E$7984,5,FALSE))</f>
        <v/>
      </c>
      <c r="I1805" s="52" t="str">
        <f t="shared" si="773"/>
        <v/>
      </c>
      <c r="J1805" s="52" t="str">
        <f>IF(H1805="","",VLOOKUP(A1805,'6.A'!$A$11:$E$564,4,FALSE))</f>
        <v/>
      </c>
      <c r="K1805" s="52" t="str">
        <f t="shared" si="774"/>
        <v/>
      </c>
      <c r="L1805" s="52" t="str">
        <f>IF(H1805="","",IF(C1805="","",G1780*C1805))</f>
        <v/>
      </c>
      <c r="M1805" s="117" t="str">
        <f>IF(A1805="","",VLOOKUP(A1805,'6.A'!$A$11:$C$564,2,FALSE))</f>
        <v/>
      </c>
      <c r="N1805" s="57" t="str">
        <f t="shared" si="776"/>
        <v/>
      </c>
      <c r="O1805" s="56"/>
      <c r="P1805" s="56"/>
      <c r="Q1805" s="48"/>
      <c r="R1805" s="48"/>
      <c r="S1805" s="2"/>
    </row>
    <row r="1806" spans="1:19" ht="12.75" customHeight="1" x14ac:dyDescent="0.2">
      <c r="A1806" s="22"/>
      <c r="B1806" s="26" t="str">
        <f>$A$9</f>
        <v>BDI</v>
      </c>
      <c r="C1806" s="27">
        <f>$C$9</f>
        <v>0</v>
      </c>
      <c r="D1806" s="57"/>
      <c r="F1806" s="28">
        <f>ROUND(SUM(F1796:F1805)*C1806,2)</f>
        <v>0</v>
      </c>
      <c r="G1806" s="63"/>
      <c r="M1806" s="62"/>
      <c r="N1806" s="57"/>
      <c r="O1806" s="56"/>
      <c r="P1806" s="56"/>
      <c r="Q1806" s="48"/>
      <c r="R1806" s="48"/>
      <c r="S1806" s="2"/>
    </row>
    <row r="1807" spans="1:19" ht="12.75" customHeight="1" x14ac:dyDescent="0.2">
      <c r="A1807" s="30"/>
      <c r="B1807" s="31" t="s">
        <v>117</v>
      </c>
      <c r="C1807" s="36"/>
      <c r="D1807" s="37"/>
      <c r="E1807" s="38"/>
      <c r="F1807" s="35">
        <f>ROUND(SUM(F1796:F1806),2)</f>
        <v>0</v>
      </c>
      <c r="G1807" s="63"/>
      <c r="M1807" s="62"/>
      <c r="N1807" s="57"/>
      <c r="O1807" s="56"/>
      <c r="P1807" s="56"/>
      <c r="Q1807" s="48"/>
      <c r="R1807" s="48"/>
      <c r="S1807" s="2"/>
    </row>
    <row r="1808" spans="1:19" ht="12.75" customHeight="1" x14ac:dyDescent="0.2">
      <c r="A1808" s="17" t="s">
        <v>6</v>
      </c>
      <c r="B1808" s="18" t="s">
        <v>17</v>
      </c>
      <c r="C1808" s="56" t="s">
        <v>59</v>
      </c>
      <c r="D1808" s="56" t="s">
        <v>16</v>
      </c>
      <c r="E1808" s="19" t="s">
        <v>60</v>
      </c>
      <c r="F1808" s="20" t="s">
        <v>61</v>
      </c>
      <c r="G1808" s="21"/>
      <c r="M1808" s="62"/>
      <c r="N1808" s="57"/>
      <c r="O1808" s="56"/>
      <c r="P1808" s="56"/>
      <c r="Q1808" s="48"/>
      <c r="R1808" s="48"/>
      <c r="S1808" s="2"/>
    </row>
    <row r="1809" spans="1:22" ht="12.75" customHeight="1" x14ac:dyDescent="0.2">
      <c r="A1809" s="22">
        <f>'6.A'!$A$75</f>
        <v>998</v>
      </c>
      <c r="B1809" s="23" t="str">
        <f>IF(A1809="","",VLOOKUP(A1809,'6.A'!$A$11:$G$180,2,FALSE))</f>
        <v>CABO DE COBRE FLEXIVEL CL 4/5, ISOLACAO PVC/A, BWF-B, COB. PVC-ST1, 1 CONDUTOR, 0,6/1 KV, SECAO NOMINAL 95 MM2</v>
      </c>
      <c r="C1809" s="99">
        <v>1.0149999999999999</v>
      </c>
      <c r="D1809" s="57" t="str">
        <f>IF(A1809="","",VLOOKUP(A1809,'6.A'!$A$11:$G$180,4,FALSE))</f>
        <v>M</v>
      </c>
      <c r="E1809" s="100">
        <f>IF(A1809="","",VLOOKUP(A1809,'6.A'!$A$11:$G$180,5,FALSE))</f>
        <v>0</v>
      </c>
      <c r="F1809" s="24">
        <f t="shared" ref="F1809:F1828" si="777">IF(A1809="","0,00",ROUND(C1809*E1809,2))</f>
        <v>0</v>
      </c>
      <c r="G1809" s="52"/>
      <c r="H1809" s="52">
        <f>IF(A1809="","",VLOOKUP(A1809,'6.A'!$A$11:$E$7984,5,FALSE))</f>
        <v>0</v>
      </c>
      <c r="I1809" s="52" t="str">
        <f t="shared" ref="I1809:I1828" si="778">IF(H1809="","",IF(E1809=H1809,"SIM","NÃO"))</f>
        <v>SIM</v>
      </c>
      <c r="J1809" s="52" t="str">
        <f>IF(H1809="","",VLOOKUP(A1809,'6.A'!$A$11:$E$564,4,FALSE))</f>
        <v>M</v>
      </c>
      <c r="K1809" s="52" t="str">
        <f t="shared" ref="K1809:K1828" si="779">IF(H1809="","",IF(J1809=D1809,"SIM","NÃO"))</f>
        <v>SIM</v>
      </c>
      <c r="L1809" s="52">
        <f>IF(H1809="","",IF(C1809="","",G1780*C1809))</f>
        <v>25.374999999999996</v>
      </c>
      <c r="M1809" s="117" t="str">
        <f>IF(A1809="","",VLOOKUP(A1809,'6.A'!$A$11:$C$564,2,FALSE))</f>
        <v>CABO DE COBRE FLEXIVEL CL 4/5, ISOLACAO PVC/A, BWF-B, COB. PVC-ST1, 1 CONDUTOR, 0,6/1 KV, SECAO NOMINAL 95 MM2</v>
      </c>
      <c r="N1809" s="57" t="str">
        <f t="shared" ref="N1809:N1828" si="780">IF(A1809="","",IF(M1809=B1809,"si","no"))</f>
        <v>si</v>
      </c>
      <c r="O1809" s="56"/>
      <c r="P1809" s="56"/>
      <c r="Q1809" s="48"/>
      <c r="R1809" s="48"/>
      <c r="S1809" s="2"/>
    </row>
    <row r="1810" spans="1:22" ht="12.75" customHeight="1" x14ac:dyDescent="0.2">
      <c r="A1810" s="22">
        <f>'6.A'!$A$123</f>
        <v>21127</v>
      </c>
      <c r="B1810" s="23" t="str">
        <f>IF(A1810="","",VLOOKUP(A1810,'6.A'!$A$11:$G$180,2,FALSE))</f>
        <v>FITA ISOLANTE ADESIVA ANTICHAMA, USO ATE 750 V, EM ROLO DE 19 MM X 5 M</v>
      </c>
      <c r="C1810" s="99">
        <v>8.9999999999999993E-3</v>
      </c>
      <c r="D1810" s="57" t="str">
        <f>IF(A1810="","",VLOOKUP(A1810,'6.A'!$A$11:$G$180,4,FALSE))</f>
        <v>UN</v>
      </c>
      <c r="E1810" s="100">
        <f>IF(A1810="","",VLOOKUP(A1810,'6.A'!$A$11:$G$180,5,FALSE))</f>
        <v>0</v>
      </c>
      <c r="F1810" s="24">
        <f t="shared" si="777"/>
        <v>0</v>
      </c>
      <c r="G1810" s="52"/>
      <c r="H1810" s="52">
        <f>IF(A1810="","",VLOOKUP(A1810,'6.A'!$A$11:$E$7984,5,FALSE))</f>
        <v>0</v>
      </c>
      <c r="I1810" s="52" t="str">
        <f t="shared" si="778"/>
        <v>SIM</v>
      </c>
      <c r="J1810" s="52" t="str">
        <f>IF(H1810="","",VLOOKUP(A1810,'6.A'!$A$11:$E$564,4,FALSE))</f>
        <v>UN</v>
      </c>
      <c r="K1810" s="52" t="str">
        <f t="shared" si="779"/>
        <v>SIM</v>
      </c>
      <c r="L1810" s="52">
        <f>IF(H1810="","",IF(C1810="","",G1780*C1810))</f>
        <v>0.22499999999999998</v>
      </c>
      <c r="M1810" s="117" t="str">
        <f>IF(A1810="","",VLOOKUP(A1810,'6.A'!$A$11:$C$564,2,FALSE))</f>
        <v>FITA ISOLANTE ADESIVA ANTICHAMA, USO ATE 750 V, EM ROLO DE 19 MM X 5 M</v>
      </c>
      <c r="N1810" s="57" t="str">
        <f t="shared" si="780"/>
        <v>si</v>
      </c>
      <c r="O1810" s="56"/>
      <c r="P1810" s="56"/>
      <c r="Q1810" s="48"/>
      <c r="R1810" s="48"/>
      <c r="S1810" s="2"/>
    </row>
    <row r="1811" spans="1:22" ht="12.75" customHeight="1" x14ac:dyDescent="0.2">
      <c r="A1811" s="22"/>
      <c r="B1811" s="23" t="str">
        <f>IF(A1811="","",VLOOKUP(A1811,'6.A'!$A$11:$G$180,2,FALSE))</f>
        <v/>
      </c>
      <c r="C1811" s="99"/>
      <c r="D1811" s="57" t="str">
        <f>IF(A1811="","",VLOOKUP(A1811,'6.A'!$A$11:$G$180,4,FALSE))</f>
        <v/>
      </c>
      <c r="E1811" s="100" t="str">
        <f>IF(A1811="","",VLOOKUP(A1811,'6.A'!$A$11:$G$180,5,FALSE))</f>
        <v/>
      </c>
      <c r="F1811" s="24" t="str">
        <f t="shared" si="777"/>
        <v>0,00</v>
      </c>
      <c r="G1811" s="52"/>
      <c r="H1811" s="52" t="str">
        <f>IF(A1811="","",VLOOKUP(A1811,'6.A'!$A$11:$E$7984,5,FALSE))</f>
        <v/>
      </c>
      <c r="I1811" s="52" t="str">
        <f t="shared" si="778"/>
        <v/>
      </c>
      <c r="J1811" s="52" t="str">
        <f>IF(H1811="","",VLOOKUP(A1811,'6.A'!$A$11:$E$564,4,FALSE))</f>
        <v/>
      </c>
      <c r="K1811" s="52" t="str">
        <f t="shared" si="779"/>
        <v/>
      </c>
      <c r="L1811" s="52" t="str">
        <f>IF(H1811="","",IF(C1811="","",G1780*C1811))</f>
        <v/>
      </c>
      <c r="M1811" s="117" t="str">
        <f>IF(A1811="","",VLOOKUP(A1811,'6.A'!$A$11:$C$564,2,FALSE))</f>
        <v/>
      </c>
      <c r="N1811" s="57" t="str">
        <f t="shared" si="780"/>
        <v/>
      </c>
      <c r="O1811" s="56"/>
      <c r="P1811" s="56"/>
      <c r="Q1811" s="48"/>
      <c r="R1811" s="48"/>
      <c r="S1811" s="2"/>
    </row>
    <row r="1812" spans="1:22" ht="12.75" customHeight="1" x14ac:dyDescent="0.2">
      <c r="A1812" s="22"/>
      <c r="B1812" s="23" t="str">
        <f>IF(A1812="","",VLOOKUP(A1812,'6.A'!$A$11:$G$180,2,FALSE))</f>
        <v/>
      </c>
      <c r="C1812" s="99"/>
      <c r="D1812" s="57" t="str">
        <f>IF(A1812="","",VLOOKUP(A1812,'6.A'!$A$11:$G$180,4,FALSE))</f>
        <v/>
      </c>
      <c r="E1812" s="100" t="str">
        <f>IF(A1812="","",VLOOKUP(A1812,'6.A'!$A$11:$G$180,5,FALSE))</f>
        <v/>
      </c>
      <c r="F1812" s="24" t="str">
        <f t="shared" si="777"/>
        <v>0,00</v>
      </c>
      <c r="G1812" s="52"/>
      <c r="H1812" s="52" t="str">
        <f>IF(A1812="","",VLOOKUP(A1812,'6.A'!$A$11:$E$7984,5,FALSE))</f>
        <v/>
      </c>
      <c r="I1812" s="52" t="str">
        <f t="shared" si="778"/>
        <v/>
      </c>
      <c r="J1812" s="52" t="str">
        <f>IF(H1812="","",VLOOKUP(A1812,'6.A'!$A$11:$E$564,4,FALSE))</f>
        <v/>
      </c>
      <c r="K1812" s="52" t="str">
        <f t="shared" si="779"/>
        <v/>
      </c>
      <c r="L1812" s="52" t="str">
        <f>IF(H1812="","",IF(C1812="","",G1780*C1812))</f>
        <v/>
      </c>
      <c r="M1812" s="117" t="str">
        <f>IF(A1812="","",VLOOKUP(A1812,'6.A'!$A$11:$C$564,2,FALSE))</f>
        <v/>
      </c>
      <c r="N1812" s="57" t="str">
        <f t="shared" si="780"/>
        <v/>
      </c>
      <c r="O1812" s="56"/>
      <c r="P1812" s="56"/>
      <c r="Q1812" s="48"/>
      <c r="R1812" s="48"/>
      <c r="S1812" s="2"/>
    </row>
    <row r="1813" spans="1:22" ht="12.75" customHeight="1" x14ac:dyDescent="0.2">
      <c r="A1813" s="22"/>
      <c r="B1813" s="23" t="str">
        <f>IF(A1813="","",VLOOKUP(A1813,'6.A'!$A$11:$G$180,2,FALSE))</f>
        <v/>
      </c>
      <c r="C1813" s="99"/>
      <c r="D1813" s="57" t="str">
        <f>IF(A1813="","",VLOOKUP(A1813,'6.A'!$A$11:$G$180,4,FALSE))</f>
        <v/>
      </c>
      <c r="E1813" s="100" t="str">
        <f>IF(A1813="","",VLOOKUP(A1813,'6.A'!$A$11:$G$180,5,FALSE))</f>
        <v/>
      </c>
      <c r="F1813" s="24" t="str">
        <f t="shared" si="777"/>
        <v>0,00</v>
      </c>
      <c r="G1813" s="52"/>
      <c r="H1813" s="52" t="str">
        <f>IF(A1813="","",VLOOKUP(A1813,'6.A'!$A$11:$E$7984,5,FALSE))</f>
        <v/>
      </c>
      <c r="I1813" s="52" t="str">
        <f t="shared" si="778"/>
        <v/>
      </c>
      <c r="J1813" s="52" t="str">
        <f>IF(H1813="","",VLOOKUP(A1813,'6.A'!$A$11:$E$564,4,FALSE))</f>
        <v/>
      </c>
      <c r="K1813" s="52" t="str">
        <f t="shared" si="779"/>
        <v/>
      </c>
      <c r="L1813" s="52" t="str">
        <f>IF(H1813="","",IF(C1813="","",G1780*C1813))</f>
        <v/>
      </c>
      <c r="M1813" s="117" t="str">
        <f>IF(A1813="","",VLOOKUP(A1813,'6.A'!$A$11:$C$564,2,FALSE))</f>
        <v/>
      </c>
      <c r="N1813" s="57" t="str">
        <f t="shared" si="780"/>
        <v/>
      </c>
      <c r="O1813" s="56"/>
      <c r="P1813" s="56"/>
      <c r="Q1813" s="48"/>
      <c r="R1813" s="48"/>
      <c r="S1813" s="2"/>
    </row>
    <row r="1814" spans="1:22" ht="12.75" customHeight="1" x14ac:dyDescent="0.2">
      <c r="A1814" s="22"/>
      <c r="B1814" s="23" t="str">
        <f>IF(A1814="","",VLOOKUP(A1814,'6.A'!$A$11:$G$180,2,FALSE))</f>
        <v/>
      </c>
      <c r="C1814" s="99"/>
      <c r="D1814" s="57" t="str">
        <f>IF(A1814="","",VLOOKUP(A1814,'6.A'!$A$11:$G$180,4,FALSE))</f>
        <v/>
      </c>
      <c r="E1814" s="100" t="str">
        <f>IF(A1814="","",VLOOKUP(A1814,'6.A'!$A$11:$G$180,5,FALSE))</f>
        <v/>
      </c>
      <c r="F1814" s="24" t="str">
        <f t="shared" si="777"/>
        <v>0,00</v>
      </c>
      <c r="G1814" s="52"/>
      <c r="H1814" s="52" t="str">
        <f>IF(A1814="","",VLOOKUP(A1814,'6.A'!$A$11:$E$7984,5,FALSE))</f>
        <v/>
      </c>
      <c r="I1814" s="52" t="str">
        <f t="shared" si="778"/>
        <v/>
      </c>
      <c r="J1814" s="52" t="str">
        <f>IF(H1814="","",VLOOKUP(A1814,'6.A'!$A$11:$E$564,4,FALSE))</f>
        <v/>
      </c>
      <c r="K1814" s="52" t="str">
        <f t="shared" si="779"/>
        <v/>
      </c>
      <c r="L1814" s="52" t="str">
        <f>IF(H1814="","",IF(C1814="","",G1780*C1814))</f>
        <v/>
      </c>
      <c r="M1814" s="117" t="str">
        <f>IF(A1814="","",VLOOKUP(A1814,'6.A'!$A$11:$C$564,2,FALSE))</f>
        <v/>
      </c>
      <c r="N1814" s="57" t="str">
        <f t="shared" si="780"/>
        <v/>
      </c>
      <c r="O1814" s="56"/>
      <c r="P1814" s="56"/>
      <c r="Q1814" s="48"/>
      <c r="R1814" s="48"/>
      <c r="S1814" s="2"/>
    </row>
    <row r="1815" spans="1:22" ht="12.75" customHeight="1" x14ac:dyDescent="0.2">
      <c r="A1815" s="22"/>
      <c r="B1815" s="23" t="str">
        <f>IF(A1815="","",VLOOKUP(A1815,'6.A'!$A$11:$G$180,2,FALSE))</f>
        <v/>
      </c>
      <c r="C1815" s="99"/>
      <c r="D1815" s="57" t="str">
        <f>IF(A1815="","",VLOOKUP(A1815,'6.A'!$A$11:$G$180,4,FALSE))</f>
        <v/>
      </c>
      <c r="E1815" s="100" t="str">
        <f>IF(A1815="","",VLOOKUP(A1815,'6.A'!$A$11:$G$180,5,FALSE))</f>
        <v/>
      </c>
      <c r="F1815" s="24" t="str">
        <f t="shared" si="777"/>
        <v>0,00</v>
      </c>
      <c r="G1815" s="52"/>
      <c r="H1815" s="52" t="str">
        <f>IF(A1815="","",VLOOKUP(A1815,'6.A'!$A$11:$E$7984,5,FALSE))</f>
        <v/>
      </c>
      <c r="I1815" s="52" t="str">
        <f t="shared" si="778"/>
        <v/>
      </c>
      <c r="J1815" s="52" t="str">
        <f>IF(H1815="","",VLOOKUP(A1815,'6.A'!$A$11:$E$564,4,FALSE))</f>
        <v/>
      </c>
      <c r="K1815" s="52" t="str">
        <f t="shared" si="779"/>
        <v/>
      </c>
      <c r="L1815" s="52" t="str">
        <f>IF(H1815="","",IF(C1815="","",G1780*C1815))</f>
        <v/>
      </c>
      <c r="M1815" s="117" t="str">
        <f>IF(A1815="","",VLOOKUP(A1815,'6.A'!$A$11:$C$564,2,FALSE))</f>
        <v/>
      </c>
      <c r="N1815" s="57" t="str">
        <f t="shared" si="780"/>
        <v/>
      </c>
      <c r="O1815" s="56"/>
      <c r="P1815" s="56"/>
      <c r="Q1815" s="48"/>
      <c r="R1815" s="48"/>
      <c r="S1815" s="2"/>
    </row>
    <row r="1816" spans="1:22" s="65" customFormat="1" ht="12.75" customHeight="1" x14ac:dyDescent="0.2">
      <c r="A1816" s="22"/>
      <c r="B1816" s="23" t="str">
        <f>IF(A1816="","",VLOOKUP(A1816,'6.A'!$A$11:$G$180,2,FALSE))</f>
        <v/>
      </c>
      <c r="C1816" s="99"/>
      <c r="D1816" s="57" t="str">
        <f>IF(A1816="","",VLOOKUP(A1816,'6.A'!$A$11:$G$180,4,FALSE))</f>
        <v/>
      </c>
      <c r="E1816" s="100" t="str">
        <f>IF(A1816="","",VLOOKUP(A1816,'6.A'!$A$11:$G$180,5,FALSE))</f>
        <v/>
      </c>
      <c r="F1816" s="24" t="str">
        <f t="shared" si="777"/>
        <v>0,00</v>
      </c>
      <c r="G1816" s="52"/>
      <c r="H1816" s="52" t="str">
        <f>IF(A1816="","",VLOOKUP(A1816,'6.A'!$A$11:$E$7984,5,FALSE))</f>
        <v/>
      </c>
      <c r="I1816" s="52" t="str">
        <f t="shared" si="778"/>
        <v/>
      </c>
      <c r="J1816" s="52" t="str">
        <f>IF(H1816="","",VLOOKUP(A1816,'6.A'!$A$11:$E$564,4,FALSE))</f>
        <v/>
      </c>
      <c r="K1816" s="52" t="str">
        <f t="shared" si="779"/>
        <v/>
      </c>
      <c r="L1816" s="52" t="str">
        <f>IF(H1816="","",IF(C1816="","",G1780*C1816))</f>
        <v/>
      </c>
      <c r="M1816" s="117" t="str">
        <f>IF(A1816="","",VLOOKUP(A1816,'6.A'!$A$11:$C$564,2,FALSE))</f>
        <v/>
      </c>
      <c r="N1816" s="57" t="str">
        <f t="shared" si="780"/>
        <v/>
      </c>
      <c r="O1816" s="56"/>
      <c r="P1816" s="56"/>
      <c r="Q1816" s="48"/>
      <c r="R1816" s="48"/>
      <c r="T1816" s="2"/>
      <c r="U1816" s="2"/>
      <c r="V1816" s="2"/>
    </row>
    <row r="1817" spans="1:22" s="65" customFormat="1" ht="12.75" customHeight="1" x14ac:dyDescent="0.2">
      <c r="A1817" s="22"/>
      <c r="B1817" s="23" t="str">
        <f>IF(A1817="","",VLOOKUP(A1817,'6.A'!$A$11:$G$180,2,FALSE))</f>
        <v/>
      </c>
      <c r="C1817" s="99"/>
      <c r="D1817" s="57" t="str">
        <f>IF(A1817="","",VLOOKUP(A1817,'6.A'!$A$11:$G$180,4,FALSE))</f>
        <v/>
      </c>
      <c r="E1817" s="100" t="str">
        <f>IF(A1817="","",VLOOKUP(A1817,'6.A'!$A$11:$G$180,5,FALSE))</f>
        <v/>
      </c>
      <c r="F1817" s="24" t="str">
        <f t="shared" si="777"/>
        <v>0,00</v>
      </c>
      <c r="G1817" s="52"/>
      <c r="H1817" s="52" t="str">
        <f>IF(A1817="","",VLOOKUP(A1817,'6.A'!$A$11:$E$7984,5,FALSE))</f>
        <v/>
      </c>
      <c r="I1817" s="52" t="str">
        <f t="shared" si="778"/>
        <v/>
      </c>
      <c r="J1817" s="52" t="str">
        <f>IF(H1817="","",VLOOKUP(A1817,'6.A'!$A$11:$E$564,4,FALSE))</f>
        <v/>
      </c>
      <c r="K1817" s="52" t="str">
        <f t="shared" si="779"/>
        <v/>
      </c>
      <c r="L1817" s="52" t="str">
        <f>IF(H1817="","",IF(C1817="","",G1780*C1817))</f>
        <v/>
      </c>
      <c r="M1817" s="117" t="str">
        <f>IF(A1817="","",VLOOKUP(A1817,'6.A'!$A$11:$C$564,2,FALSE))</f>
        <v/>
      </c>
      <c r="N1817" s="57" t="str">
        <f t="shared" si="780"/>
        <v/>
      </c>
      <c r="O1817" s="56"/>
      <c r="P1817" s="56"/>
      <c r="Q1817" s="48"/>
      <c r="R1817" s="48"/>
      <c r="T1817" s="2"/>
      <c r="U1817" s="2"/>
      <c r="V1817" s="2"/>
    </row>
    <row r="1818" spans="1:22" s="65" customFormat="1" ht="12.75" customHeight="1" x14ac:dyDescent="0.2">
      <c r="A1818" s="22"/>
      <c r="B1818" s="23" t="str">
        <f>IF(A1818="","",VLOOKUP(A1818,'6.A'!$A$11:$G$180,2,FALSE))</f>
        <v/>
      </c>
      <c r="C1818" s="99"/>
      <c r="D1818" s="57" t="str">
        <f>IF(A1818="","",VLOOKUP(A1818,'6.A'!$A$11:$G$180,4,FALSE))</f>
        <v/>
      </c>
      <c r="E1818" s="100" t="str">
        <f>IF(A1818="","",VLOOKUP(A1818,'6.A'!$A$11:$G$180,5,FALSE))</f>
        <v/>
      </c>
      <c r="F1818" s="24" t="str">
        <f t="shared" si="777"/>
        <v>0,00</v>
      </c>
      <c r="G1818" s="52"/>
      <c r="H1818" s="52" t="str">
        <f>IF(A1818="","",VLOOKUP(A1818,'6.A'!$A$11:$E$7984,5,FALSE))</f>
        <v/>
      </c>
      <c r="I1818" s="52" t="str">
        <f t="shared" si="778"/>
        <v/>
      </c>
      <c r="J1818" s="52" t="str">
        <f>IF(H1818="","",VLOOKUP(A1818,'6.A'!$A$11:$E$564,4,FALSE))</f>
        <v/>
      </c>
      <c r="K1818" s="52" t="str">
        <f t="shared" si="779"/>
        <v/>
      </c>
      <c r="L1818" s="52" t="str">
        <f>IF(H1818="","",IF(C1818="","",G1780*C1818))</f>
        <v/>
      </c>
      <c r="M1818" s="117" t="str">
        <f>IF(A1818="","",VLOOKUP(A1818,'6.A'!$A$11:$C$564,2,FALSE))</f>
        <v/>
      </c>
      <c r="N1818" s="57" t="str">
        <f t="shared" si="780"/>
        <v/>
      </c>
      <c r="O1818" s="56"/>
      <c r="P1818" s="56"/>
      <c r="Q1818" s="48"/>
      <c r="R1818" s="48"/>
      <c r="T1818" s="2"/>
      <c r="U1818" s="2"/>
      <c r="V1818" s="2"/>
    </row>
    <row r="1819" spans="1:22" s="65" customFormat="1" ht="12.75" customHeight="1" x14ac:dyDescent="0.2">
      <c r="A1819" s="22"/>
      <c r="B1819" s="23" t="str">
        <f>IF(A1819="","",VLOOKUP(A1819,'6.A'!$A$11:$G$180,2,FALSE))</f>
        <v/>
      </c>
      <c r="C1819" s="99"/>
      <c r="D1819" s="57" t="str">
        <f>IF(A1819="","",VLOOKUP(A1819,'6.A'!$A$11:$G$180,4,FALSE))</f>
        <v/>
      </c>
      <c r="E1819" s="100" t="str">
        <f>IF(A1819="","",VLOOKUP(A1819,'6.A'!$A$11:$G$180,5,FALSE))</f>
        <v/>
      </c>
      <c r="F1819" s="24" t="str">
        <f t="shared" si="777"/>
        <v>0,00</v>
      </c>
      <c r="G1819" s="52"/>
      <c r="H1819" s="52" t="str">
        <f>IF(A1819="","",VLOOKUP(A1819,'6.A'!$A$11:$E$7984,5,FALSE))</f>
        <v/>
      </c>
      <c r="I1819" s="52" t="str">
        <f t="shared" si="778"/>
        <v/>
      </c>
      <c r="J1819" s="52" t="str">
        <f>IF(H1819="","",VLOOKUP(A1819,'6.A'!$A$11:$E$564,4,FALSE))</f>
        <v/>
      </c>
      <c r="K1819" s="52" t="str">
        <f t="shared" si="779"/>
        <v/>
      </c>
      <c r="L1819" s="52" t="str">
        <f>IF(H1819="","",IF(C1819="","",G1780*C1819))</f>
        <v/>
      </c>
      <c r="M1819" s="117" t="str">
        <f>IF(A1819="","",VLOOKUP(A1819,'6.A'!$A$11:$C$564,2,FALSE))</f>
        <v/>
      </c>
      <c r="N1819" s="57" t="str">
        <f t="shared" si="780"/>
        <v/>
      </c>
      <c r="O1819" s="56"/>
      <c r="P1819" s="56"/>
      <c r="Q1819" s="48"/>
      <c r="R1819" s="48"/>
      <c r="T1819" s="2"/>
      <c r="U1819" s="2"/>
      <c r="V1819" s="2"/>
    </row>
    <row r="1820" spans="1:22" ht="12.75" customHeight="1" x14ac:dyDescent="0.2">
      <c r="A1820" s="22"/>
      <c r="B1820" s="23" t="str">
        <f>IF(A1820="","",VLOOKUP(A1820,'6.A'!$A$11:$G$180,2,FALSE))</f>
        <v/>
      </c>
      <c r="C1820" s="99"/>
      <c r="D1820" s="57" t="str">
        <f>IF(A1820="","",VLOOKUP(A1820,'6.A'!$A$11:$G$180,4,FALSE))</f>
        <v/>
      </c>
      <c r="E1820" s="100" t="str">
        <f>IF(A1820="","",VLOOKUP(A1820,'6.A'!$A$11:$G$180,5,FALSE))</f>
        <v/>
      </c>
      <c r="F1820" s="24" t="str">
        <f t="shared" si="777"/>
        <v>0,00</v>
      </c>
      <c r="G1820" s="52"/>
      <c r="H1820" s="52" t="str">
        <f>IF(A1820="","",VLOOKUP(A1820,'6.A'!$A$11:$E$7984,5,FALSE))</f>
        <v/>
      </c>
      <c r="I1820" s="52" t="str">
        <f t="shared" si="778"/>
        <v/>
      </c>
      <c r="J1820" s="52" t="str">
        <f>IF(H1820="","",VLOOKUP(A1820,'6.A'!$A$11:$E$564,4,FALSE))</f>
        <v/>
      </c>
      <c r="K1820" s="52" t="str">
        <f t="shared" si="779"/>
        <v/>
      </c>
      <c r="L1820" s="52" t="str">
        <f>IF(H1820="","",IF(C1820="","",G1780*C1820))</f>
        <v/>
      </c>
      <c r="M1820" s="117" t="str">
        <f>IF(A1820="","",VLOOKUP(A1820,'6.A'!$A$11:$C$564,2,FALSE))</f>
        <v/>
      </c>
      <c r="N1820" s="57" t="str">
        <f t="shared" si="780"/>
        <v/>
      </c>
      <c r="O1820" s="56"/>
      <c r="P1820" s="56"/>
      <c r="Q1820" s="48"/>
      <c r="R1820" s="48"/>
    </row>
    <row r="1821" spans="1:22" ht="12.75" customHeight="1" x14ac:dyDescent="0.2">
      <c r="A1821" s="22"/>
      <c r="B1821" s="23" t="str">
        <f>IF(A1821="","",VLOOKUP(A1821,'6.A'!$A$11:$G$180,2,FALSE))</f>
        <v/>
      </c>
      <c r="C1821" s="99"/>
      <c r="D1821" s="57" t="str">
        <f>IF(A1821="","",VLOOKUP(A1821,'6.A'!$A$11:$G$180,4,FALSE))</f>
        <v/>
      </c>
      <c r="E1821" s="100" t="str">
        <f>IF(A1821="","",VLOOKUP(A1821,'6.A'!$A$11:$G$180,5,FALSE))</f>
        <v/>
      </c>
      <c r="F1821" s="24" t="str">
        <f t="shared" si="777"/>
        <v>0,00</v>
      </c>
      <c r="G1821" s="52"/>
      <c r="H1821" s="52" t="str">
        <f>IF(A1821="","",VLOOKUP(A1821,'6.A'!$A$11:$E$7984,5,FALSE))</f>
        <v/>
      </c>
      <c r="I1821" s="52" t="str">
        <f t="shared" si="778"/>
        <v/>
      </c>
      <c r="J1821" s="52" t="str">
        <f>IF(H1821="","",VLOOKUP(A1821,'6.A'!$A$11:$E$564,4,FALSE))</f>
        <v/>
      </c>
      <c r="K1821" s="52" t="str">
        <f t="shared" si="779"/>
        <v/>
      </c>
      <c r="L1821" s="52" t="str">
        <f>IF(H1821="","",IF(C1821="","",G1780*C1821))</f>
        <v/>
      </c>
      <c r="M1821" s="117" t="str">
        <f>IF(A1821="","",VLOOKUP(A1821,'6.A'!$A$11:$C$564,2,FALSE))</f>
        <v/>
      </c>
      <c r="N1821" s="57" t="str">
        <f t="shared" si="780"/>
        <v/>
      </c>
      <c r="O1821" s="56"/>
      <c r="P1821" s="56"/>
      <c r="Q1821" s="48"/>
      <c r="R1821" s="48"/>
    </row>
    <row r="1822" spans="1:22" ht="12.75" customHeight="1" x14ac:dyDescent="0.2">
      <c r="A1822" s="22"/>
      <c r="B1822" s="23" t="str">
        <f>IF(A1822="","",VLOOKUP(A1822,'6.A'!$A$11:$G$180,2,FALSE))</f>
        <v/>
      </c>
      <c r="C1822" s="99"/>
      <c r="D1822" s="57" t="str">
        <f>IF(A1822="","",VLOOKUP(A1822,'6.A'!$A$11:$G$180,4,FALSE))</f>
        <v/>
      </c>
      <c r="E1822" s="100" t="str">
        <f>IF(A1822="","",VLOOKUP(A1822,'6.A'!$A$11:$G$180,5,FALSE))</f>
        <v/>
      </c>
      <c r="F1822" s="24" t="str">
        <f t="shared" si="777"/>
        <v>0,00</v>
      </c>
      <c r="G1822" s="52"/>
      <c r="H1822" s="52" t="str">
        <f>IF(A1822="","",VLOOKUP(A1822,'6.A'!$A$11:$E$7984,5,FALSE))</f>
        <v/>
      </c>
      <c r="I1822" s="52" t="str">
        <f t="shared" si="778"/>
        <v/>
      </c>
      <c r="J1822" s="52" t="str">
        <f>IF(H1822="","",VLOOKUP(A1822,'6.A'!$A$11:$E$564,4,FALSE))</f>
        <v/>
      </c>
      <c r="K1822" s="52" t="str">
        <f t="shared" si="779"/>
        <v/>
      </c>
      <c r="L1822" s="52" t="str">
        <f>IF(H1822="","",IF(C1822="","",G1780*C1822))</f>
        <v/>
      </c>
      <c r="M1822" s="117" t="str">
        <f>IF(A1822="","",VLOOKUP(A1822,'6.A'!$A$11:$C$564,2,FALSE))</f>
        <v/>
      </c>
      <c r="N1822" s="57" t="str">
        <f t="shared" si="780"/>
        <v/>
      </c>
      <c r="O1822" s="56"/>
      <c r="P1822" s="56"/>
      <c r="Q1822" s="48"/>
      <c r="R1822" s="48"/>
    </row>
    <row r="1823" spans="1:22" ht="12.75" customHeight="1" x14ac:dyDescent="0.2">
      <c r="A1823" s="22"/>
      <c r="B1823" s="23" t="str">
        <f>IF(A1823="","",VLOOKUP(A1823,'6.A'!$A$11:$G$180,2,FALSE))</f>
        <v/>
      </c>
      <c r="C1823" s="99"/>
      <c r="D1823" s="57" t="str">
        <f>IF(A1823="","",VLOOKUP(A1823,'6.A'!$A$11:$G$180,4,FALSE))</f>
        <v/>
      </c>
      <c r="E1823" s="100" t="str">
        <f>IF(A1823="","",VLOOKUP(A1823,'6.A'!$A$11:$G$180,5,FALSE))</f>
        <v/>
      </c>
      <c r="F1823" s="24" t="str">
        <f t="shared" si="777"/>
        <v>0,00</v>
      </c>
      <c r="G1823" s="52"/>
      <c r="H1823" s="52" t="str">
        <f>IF(A1823="","",VLOOKUP(A1823,'6.A'!$A$11:$E$7984,5,FALSE))</f>
        <v/>
      </c>
      <c r="I1823" s="52" t="str">
        <f t="shared" si="778"/>
        <v/>
      </c>
      <c r="J1823" s="52" t="str">
        <f>IF(H1823="","",VLOOKUP(A1823,'6.A'!$A$11:$E$564,4,FALSE))</f>
        <v/>
      </c>
      <c r="K1823" s="52" t="str">
        <f t="shared" si="779"/>
        <v/>
      </c>
      <c r="L1823" s="52" t="str">
        <f>IF(H1823="","",IF(C1823="","",G1780*C1823))</f>
        <v/>
      </c>
      <c r="M1823" s="117" t="str">
        <f>IF(A1823="","",VLOOKUP(A1823,'6.A'!$A$11:$C$564,2,FALSE))</f>
        <v/>
      </c>
      <c r="N1823" s="57" t="str">
        <f t="shared" si="780"/>
        <v/>
      </c>
      <c r="O1823" s="56"/>
      <c r="P1823" s="56"/>
      <c r="Q1823" s="48"/>
      <c r="R1823" s="48"/>
    </row>
    <row r="1824" spans="1:22" ht="12.75" customHeight="1" x14ac:dyDescent="0.2">
      <c r="A1824" s="22"/>
      <c r="B1824" s="23" t="str">
        <f>IF(A1824="","",VLOOKUP(A1824,'6.A'!$A$11:$G$180,2,FALSE))</f>
        <v/>
      </c>
      <c r="C1824" s="99"/>
      <c r="D1824" s="57" t="str">
        <f>IF(A1824="","",VLOOKUP(A1824,'6.A'!$A$11:$G$180,4,FALSE))</f>
        <v/>
      </c>
      <c r="E1824" s="100" t="str">
        <f>IF(A1824="","",VLOOKUP(A1824,'6.A'!$A$11:$G$180,5,FALSE))</f>
        <v/>
      </c>
      <c r="F1824" s="24" t="str">
        <f t="shared" si="777"/>
        <v>0,00</v>
      </c>
      <c r="G1824" s="52"/>
      <c r="H1824" s="52" t="str">
        <f>IF(A1824="","",VLOOKUP(A1824,'6.A'!$A$11:$E$7984,5,FALSE))</f>
        <v/>
      </c>
      <c r="I1824" s="52" t="str">
        <f t="shared" si="778"/>
        <v/>
      </c>
      <c r="J1824" s="52" t="str">
        <f>IF(H1824="","",VLOOKUP(A1824,'6.A'!$A$11:$E$564,4,FALSE))</f>
        <v/>
      </c>
      <c r="K1824" s="52" t="str">
        <f t="shared" si="779"/>
        <v/>
      </c>
      <c r="L1824" s="52" t="str">
        <f>IF(H1824="","",IF(C1824="","",G1780*C1824))</f>
        <v/>
      </c>
      <c r="M1824" s="117" t="str">
        <f>IF(A1824="","",VLOOKUP(A1824,'6.A'!$A$11:$C$564,2,FALSE))</f>
        <v/>
      </c>
      <c r="N1824" s="57" t="str">
        <f t="shared" si="780"/>
        <v/>
      </c>
      <c r="O1824" s="56"/>
      <c r="P1824" s="56"/>
      <c r="Q1824" s="48"/>
      <c r="R1824" s="48"/>
    </row>
    <row r="1825" spans="1:23" ht="12.75" customHeight="1" x14ac:dyDescent="0.2">
      <c r="A1825" s="22"/>
      <c r="B1825" s="23" t="str">
        <f>IF(A1825="","",VLOOKUP(A1825,'6.A'!$A$11:$G$180,2,FALSE))</f>
        <v/>
      </c>
      <c r="C1825" s="99"/>
      <c r="D1825" s="57" t="str">
        <f>IF(A1825="","",VLOOKUP(A1825,'6.A'!$A$11:$G$180,4,FALSE))</f>
        <v/>
      </c>
      <c r="E1825" s="100" t="str">
        <f>IF(A1825="","",VLOOKUP(A1825,'6.A'!$A$11:$G$180,5,FALSE))</f>
        <v/>
      </c>
      <c r="F1825" s="24" t="str">
        <f t="shared" si="777"/>
        <v>0,00</v>
      </c>
      <c r="G1825" s="52"/>
      <c r="H1825" s="52" t="str">
        <f>IF(A1825="","",VLOOKUP(A1825,'6.A'!$A$11:$E$7984,5,FALSE))</f>
        <v/>
      </c>
      <c r="I1825" s="52" t="str">
        <f t="shared" si="778"/>
        <v/>
      </c>
      <c r="J1825" s="52" t="str">
        <f>IF(H1825="","",VLOOKUP(A1825,'6.A'!$A$11:$E$564,4,FALSE))</f>
        <v/>
      </c>
      <c r="K1825" s="52" t="str">
        <f t="shared" si="779"/>
        <v/>
      </c>
      <c r="L1825" s="52" t="str">
        <f>IF(H1825="","",IF(C1825="","",G1780*C1825))</f>
        <v/>
      </c>
      <c r="M1825" s="117" t="str">
        <f>IF(A1825="","",VLOOKUP(A1825,'6.A'!$A$11:$C$564,2,FALSE))</f>
        <v/>
      </c>
      <c r="N1825" s="57" t="str">
        <f t="shared" si="780"/>
        <v/>
      </c>
      <c r="O1825" s="56"/>
      <c r="P1825" s="56"/>
      <c r="Q1825" s="48"/>
      <c r="R1825" s="48"/>
    </row>
    <row r="1826" spans="1:23" ht="12.75" customHeight="1" x14ac:dyDescent="0.2">
      <c r="A1826" s="22"/>
      <c r="B1826" s="39" t="str">
        <f>IF(A1826="","",VLOOKUP(A1826,'6.A'!$A$11:$G$180,2,FALSE))</f>
        <v/>
      </c>
      <c r="C1826" s="99"/>
      <c r="D1826" s="57" t="str">
        <f>IF(A1826="","",VLOOKUP(A1826,'6.A'!$A$11:$G$180,4,FALSE))</f>
        <v/>
      </c>
      <c r="E1826" s="100" t="str">
        <f>IF(A1826="","",VLOOKUP(A1826,'6.A'!$A$11:$G$180,5,FALSE))</f>
        <v/>
      </c>
      <c r="F1826" s="24" t="str">
        <f t="shared" si="777"/>
        <v>0,00</v>
      </c>
      <c r="G1826" s="52"/>
      <c r="H1826" s="52" t="str">
        <f>IF(A1826="","",VLOOKUP(A1826,'6.A'!$A$11:$E$7984,5,FALSE))</f>
        <v/>
      </c>
      <c r="I1826" s="52" t="str">
        <f t="shared" si="778"/>
        <v/>
      </c>
      <c r="J1826" s="52" t="str">
        <f>IF(H1826="","",VLOOKUP(A1826,'6.A'!$A$11:$E$564,4,FALSE))</f>
        <v/>
      </c>
      <c r="K1826" s="52" t="str">
        <f t="shared" si="779"/>
        <v/>
      </c>
      <c r="L1826" s="52" t="str">
        <f>IF(H1826="","",IF(C1826="","",G1780*C1826))</f>
        <v/>
      </c>
      <c r="M1826" s="117" t="str">
        <f>IF(A1826="","",VLOOKUP(A1826,'6.A'!$A$11:$C$564,2,FALSE))</f>
        <v/>
      </c>
      <c r="N1826" s="57" t="str">
        <f t="shared" si="780"/>
        <v/>
      </c>
      <c r="O1826" s="56"/>
      <c r="P1826" s="56"/>
      <c r="Q1826" s="48"/>
      <c r="R1826" s="48"/>
    </row>
    <row r="1827" spans="1:23" ht="12.75" customHeight="1" x14ac:dyDescent="0.2">
      <c r="A1827" s="22"/>
      <c r="B1827" s="39" t="str">
        <f>IF(A1827="","",VLOOKUP(A1827,'6.A'!$A$11:$G$180,2,FALSE))</f>
        <v/>
      </c>
      <c r="C1827" s="99"/>
      <c r="D1827" s="57" t="str">
        <f>IF(A1827="","",VLOOKUP(A1827,'6.A'!$A$11:$G$180,4,FALSE))</f>
        <v/>
      </c>
      <c r="E1827" s="100" t="str">
        <f>IF(A1827="","",VLOOKUP(A1827,'6.A'!$A$11:$G$180,5,FALSE))</f>
        <v/>
      </c>
      <c r="F1827" s="24" t="str">
        <f t="shared" si="777"/>
        <v>0,00</v>
      </c>
      <c r="G1827" s="52"/>
      <c r="H1827" s="52" t="str">
        <f>IF(A1827="","",VLOOKUP(A1827,'6.A'!$A$11:$E$7984,5,FALSE))</f>
        <v/>
      </c>
      <c r="I1827" s="52" t="str">
        <f t="shared" si="778"/>
        <v/>
      </c>
      <c r="J1827" s="52" t="str">
        <f>IF(H1827="","",VLOOKUP(A1827,'6.A'!$A$11:$E$564,4,FALSE))</f>
        <v/>
      </c>
      <c r="K1827" s="52" t="str">
        <f t="shared" si="779"/>
        <v/>
      </c>
      <c r="L1827" s="52" t="str">
        <f>IF(H1827="","",IF(C1827="","",G1780*C1827))</f>
        <v/>
      </c>
      <c r="M1827" s="117" t="str">
        <f>IF(A1827="","",VLOOKUP(A1827,'6.A'!$A$11:$C$564,2,FALSE))</f>
        <v/>
      </c>
      <c r="N1827" s="57" t="str">
        <f t="shared" si="780"/>
        <v/>
      </c>
      <c r="O1827" s="56"/>
      <c r="P1827" s="56"/>
      <c r="Q1827" s="48"/>
      <c r="R1827" s="48"/>
    </row>
    <row r="1828" spans="1:23" ht="12.75" customHeight="1" x14ac:dyDescent="0.2">
      <c r="A1828" s="22"/>
      <c r="B1828" s="39" t="str">
        <f>IF(A1828="","",VLOOKUP(A1828,'6.A'!$A$11:$G$180,2,FALSE))</f>
        <v/>
      </c>
      <c r="C1828" s="99"/>
      <c r="D1828" s="57" t="str">
        <f>IF(A1828="","",VLOOKUP(A1828,'6.A'!$A$11:$G$180,4,FALSE))</f>
        <v/>
      </c>
      <c r="E1828" s="100" t="str">
        <f>IF(A1828="","",VLOOKUP(A1828,'6.A'!$A$11:$G$180,5,FALSE))</f>
        <v/>
      </c>
      <c r="F1828" s="24" t="str">
        <f t="shared" si="777"/>
        <v>0,00</v>
      </c>
      <c r="G1828" s="52"/>
      <c r="H1828" s="52" t="str">
        <f>IF(A1828="","",VLOOKUP(A1828,'6.A'!$A$11:$E$7984,5,FALSE))</f>
        <v/>
      </c>
      <c r="I1828" s="52" t="str">
        <f t="shared" si="778"/>
        <v/>
      </c>
      <c r="J1828" s="52" t="str">
        <f>IF(H1828="","",VLOOKUP(A1828,'6.A'!$A$11:$E$564,4,FALSE))</f>
        <v/>
      </c>
      <c r="K1828" s="52" t="str">
        <f t="shared" si="779"/>
        <v/>
      </c>
      <c r="L1828" s="52" t="str">
        <f>IF(H1828="","",IF(C1828="","",G1780*C1828))</f>
        <v/>
      </c>
      <c r="M1828" s="117" t="str">
        <f>IF(A1828="","",VLOOKUP(A1828,'6.A'!$A$11:$C$564,2,FALSE))</f>
        <v/>
      </c>
      <c r="N1828" s="57" t="str">
        <f t="shared" si="780"/>
        <v/>
      </c>
      <c r="O1828" s="56"/>
      <c r="P1828" s="56"/>
      <c r="Q1828" s="48"/>
      <c r="R1828" s="48"/>
    </row>
    <row r="1829" spans="1:23" ht="12.75" customHeight="1" x14ac:dyDescent="0.2">
      <c r="A1829" s="22"/>
      <c r="B1829" s="26" t="str">
        <f>$A$9</f>
        <v>BDI</v>
      </c>
      <c r="C1829" s="40">
        <f>$C$9</f>
        <v>0</v>
      </c>
      <c r="D1829" s="57"/>
      <c r="F1829" s="28">
        <f>ROUND(SUM(F1809:F1828)*C1829,2)</f>
        <v>0</v>
      </c>
      <c r="G1829" s="63"/>
      <c r="M1829" s="57"/>
      <c r="N1829" s="57"/>
      <c r="O1829" s="56"/>
      <c r="P1829" s="56"/>
      <c r="Q1829" s="48"/>
      <c r="R1829" s="48"/>
    </row>
    <row r="1830" spans="1:23" ht="12.75" customHeight="1" thickBot="1" x14ac:dyDescent="0.25">
      <c r="A1830" s="41"/>
      <c r="B1830" s="42" t="s">
        <v>57</v>
      </c>
      <c r="C1830" s="43"/>
      <c r="D1830" s="44"/>
      <c r="E1830" s="45"/>
      <c r="F1830" s="46">
        <f>ROUND(SUM(F1809:F1829),2)</f>
        <v>0</v>
      </c>
      <c r="G1830" s="63"/>
      <c r="M1830" s="57"/>
      <c r="N1830" s="57"/>
      <c r="O1830" s="56"/>
      <c r="P1830" s="56"/>
      <c r="Q1830" s="48"/>
      <c r="R1830" s="48"/>
    </row>
    <row r="1831" spans="1:23" ht="12" customHeight="1" thickBot="1" x14ac:dyDescent="0.25">
      <c r="A1831" s="8"/>
      <c r="B1831" s="9"/>
      <c r="C1831" s="10"/>
      <c r="D1831" s="57"/>
      <c r="F1831" s="12"/>
      <c r="M1831" s="57"/>
      <c r="N1831" s="57"/>
      <c r="O1831" s="56"/>
      <c r="P1831" s="56"/>
    </row>
    <row r="1832" spans="1:23" ht="50.1" customHeight="1" x14ac:dyDescent="0.2">
      <c r="A1832" s="13" t="str">
        <f>'3.A'!$A$48</f>
        <v>3.2.11</v>
      </c>
      <c r="B1832" s="14" t="str">
        <f>IF(A1832="","",VLOOKUP(A1832,'3.A'!$A$17:$M$279,2,FALSE))</f>
        <v>CABO DE COBRE FLEXÍVEL ISOLADO, 185 MM², ANTI-CHAMA 0,6/1,0 KV, PARA REDE ENTERRADA DE ENERGIA ELÉTRICA - TERRA</v>
      </c>
      <c r="C1832" s="413" t="s">
        <v>62</v>
      </c>
      <c r="D1832" s="413"/>
      <c r="E1832" s="15" t="str">
        <f>IF(A1832="","",VLOOKUP(A1832,'3.A'!$A$17:$M$279,3,FALSE))</f>
        <v>M</v>
      </c>
      <c r="F1832" s="16">
        <f>ROUND(F1846+F1859+F1882,2)</f>
        <v>0</v>
      </c>
      <c r="G1832" s="118">
        <f>VLOOKUP(A1832,'3.A'!$A$19:$I$279,4,FALSE)</f>
        <v>30</v>
      </c>
      <c r="H1832" s="47">
        <f>SUM(F1834:F1845)</f>
        <v>0</v>
      </c>
      <c r="I1832" s="47">
        <f>SUM(F1848:F1858)</f>
        <v>0</v>
      </c>
      <c r="J1832" s="47">
        <f>SUM(F1861:F1881)</f>
        <v>0</v>
      </c>
      <c r="K1832" s="47">
        <f>SUM(H1832:J1832)</f>
        <v>0</v>
      </c>
      <c r="L1832" s="47" t="str">
        <f>IF(K1832=F1832,"SIM","NÃO")</f>
        <v>SIM</v>
      </c>
      <c r="M1832" s="58">
        <f>ROUND(SUM(F1834:F1843)*C1844,2)+ROUND(SUM(F1834:F1844)*C1845,2)+ROUND(SUM(F1834:F1843),2)+ROUND(SUM(F1848:F1857)*C1858,2)+ROUND(SUM(F1848:F1857),2)+ROUND(SUM(F1861:F1880)*C1881,2)+ROUND(SUM(F1861:F1880),2)</f>
        <v>0</v>
      </c>
      <c r="N1832" s="50" t="str">
        <f>IF(M1832=F1832,"SIM","NÃO")</f>
        <v>SIM</v>
      </c>
      <c r="O1832" s="51" t="str">
        <f>VLOOKUP(A1832,'3.A'!$A$8:$E$279,3,FALSE)</f>
        <v>M</v>
      </c>
      <c r="P1832" s="51" t="str">
        <f>IF(O1832=E1832,"SIM","NÃO")</f>
        <v>SIM</v>
      </c>
      <c r="Q1832" s="53">
        <f>ROUND(G1832*F1846,2)+ROUND(G1832*F1859,2)+ROUND(G1832*F1882,2)</f>
        <v>0</v>
      </c>
      <c r="R1832" s="59">
        <f>VLOOKUP(A1832,'3.A'!$A$17:$L$279,12,FALSE)</f>
        <v>0</v>
      </c>
      <c r="S1832" s="60" t="str">
        <f>IF(Q1832=R1832,"si","no")</f>
        <v>si</v>
      </c>
      <c r="T1832" s="61">
        <f>SUM(L1834:L1843)+SUM(L1848:L1857)+SUM(L1861:L1880)</f>
        <v>42.87</v>
      </c>
      <c r="U1832" s="52">
        <f>G1832*C1840+G1832*C1842+G1832*C1835+G1832*C1836+G1832*C1838+G1832*C1841+G1832*C1839+G1832*C1834+G1832*C1837+G1832*C1843+G1832*C1854+G1832*C1848+G1832*C1856+G1832*C1855+G1832*C1853+G1832*C1850+G1832*C1849+G1832*C1851+G1832*C1857+G1832*C1852+G1832*C1861+G1832*C1862+G1832*C1863+G1832*C1871+G1832*C1872+G1832*C1873+G1832*C1874+G1832*C1875+G1832*C1876+G1832*C1877+G1832*C1878+G1832*C1879+G1832*C1880+G1832*C1869+G1832*C1870+G1832*C1864+G1832*C1865+G1832*C1866+G1832*C1867+G1832*C1868</f>
        <v>42.87</v>
      </c>
      <c r="V1832" s="54" t="str">
        <f>IF(T1832=U1832,"si","no")</f>
        <v>si</v>
      </c>
      <c r="W1832" s="137"/>
    </row>
    <row r="1833" spans="1:23" ht="12.75" customHeight="1" x14ac:dyDescent="0.2">
      <c r="A1833" s="17" t="s">
        <v>3</v>
      </c>
      <c r="B1833" s="18" t="s">
        <v>58</v>
      </c>
      <c r="C1833" s="56" t="s">
        <v>59</v>
      </c>
      <c r="D1833" s="56" t="s">
        <v>16</v>
      </c>
      <c r="E1833" s="19" t="s">
        <v>60</v>
      </c>
      <c r="F1833" s="20" t="s">
        <v>61</v>
      </c>
      <c r="G1833" s="21"/>
      <c r="M1833" s="57"/>
      <c r="N1833" s="57"/>
      <c r="O1833" s="56"/>
      <c r="P1833" s="56"/>
      <c r="Q1833" s="48"/>
      <c r="R1833" s="48"/>
    </row>
    <row r="1834" spans="1:23" ht="12.75" customHeight="1" x14ac:dyDescent="0.2">
      <c r="A1834" s="22">
        <f>'6.A'!$A$15</f>
        <v>88247</v>
      </c>
      <c r="B1834" s="23" t="str">
        <f>IF(A1834="","",VLOOKUP(A1834,'6.A'!$A$11:$G$180,2,FALSE))</f>
        <v>AUXILIAR DE ELETRICISTA COM ENCARGOS COMPLEMENTARES</v>
      </c>
      <c r="C1834" s="99">
        <v>0.20250000000000001</v>
      </c>
      <c r="D1834" s="57" t="str">
        <f>IF(A1834="","",VLOOKUP(A1834,'6.A'!$A$11:$G$180,4,FALSE))</f>
        <v>H</v>
      </c>
      <c r="E1834" s="100">
        <f>IF(A1834="","",VLOOKUP(A1834,'6.A'!$A$11:$G$180,5,FALSE))</f>
        <v>0</v>
      </c>
      <c r="F1834" s="24">
        <f t="shared" ref="F1834:F1843" si="781">IF(A1834="","0,00",ROUND(C1834*E1834,2))</f>
        <v>0</v>
      </c>
      <c r="G1834" s="52"/>
      <c r="H1834" s="52">
        <f>IF(A1834="","",VLOOKUP(A1834,'6.A'!$A$11:$E$7984,5,FALSE))</f>
        <v>0</v>
      </c>
      <c r="I1834" s="52" t="str">
        <f>IF(H1834="","",IF(E1834=H1834,"SIM","NÃO"))</f>
        <v>SIM</v>
      </c>
      <c r="J1834" s="52" t="str">
        <f>IF(H1834="","",VLOOKUP(A1834,'6.A'!$A$11:$E$564,4,FALSE))</f>
        <v>H</v>
      </c>
      <c r="K1834" s="52" t="str">
        <f>IF(H1834="","",IF(J1834=D1834,"SIM","NÃO"))</f>
        <v>SIM</v>
      </c>
      <c r="L1834" s="52">
        <f>IF(H1834="","",IF(C1834="","",G1832*C1834))</f>
        <v>6.0750000000000002</v>
      </c>
      <c r="M1834" s="117" t="str">
        <f>IF(A1834="","",VLOOKUP(A1834,'6.A'!$A$11:$C$564,2,FALSE))</f>
        <v>AUXILIAR DE ELETRICISTA COM ENCARGOS COMPLEMENTARES</v>
      </c>
      <c r="N1834" s="57" t="str">
        <f>IF(A1834="","",IF(M1834=B1834,"si","no"))</f>
        <v>si</v>
      </c>
      <c r="O1834" s="56"/>
      <c r="P1834" s="56"/>
      <c r="Q1834" s="48"/>
      <c r="R1834" s="48"/>
    </row>
    <row r="1835" spans="1:23" ht="12.75" customHeight="1" x14ac:dyDescent="0.2">
      <c r="A1835" s="22">
        <f>'6.A'!$A$18</f>
        <v>88264</v>
      </c>
      <c r="B1835" s="23" t="str">
        <f>IF(A1835="","",VLOOKUP(A1835,'6.A'!$A$11:$G$180,2,FALSE))</f>
        <v>ELETRICISTA COM ENCARGOS COMPLEMENTARES</v>
      </c>
      <c r="C1835" s="99">
        <v>0.20250000000000001</v>
      </c>
      <c r="D1835" s="57" t="str">
        <f>IF(A1835="","",VLOOKUP(A1835,'6.A'!$A$11:$G$180,4,FALSE))</f>
        <v>H</v>
      </c>
      <c r="E1835" s="100">
        <f>IF(A1835="","",VLOOKUP(A1835,'6.A'!$A$11:$G$180,5,FALSE))</f>
        <v>0</v>
      </c>
      <c r="F1835" s="24">
        <f t="shared" si="781"/>
        <v>0</v>
      </c>
      <c r="G1835" s="52"/>
      <c r="H1835" s="52">
        <f>IF(A1835="","",VLOOKUP(A1835,'6.A'!$A$11:$E$7984,5,FALSE))</f>
        <v>0</v>
      </c>
      <c r="I1835" s="52" t="str">
        <f>IF(H1835="","",IF(E1835=H1835,"SIM","NÃO"))</f>
        <v>SIM</v>
      </c>
      <c r="J1835" s="52" t="str">
        <f>IF(H1835="","",VLOOKUP(A1835,'6.A'!$A$11:$E$564,4,FALSE))</f>
        <v>H</v>
      </c>
      <c r="K1835" s="52" t="str">
        <f>IF(H1835="","",IF(J1835=D1835,"SIM","NÃO"))</f>
        <v>SIM</v>
      </c>
      <c r="L1835" s="52">
        <f>IF(H1835="","",IF(C1835="","",G1832*C1835))</f>
        <v>6.0750000000000002</v>
      </c>
      <c r="M1835" s="117" t="str">
        <f>IF(A1835="","",VLOOKUP(A1835,'6.A'!$A$11:$C$564,2,FALSE))</f>
        <v>ELETRICISTA COM ENCARGOS COMPLEMENTARES</v>
      </c>
      <c r="N1835" s="57" t="str">
        <f>IF(A1835="","",IF(M1835=B1835,"si","no"))</f>
        <v>si</v>
      </c>
      <c r="O1835" s="56"/>
      <c r="P1835" s="56"/>
      <c r="Q1835" s="48"/>
      <c r="R1835" s="48"/>
    </row>
    <row r="1836" spans="1:23" ht="12.75" customHeight="1" x14ac:dyDescent="0.2">
      <c r="A1836" s="22"/>
      <c r="B1836" s="23" t="str">
        <f>IF(A1836="","",VLOOKUP(A1836,'6.A'!$A$11:$G$180,2,FALSE))</f>
        <v/>
      </c>
      <c r="C1836" s="99"/>
      <c r="D1836" s="57" t="str">
        <f>IF(A1836="","",VLOOKUP(A1836,'6.A'!$A$11:$G$180,4,FALSE))</f>
        <v/>
      </c>
      <c r="E1836" s="100" t="str">
        <f>IF(A1836="","",VLOOKUP(A1836,'6.A'!$A$11:$G$180,5,FALSE))</f>
        <v/>
      </c>
      <c r="F1836" s="24" t="str">
        <f t="shared" si="781"/>
        <v>0,00</v>
      </c>
      <c r="G1836" s="52"/>
      <c r="H1836" s="52" t="str">
        <f>IF(A1836="","",VLOOKUP(A1836,'6.A'!$A$11:$E$7984,5,FALSE))</f>
        <v/>
      </c>
      <c r="I1836" s="52" t="str">
        <f>IF(H1836="","",IF(E1836=H1836,"SIM","NÃO"))</f>
        <v/>
      </c>
      <c r="J1836" s="52" t="str">
        <f>IF(H1836="","",VLOOKUP(A1836,'6.A'!$A$11:$E$564,4,FALSE))</f>
        <v/>
      </c>
      <c r="K1836" s="52" t="str">
        <f t="shared" ref="K1836" si="782">IF(H1836="","",IF(J1836=D1836,"SIM","NÃO"))</f>
        <v/>
      </c>
      <c r="L1836" s="52" t="str">
        <f>IF(H1836="","",IF(C1836="","",G1832*C1836))</f>
        <v/>
      </c>
      <c r="M1836" s="117" t="str">
        <f>IF(A1836="","",VLOOKUP(A1836,'6.A'!$A$11:$C$564,2,FALSE))</f>
        <v/>
      </c>
      <c r="N1836" s="57" t="str">
        <f t="shared" ref="N1836" si="783">IF(A1836="","",IF(M1836=B1836,"si","no"))</f>
        <v/>
      </c>
      <c r="O1836" s="56"/>
      <c r="P1836" s="56"/>
      <c r="Q1836" s="48"/>
      <c r="R1836" s="48"/>
      <c r="S1836" s="2"/>
    </row>
    <row r="1837" spans="1:23" ht="12.75" customHeight="1" x14ac:dyDescent="0.2">
      <c r="A1837" s="22"/>
      <c r="B1837" s="23" t="str">
        <f>IF(A1837="","",VLOOKUP(A1837,'6.A'!$A$11:$G$180,2,FALSE))</f>
        <v/>
      </c>
      <c r="C1837" s="99"/>
      <c r="D1837" s="57" t="str">
        <f>IF(A1837="","",VLOOKUP(A1837,'6.A'!$A$11:$G$180,4,FALSE))</f>
        <v/>
      </c>
      <c r="E1837" s="100" t="str">
        <f>IF(A1837="","",VLOOKUP(A1837,'6.A'!$A$11:$G$180,5,FALSE))</f>
        <v/>
      </c>
      <c r="F1837" s="24" t="str">
        <f t="shared" si="781"/>
        <v>0,00</v>
      </c>
      <c r="G1837" s="52"/>
      <c r="H1837" s="52" t="str">
        <f>IF(A1837="","",VLOOKUP(A1837,'6.A'!$A$11:$E$7984,5,FALSE))</f>
        <v/>
      </c>
      <c r="I1837" s="52" t="str">
        <f>IF(H1837="","",IF(E1837=H1837,"SIM","NÃO"))</f>
        <v/>
      </c>
      <c r="J1837" s="52" t="str">
        <f>IF(H1837="","",VLOOKUP(A1837,'6.A'!$A$11:$E$564,4,FALSE))</f>
        <v/>
      </c>
      <c r="K1837" s="52" t="str">
        <f>IF(H1837="","",IF(J1837=D1837,"SIM","NÃO"))</f>
        <v/>
      </c>
      <c r="L1837" s="52" t="str">
        <f>IF(H1837="","",IF(C1837="","",G1832*C1837))</f>
        <v/>
      </c>
      <c r="M1837" s="117" t="str">
        <f>IF(A1837="","",VLOOKUP(A1837,'6.A'!$A$11:$C$564,2,FALSE))</f>
        <v/>
      </c>
      <c r="N1837" s="57" t="str">
        <f>IF(A1837="","",IF(M1837=B1837,"si","no"))</f>
        <v/>
      </c>
      <c r="O1837" s="56"/>
      <c r="P1837" s="56"/>
      <c r="Q1837" s="48"/>
      <c r="R1837" s="48"/>
      <c r="S1837" s="2"/>
    </row>
    <row r="1838" spans="1:23" ht="12.75" customHeight="1" x14ac:dyDescent="0.2">
      <c r="A1838" s="22"/>
      <c r="B1838" s="23" t="str">
        <f>IF(A1838="","",VLOOKUP(A1838,'6.A'!$A$11:$G$180,2,FALSE))</f>
        <v/>
      </c>
      <c r="C1838" s="99"/>
      <c r="D1838" s="57" t="str">
        <f>IF(A1838="","",VLOOKUP(A1838,'6.A'!$A$11:$G$180,4,FALSE))</f>
        <v/>
      </c>
      <c r="E1838" s="101" t="str">
        <f>IF(A1838="","",VLOOKUP(A1838,'6.A'!$A$11:$G$180,5,FALSE))</f>
        <v/>
      </c>
      <c r="F1838" s="24" t="str">
        <f t="shared" si="781"/>
        <v>0,00</v>
      </c>
      <c r="G1838" s="52"/>
      <c r="H1838" s="52" t="str">
        <f>IF(A1838="","",VLOOKUP(A1838,'6.A'!$A$11:$E$7984,5,FALSE))</f>
        <v/>
      </c>
      <c r="I1838" s="52" t="str">
        <f t="shared" ref="I1838" si="784">IF(H1838="","",IF(E1838=H1838,"SIM","NÃO"))</f>
        <v/>
      </c>
      <c r="J1838" s="52" t="str">
        <f>IF(H1838="","",VLOOKUP(A1838,'6.A'!$A$11:$E$564,4,FALSE))</f>
        <v/>
      </c>
      <c r="K1838" s="52" t="str">
        <f t="shared" ref="K1838" si="785">IF(H1838="","",IF(J1838=D1838,"SIM","NÃO"))</f>
        <v/>
      </c>
      <c r="L1838" s="52" t="str">
        <f>IF(H1838="","",IF(C1838="","",G1832*C1838))</f>
        <v/>
      </c>
      <c r="M1838" s="117" t="str">
        <f>IF(A1838="","",VLOOKUP(A1838,'6.A'!$A$11:$C$564,2,FALSE))</f>
        <v/>
      </c>
      <c r="N1838" s="57" t="str">
        <f t="shared" ref="N1838" si="786">IF(A1838="","",IF(M1838=B1838,"si","no"))</f>
        <v/>
      </c>
      <c r="O1838" s="56"/>
      <c r="P1838" s="56"/>
      <c r="Q1838" s="48"/>
      <c r="R1838" s="48"/>
      <c r="S1838" s="2"/>
    </row>
    <row r="1839" spans="1:23" ht="12.75" customHeight="1" x14ac:dyDescent="0.2">
      <c r="A1839" s="22"/>
      <c r="B1839" s="23" t="str">
        <f>IF(A1839="","",VLOOKUP(A1839,'6.A'!$A$11:$G$180,2,FALSE))</f>
        <v/>
      </c>
      <c r="C1839" s="99"/>
      <c r="D1839" s="57" t="str">
        <f>IF(A1839="","",VLOOKUP(A1839,'6.A'!$A$11:$G$180,4,FALSE))</f>
        <v/>
      </c>
      <c r="E1839" s="101" t="str">
        <f>IF(A1839="","",VLOOKUP(A1839,'6.A'!$A$11:$G$180,5,FALSE))</f>
        <v/>
      </c>
      <c r="F1839" s="24" t="str">
        <f t="shared" si="781"/>
        <v>0,00</v>
      </c>
      <c r="G1839" s="52"/>
      <c r="H1839" s="52" t="str">
        <f>IF(A1839="","",VLOOKUP(A1839,'6.A'!$A$11:$E$7984,5,FALSE))</f>
        <v/>
      </c>
      <c r="I1839" s="52" t="str">
        <f>IF(H1839="","",IF(E1839=H1839,"SIM","NÃO"))</f>
        <v/>
      </c>
      <c r="J1839" s="52" t="str">
        <f>IF(H1839="","",VLOOKUP(A1839,'6.A'!$A$11:$E$564,4,FALSE))</f>
        <v/>
      </c>
      <c r="K1839" s="52" t="str">
        <f>IF(H1839="","",IF(J1839=D1839,"SIM","NÃO"))</f>
        <v/>
      </c>
      <c r="L1839" s="52" t="str">
        <f>IF(H1839="","",IF(C1839="","",G1832*C1839))</f>
        <v/>
      </c>
      <c r="M1839" s="117" t="str">
        <f>IF(A1839="","",VLOOKUP(A1839,'6.A'!$A$11:$C$564,2,FALSE))</f>
        <v/>
      </c>
      <c r="N1839" s="57" t="str">
        <f>IF(A1839="","",IF(M1839=B1839,"si","no"))</f>
        <v/>
      </c>
      <c r="O1839" s="56"/>
      <c r="P1839" s="56"/>
      <c r="Q1839" s="48"/>
      <c r="R1839" s="48"/>
      <c r="S1839" s="2"/>
    </row>
    <row r="1840" spans="1:23" ht="12.75" customHeight="1" x14ac:dyDescent="0.2">
      <c r="A1840" s="22"/>
      <c r="B1840" s="23" t="str">
        <f>IF(A1840="","",VLOOKUP(A1840,'6.A'!$A$11:$G$180,2,FALSE))</f>
        <v/>
      </c>
      <c r="C1840" s="99"/>
      <c r="D1840" s="57" t="str">
        <f>IF(A1840="","",VLOOKUP(A1840,'6.A'!$A$11:$G$180,4,FALSE))</f>
        <v/>
      </c>
      <c r="E1840" s="100" t="str">
        <f>IF(A1840="","",VLOOKUP(A1840,'6.A'!$A$11:$G$180,5,FALSE))</f>
        <v/>
      </c>
      <c r="F1840" s="24" t="str">
        <f t="shared" si="781"/>
        <v>0,00</v>
      </c>
      <c r="G1840" s="52"/>
      <c r="H1840" s="52" t="str">
        <f>IF(A1840="","",VLOOKUP(A1840,'6.A'!$A$11:$E$7984,5,FALSE))</f>
        <v/>
      </c>
      <c r="I1840" s="52" t="str">
        <f>IF(H1840="","",IF(E1840=H1840,"SIM","NÃO"))</f>
        <v/>
      </c>
      <c r="J1840" s="52" t="str">
        <f>IF(H1840="","",VLOOKUP(A1840,'6.A'!$A$11:$E$564,4,FALSE))</f>
        <v/>
      </c>
      <c r="K1840" s="52" t="str">
        <f>IF(H1840="","",IF(J1840=D1840,"SIM","NÃO"))</f>
        <v/>
      </c>
      <c r="L1840" s="52" t="str">
        <f>IF(H1840="","",IF(C1840="","",G1832*C1840))</f>
        <v/>
      </c>
      <c r="M1840" s="117" t="str">
        <f>IF(A1840="","",VLOOKUP(A1840,'6.A'!$A$11:$C$564,2,FALSE))</f>
        <v/>
      </c>
      <c r="N1840" s="57" t="str">
        <f>IF(A1840="","",IF(M1840=B1840,"si","no"))</f>
        <v/>
      </c>
      <c r="O1840" s="56"/>
      <c r="P1840" s="56"/>
      <c r="Q1840" s="48"/>
      <c r="R1840" s="48"/>
      <c r="S1840" s="2"/>
    </row>
    <row r="1841" spans="1:19" ht="12.75" customHeight="1" x14ac:dyDescent="0.2">
      <c r="A1841" s="22"/>
      <c r="B1841" s="23" t="str">
        <f>IF(A1841="","",VLOOKUP(A1841,'6.A'!$A$11:$G$180,2,FALSE))</f>
        <v/>
      </c>
      <c r="C1841" s="99"/>
      <c r="D1841" s="57" t="str">
        <f>IF(A1841="","",VLOOKUP(A1841,'6.A'!$A$11:$G$180,4,FALSE))</f>
        <v/>
      </c>
      <c r="E1841" s="100" t="str">
        <f>IF(A1841="","",VLOOKUP(A1841,'6.A'!$A$11:$G$180,5,FALSE))</f>
        <v/>
      </c>
      <c r="F1841" s="24" t="str">
        <f t="shared" si="781"/>
        <v>0,00</v>
      </c>
      <c r="G1841" s="52"/>
      <c r="H1841" s="52" t="str">
        <f>IF(A1841="","",VLOOKUP(A1841,'6.A'!$A$11:$E$7984,5,FALSE))</f>
        <v/>
      </c>
      <c r="I1841" s="52" t="str">
        <f t="shared" ref="I1841" si="787">IF(H1841="","",IF(E1841=H1841,"SIM","NÃO"))</f>
        <v/>
      </c>
      <c r="J1841" s="52" t="str">
        <f>IF(H1841="","",VLOOKUP(A1841,'6.A'!$A$11:$E$564,4,FALSE))</f>
        <v/>
      </c>
      <c r="K1841" s="52" t="str">
        <f t="shared" ref="K1841" si="788">IF(H1841="","",IF(J1841=D1841,"SIM","NÃO"))</f>
        <v/>
      </c>
      <c r="L1841" s="52" t="str">
        <f>IF(H1841="","",IF(C1841="","",G1832*C1841))</f>
        <v/>
      </c>
      <c r="M1841" s="117" t="str">
        <f>IF(A1841="","",VLOOKUP(A1841,'6.A'!$A$11:$C$564,2,FALSE))</f>
        <v/>
      </c>
      <c r="N1841" s="57" t="str">
        <f t="shared" ref="N1841" si="789">IF(A1841="","",IF(M1841=B1841,"si","no"))</f>
        <v/>
      </c>
      <c r="O1841" s="56"/>
      <c r="P1841" s="56"/>
      <c r="Q1841" s="48"/>
      <c r="R1841" s="48"/>
      <c r="S1841" s="2"/>
    </row>
    <row r="1842" spans="1:19" ht="12.75" customHeight="1" x14ac:dyDescent="0.2">
      <c r="A1842" s="22"/>
      <c r="B1842" s="23" t="str">
        <f>IF(A1842="","",VLOOKUP(A1842,'6.A'!$A$11:$G$180,2,FALSE))</f>
        <v/>
      </c>
      <c r="C1842" s="99"/>
      <c r="D1842" s="73" t="str">
        <f>IF(A1842="","",VLOOKUP(A1842,'6.A'!$A$11:$G$180,4,FALSE))</f>
        <v/>
      </c>
      <c r="E1842" s="101" t="str">
        <f>IF(A1842="","",VLOOKUP(A1842,'6.A'!$A$11:$G$180,5,FALSE))</f>
        <v/>
      </c>
      <c r="F1842" s="24" t="str">
        <f t="shared" si="781"/>
        <v>0,00</v>
      </c>
      <c r="G1842" s="52"/>
      <c r="H1842" s="52" t="str">
        <f>IF(A1842="","",VLOOKUP(A1842,'6.A'!$A$11:$E$7984,5,FALSE))</f>
        <v/>
      </c>
      <c r="I1842" s="52" t="str">
        <f>IF(H1842="","",IF(E1842=H1842,"SIM","NÃO"))</f>
        <v/>
      </c>
      <c r="J1842" s="52" t="str">
        <f>IF(H1842="","",VLOOKUP(A1842,'6.A'!$A$11:$E$564,4,FALSE))</f>
        <v/>
      </c>
      <c r="K1842" s="52" t="str">
        <f>IF(H1842="","",IF(J1842=D1842,"SIM","NÃO"))</f>
        <v/>
      </c>
      <c r="L1842" s="52" t="str">
        <f>IF(H1842="","",IF(C1842="","",G1832*C1842))</f>
        <v/>
      </c>
      <c r="M1842" s="117" t="str">
        <f>IF(A1842="","",VLOOKUP(A1842,'6.A'!$A$11:$C$564,2,FALSE))</f>
        <v/>
      </c>
      <c r="N1842" s="57" t="str">
        <f>IF(A1842="","",IF(M1842=B1842,"si","no"))</f>
        <v/>
      </c>
      <c r="O1842" s="56"/>
      <c r="P1842" s="56"/>
      <c r="Q1842" s="48"/>
      <c r="R1842" s="48"/>
      <c r="S1842" s="2"/>
    </row>
    <row r="1843" spans="1:19" ht="12.75" customHeight="1" x14ac:dyDescent="0.2">
      <c r="A1843" s="22"/>
      <c r="B1843" s="23" t="str">
        <f>IF(A1843="","",VLOOKUP(A1843,'6.A'!$A$11:$G$180,2,FALSE))</f>
        <v/>
      </c>
      <c r="C1843" s="99"/>
      <c r="D1843" s="25" t="str">
        <f>IF(A1843="","",VLOOKUP(A1843,'6.A'!$A$11:$G$180,4,FALSE))</f>
        <v/>
      </c>
      <c r="E1843" s="101" t="str">
        <f>IF(A1843="","",VLOOKUP(A1843,'6.A'!$A$11:$G$180,5,FALSE))</f>
        <v/>
      </c>
      <c r="F1843" s="24" t="str">
        <f t="shared" si="781"/>
        <v>0,00</v>
      </c>
      <c r="G1843" s="52"/>
      <c r="H1843" s="52" t="str">
        <f>IF(A1843="","",VLOOKUP(A1843,'6.A'!$A$11:$E$7984,5,FALSE))</f>
        <v/>
      </c>
      <c r="I1843" s="52" t="str">
        <f t="shared" ref="I1843" si="790">IF(H1843="","",IF(E1843=H1843,"SIM","NÃO"))</f>
        <v/>
      </c>
      <c r="J1843" s="52" t="str">
        <f>IF(H1843="","",VLOOKUP(A1843,'6.A'!$A$11:$E$564,4,FALSE))</f>
        <v/>
      </c>
      <c r="K1843" s="52" t="str">
        <f t="shared" ref="K1843" si="791">IF(H1843="","",IF(J1843=D1843,"SIM","NÃO"))</f>
        <v/>
      </c>
      <c r="L1843" s="52" t="str">
        <f>IF(H1843="","",IF(C1843="","",G1832*C1843))</f>
        <v/>
      </c>
      <c r="M1843" s="117" t="str">
        <f>IF(A1843="","",VLOOKUP(A1843,'6.A'!$A$11:$C$564,2,FALSE))</f>
        <v/>
      </c>
      <c r="N1843" s="57" t="str">
        <f t="shared" ref="N1843" si="792">IF(A1843="","",IF(M1843=B1843,"si","no"))</f>
        <v/>
      </c>
      <c r="O1843" s="56"/>
      <c r="P1843" s="56"/>
      <c r="Q1843" s="48"/>
      <c r="R1843" s="48"/>
      <c r="S1843" s="2"/>
    </row>
    <row r="1844" spans="1:19" ht="12.75" customHeight="1" x14ac:dyDescent="0.2">
      <c r="A1844" s="17"/>
      <c r="B1844" s="26" t="str">
        <f>$A$8</f>
        <v>LEIS SOCIAIS HORISTA - JORNADA NORMAL</v>
      </c>
      <c r="C1844" s="27">
        <f>$C$8</f>
        <v>0</v>
      </c>
      <c r="D1844" s="57"/>
      <c r="F1844" s="28">
        <f>ROUND(SUM(F1834:F1843)*C1844,2)</f>
        <v>0</v>
      </c>
      <c r="G1844" s="63"/>
      <c r="M1844" s="62"/>
      <c r="N1844" s="57"/>
      <c r="O1844" s="56"/>
      <c r="P1844" s="56"/>
      <c r="Q1844" s="48"/>
      <c r="R1844" s="48"/>
      <c r="S1844" s="2"/>
    </row>
    <row r="1845" spans="1:19" ht="12.75" customHeight="1" x14ac:dyDescent="0.2">
      <c r="A1845" s="22"/>
      <c r="B1845" s="26" t="str">
        <f>$A$9</f>
        <v>BDI</v>
      </c>
      <c r="C1845" s="27">
        <f>$C$9</f>
        <v>0</v>
      </c>
      <c r="D1845" s="29"/>
      <c r="F1845" s="28">
        <f>ROUND(SUM(F1834:F1844)*C1845,2)</f>
        <v>0</v>
      </c>
      <c r="G1845" s="63"/>
      <c r="M1845" s="62"/>
      <c r="N1845" s="57"/>
      <c r="O1845" s="56"/>
      <c r="P1845" s="56"/>
      <c r="Q1845" s="48"/>
      <c r="R1845" s="48"/>
      <c r="S1845" s="2"/>
    </row>
    <row r="1846" spans="1:19" ht="12.75" customHeight="1" x14ac:dyDescent="0.2">
      <c r="A1846" s="30"/>
      <c r="B1846" s="31" t="s">
        <v>56</v>
      </c>
      <c r="C1846" s="32"/>
      <c r="D1846" s="33"/>
      <c r="E1846" s="34"/>
      <c r="F1846" s="35">
        <f>ROUND(SUM(F1834:F1845),2)</f>
        <v>0</v>
      </c>
      <c r="G1846" s="63"/>
      <c r="M1846" s="62"/>
      <c r="N1846" s="57"/>
      <c r="O1846" s="56"/>
      <c r="P1846" s="56"/>
      <c r="Q1846" s="48"/>
      <c r="R1846" s="48"/>
      <c r="S1846" s="2"/>
    </row>
    <row r="1847" spans="1:19" ht="12.75" customHeight="1" x14ac:dyDescent="0.2">
      <c r="A1847" s="17" t="s">
        <v>5</v>
      </c>
      <c r="B1847" s="153" t="s">
        <v>130</v>
      </c>
      <c r="C1847" s="56" t="s">
        <v>59</v>
      </c>
      <c r="D1847" s="56" t="s">
        <v>16</v>
      </c>
      <c r="E1847" s="19" t="s">
        <v>60</v>
      </c>
      <c r="F1847" s="20" t="s">
        <v>61</v>
      </c>
      <c r="G1847" s="21"/>
      <c r="M1847" s="62"/>
      <c r="N1847" s="57"/>
      <c r="O1847" s="56"/>
      <c r="P1847" s="56"/>
      <c r="Q1847" s="48"/>
      <c r="R1847" s="48"/>
      <c r="S1847" s="2"/>
    </row>
    <row r="1848" spans="1:19" ht="12.75" customHeight="1" x14ac:dyDescent="0.2">
      <c r="A1848" s="22"/>
      <c r="B1848" s="23" t="str">
        <f>IF(A1848="","",VLOOKUP(A1848,'6.A'!$A$11:$G$180,2,FALSE))</f>
        <v/>
      </c>
      <c r="C1848" s="99"/>
      <c r="D1848" s="57" t="str">
        <f>IF(A1848="","",VLOOKUP(A1848,'6.A'!$A$11:$G$180,4,FALSE))</f>
        <v/>
      </c>
      <c r="E1848" s="100" t="str">
        <f>IF(A1848="","",VLOOKUP(A1848,'6.A'!$A$11:$G$180,5,FALSE))</f>
        <v/>
      </c>
      <c r="F1848" s="24" t="str">
        <f t="shared" ref="F1848:F1857" si="793">IF(A1848="","0,00",ROUND(C1848*E1848,2))</f>
        <v>0,00</v>
      </c>
      <c r="G1848" s="52"/>
      <c r="H1848" s="52" t="str">
        <f>IF(A1848="","",VLOOKUP(A1848,'6.A'!$A$11:$E$7984,5,FALSE))</f>
        <v/>
      </c>
      <c r="I1848" s="52" t="str">
        <f t="shared" ref="I1848:I1857" si="794">IF(H1848="","",IF(E1848=H1848,"SIM","NÃO"))</f>
        <v/>
      </c>
      <c r="J1848" s="52" t="str">
        <f>IF(H1848="","",VLOOKUP(A1848,'6.A'!$A$11:$E$564,4,FALSE))</f>
        <v/>
      </c>
      <c r="K1848" s="52" t="str">
        <f t="shared" ref="K1848:K1857" si="795">IF(H1848="","",IF(J1848=D1848,"SIM","NÃO"))</f>
        <v/>
      </c>
      <c r="L1848" s="52" t="str">
        <f>IF(H1848="","",IF(C1848="","",G1832*C1848))</f>
        <v/>
      </c>
      <c r="M1848" s="117" t="str">
        <f>IF(A1848="","",VLOOKUP(A1848,'6.A'!$A$11:$C$564,2,FALSE))</f>
        <v/>
      </c>
      <c r="N1848" s="57" t="str">
        <f t="shared" ref="N1848:N1853" si="796">IF(A1848="","",IF(M1848=B1848,"si","no"))</f>
        <v/>
      </c>
      <c r="O1848" s="56"/>
      <c r="P1848" s="56"/>
      <c r="Q1848" s="48"/>
      <c r="R1848" s="48"/>
      <c r="S1848" s="2"/>
    </row>
    <row r="1849" spans="1:19" ht="12.75" customHeight="1" x14ac:dyDescent="0.2">
      <c r="A1849" s="22"/>
      <c r="B1849" s="23" t="str">
        <f>IF(A1849="","",VLOOKUP(A1849,'6.A'!$A$11:$G$180,2,FALSE))</f>
        <v/>
      </c>
      <c r="C1849" s="99"/>
      <c r="D1849" s="57" t="str">
        <f>IF(A1849="","",VLOOKUP(A1849,'6.A'!$A$11:$G$180,4,FALSE))</f>
        <v/>
      </c>
      <c r="E1849" s="100" t="str">
        <f>IF(A1849="","",VLOOKUP(A1849,'6.A'!$A$11:$G$180,5,FALSE))</f>
        <v/>
      </c>
      <c r="F1849" s="24" t="str">
        <f t="shared" si="793"/>
        <v>0,00</v>
      </c>
      <c r="G1849" s="52"/>
      <c r="H1849" s="52" t="str">
        <f>IF(A1849="","",VLOOKUP(A1849,'6.A'!$A$11:$E$7984,5,FALSE))</f>
        <v/>
      </c>
      <c r="I1849" s="52" t="str">
        <f t="shared" si="794"/>
        <v/>
      </c>
      <c r="J1849" s="52" t="str">
        <f>IF(H1849="","",VLOOKUP(A1849,'6.A'!$A$11:$E$564,4,FALSE))</f>
        <v/>
      </c>
      <c r="K1849" s="52" t="str">
        <f t="shared" si="795"/>
        <v/>
      </c>
      <c r="L1849" s="52" t="str">
        <f>IF(H1849="","",IF(C1849="","",G1832*C1849))</f>
        <v/>
      </c>
      <c r="M1849" s="117" t="str">
        <f>IF(A1849="","",VLOOKUP(A1849,'6.A'!$A$11:$C$564,2,FALSE))</f>
        <v/>
      </c>
      <c r="N1849" s="57" t="str">
        <f t="shared" si="796"/>
        <v/>
      </c>
      <c r="O1849" s="56"/>
      <c r="P1849" s="56"/>
      <c r="Q1849" s="48"/>
      <c r="R1849" s="48"/>
      <c r="S1849" s="2"/>
    </row>
    <row r="1850" spans="1:19" ht="12.75" customHeight="1" x14ac:dyDescent="0.2">
      <c r="A1850" s="22"/>
      <c r="B1850" s="23" t="str">
        <f>IF(A1850="","",VLOOKUP(A1850,'6.A'!$A$11:$G$180,2,FALSE))</f>
        <v/>
      </c>
      <c r="C1850" s="99"/>
      <c r="D1850" s="57" t="str">
        <f>IF(A1850="","",VLOOKUP(A1850,'6.A'!$A$11:$G$180,4,FALSE))</f>
        <v/>
      </c>
      <c r="E1850" s="100" t="str">
        <f>IF(A1850="","",VLOOKUP(A1850,'6.A'!$A$11:$G$180,5,FALSE))</f>
        <v/>
      </c>
      <c r="F1850" s="24" t="str">
        <f t="shared" si="793"/>
        <v>0,00</v>
      </c>
      <c r="G1850" s="52"/>
      <c r="H1850" s="52" t="str">
        <f>IF(A1850="","",VLOOKUP(A1850,'6.A'!$A$11:$E$7984,5,FALSE))</f>
        <v/>
      </c>
      <c r="I1850" s="52" t="str">
        <f t="shared" si="794"/>
        <v/>
      </c>
      <c r="J1850" s="52" t="str">
        <f>IF(H1850="","",VLOOKUP(A1850,'6.A'!$A$11:$E$564,4,FALSE))</f>
        <v/>
      </c>
      <c r="K1850" s="52" t="str">
        <f t="shared" si="795"/>
        <v/>
      </c>
      <c r="L1850" s="52" t="str">
        <f>IF(H1850="","",IF(C1850="","",G1832*C1850))</f>
        <v/>
      </c>
      <c r="M1850" s="117" t="str">
        <f>IF(A1850="","",VLOOKUP(A1850,'6.A'!$A$11:$C$564,2,FALSE))</f>
        <v/>
      </c>
      <c r="N1850" s="57" t="str">
        <f t="shared" si="796"/>
        <v/>
      </c>
      <c r="O1850" s="56"/>
      <c r="P1850" s="56"/>
      <c r="Q1850" s="48"/>
      <c r="R1850" s="48"/>
      <c r="S1850" s="2"/>
    </row>
    <row r="1851" spans="1:19" ht="12.75" customHeight="1" x14ac:dyDescent="0.2">
      <c r="A1851" s="22"/>
      <c r="B1851" s="55" t="str">
        <f>IF(A1851="","",VLOOKUP(A1851,'6.A'!$A$11:$G$180,2,FALSE))</f>
        <v/>
      </c>
      <c r="C1851" s="134"/>
      <c r="D1851" s="57" t="str">
        <f>IF(A1851="","",VLOOKUP(A1851,'6.A'!$A$11:$G$180,4,FALSE))</f>
        <v/>
      </c>
      <c r="E1851" s="100" t="str">
        <f>IF(A1851="","",VLOOKUP(A1851,'6.A'!$A$11:$G$180,5,FALSE))</f>
        <v/>
      </c>
      <c r="F1851" s="24" t="str">
        <f t="shared" si="793"/>
        <v>0,00</v>
      </c>
      <c r="G1851" s="52"/>
      <c r="H1851" s="52" t="str">
        <f>IF(A1851="","",VLOOKUP(A1851,'6.A'!$A$11:$E$7984,5,FALSE))</f>
        <v/>
      </c>
      <c r="I1851" s="52" t="str">
        <f t="shared" si="794"/>
        <v/>
      </c>
      <c r="J1851" s="52" t="str">
        <f>IF(H1851="","",VLOOKUP(A1851,'6.A'!$A$11:$E$564,4,FALSE))</f>
        <v/>
      </c>
      <c r="K1851" s="52" t="str">
        <f t="shared" si="795"/>
        <v/>
      </c>
      <c r="L1851" s="52" t="str">
        <f>IF(H1851="","",IF(C1851="","",G1832*C1851))</f>
        <v/>
      </c>
      <c r="M1851" s="117" t="str">
        <f>IF(A1851="","",VLOOKUP(A1851,'6.A'!$A$11:$C$564,2,FALSE))</f>
        <v/>
      </c>
      <c r="N1851" s="57" t="str">
        <f t="shared" si="796"/>
        <v/>
      </c>
      <c r="O1851" s="56"/>
      <c r="P1851" s="56"/>
      <c r="Q1851" s="48"/>
      <c r="R1851" s="48"/>
      <c r="S1851" s="2"/>
    </row>
    <row r="1852" spans="1:19" ht="12.75" customHeight="1" x14ac:dyDescent="0.2">
      <c r="A1852" s="22"/>
      <c r="B1852" s="23" t="str">
        <f>IF(A1852="","",VLOOKUP(A1852,'6.A'!$A$11:$G$180,2,FALSE))</f>
        <v/>
      </c>
      <c r="C1852" s="99"/>
      <c r="D1852" s="57" t="str">
        <f>IF(A1852="","",VLOOKUP(A1852,'6.A'!$A$11:$G$180,4,FALSE))</f>
        <v/>
      </c>
      <c r="E1852" s="100" t="str">
        <f>IF(A1852="","",VLOOKUP(A1852,'6.A'!$A$11:$G$180,5,FALSE))</f>
        <v/>
      </c>
      <c r="F1852" s="24" t="str">
        <f t="shared" si="793"/>
        <v>0,00</v>
      </c>
      <c r="G1852" s="52"/>
      <c r="H1852" s="52" t="str">
        <f>IF(A1852="","",VLOOKUP(A1852,'6.A'!$A$11:$E$7984,5,FALSE))</f>
        <v/>
      </c>
      <c r="I1852" s="52" t="str">
        <f t="shared" si="794"/>
        <v/>
      </c>
      <c r="J1852" s="52" t="str">
        <f>IF(H1852="","",VLOOKUP(A1852,'6.A'!$A$11:$E$564,4,FALSE))</f>
        <v/>
      </c>
      <c r="K1852" s="52" t="str">
        <f t="shared" si="795"/>
        <v/>
      </c>
      <c r="L1852" s="52" t="str">
        <f>IF(H1852="","",IF(C1852="","",G1832*C1852))</f>
        <v/>
      </c>
      <c r="M1852" s="117" t="str">
        <f>IF(A1852="","",VLOOKUP(A1852,'6.A'!$A$11:$C$564,2,FALSE))</f>
        <v/>
      </c>
      <c r="N1852" s="57" t="str">
        <f t="shared" si="796"/>
        <v/>
      </c>
      <c r="O1852" s="56"/>
      <c r="P1852" s="56"/>
      <c r="Q1852" s="48"/>
      <c r="R1852" s="48"/>
      <c r="S1852" s="2"/>
    </row>
    <row r="1853" spans="1:19" ht="12.75" customHeight="1" x14ac:dyDescent="0.2">
      <c r="A1853" s="22"/>
      <c r="B1853" s="23" t="str">
        <f>IF(A1853="","",VLOOKUP(A1853,'6.A'!$A$11:$G$180,2,FALSE))</f>
        <v/>
      </c>
      <c r="C1853" s="99"/>
      <c r="D1853" s="57" t="str">
        <f>IF(A1853="","",VLOOKUP(A1853,'6.A'!$A$11:$G$180,4,FALSE))</f>
        <v/>
      </c>
      <c r="E1853" s="100" t="str">
        <f>IF(A1853="","",VLOOKUP(A1853,'6.A'!$A$11:$G$180,5,FALSE))</f>
        <v/>
      </c>
      <c r="F1853" s="24" t="str">
        <f t="shared" si="793"/>
        <v>0,00</v>
      </c>
      <c r="G1853" s="52"/>
      <c r="H1853" s="52" t="str">
        <f>IF(A1853="","",VLOOKUP(A1853,'6.A'!$A$11:$E$7984,5,FALSE))</f>
        <v/>
      </c>
      <c r="I1853" s="52" t="str">
        <f t="shared" si="794"/>
        <v/>
      </c>
      <c r="J1853" s="52" t="str">
        <f>IF(H1853="","",VLOOKUP(A1853,'6.A'!$A$11:$E$564,4,FALSE))</f>
        <v/>
      </c>
      <c r="K1853" s="52" t="str">
        <f t="shared" si="795"/>
        <v/>
      </c>
      <c r="L1853" s="52" t="str">
        <f>IF(H1853="","",IF(C1853="","",G1832*C1853))</f>
        <v/>
      </c>
      <c r="M1853" s="117" t="str">
        <f>IF(A1853="","",VLOOKUP(A1853,'6.A'!$A$11:$C$564,2,FALSE))</f>
        <v/>
      </c>
      <c r="N1853" s="57" t="str">
        <f t="shared" si="796"/>
        <v/>
      </c>
      <c r="O1853" s="56"/>
      <c r="P1853" s="56"/>
      <c r="Q1853" s="48"/>
      <c r="R1853" s="48"/>
      <c r="S1853" s="2"/>
    </row>
    <row r="1854" spans="1:19" ht="12.75" customHeight="1" x14ac:dyDescent="0.2">
      <c r="A1854" s="22"/>
      <c r="B1854" s="23" t="str">
        <f>IF(A1854="","",VLOOKUP(A1854,'6.A'!$A$11:$G$180,2,FALSE))</f>
        <v/>
      </c>
      <c r="C1854" s="99"/>
      <c r="D1854" s="57" t="str">
        <f>IF(A1854="","",VLOOKUP(A1854,'6.A'!$A$11:$G$180,4,FALSE))</f>
        <v/>
      </c>
      <c r="E1854" s="100" t="str">
        <f>IF(A1854="","",VLOOKUP(A1854,'6.A'!$A$11:$G$180,5,FALSE))</f>
        <v/>
      </c>
      <c r="F1854" s="24" t="str">
        <f t="shared" si="793"/>
        <v>0,00</v>
      </c>
      <c r="G1854" s="52"/>
      <c r="H1854" s="52" t="str">
        <f>IF(A1854="","",VLOOKUP(A1854,'6.A'!$A$11:$E$7984,5,FALSE))</f>
        <v/>
      </c>
      <c r="I1854" s="52" t="str">
        <f t="shared" si="794"/>
        <v/>
      </c>
      <c r="J1854" s="52" t="str">
        <f>IF(H1854="","",VLOOKUP(A1854,'6.A'!$A$11:$E$564,4,FALSE))</f>
        <v/>
      </c>
      <c r="K1854" s="52" t="str">
        <f t="shared" si="795"/>
        <v/>
      </c>
      <c r="L1854" s="52" t="str">
        <f>IF(H1854="","",IF(C1854="","",G1832*C1854))</f>
        <v/>
      </c>
      <c r="M1854" s="117" t="str">
        <f>IF(A1854="","",VLOOKUP(A1854,'6.A'!$A$11:$C$564,2,FALSE))</f>
        <v/>
      </c>
      <c r="N1854" s="57" t="str">
        <f>IF(A1854="","",IF(M1854=B1854,"si","no"))</f>
        <v/>
      </c>
      <c r="O1854" s="56"/>
      <c r="P1854" s="56"/>
      <c r="Q1854" s="48"/>
      <c r="R1854" s="48"/>
      <c r="S1854" s="2"/>
    </row>
    <row r="1855" spans="1:19" ht="12.75" customHeight="1" x14ac:dyDescent="0.2">
      <c r="A1855" s="22"/>
      <c r="B1855" s="23" t="str">
        <f>IF(A1855="","",VLOOKUP(A1855,'6.A'!$A$11:$G$180,2,FALSE))</f>
        <v/>
      </c>
      <c r="C1855" s="99"/>
      <c r="D1855" s="57" t="str">
        <f>IF(A1855="","",VLOOKUP(A1855,'6.A'!$A$11:$G$180,4,FALSE))</f>
        <v/>
      </c>
      <c r="E1855" s="100" t="str">
        <f>IF(A1855="","",VLOOKUP(A1855,'6.A'!$A$11:$G$180,5,FALSE))</f>
        <v/>
      </c>
      <c r="F1855" s="24" t="str">
        <f t="shared" si="793"/>
        <v>0,00</v>
      </c>
      <c r="G1855" s="52"/>
      <c r="H1855" s="52" t="str">
        <f>IF(A1855="","",VLOOKUP(A1855,'6.A'!$A$11:$E$7984,5,FALSE))</f>
        <v/>
      </c>
      <c r="I1855" s="52" t="str">
        <f t="shared" si="794"/>
        <v/>
      </c>
      <c r="J1855" s="52" t="str">
        <f>IF(H1855="","",VLOOKUP(A1855,'6.A'!$A$11:$E$564,4,FALSE))</f>
        <v/>
      </c>
      <c r="K1855" s="52" t="str">
        <f t="shared" si="795"/>
        <v/>
      </c>
      <c r="L1855" s="52" t="str">
        <f>IF(H1855="","",IF(C1855="","",G1832*C1855))</f>
        <v/>
      </c>
      <c r="M1855" s="117" t="str">
        <f>IF(A1855="","",VLOOKUP(A1855,'6.A'!$A$11:$C$564,2,FALSE))</f>
        <v/>
      </c>
      <c r="N1855" s="57" t="str">
        <f>IF(A1855="","",IF(M1855=B1855,"si","no"))</f>
        <v/>
      </c>
      <c r="O1855" s="56"/>
      <c r="P1855" s="56"/>
      <c r="Q1855" s="48"/>
      <c r="R1855" s="48"/>
      <c r="S1855" s="2"/>
    </row>
    <row r="1856" spans="1:19" ht="12.75" customHeight="1" x14ac:dyDescent="0.2">
      <c r="A1856" s="22"/>
      <c r="B1856" s="23" t="str">
        <f>IF(A1856="","",VLOOKUP(A1856,'6.A'!$A$11:$G$180,2,FALSE))</f>
        <v/>
      </c>
      <c r="C1856" s="99"/>
      <c r="D1856" s="57" t="str">
        <f>IF(A1856="","",VLOOKUP(A1856,'6.A'!$A$11:$G$180,4,FALSE))</f>
        <v/>
      </c>
      <c r="E1856" s="100" t="str">
        <f>IF(A1856="","",VLOOKUP(A1856,'6.A'!$A$11:$G$180,5,FALSE))</f>
        <v/>
      </c>
      <c r="F1856" s="24" t="str">
        <f t="shared" si="793"/>
        <v>0,00</v>
      </c>
      <c r="G1856" s="52"/>
      <c r="H1856" s="52" t="str">
        <f>IF(A1856="","",VLOOKUP(A1856,'6.A'!$A$11:$E$7984,5,FALSE))</f>
        <v/>
      </c>
      <c r="I1856" s="52" t="str">
        <f t="shared" si="794"/>
        <v/>
      </c>
      <c r="J1856" s="52" t="str">
        <f>IF(H1856="","",VLOOKUP(A1856,'6.A'!$A$11:$E$564,4,FALSE))</f>
        <v/>
      </c>
      <c r="K1856" s="52" t="str">
        <f t="shared" si="795"/>
        <v/>
      </c>
      <c r="L1856" s="52" t="str">
        <f>IF(H1856="","",IF(C1856="","",G1832*C1856))</f>
        <v/>
      </c>
      <c r="M1856" s="117" t="str">
        <f>IF(A1856="","",VLOOKUP(A1856,'6.A'!$A$11:$C$564,2,FALSE))</f>
        <v/>
      </c>
      <c r="N1856" s="57" t="str">
        <f t="shared" ref="N1856:N1857" si="797">IF(A1856="","",IF(M1856=B1856,"si","no"))</f>
        <v/>
      </c>
      <c r="O1856" s="56"/>
      <c r="P1856" s="56"/>
      <c r="Q1856" s="48"/>
      <c r="R1856" s="48"/>
      <c r="S1856" s="2"/>
    </row>
    <row r="1857" spans="1:22" ht="12.75" customHeight="1" x14ac:dyDescent="0.2">
      <c r="A1857" s="22"/>
      <c r="B1857" s="23" t="str">
        <f>IF(A1857="","",VLOOKUP(A1857,'6.A'!$A$11:$G$180,2,FALSE))</f>
        <v/>
      </c>
      <c r="C1857" s="99"/>
      <c r="D1857" s="57" t="str">
        <f>IF(A1857="","",VLOOKUP(A1857,'6.A'!$A$11:$G$180,4,FALSE))</f>
        <v/>
      </c>
      <c r="E1857" s="100" t="str">
        <f>IF(A1857="","",VLOOKUP(A1857,'6.A'!$A$11:$G$180,5,FALSE))</f>
        <v/>
      </c>
      <c r="F1857" s="24" t="str">
        <f t="shared" si="793"/>
        <v>0,00</v>
      </c>
      <c r="G1857" s="52"/>
      <c r="H1857" s="52" t="str">
        <f>IF(A1857="","",VLOOKUP(A1857,'6.A'!$A$11:$E$7984,5,FALSE))</f>
        <v/>
      </c>
      <c r="I1857" s="52" t="str">
        <f t="shared" si="794"/>
        <v/>
      </c>
      <c r="J1857" s="52" t="str">
        <f>IF(H1857="","",VLOOKUP(A1857,'6.A'!$A$11:$E$564,4,FALSE))</f>
        <v/>
      </c>
      <c r="K1857" s="52" t="str">
        <f t="shared" si="795"/>
        <v/>
      </c>
      <c r="L1857" s="52" t="str">
        <f>IF(H1857="","",IF(C1857="","",G1832*C1857))</f>
        <v/>
      </c>
      <c r="M1857" s="117" t="str">
        <f>IF(A1857="","",VLOOKUP(A1857,'6.A'!$A$11:$C$564,2,FALSE))</f>
        <v/>
      </c>
      <c r="N1857" s="57" t="str">
        <f t="shared" si="797"/>
        <v/>
      </c>
      <c r="O1857" s="56"/>
      <c r="P1857" s="56"/>
      <c r="Q1857" s="48"/>
      <c r="R1857" s="48"/>
      <c r="S1857" s="2"/>
    </row>
    <row r="1858" spans="1:22" ht="12.75" customHeight="1" x14ac:dyDescent="0.2">
      <c r="A1858" s="22"/>
      <c r="B1858" s="26" t="str">
        <f>$A$9</f>
        <v>BDI</v>
      </c>
      <c r="C1858" s="27">
        <f>$C$9</f>
        <v>0</v>
      </c>
      <c r="D1858" s="57"/>
      <c r="F1858" s="28">
        <f>ROUND(SUM(F1848:F1857)*C1858,2)</f>
        <v>0</v>
      </c>
      <c r="G1858" s="63"/>
      <c r="M1858" s="62"/>
      <c r="N1858" s="57"/>
      <c r="O1858" s="56"/>
      <c r="P1858" s="56"/>
      <c r="Q1858" s="48"/>
      <c r="R1858" s="48"/>
      <c r="S1858" s="2"/>
    </row>
    <row r="1859" spans="1:22" ht="12.75" customHeight="1" x14ac:dyDescent="0.2">
      <c r="A1859" s="30"/>
      <c r="B1859" s="31" t="s">
        <v>117</v>
      </c>
      <c r="C1859" s="36"/>
      <c r="D1859" s="37"/>
      <c r="E1859" s="38"/>
      <c r="F1859" s="35">
        <f>ROUND(SUM(F1848:F1858),2)</f>
        <v>0</v>
      </c>
      <c r="G1859" s="63"/>
      <c r="M1859" s="62"/>
      <c r="N1859" s="57"/>
      <c r="O1859" s="56"/>
      <c r="P1859" s="56"/>
      <c r="Q1859" s="48"/>
      <c r="R1859" s="48"/>
      <c r="S1859" s="2"/>
    </row>
    <row r="1860" spans="1:22" ht="12.75" customHeight="1" x14ac:dyDescent="0.2">
      <c r="A1860" s="17" t="s">
        <v>6</v>
      </c>
      <c r="B1860" s="18" t="s">
        <v>17</v>
      </c>
      <c r="C1860" s="56" t="s">
        <v>59</v>
      </c>
      <c r="D1860" s="56" t="s">
        <v>16</v>
      </c>
      <c r="E1860" s="19" t="s">
        <v>60</v>
      </c>
      <c r="F1860" s="20" t="s">
        <v>61</v>
      </c>
      <c r="G1860" s="21"/>
      <c r="M1860" s="62"/>
      <c r="N1860" s="57"/>
      <c r="O1860" s="56"/>
      <c r="P1860" s="56"/>
      <c r="Q1860" s="48"/>
      <c r="R1860" s="48"/>
      <c r="S1860" s="2"/>
    </row>
    <row r="1861" spans="1:22" ht="12.75" customHeight="1" x14ac:dyDescent="0.2">
      <c r="A1861" s="22">
        <f>'6.A'!$A$76</f>
        <v>1000</v>
      </c>
      <c r="B1861" s="23" t="str">
        <f>IF(A1861="","",VLOOKUP(A1861,'6.A'!$A$11:$G$180,2,FALSE))</f>
        <v>CABO DE COBRE, FLEXIVEL, CLASSE 4 OU 5, ISOLACAO EM PVC/A, ANTICHAMA BWF-B, COBERTURA PVC-ST1, ANTICHAMA BWF-B, 1 CONDUTOR, 0,6/1 KV, SECAO NOMINAL 185 MM2</v>
      </c>
      <c r="C1861" s="99">
        <v>1.0149999999999999</v>
      </c>
      <c r="D1861" s="57" t="str">
        <f>IF(A1861="","",VLOOKUP(A1861,'6.A'!$A$11:$G$180,4,FALSE))</f>
        <v>M</v>
      </c>
      <c r="E1861" s="100">
        <f>IF(A1861="","",VLOOKUP(A1861,'6.A'!$A$11:$G$180,5,FALSE))</f>
        <v>0</v>
      </c>
      <c r="F1861" s="24">
        <f t="shared" ref="F1861:F1880" si="798">IF(A1861="","0,00",ROUND(C1861*E1861,2))</f>
        <v>0</v>
      </c>
      <c r="G1861" s="52"/>
      <c r="H1861" s="52">
        <f>IF(A1861="","",VLOOKUP(A1861,'6.A'!$A$11:$E$7984,5,FALSE))</f>
        <v>0</v>
      </c>
      <c r="I1861" s="52" t="str">
        <f t="shared" ref="I1861:I1880" si="799">IF(H1861="","",IF(E1861=H1861,"SIM","NÃO"))</f>
        <v>SIM</v>
      </c>
      <c r="J1861" s="52" t="str">
        <f>IF(H1861="","",VLOOKUP(A1861,'6.A'!$A$11:$E$564,4,FALSE))</f>
        <v>M</v>
      </c>
      <c r="K1861" s="52" t="str">
        <f t="shared" ref="K1861:K1880" si="800">IF(H1861="","",IF(J1861=D1861,"SIM","NÃO"))</f>
        <v>SIM</v>
      </c>
      <c r="L1861" s="52">
        <f>IF(H1861="","",IF(C1861="","",G1832*C1861))</f>
        <v>30.449999999999996</v>
      </c>
      <c r="M1861" s="117" t="str">
        <f>IF(A1861="","",VLOOKUP(A1861,'6.A'!$A$11:$C$564,2,FALSE))</f>
        <v>CABO DE COBRE, FLEXIVEL, CLASSE 4 OU 5, ISOLACAO EM PVC/A, ANTICHAMA BWF-B, COBERTURA PVC-ST1, ANTICHAMA BWF-B, 1 CONDUTOR, 0,6/1 KV, SECAO NOMINAL 185 MM2</v>
      </c>
      <c r="N1861" s="57" t="str">
        <f t="shared" ref="N1861:N1880" si="801">IF(A1861="","",IF(M1861=B1861,"si","no"))</f>
        <v>si</v>
      </c>
      <c r="O1861" s="56"/>
      <c r="P1861" s="56"/>
      <c r="Q1861" s="48"/>
      <c r="R1861" s="48"/>
      <c r="S1861" s="2"/>
    </row>
    <row r="1862" spans="1:22" ht="12.75" customHeight="1" x14ac:dyDescent="0.2">
      <c r="A1862" s="22">
        <f>'6.A'!$A$123</f>
        <v>21127</v>
      </c>
      <c r="B1862" s="23" t="str">
        <f>IF(A1862="","",VLOOKUP(A1862,'6.A'!$A$11:$G$180,2,FALSE))</f>
        <v>FITA ISOLANTE ADESIVA ANTICHAMA, USO ATE 750 V, EM ROLO DE 19 MM X 5 M</v>
      </c>
      <c r="C1862" s="99">
        <v>8.9999999999999993E-3</v>
      </c>
      <c r="D1862" s="57" t="str">
        <f>IF(A1862="","",VLOOKUP(A1862,'6.A'!$A$11:$G$180,4,FALSE))</f>
        <v>UN</v>
      </c>
      <c r="E1862" s="100">
        <f>IF(A1862="","",VLOOKUP(A1862,'6.A'!$A$11:$G$180,5,FALSE))</f>
        <v>0</v>
      </c>
      <c r="F1862" s="24">
        <f t="shared" si="798"/>
        <v>0</v>
      </c>
      <c r="G1862" s="52"/>
      <c r="H1862" s="52">
        <f>IF(A1862="","",VLOOKUP(A1862,'6.A'!$A$11:$E$7984,5,FALSE))</f>
        <v>0</v>
      </c>
      <c r="I1862" s="52" t="str">
        <f t="shared" si="799"/>
        <v>SIM</v>
      </c>
      <c r="J1862" s="52" t="str">
        <f>IF(H1862="","",VLOOKUP(A1862,'6.A'!$A$11:$E$564,4,FALSE))</f>
        <v>UN</v>
      </c>
      <c r="K1862" s="52" t="str">
        <f t="shared" si="800"/>
        <v>SIM</v>
      </c>
      <c r="L1862" s="52">
        <f>IF(H1862="","",IF(C1862="","",G1832*C1862))</f>
        <v>0.26999999999999996</v>
      </c>
      <c r="M1862" s="117" t="str">
        <f>IF(A1862="","",VLOOKUP(A1862,'6.A'!$A$11:$C$564,2,FALSE))</f>
        <v>FITA ISOLANTE ADESIVA ANTICHAMA, USO ATE 750 V, EM ROLO DE 19 MM X 5 M</v>
      </c>
      <c r="N1862" s="57" t="str">
        <f t="shared" si="801"/>
        <v>si</v>
      </c>
      <c r="O1862" s="56"/>
      <c r="P1862" s="56"/>
      <c r="Q1862" s="48"/>
      <c r="R1862" s="48"/>
      <c r="S1862" s="2"/>
    </row>
    <row r="1863" spans="1:22" ht="12.75" customHeight="1" x14ac:dyDescent="0.2">
      <c r="A1863" s="22"/>
      <c r="B1863" s="23" t="str">
        <f>IF(A1863="","",VLOOKUP(A1863,'6.A'!$A$11:$G$180,2,FALSE))</f>
        <v/>
      </c>
      <c r="C1863" s="99"/>
      <c r="D1863" s="57" t="str">
        <f>IF(A1863="","",VLOOKUP(A1863,'6.A'!$A$11:$G$180,4,FALSE))</f>
        <v/>
      </c>
      <c r="E1863" s="100" t="str">
        <f>IF(A1863="","",VLOOKUP(A1863,'6.A'!$A$11:$G$180,5,FALSE))</f>
        <v/>
      </c>
      <c r="F1863" s="24" t="str">
        <f t="shared" si="798"/>
        <v>0,00</v>
      </c>
      <c r="G1863" s="52"/>
      <c r="H1863" s="52" t="str">
        <f>IF(A1863="","",VLOOKUP(A1863,'6.A'!$A$11:$E$7984,5,FALSE))</f>
        <v/>
      </c>
      <c r="I1863" s="52" t="str">
        <f t="shared" si="799"/>
        <v/>
      </c>
      <c r="J1863" s="52" t="str">
        <f>IF(H1863="","",VLOOKUP(A1863,'6.A'!$A$11:$E$564,4,FALSE))</f>
        <v/>
      </c>
      <c r="K1863" s="52" t="str">
        <f t="shared" si="800"/>
        <v/>
      </c>
      <c r="L1863" s="52" t="str">
        <f>IF(H1863="","",IF(C1863="","",G1832*C1863))</f>
        <v/>
      </c>
      <c r="M1863" s="117" t="str">
        <f>IF(A1863="","",VLOOKUP(A1863,'6.A'!$A$11:$C$564,2,FALSE))</f>
        <v/>
      </c>
      <c r="N1863" s="57" t="str">
        <f t="shared" si="801"/>
        <v/>
      </c>
      <c r="O1863" s="56"/>
      <c r="P1863" s="56"/>
      <c r="Q1863" s="48"/>
      <c r="R1863" s="48"/>
      <c r="S1863" s="2"/>
    </row>
    <row r="1864" spans="1:22" ht="12.75" customHeight="1" x14ac:dyDescent="0.2">
      <c r="A1864" s="22"/>
      <c r="B1864" s="23" t="str">
        <f>IF(A1864="","",VLOOKUP(A1864,'6.A'!$A$11:$G$180,2,FALSE))</f>
        <v/>
      </c>
      <c r="C1864" s="99"/>
      <c r="D1864" s="57" t="str">
        <f>IF(A1864="","",VLOOKUP(A1864,'6.A'!$A$11:$G$180,4,FALSE))</f>
        <v/>
      </c>
      <c r="E1864" s="100" t="str">
        <f>IF(A1864="","",VLOOKUP(A1864,'6.A'!$A$11:$G$180,5,FALSE))</f>
        <v/>
      </c>
      <c r="F1864" s="24" t="str">
        <f t="shared" si="798"/>
        <v>0,00</v>
      </c>
      <c r="G1864" s="52"/>
      <c r="H1864" s="52" t="str">
        <f>IF(A1864="","",VLOOKUP(A1864,'6.A'!$A$11:$E$7984,5,FALSE))</f>
        <v/>
      </c>
      <c r="I1864" s="52" t="str">
        <f t="shared" si="799"/>
        <v/>
      </c>
      <c r="J1864" s="52" t="str">
        <f>IF(H1864="","",VLOOKUP(A1864,'6.A'!$A$11:$E$564,4,FALSE))</f>
        <v/>
      </c>
      <c r="K1864" s="52" t="str">
        <f t="shared" si="800"/>
        <v/>
      </c>
      <c r="L1864" s="52" t="str">
        <f>IF(H1864="","",IF(C1864="","",G1832*C1864))</f>
        <v/>
      </c>
      <c r="M1864" s="117" t="str">
        <f>IF(A1864="","",VLOOKUP(A1864,'6.A'!$A$11:$C$564,2,FALSE))</f>
        <v/>
      </c>
      <c r="N1864" s="57" t="str">
        <f t="shared" si="801"/>
        <v/>
      </c>
      <c r="O1864" s="56"/>
      <c r="P1864" s="56"/>
      <c r="Q1864" s="48"/>
      <c r="R1864" s="48"/>
      <c r="S1864" s="2"/>
    </row>
    <row r="1865" spans="1:22" ht="12.75" customHeight="1" x14ac:dyDescent="0.2">
      <c r="A1865" s="22"/>
      <c r="B1865" s="23" t="str">
        <f>IF(A1865="","",VLOOKUP(A1865,'6.A'!$A$11:$G$180,2,FALSE))</f>
        <v/>
      </c>
      <c r="C1865" s="99"/>
      <c r="D1865" s="57" t="str">
        <f>IF(A1865="","",VLOOKUP(A1865,'6.A'!$A$11:$G$180,4,FALSE))</f>
        <v/>
      </c>
      <c r="E1865" s="100" t="str">
        <f>IF(A1865="","",VLOOKUP(A1865,'6.A'!$A$11:$G$180,5,FALSE))</f>
        <v/>
      </c>
      <c r="F1865" s="24" t="str">
        <f t="shared" si="798"/>
        <v>0,00</v>
      </c>
      <c r="G1865" s="52"/>
      <c r="H1865" s="52" t="str">
        <f>IF(A1865="","",VLOOKUP(A1865,'6.A'!$A$11:$E$7984,5,FALSE))</f>
        <v/>
      </c>
      <c r="I1865" s="52" t="str">
        <f t="shared" si="799"/>
        <v/>
      </c>
      <c r="J1865" s="52" t="str">
        <f>IF(H1865="","",VLOOKUP(A1865,'6.A'!$A$11:$E$564,4,FALSE))</f>
        <v/>
      </c>
      <c r="K1865" s="52" t="str">
        <f t="shared" si="800"/>
        <v/>
      </c>
      <c r="L1865" s="52" t="str">
        <f>IF(H1865="","",IF(C1865="","",G1832*C1865))</f>
        <v/>
      </c>
      <c r="M1865" s="117" t="str">
        <f>IF(A1865="","",VLOOKUP(A1865,'6.A'!$A$11:$C$564,2,FALSE))</f>
        <v/>
      </c>
      <c r="N1865" s="57" t="str">
        <f t="shared" si="801"/>
        <v/>
      </c>
      <c r="O1865" s="56"/>
      <c r="P1865" s="56"/>
      <c r="Q1865" s="48"/>
      <c r="R1865" s="48"/>
      <c r="S1865" s="2"/>
    </row>
    <row r="1866" spans="1:22" ht="12.75" customHeight="1" x14ac:dyDescent="0.2">
      <c r="A1866" s="22"/>
      <c r="B1866" s="23" t="str">
        <f>IF(A1866="","",VLOOKUP(A1866,'6.A'!$A$11:$G$180,2,FALSE))</f>
        <v/>
      </c>
      <c r="C1866" s="99"/>
      <c r="D1866" s="57" t="str">
        <f>IF(A1866="","",VLOOKUP(A1866,'6.A'!$A$11:$G$180,4,FALSE))</f>
        <v/>
      </c>
      <c r="E1866" s="100" t="str">
        <f>IF(A1866="","",VLOOKUP(A1866,'6.A'!$A$11:$G$180,5,FALSE))</f>
        <v/>
      </c>
      <c r="F1866" s="24" t="str">
        <f t="shared" si="798"/>
        <v>0,00</v>
      </c>
      <c r="G1866" s="52"/>
      <c r="H1866" s="52" t="str">
        <f>IF(A1866="","",VLOOKUP(A1866,'6.A'!$A$11:$E$7984,5,FALSE))</f>
        <v/>
      </c>
      <c r="I1866" s="52" t="str">
        <f t="shared" si="799"/>
        <v/>
      </c>
      <c r="J1866" s="52" t="str">
        <f>IF(H1866="","",VLOOKUP(A1866,'6.A'!$A$11:$E$564,4,FALSE))</f>
        <v/>
      </c>
      <c r="K1866" s="52" t="str">
        <f t="shared" si="800"/>
        <v/>
      </c>
      <c r="L1866" s="52" t="str">
        <f>IF(H1866="","",IF(C1866="","",G1832*C1866))</f>
        <v/>
      </c>
      <c r="M1866" s="117" t="str">
        <f>IF(A1866="","",VLOOKUP(A1866,'6.A'!$A$11:$C$564,2,FALSE))</f>
        <v/>
      </c>
      <c r="N1866" s="57" t="str">
        <f t="shared" si="801"/>
        <v/>
      </c>
      <c r="O1866" s="56"/>
      <c r="P1866" s="56"/>
      <c r="Q1866" s="48"/>
      <c r="R1866" s="48"/>
      <c r="S1866" s="2"/>
    </row>
    <row r="1867" spans="1:22" ht="12.75" customHeight="1" x14ac:dyDescent="0.2">
      <c r="A1867" s="22"/>
      <c r="B1867" s="23" t="str">
        <f>IF(A1867="","",VLOOKUP(A1867,'6.A'!$A$11:$G$180,2,FALSE))</f>
        <v/>
      </c>
      <c r="C1867" s="99"/>
      <c r="D1867" s="57" t="str">
        <f>IF(A1867="","",VLOOKUP(A1867,'6.A'!$A$11:$G$180,4,FALSE))</f>
        <v/>
      </c>
      <c r="E1867" s="100" t="str">
        <f>IF(A1867="","",VLOOKUP(A1867,'6.A'!$A$11:$G$180,5,FALSE))</f>
        <v/>
      </c>
      <c r="F1867" s="24" t="str">
        <f t="shared" si="798"/>
        <v>0,00</v>
      </c>
      <c r="G1867" s="52"/>
      <c r="H1867" s="52" t="str">
        <f>IF(A1867="","",VLOOKUP(A1867,'6.A'!$A$11:$E$7984,5,FALSE))</f>
        <v/>
      </c>
      <c r="I1867" s="52" t="str">
        <f t="shared" si="799"/>
        <v/>
      </c>
      <c r="J1867" s="52" t="str">
        <f>IF(H1867="","",VLOOKUP(A1867,'6.A'!$A$11:$E$564,4,FALSE))</f>
        <v/>
      </c>
      <c r="K1867" s="52" t="str">
        <f t="shared" si="800"/>
        <v/>
      </c>
      <c r="L1867" s="52" t="str">
        <f>IF(H1867="","",IF(C1867="","",G1832*C1867))</f>
        <v/>
      </c>
      <c r="M1867" s="117" t="str">
        <f>IF(A1867="","",VLOOKUP(A1867,'6.A'!$A$11:$C$564,2,FALSE))</f>
        <v/>
      </c>
      <c r="N1867" s="57" t="str">
        <f t="shared" si="801"/>
        <v/>
      </c>
      <c r="O1867" s="56"/>
      <c r="P1867" s="56"/>
      <c r="Q1867" s="48"/>
      <c r="R1867" s="48"/>
      <c r="S1867" s="2"/>
    </row>
    <row r="1868" spans="1:22" s="65" customFormat="1" ht="12.75" customHeight="1" x14ac:dyDescent="0.2">
      <c r="A1868" s="22"/>
      <c r="B1868" s="23" t="str">
        <f>IF(A1868="","",VLOOKUP(A1868,'6.A'!$A$11:$G$180,2,FALSE))</f>
        <v/>
      </c>
      <c r="C1868" s="99"/>
      <c r="D1868" s="57" t="str">
        <f>IF(A1868="","",VLOOKUP(A1868,'6.A'!$A$11:$G$180,4,FALSE))</f>
        <v/>
      </c>
      <c r="E1868" s="100" t="str">
        <f>IF(A1868="","",VLOOKUP(A1868,'6.A'!$A$11:$G$180,5,FALSE))</f>
        <v/>
      </c>
      <c r="F1868" s="24" t="str">
        <f t="shared" si="798"/>
        <v>0,00</v>
      </c>
      <c r="G1868" s="52"/>
      <c r="H1868" s="52" t="str">
        <f>IF(A1868="","",VLOOKUP(A1868,'6.A'!$A$11:$E$7984,5,FALSE))</f>
        <v/>
      </c>
      <c r="I1868" s="52" t="str">
        <f t="shared" si="799"/>
        <v/>
      </c>
      <c r="J1868" s="52" t="str">
        <f>IF(H1868="","",VLOOKUP(A1868,'6.A'!$A$11:$E$564,4,FALSE))</f>
        <v/>
      </c>
      <c r="K1868" s="52" t="str">
        <f t="shared" si="800"/>
        <v/>
      </c>
      <c r="L1868" s="52" t="str">
        <f>IF(H1868="","",IF(C1868="","",G1832*C1868))</f>
        <v/>
      </c>
      <c r="M1868" s="117" t="str">
        <f>IF(A1868="","",VLOOKUP(A1868,'6.A'!$A$11:$C$564,2,FALSE))</f>
        <v/>
      </c>
      <c r="N1868" s="57" t="str">
        <f t="shared" si="801"/>
        <v/>
      </c>
      <c r="O1868" s="56"/>
      <c r="P1868" s="56"/>
      <c r="Q1868" s="48"/>
      <c r="R1868" s="48"/>
      <c r="T1868" s="2"/>
      <c r="U1868" s="2"/>
      <c r="V1868" s="2"/>
    </row>
    <row r="1869" spans="1:22" s="65" customFormat="1" ht="12.75" customHeight="1" x14ac:dyDescent="0.2">
      <c r="A1869" s="22"/>
      <c r="B1869" s="23" t="str">
        <f>IF(A1869="","",VLOOKUP(A1869,'6.A'!$A$11:$G$180,2,FALSE))</f>
        <v/>
      </c>
      <c r="C1869" s="99"/>
      <c r="D1869" s="57" t="str">
        <f>IF(A1869="","",VLOOKUP(A1869,'6.A'!$A$11:$G$180,4,FALSE))</f>
        <v/>
      </c>
      <c r="E1869" s="100" t="str">
        <f>IF(A1869="","",VLOOKUP(A1869,'6.A'!$A$11:$G$180,5,FALSE))</f>
        <v/>
      </c>
      <c r="F1869" s="24" t="str">
        <f t="shared" si="798"/>
        <v>0,00</v>
      </c>
      <c r="G1869" s="52"/>
      <c r="H1869" s="52" t="str">
        <f>IF(A1869="","",VLOOKUP(A1869,'6.A'!$A$11:$E$7984,5,FALSE))</f>
        <v/>
      </c>
      <c r="I1869" s="52" t="str">
        <f t="shared" si="799"/>
        <v/>
      </c>
      <c r="J1869" s="52" t="str">
        <f>IF(H1869="","",VLOOKUP(A1869,'6.A'!$A$11:$E$564,4,FALSE))</f>
        <v/>
      </c>
      <c r="K1869" s="52" t="str">
        <f t="shared" si="800"/>
        <v/>
      </c>
      <c r="L1869" s="52" t="str">
        <f>IF(H1869="","",IF(C1869="","",G1832*C1869))</f>
        <v/>
      </c>
      <c r="M1869" s="117" t="str">
        <f>IF(A1869="","",VLOOKUP(A1869,'6.A'!$A$11:$C$564,2,FALSE))</f>
        <v/>
      </c>
      <c r="N1869" s="57" t="str">
        <f t="shared" si="801"/>
        <v/>
      </c>
      <c r="O1869" s="56"/>
      <c r="P1869" s="56"/>
      <c r="Q1869" s="48"/>
      <c r="R1869" s="48"/>
      <c r="T1869" s="2"/>
      <c r="U1869" s="2"/>
      <c r="V1869" s="2"/>
    </row>
    <row r="1870" spans="1:22" s="65" customFormat="1" ht="12.75" customHeight="1" x14ac:dyDescent="0.2">
      <c r="A1870" s="22"/>
      <c r="B1870" s="23" t="str">
        <f>IF(A1870="","",VLOOKUP(A1870,'6.A'!$A$11:$G$180,2,FALSE))</f>
        <v/>
      </c>
      <c r="C1870" s="99"/>
      <c r="D1870" s="57" t="str">
        <f>IF(A1870="","",VLOOKUP(A1870,'6.A'!$A$11:$G$180,4,FALSE))</f>
        <v/>
      </c>
      <c r="E1870" s="100" t="str">
        <f>IF(A1870="","",VLOOKUP(A1870,'6.A'!$A$11:$G$180,5,FALSE))</f>
        <v/>
      </c>
      <c r="F1870" s="24" t="str">
        <f t="shared" si="798"/>
        <v>0,00</v>
      </c>
      <c r="G1870" s="52"/>
      <c r="H1870" s="52" t="str">
        <f>IF(A1870="","",VLOOKUP(A1870,'6.A'!$A$11:$E$7984,5,FALSE))</f>
        <v/>
      </c>
      <c r="I1870" s="52" t="str">
        <f t="shared" si="799"/>
        <v/>
      </c>
      <c r="J1870" s="52" t="str">
        <f>IF(H1870="","",VLOOKUP(A1870,'6.A'!$A$11:$E$564,4,FALSE))</f>
        <v/>
      </c>
      <c r="K1870" s="52" t="str">
        <f t="shared" si="800"/>
        <v/>
      </c>
      <c r="L1870" s="52" t="str">
        <f>IF(H1870="","",IF(C1870="","",G1832*C1870))</f>
        <v/>
      </c>
      <c r="M1870" s="117" t="str">
        <f>IF(A1870="","",VLOOKUP(A1870,'6.A'!$A$11:$C$564,2,FALSE))</f>
        <v/>
      </c>
      <c r="N1870" s="57" t="str">
        <f t="shared" si="801"/>
        <v/>
      </c>
      <c r="O1870" s="56"/>
      <c r="P1870" s="56"/>
      <c r="Q1870" s="48"/>
      <c r="R1870" s="48"/>
      <c r="T1870" s="2"/>
      <c r="U1870" s="2"/>
      <c r="V1870" s="2"/>
    </row>
    <row r="1871" spans="1:22" s="65" customFormat="1" ht="12.75" customHeight="1" x14ac:dyDescent="0.2">
      <c r="A1871" s="22"/>
      <c r="B1871" s="23" t="str">
        <f>IF(A1871="","",VLOOKUP(A1871,'6.A'!$A$11:$G$180,2,FALSE))</f>
        <v/>
      </c>
      <c r="C1871" s="99"/>
      <c r="D1871" s="57" t="str">
        <f>IF(A1871="","",VLOOKUP(A1871,'6.A'!$A$11:$G$180,4,FALSE))</f>
        <v/>
      </c>
      <c r="E1871" s="100" t="str">
        <f>IF(A1871="","",VLOOKUP(A1871,'6.A'!$A$11:$G$180,5,FALSE))</f>
        <v/>
      </c>
      <c r="F1871" s="24" t="str">
        <f t="shared" si="798"/>
        <v>0,00</v>
      </c>
      <c r="G1871" s="52"/>
      <c r="H1871" s="52" t="str">
        <f>IF(A1871="","",VLOOKUP(A1871,'6.A'!$A$11:$E$7984,5,FALSE))</f>
        <v/>
      </c>
      <c r="I1871" s="52" t="str">
        <f t="shared" si="799"/>
        <v/>
      </c>
      <c r="J1871" s="52" t="str">
        <f>IF(H1871="","",VLOOKUP(A1871,'6.A'!$A$11:$E$564,4,FALSE))</f>
        <v/>
      </c>
      <c r="K1871" s="52" t="str">
        <f t="shared" si="800"/>
        <v/>
      </c>
      <c r="L1871" s="52" t="str">
        <f>IF(H1871="","",IF(C1871="","",G1832*C1871))</f>
        <v/>
      </c>
      <c r="M1871" s="117" t="str">
        <f>IF(A1871="","",VLOOKUP(A1871,'6.A'!$A$11:$C$564,2,FALSE))</f>
        <v/>
      </c>
      <c r="N1871" s="57" t="str">
        <f t="shared" si="801"/>
        <v/>
      </c>
      <c r="O1871" s="56"/>
      <c r="P1871" s="56"/>
      <c r="Q1871" s="48"/>
      <c r="R1871" s="48"/>
      <c r="T1871" s="2"/>
      <c r="U1871" s="2"/>
      <c r="V1871" s="2"/>
    </row>
    <row r="1872" spans="1:22" ht="12.75" customHeight="1" x14ac:dyDescent="0.2">
      <c r="A1872" s="22"/>
      <c r="B1872" s="23" t="str">
        <f>IF(A1872="","",VLOOKUP(A1872,'6.A'!$A$11:$G$180,2,FALSE))</f>
        <v/>
      </c>
      <c r="C1872" s="99"/>
      <c r="D1872" s="57" t="str">
        <f>IF(A1872="","",VLOOKUP(A1872,'6.A'!$A$11:$G$180,4,FALSE))</f>
        <v/>
      </c>
      <c r="E1872" s="100" t="str">
        <f>IF(A1872="","",VLOOKUP(A1872,'6.A'!$A$11:$G$180,5,FALSE))</f>
        <v/>
      </c>
      <c r="F1872" s="24" t="str">
        <f t="shared" si="798"/>
        <v>0,00</v>
      </c>
      <c r="G1872" s="52"/>
      <c r="H1872" s="52" t="str">
        <f>IF(A1872="","",VLOOKUP(A1872,'6.A'!$A$11:$E$7984,5,FALSE))</f>
        <v/>
      </c>
      <c r="I1872" s="52" t="str">
        <f t="shared" si="799"/>
        <v/>
      </c>
      <c r="J1872" s="52" t="str">
        <f>IF(H1872="","",VLOOKUP(A1872,'6.A'!$A$11:$E$564,4,FALSE))</f>
        <v/>
      </c>
      <c r="K1872" s="52" t="str">
        <f t="shared" si="800"/>
        <v/>
      </c>
      <c r="L1872" s="52" t="str">
        <f>IF(H1872="","",IF(C1872="","",G1832*C1872))</f>
        <v/>
      </c>
      <c r="M1872" s="117" t="str">
        <f>IF(A1872="","",VLOOKUP(A1872,'6.A'!$A$11:$C$564,2,FALSE))</f>
        <v/>
      </c>
      <c r="N1872" s="57" t="str">
        <f t="shared" si="801"/>
        <v/>
      </c>
      <c r="O1872" s="56"/>
      <c r="P1872" s="56"/>
      <c r="Q1872" s="48"/>
      <c r="R1872" s="48"/>
    </row>
    <row r="1873" spans="1:23" ht="12.75" customHeight="1" x14ac:dyDescent="0.2">
      <c r="A1873" s="22"/>
      <c r="B1873" s="23" t="str">
        <f>IF(A1873="","",VLOOKUP(A1873,'6.A'!$A$11:$G$180,2,FALSE))</f>
        <v/>
      </c>
      <c r="C1873" s="99"/>
      <c r="D1873" s="57" t="str">
        <f>IF(A1873="","",VLOOKUP(A1873,'6.A'!$A$11:$G$180,4,FALSE))</f>
        <v/>
      </c>
      <c r="E1873" s="100" t="str">
        <f>IF(A1873="","",VLOOKUP(A1873,'6.A'!$A$11:$G$180,5,FALSE))</f>
        <v/>
      </c>
      <c r="F1873" s="24" t="str">
        <f t="shared" si="798"/>
        <v>0,00</v>
      </c>
      <c r="G1873" s="52"/>
      <c r="H1873" s="52" t="str">
        <f>IF(A1873="","",VLOOKUP(A1873,'6.A'!$A$11:$E$7984,5,FALSE))</f>
        <v/>
      </c>
      <c r="I1873" s="52" t="str">
        <f t="shared" si="799"/>
        <v/>
      </c>
      <c r="J1873" s="52" t="str">
        <f>IF(H1873="","",VLOOKUP(A1873,'6.A'!$A$11:$E$564,4,FALSE))</f>
        <v/>
      </c>
      <c r="K1873" s="52" t="str">
        <f t="shared" si="800"/>
        <v/>
      </c>
      <c r="L1873" s="52" t="str">
        <f>IF(H1873="","",IF(C1873="","",G1832*C1873))</f>
        <v/>
      </c>
      <c r="M1873" s="117" t="str">
        <f>IF(A1873="","",VLOOKUP(A1873,'6.A'!$A$11:$C$564,2,FALSE))</f>
        <v/>
      </c>
      <c r="N1873" s="57" t="str">
        <f t="shared" si="801"/>
        <v/>
      </c>
      <c r="O1873" s="56"/>
      <c r="P1873" s="56"/>
      <c r="Q1873" s="48"/>
      <c r="R1873" s="48"/>
    </row>
    <row r="1874" spans="1:23" ht="12.75" customHeight="1" x14ac:dyDescent="0.2">
      <c r="A1874" s="22"/>
      <c r="B1874" s="23" t="str">
        <f>IF(A1874="","",VLOOKUP(A1874,'6.A'!$A$11:$G$180,2,FALSE))</f>
        <v/>
      </c>
      <c r="C1874" s="99"/>
      <c r="D1874" s="57" t="str">
        <f>IF(A1874="","",VLOOKUP(A1874,'6.A'!$A$11:$G$180,4,FALSE))</f>
        <v/>
      </c>
      <c r="E1874" s="100" t="str">
        <f>IF(A1874="","",VLOOKUP(A1874,'6.A'!$A$11:$G$180,5,FALSE))</f>
        <v/>
      </c>
      <c r="F1874" s="24" t="str">
        <f t="shared" si="798"/>
        <v>0,00</v>
      </c>
      <c r="G1874" s="52"/>
      <c r="H1874" s="52" t="str">
        <f>IF(A1874="","",VLOOKUP(A1874,'6.A'!$A$11:$E$7984,5,FALSE))</f>
        <v/>
      </c>
      <c r="I1874" s="52" t="str">
        <f t="shared" si="799"/>
        <v/>
      </c>
      <c r="J1874" s="52" t="str">
        <f>IF(H1874="","",VLOOKUP(A1874,'6.A'!$A$11:$E$564,4,FALSE))</f>
        <v/>
      </c>
      <c r="K1874" s="52" t="str">
        <f t="shared" si="800"/>
        <v/>
      </c>
      <c r="L1874" s="52" t="str">
        <f>IF(H1874="","",IF(C1874="","",G1832*C1874))</f>
        <v/>
      </c>
      <c r="M1874" s="117" t="str">
        <f>IF(A1874="","",VLOOKUP(A1874,'6.A'!$A$11:$C$564,2,FALSE))</f>
        <v/>
      </c>
      <c r="N1874" s="57" t="str">
        <f t="shared" si="801"/>
        <v/>
      </c>
      <c r="O1874" s="56"/>
      <c r="P1874" s="56"/>
      <c r="Q1874" s="48"/>
      <c r="R1874" s="48"/>
    </row>
    <row r="1875" spans="1:23" ht="12.75" customHeight="1" x14ac:dyDescent="0.2">
      <c r="A1875" s="22"/>
      <c r="B1875" s="23" t="str">
        <f>IF(A1875="","",VLOOKUP(A1875,'6.A'!$A$11:$G$180,2,FALSE))</f>
        <v/>
      </c>
      <c r="C1875" s="99"/>
      <c r="D1875" s="57" t="str">
        <f>IF(A1875="","",VLOOKUP(A1875,'6.A'!$A$11:$G$180,4,FALSE))</f>
        <v/>
      </c>
      <c r="E1875" s="100" t="str">
        <f>IF(A1875="","",VLOOKUP(A1875,'6.A'!$A$11:$G$180,5,FALSE))</f>
        <v/>
      </c>
      <c r="F1875" s="24" t="str">
        <f t="shared" si="798"/>
        <v>0,00</v>
      </c>
      <c r="G1875" s="52"/>
      <c r="H1875" s="52" t="str">
        <f>IF(A1875="","",VLOOKUP(A1875,'6.A'!$A$11:$E$7984,5,FALSE))</f>
        <v/>
      </c>
      <c r="I1875" s="52" t="str">
        <f t="shared" si="799"/>
        <v/>
      </c>
      <c r="J1875" s="52" t="str">
        <f>IF(H1875="","",VLOOKUP(A1875,'6.A'!$A$11:$E$564,4,FALSE))</f>
        <v/>
      </c>
      <c r="K1875" s="52" t="str">
        <f t="shared" si="800"/>
        <v/>
      </c>
      <c r="L1875" s="52" t="str">
        <f>IF(H1875="","",IF(C1875="","",G1832*C1875))</f>
        <v/>
      </c>
      <c r="M1875" s="117" t="str">
        <f>IF(A1875="","",VLOOKUP(A1875,'6.A'!$A$11:$C$564,2,FALSE))</f>
        <v/>
      </c>
      <c r="N1875" s="57" t="str">
        <f t="shared" si="801"/>
        <v/>
      </c>
      <c r="O1875" s="56"/>
      <c r="P1875" s="56"/>
      <c r="Q1875" s="48"/>
      <c r="R1875" s="48"/>
    </row>
    <row r="1876" spans="1:23" ht="12.75" customHeight="1" x14ac:dyDescent="0.2">
      <c r="A1876" s="22"/>
      <c r="B1876" s="23" t="str">
        <f>IF(A1876="","",VLOOKUP(A1876,'6.A'!$A$11:$G$180,2,FALSE))</f>
        <v/>
      </c>
      <c r="C1876" s="99"/>
      <c r="D1876" s="57" t="str">
        <f>IF(A1876="","",VLOOKUP(A1876,'6.A'!$A$11:$G$180,4,FALSE))</f>
        <v/>
      </c>
      <c r="E1876" s="100" t="str">
        <f>IF(A1876="","",VLOOKUP(A1876,'6.A'!$A$11:$G$180,5,FALSE))</f>
        <v/>
      </c>
      <c r="F1876" s="24" t="str">
        <f t="shared" si="798"/>
        <v>0,00</v>
      </c>
      <c r="G1876" s="52"/>
      <c r="H1876" s="52" t="str">
        <f>IF(A1876="","",VLOOKUP(A1876,'6.A'!$A$11:$E$7984,5,FALSE))</f>
        <v/>
      </c>
      <c r="I1876" s="52" t="str">
        <f t="shared" si="799"/>
        <v/>
      </c>
      <c r="J1876" s="52" t="str">
        <f>IF(H1876="","",VLOOKUP(A1876,'6.A'!$A$11:$E$564,4,FALSE))</f>
        <v/>
      </c>
      <c r="K1876" s="52" t="str">
        <f t="shared" si="800"/>
        <v/>
      </c>
      <c r="L1876" s="52" t="str">
        <f>IF(H1876="","",IF(C1876="","",G1832*C1876))</f>
        <v/>
      </c>
      <c r="M1876" s="117" t="str">
        <f>IF(A1876="","",VLOOKUP(A1876,'6.A'!$A$11:$C$564,2,FALSE))</f>
        <v/>
      </c>
      <c r="N1876" s="57" t="str">
        <f t="shared" si="801"/>
        <v/>
      </c>
      <c r="O1876" s="56"/>
      <c r="P1876" s="56"/>
      <c r="Q1876" s="48"/>
      <c r="R1876" s="48"/>
    </row>
    <row r="1877" spans="1:23" ht="12.75" customHeight="1" x14ac:dyDescent="0.2">
      <c r="A1877" s="22"/>
      <c r="B1877" s="23" t="str">
        <f>IF(A1877="","",VLOOKUP(A1877,'6.A'!$A$11:$G$180,2,FALSE))</f>
        <v/>
      </c>
      <c r="C1877" s="99"/>
      <c r="D1877" s="57" t="str">
        <f>IF(A1877="","",VLOOKUP(A1877,'6.A'!$A$11:$G$180,4,FALSE))</f>
        <v/>
      </c>
      <c r="E1877" s="100" t="str">
        <f>IF(A1877="","",VLOOKUP(A1877,'6.A'!$A$11:$G$180,5,FALSE))</f>
        <v/>
      </c>
      <c r="F1877" s="24" t="str">
        <f t="shared" si="798"/>
        <v>0,00</v>
      </c>
      <c r="G1877" s="52"/>
      <c r="H1877" s="52" t="str">
        <f>IF(A1877="","",VLOOKUP(A1877,'6.A'!$A$11:$E$7984,5,FALSE))</f>
        <v/>
      </c>
      <c r="I1877" s="52" t="str">
        <f t="shared" si="799"/>
        <v/>
      </c>
      <c r="J1877" s="52" t="str">
        <f>IF(H1877="","",VLOOKUP(A1877,'6.A'!$A$11:$E$564,4,FALSE))</f>
        <v/>
      </c>
      <c r="K1877" s="52" t="str">
        <f t="shared" si="800"/>
        <v/>
      </c>
      <c r="L1877" s="52" t="str">
        <f>IF(H1877="","",IF(C1877="","",G1832*C1877))</f>
        <v/>
      </c>
      <c r="M1877" s="117" t="str">
        <f>IF(A1877="","",VLOOKUP(A1877,'6.A'!$A$11:$C$564,2,FALSE))</f>
        <v/>
      </c>
      <c r="N1877" s="57" t="str">
        <f t="shared" si="801"/>
        <v/>
      </c>
      <c r="O1877" s="56"/>
      <c r="P1877" s="56"/>
      <c r="Q1877" s="48"/>
      <c r="R1877" s="48"/>
    </row>
    <row r="1878" spans="1:23" ht="12.75" customHeight="1" x14ac:dyDescent="0.2">
      <c r="A1878" s="22"/>
      <c r="B1878" s="39" t="str">
        <f>IF(A1878="","",VLOOKUP(A1878,'6.A'!$A$11:$G$180,2,FALSE))</f>
        <v/>
      </c>
      <c r="C1878" s="99"/>
      <c r="D1878" s="57" t="str">
        <f>IF(A1878="","",VLOOKUP(A1878,'6.A'!$A$11:$G$180,4,FALSE))</f>
        <v/>
      </c>
      <c r="E1878" s="100" t="str">
        <f>IF(A1878="","",VLOOKUP(A1878,'6.A'!$A$11:$G$180,5,FALSE))</f>
        <v/>
      </c>
      <c r="F1878" s="24" t="str">
        <f t="shared" si="798"/>
        <v>0,00</v>
      </c>
      <c r="G1878" s="52"/>
      <c r="H1878" s="52" t="str">
        <f>IF(A1878="","",VLOOKUP(A1878,'6.A'!$A$11:$E$7984,5,FALSE))</f>
        <v/>
      </c>
      <c r="I1878" s="52" t="str">
        <f t="shared" si="799"/>
        <v/>
      </c>
      <c r="J1878" s="52" t="str">
        <f>IF(H1878="","",VLOOKUP(A1878,'6.A'!$A$11:$E$564,4,FALSE))</f>
        <v/>
      </c>
      <c r="K1878" s="52" t="str">
        <f t="shared" si="800"/>
        <v/>
      </c>
      <c r="L1878" s="52" t="str">
        <f>IF(H1878="","",IF(C1878="","",G1832*C1878))</f>
        <v/>
      </c>
      <c r="M1878" s="117" t="str">
        <f>IF(A1878="","",VLOOKUP(A1878,'6.A'!$A$11:$C$564,2,FALSE))</f>
        <v/>
      </c>
      <c r="N1878" s="57" t="str">
        <f t="shared" si="801"/>
        <v/>
      </c>
      <c r="O1878" s="56"/>
      <c r="P1878" s="56"/>
      <c r="Q1878" s="48"/>
      <c r="R1878" s="48"/>
    </row>
    <row r="1879" spans="1:23" ht="12.75" customHeight="1" x14ac:dyDescent="0.2">
      <c r="A1879" s="22"/>
      <c r="B1879" s="39" t="str">
        <f>IF(A1879="","",VLOOKUP(A1879,'6.A'!$A$11:$G$180,2,FALSE))</f>
        <v/>
      </c>
      <c r="C1879" s="99"/>
      <c r="D1879" s="57" t="str">
        <f>IF(A1879="","",VLOOKUP(A1879,'6.A'!$A$11:$G$180,4,FALSE))</f>
        <v/>
      </c>
      <c r="E1879" s="100" t="str">
        <f>IF(A1879="","",VLOOKUP(A1879,'6.A'!$A$11:$G$180,5,FALSE))</f>
        <v/>
      </c>
      <c r="F1879" s="24" t="str">
        <f t="shared" si="798"/>
        <v>0,00</v>
      </c>
      <c r="G1879" s="52"/>
      <c r="H1879" s="52" t="str">
        <f>IF(A1879="","",VLOOKUP(A1879,'6.A'!$A$11:$E$7984,5,FALSE))</f>
        <v/>
      </c>
      <c r="I1879" s="52" t="str">
        <f t="shared" si="799"/>
        <v/>
      </c>
      <c r="J1879" s="52" t="str">
        <f>IF(H1879="","",VLOOKUP(A1879,'6.A'!$A$11:$E$564,4,FALSE))</f>
        <v/>
      </c>
      <c r="K1879" s="52" t="str">
        <f t="shared" si="800"/>
        <v/>
      </c>
      <c r="L1879" s="52" t="str">
        <f>IF(H1879="","",IF(C1879="","",G1832*C1879))</f>
        <v/>
      </c>
      <c r="M1879" s="117" t="str">
        <f>IF(A1879="","",VLOOKUP(A1879,'6.A'!$A$11:$C$564,2,FALSE))</f>
        <v/>
      </c>
      <c r="N1879" s="57" t="str">
        <f t="shared" si="801"/>
        <v/>
      </c>
      <c r="O1879" s="56"/>
      <c r="P1879" s="56"/>
      <c r="Q1879" s="48"/>
      <c r="R1879" s="48"/>
    </row>
    <row r="1880" spans="1:23" ht="12.75" customHeight="1" x14ac:dyDescent="0.2">
      <c r="A1880" s="22"/>
      <c r="B1880" s="39" t="str">
        <f>IF(A1880="","",VLOOKUP(A1880,'6.A'!$A$11:$G$180,2,FALSE))</f>
        <v/>
      </c>
      <c r="C1880" s="99"/>
      <c r="D1880" s="57" t="str">
        <f>IF(A1880="","",VLOOKUP(A1880,'6.A'!$A$11:$G$180,4,FALSE))</f>
        <v/>
      </c>
      <c r="E1880" s="100" t="str">
        <f>IF(A1880="","",VLOOKUP(A1880,'6.A'!$A$11:$G$180,5,FALSE))</f>
        <v/>
      </c>
      <c r="F1880" s="24" t="str">
        <f t="shared" si="798"/>
        <v>0,00</v>
      </c>
      <c r="G1880" s="52"/>
      <c r="H1880" s="52" t="str">
        <f>IF(A1880="","",VLOOKUP(A1880,'6.A'!$A$11:$E$7984,5,FALSE))</f>
        <v/>
      </c>
      <c r="I1880" s="52" t="str">
        <f t="shared" si="799"/>
        <v/>
      </c>
      <c r="J1880" s="52" t="str">
        <f>IF(H1880="","",VLOOKUP(A1880,'6.A'!$A$11:$E$564,4,FALSE))</f>
        <v/>
      </c>
      <c r="K1880" s="52" t="str">
        <f t="shared" si="800"/>
        <v/>
      </c>
      <c r="L1880" s="52" t="str">
        <f>IF(H1880="","",IF(C1880="","",G1832*C1880))</f>
        <v/>
      </c>
      <c r="M1880" s="117" t="str">
        <f>IF(A1880="","",VLOOKUP(A1880,'6.A'!$A$11:$C$564,2,FALSE))</f>
        <v/>
      </c>
      <c r="N1880" s="57" t="str">
        <f t="shared" si="801"/>
        <v/>
      </c>
      <c r="O1880" s="56"/>
      <c r="P1880" s="56"/>
      <c r="Q1880" s="48"/>
      <c r="R1880" s="48"/>
    </row>
    <row r="1881" spans="1:23" ht="12.75" customHeight="1" x14ac:dyDescent="0.2">
      <c r="A1881" s="22"/>
      <c r="B1881" s="26" t="str">
        <f>$A$9</f>
        <v>BDI</v>
      </c>
      <c r="C1881" s="40">
        <f>$C$9</f>
        <v>0</v>
      </c>
      <c r="D1881" s="57"/>
      <c r="F1881" s="28">
        <f>ROUND(SUM(F1861:F1880)*C1881,2)</f>
        <v>0</v>
      </c>
      <c r="G1881" s="63"/>
      <c r="M1881" s="57"/>
      <c r="N1881" s="57"/>
      <c r="O1881" s="56"/>
      <c r="P1881" s="56"/>
      <c r="Q1881" s="48"/>
      <c r="R1881" s="48"/>
    </row>
    <row r="1882" spans="1:23" ht="12.75" customHeight="1" thickBot="1" x14ac:dyDescent="0.25">
      <c r="A1882" s="41"/>
      <c r="B1882" s="42" t="s">
        <v>57</v>
      </c>
      <c r="C1882" s="43"/>
      <c r="D1882" s="44"/>
      <c r="E1882" s="45"/>
      <c r="F1882" s="46">
        <f>ROUND(SUM(F1861:F1881),2)</f>
        <v>0</v>
      </c>
      <c r="G1882" s="63"/>
      <c r="M1882" s="57"/>
      <c r="N1882" s="57"/>
      <c r="O1882" s="56"/>
      <c r="P1882" s="56"/>
      <c r="Q1882" s="48"/>
      <c r="R1882" s="48"/>
    </row>
    <row r="1883" spans="1:23" ht="12" customHeight="1" thickBot="1" x14ac:dyDescent="0.25">
      <c r="A1883" s="8"/>
      <c r="B1883" s="9"/>
      <c r="C1883" s="10"/>
      <c r="D1883" s="57"/>
      <c r="F1883" s="12"/>
      <c r="M1883" s="57"/>
      <c r="N1883" s="57"/>
      <c r="O1883" s="56"/>
      <c r="P1883" s="56"/>
    </row>
    <row r="1884" spans="1:23" ht="50.1" customHeight="1" x14ac:dyDescent="0.2">
      <c r="A1884" s="13" t="str">
        <f>'3.A'!$A$49</f>
        <v>3.2.12</v>
      </c>
      <c r="B1884" s="14" t="str">
        <f>IF(A1884="","",VLOOKUP(A1884,'3.A'!$A$17:$M$279,2,FALSE))</f>
        <v>CABO DE COBRE FLEXÍVEL ISOLADO, 185 MM², ANTI-CHAMA 0,6/1,0 KV, PARA REDE ENTERRADA DE ENERGIA ELÉTRICA - FASES</v>
      </c>
      <c r="C1884" s="413" t="s">
        <v>62</v>
      </c>
      <c r="D1884" s="413"/>
      <c r="E1884" s="15" t="str">
        <f>IF(A1884="","",VLOOKUP(A1884,'3.A'!$A$17:$M$279,3,FALSE))</f>
        <v>M</v>
      </c>
      <c r="F1884" s="16">
        <f>ROUND(F1898+F1911+F1934,2)</f>
        <v>0</v>
      </c>
      <c r="G1884" s="118">
        <f>VLOOKUP(A1884,'3.A'!$A$19:$I$279,4,FALSE)</f>
        <v>180</v>
      </c>
      <c r="H1884" s="47">
        <f>SUM(F1886:F1897)</f>
        <v>0</v>
      </c>
      <c r="I1884" s="47">
        <f>SUM(F1900:F1910)</f>
        <v>0</v>
      </c>
      <c r="J1884" s="47">
        <f>SUM(F1913:F1933)</f>
        <v>0</v>
      </c>
      <c r="K1884" s="47">
        <f>SUM(H1884:J1884)</f>
        <v>0</v>
      </c>
      <c r="L1884" s="47" t="str">
        <f>IF(K1884=F1884,"SIM","NÃO")</f>
        <v>SIM</v>
      </c>
      <c r="M1884" s="58">
        <f>ROUND(SUM(F1886:F1895)*C1896,2)+ROUND(SUM(F1886:F1896)*C1897,2)+ROUND(SUM(F1886:F1895),2)+ROUND(SUM(F1900:F1909)*C1910,2)+ROUND(SUM(F1900:F1909),2)+ROUND(SUM(F1913:F1932)*C1933,2)+ROUND(SUM(F1913:F1932),2)</f>
        <v>0</v>
      </c>
      <c r="N1884" s="50" t="str">
        <f>IF(M1884=F1884,"SIM","NÃO")</f>
        <v>SIM</v>
      </c>
      <c r="O1884" s="51" t="str">
        <f>VLOOKUP(A1884,'3.A'!$A$8:$E$279,3,FALSE)</f>
        <v>M</v>
      </c>
      <c r="P1884" s="51" t="str">
        <f>IF(O1884=E1884,"SIM","NÃO")</f>
        <v>SIM</v>
      </c>
      <c r="Q1884" s="53">
        <f>ROUND(G1884*F1898,2)+ROUND(G1884*F1911,2)+ROUND(G1884*F1934,2)</f>
        <v>0</v>
      </c>
      <c r="R1884" s="59">
        <f>VLOOKUP(A1884,'3.A'!$A$17:$L$279,12,FALSE)</f>
        <v>0</v>
      </c>
      <c r="S1884" s="60" t="str">
        <f>IF(Q1884=R1884,"si","no")</f>
        <v>si</v>
      </c>
      <c r="T1884" s="61">
        <f>SUM(L1886:L1895)+SUM(L1900:L1909)+SUM(L1913:L1932)</f>
        <v>257.22000000000003</v>
      </c>
      <c r="U1884" s="52">
        <f>G1884*C1892+G1884*C1894+G1884*C1887+G1884*C1888+G1884*C1890+G1884*C1893+G1884*C1891+G1884*C1886+G1884*C1889+G1884*C1895+G1884*C1906+G1884*C1900+G1884*C1908+G1884*C1907+G1884*C1905+G1884*C1902+G1884*C1901+G1884*C1903+G1884*C1909+G1884*C1904+G1884*C1913+G1884*C1914+G1884*C1915+G1884*C1923+G1884*C1924+G1884*C1925+G1884*C1926+G1884*C1927+G1884*C1928+G1884*C1929+G1884*C1930+G1884*C1931+G1884*C1932+G1884*C1921+G1884*C1922+G1884*C1916+G1884*C1917+G1884*C1918+G1884*C1919+G1884*C1920</f>
        <v>257.21999999999997</v>
      </c>
      <c r="V1884" s="54" t="str">
        <f>IF(T1884=U1884,"si","no")</f>
        <v>si</v>
      </c>
      <c r="W1884" s="137"/>
    </row>
    <row r="1885" spans="1:23" ht="12.75" customHeight="1" x14ac:dyDescent="0.2">
      <c r="A1885" s="17" t="s">
        <v>3</v>
      </c>
      <c r="B1885" s="18" t="s">
        <v>58</v>
      </c>
      <c r="C1885" s="56" t="s">
        <v>59</v>
      </c>
      <c r="D1885" s="56" t="s">
        <v>16</v>
      </c>
      <c r="E1885" s="19" t="s">
        <v>60</v>
      </c>
      <c r="F1885" s="20" t="s">
        <v>61</v>
      </c>
      <c r="G1885" s="21"/>
      <c r="M1885" s="57"/>
      <c r="N1885" s="57"/>
      <c r="O1885" s="56"/>
      <c r="P1885" s="56"/>
      <c r="Q1885" s="48"/>
      <c r="R1885" s="48"/>
    </row>
    <row r="1886" spans="1:23" ht="12.75" customHeight="1" x14ac:dyDescent="0.2">
      <c r="A1886" s="22">
        <f>'6.A'!$A$15</f>
        <v>88247</v>
      </c>
      <c r="B1886" s="23" t="str">
        <f>IF(A1886="","",VLOOKUP(A1886,'6.A'!$A$11:$G$180,2,FALSE))</f>
        <v>AUXILIAR DE ELETRICISTA COM ENCARGOS COMPLEMENTARES</v>
      </c>
      <c r="C1886" s="99">
        <v>0.20250000000000001</v>
      </c>
      <c r="D1886" s="57" t="str">
        <f>IF(A1886="","",VLOOKUP(A1886,'6.A'!$A$11:$G$180,4,FALSE))</f>
        <v>H</v>
      </c>
      <c r="E1886" s="100">
        <f>IF(A1886="","",VLOOKUP(A1886,'6.A'!$A$11:$G$180,5,FALSE))</f>
        <v>0</v>
      </c>
      <c r="F1886" s="24">
        <f t="shared" ref="F1886:F1895" si="802">IF(A1886="","0,00",ROUND(C1886*E1886,2))</f>
        <v>0</v>
      </c>
      <c r="G1886" s="52"/>
      <c r="H1886" s="52">
        <f>IF(A1886="","",VLOOKUP(A1886,'6.A'!$A$11:$E$7984,5,FALSE))</f>
        <v>0</v>
      </c>
      <c r="I1886" s="52" t="str">
        <f>IF(H1886="","",IF(E1886=H1886,"SIM","NÃO"))</f>
        <v>SIM</v>
      </c>
      <c r="J1886" s="52" t="str">
        <f>IF(H1886="","",VLOOKUP(A1886,'6.A'!$A$11:$E$564,4,FALSE))</f>
        <v>H</v>
      </c>
      <c r="K1886" s="52" t="str">
        <f>IF(H1886="","",IF(J1886=D1886,"SIM","NÃO"))</f>
        <v>SIM</v>
      </c>
      <c r="L1886" s="52">
        <f>IF(H1886="","",IF(C1886="","",G1884*C1886))</f>
        <v>36.450000000000003</v>
      </c>
      <c r="M1886" s="117" t="str">
        <f>IF(A1886="","",VLOOKUP(A1886,'6.A'!$A$11:$C$564,2,FALSE))</f>
        <v>AUXILIAR DE ELETRICISTA COM ENCARGOS COMPLEMENTARES</v>
      </c>
      <c r="N1886" s="57" t="str">
        <f>IF(A1886="","",IF(M1886=B1886,"si","no"))</f>
        <v>si</v>
      </c>
      <c r="O1886" s="56"/>
      <c r="P1886" s="56"/>
      <c r="Q1886" s="48"/>
      <c r="R1886" s="48"/>
    </row>
    <row r="1887" spans="1:23" ht="12.75" customHeight="1" x14ac:dyDescent="0.2">
      <c r="A1887" s="22">
        <f>'6.A'!$A$18</f>
        <v>88264</v>
      </c>
      <c r="B1887" s="23" t="str">
        <f>IF(A1887="","",VLOOKUP(A1887,'6.A'!$A$11:$G$180,2,FALSE))</f>
        <v>ELETRICISTA COM ENCARGOS COMPLEMENTARES</v>
      </c>
      <c r="C1887" s="99">
        <v>0.20250000000000001</v>
      </c>
      <c r="D1887" s="57" t="str">
        <f>IF(A1887="","",VLOOKUP(A1887,'6.A'!$A$11:$G$180,4,FALSE))</f>
        <v>H</v>
      </c>
      <c r="E1887" s="100">
        <f>IF(A1887="","",VLOOKUP(A1887,'6.A'!$A$11:$G$180,5,FALSE))</f>
        <v>0</v>
      </c>
      <c r="F1887" s="24">
        <f t="shared" si="802"/>
        <v>0</v>
      </c>
      <c r="G1887" s="52"/>
      <c r="H1887" s="52">
        <f>IF(A1887="","",VLOOKUP(A1887,'6.A'!$A$11:$E$7984,5,FALSE))</f>
        <v>0</v>
      </c>
      <c r="I1887" s="52" t="str">
        <f>IF(H1887="","",IF(E1887=H1887,"SIM","NÃO"))</f>
        <v>SIM</v>
      </c>
      <c r="J1887" s="52" t="str">
        <f>IF(H1887="","",VLOOKUP(A1887,'6.A'!$A$11:$E$564,4,FALSE))</f>
        <v>H</v>
      </c>
      <c r="K1887" s="52" t="str">
        <f>IF(H1887="","",IF(J1887=D1887,"SIM","NÃO"))</f>
        <v>SIM</v>
      </c>
      <c r="L1887" s="52">
        <f>IF(H1887="","",IF(C1887="","",G1884*C1887))</f>
        <v>36.450000000000003</v>
      </c>
      <c r="M1887" s="117" t="str">
        <f>IF(A1887="","",VLOOKUP(A1887,'6.A'!$A$11:$C$564,2,FALSE))</f>
        <v>ELETRICISTA COM ENCARGOS COMPLEMENTARES</v>
      </c>
      <c r="N1887" s="57" t="str">
        <f>IF(A1887="","",IF(M1887=B1887,"si","no"))</f>
        <v>si</v>
      </c>
      <c r="O1887" s="56"/>
      <c r="P1887" s="56"/>
      <c r="Q1887" s="48"/>
      <c r="R1887" s="48"/>
    </row>
    <row r="1888" spans="1:23" ht="12.75" customHeight="1" x14ac:dyDescent="0.2">
      <c r="A1888" s="22"/>
      <c r="B1888" s="23" t="str">
        <f>IF(A1888="","",VLOOKUP(A1888,'6.A'!$A$11:$G$180,2,FALSE))</f>
        <v/>
      </c>
      <c r="C1888" s="99"/>
      <c r="D1888" s="57" t="str">
        <f>IF(A1888="","",VLOOKUP(A1888,'6.A'!$A$11:$G$180,4,FALSE))</f>
        <v/>
      </c>
      <c r="E1888" s="100" t="str">
        <f>IF(A1888="","",VLOOKUP(A1888,'6.A'!$A$11:$G$180,5,FALSE))</f>
        <v/>
      </c>
      <c r="F1888" s="24" t="str">
        <f t="shared" si="802"/>
        <v>0,00</v>
      </c>
      <c r="G1888" s="52"/>
      <c r="H1888" s="52" t="str">
        <f>IF(A1888="","",VLOOKUP(A1888,'6.A'!$A$11:$E$7984,5,FALSE))</f>
        <v/>
      </c>
      <c r="I1888" s="52" t="str">
        <f>IF(H1888="","",IF(E1888=H1888,"SIM","NÃO"))</f>
        <v/>
      </c>
      <c r="J1888" s="52" t="str">
        <f>IF(H1888="","",VLOOKUP(A1888,'6.A'!$A$11:$E$564,4,FALSE))</f>
        <v/>
      </c>
      <c r="K1888" s="52" t="str">
        <f t="shared" ref="K1888" si="803">IF(H1888="","",IF(J1888=D1888,"SIM","NÃO"))</f>
        <v/>
      </c>
      <c r="L1888" s="52" t="str">
        <f>IF(H1888="","",IF(C1888="","",G1884*C1888))</f>
        <v/>
      </c>
      <c r="M1888" s="117" t="str">
        <f>IF(A1888="","",VLOOKUP(A1888,'6.A'!$A$11:$C$564,2,FALSE))</f>
        <v/>
      </c>
      <c r="N1888" s="57" t="str">
        <f t="shared" ref="N1888" si="804">IF(A1888="","",IF(M1888=B1888,"si","no"))</f>
        <v/>
      </c>
      <c r="O1888" s="56"/>
      <c r="P1888" s="56"/>
      <c r="Q1888" s="48"/>
      <c r="R1888" s="48"/>
      <c r="S1888" s="2"/>
    </row>
    <row r="1889" spans="1:19" ht="12.75" customHeight="1" x14ac:dyDescent="0.2">
      <c r="A1889" s="22"/>
      <c r="B1889" s="23" t="str">
        <f>IF(A1889="","",VLOOKUP(A1889,'6.A'!$A$11:$G$180,2,FALSE))</f>
        <v/>
      </c>
      <c r="C1889" s="99"/>
      <c r="D1889" s="57" t="str">
        <f>IF(A1889="","",VLOOKUP(A1889,'6.A'!$A$11:$G$180,4,FALSE))</f>
        <v/>
      </c>
      <c r="E1889" s="100" t="str">
        <f>IF(A1889="","",VLOOKUP(A1889,'6.A'!$A$11:$G$180,5,FALSE))</f>
        <v/>
      </c>
      <c r="F1889" s="24" t="str">
        <f t="shared" si="802"/>
        <v>0,00</v>
      </c>
      <c r="G1889" s="52"/>
      <c r="H1889" s="52" t="str">
        <f>IF(A1889="","",VLOOKUP(A1889,'6.A'!$A$11:$E$7984,5,FALSE))</f>
        <v/>
      </c>
      <c r="I1889" s="52" t="str">
        <f>IF(H1889="","",IF(E1889=H1889,"SIM","NÃO"))</f>
        <v/>
      </c>
      <c r="J1889" s="52" t="str">
        <f>IF(H1889="","",VLOOKUP(A1889,'6.A'!$A$11:$E$564,4,FALSE))</f>
        <v/>
      </c>
      <c r="K1889" s="52" t="str">
        <f>IF(H1889="","",IF(J1889=D1889,"SIM","NÃO"))</f>
        <v/>
      </c>
      <c r="L1889" s="52" t="str">
        <f>IF(H1889="","",IF(C1889="","",G1884*C1889))</f>
        <v/>
      </c>
      <c r="M1889" s="117" t="str">
        <f>IF(A1889="","",VLOOKUP(A1889,'6.A'!$A$11:$C$564,2,FALSE))</f>
        <v/>
      </c>
      <c r="N1889" s="57" t="str">
        <f>IF(A1889="","",IF(M1889=B1889,"si","no"))</f>
        <v/>
      </c>
      <c r="O1889" s="56"/>
      <c r="P1889" s="56"/>
      <c r="Q1889" s="48"/>
      <c r="R1889" s="48"/>
      <c r="S1889" s="2"/>
    </row>
    <row r="1890" spans="1:19" ht="12.75" customHeight="1" x14ac:dyDescent="0.2">
      <c r="A1890" s="22"/>
      <c r="B1890" s="23" t="str">
        <f>IF(A1890="","",VLOOKUP(A1890,'6.A'!$A$11:$G$180,2,FALSE))</f>
        <v/>
      </c>
      <c r="C1890" s="99"/>
      <c r="D1890" s="57" t="str">
        <f>IF(A1890="","",VLOOKUP(A1890,'6.A'!$A$11:$G$180,4,FALSE))</f>
        <v/>
      </c>
      <c r="E1890" s="101" t="str">
        <f>IF(A1890="","",VLOOKUP(A1890,'6.A'!$A$11:$G$180,5,FALSE))</f>
        <v/>
      </c>
      <c r="F1890" s="24" t="str">
        <f t="shared" si="802"/>
        <v>0,00</v>
      </c>
      <c r="G1890" s="52"/>
      <c r="H1890" s="52" t="str">
        <f>IF(A1890="","",VLOOKUP(A1890,'6.A'!$A$11:$E$7984,5,FALSE))</f>
        <v/>
      </c>
      <c r="I1890" s="52" t="str">
        <f t="shared" ref="I1890" si="805">IF(H1890="","",IF(E1890=H1890,"SIM","NÃO"))</f>
        <v/>
      </c>
      <c r="J1890" s="52" t="str">
        <f>IF(H1890="","",VLOOKUP(A1890,'6.A'!$A$11:$E$564,4,FALSE))</f>
        <v/>
      </c>
      <c r="K1890" s="52" t="str">
        <f t="shared" ref="K1890" si="806">IF(H1890="","",IF(J1890=D1890,"SIM","NÃO"))</f>
        <v/>
      </c>
      <c r="L1890" s="52" t="str">
        <f>IF(H1890="","",IF(C1890="","",G1884*C1890))</f>
        <v/>
      </c>
      <c r="M1890" s="117" t="str">
        <f>IF(A1890="","",VLOOKUP(A1890,'6.A'!$A$11:$C$564,2,FALSE))</f>
        <v/>
      </c>
      <c r="N1890" s="57" t="str">
        <f t="shared" ref="N1890" si="807">IF(A1890="","",IF(M1890=B1890,"si","no"))</f>
        <v/>
      </c>
      <c r="O1890" s="56"/>
      <c r="P1890" s="56"/>
      <c r="Q1890" s="48"/>
      <c r="R1890" s="48"/>
      <c r="S1890" s="2"/>
    </row>
    <row r="1891" spans="1:19" ht="12.75" customHeight="1" x14ac:dyDescent="0.2">
      <c r="A1891" s="22"/>
      <c r="B1891" s="23" t="str">
        <f>IF(A1891="","",VLOOKUP(A1891,'6.A'!$A$11:$G$180,2,FALSE))</f>
        <v/>
      </c>
      <c r="C1891" s="99"/>
      <c r="D1891" s="57" t="str">
        <f>IF(A1891="","",VLOOKUP(A1891,'6.A'!$A$11:$G$180,4,FALSE))</f>
        <v/>
      </c>
      <c r="E1891" s="101" t="str">
        <f>IF(A1891="","",VLOOKUP(A1891,'6.A'!$A$11:$G$180,5,FALSE))</f>
        <v/>
      </c>
      <c r="F1891" s="24" t="str">
        <f t="shared" si="802"/>
        <v>0,00</v>
      </c>
      <c r="G1891" s="52"/>
      <c r="H1891" s="52" t="str">
        <f>IF(A1891="","",VLOOKUP(A1891,'6.A'!$A$11:$E$7984,5,FALSE))</f>
        <v/>
      </c>
      <c r="I1891" s="52" t="str">
        <f>IF(H1891="","",IF(E1891=H1891,"SIM","NÃO"))</f>
        <v/>
      </c>
      <c r="J1891" s="52" t="str">
        <f>IF(H1891="","",VLOOKUP(A1891,'6.A'!$A$11:$E$564,4,FALSE))</f>
        <v/>
      </c>
      <c r="K1891" s="52" t="str">
        <f>IF(H1891="","",IF(J1891=D1891,"SIM","NÃO"))</f>
        <v/>
      </c>
      <c r="L1891" s="52" t="str">
        <f>IF(H1891="","",IF(C1891="","",G1884*C1891))</f>
        <v/>
      </c>
      <c r="M1891" s="117" t="str">
        <f>IF(A1891="","",VLOOKUP(A1891,'6.A'!$A$11:$C$564,2,FALSE))</f>
        <v/>
      </c>
      <c r="N1891" s="57" t="str">
        <f>IF(A1891="","",IF(M1891=B1891,"si","no"))</f>
        <v/>
      </c>
      <c r="O1891" s="56"/>
      <c r="P1891" s="56"/>
      <c r="Q1891" s="48"/>
      <c r="R1891" s="48"/>
      <c r="S1891" s="2"/>
    </row>
    <row r="1892" spans="1:19" ht="12.75" customHeight="1" x14ac:dyDescent="0.2">
      <c r="A1892" s="22"/>
      <c r="B1892" s="23" t="str">
        <f>IF(A1892="","",VLOOKUP(A1892,'6.A'!$A$11:$G$180,2,FALSE))</f>
        <v/>
      </c>
      <c r="C1892" s="99"/>
      <c r="D1892" s="57" t="str">
        <f>IF(A1892="","",VLOOKUP(A1892,'6.A'!$A$11:$G$180,4,FALSE))</f>
        <v/>
      </c>
      <c r="E1892" s="100" t="str">
        <f>IF(A1892="","",VLOOKUP(A1892,'6.A'!$A$11:$G$180,5,FALSE))</f>
        <v/>
      </c>
      <c r="F1892" s="24" t="str">
        <f t="shared" si="802"/>
        <v>0,00</v>
      </c>
      <c r="G1892" s="52"/>
      <c r="H1892" s="52" t="str">
        <f>IF(A1892="","",VLOOKUP(A1892,'6.A'!$A$11:$E$7984,5,FALSE))</f>
        <v/>
      </c>
      <c r="I1892" s="52" t="str">
        <f>IF(H1892="","",IF(E1892=H1892,"SIM","NÃO"))</f>
        <v/>
      </c>
      <c r="J1892" s="52" t="str">
        <f>IF(H1892="","",VLOOKUP(A1892,'6.A'!$A$11:$E$564,4,FALSE))</f>
        <v/>
      </c>
      <c r="K1892" s="52" t="str">
        <f>IF(H1892="","",IF(J1892=D1892,"SIM","NÃO"))</f>
        <v/>
      </c>
      <c r="L1892" s="52" t="str">
        <f>IF(H1892="","",IF(C1892="","",G1884*C1892))</f>
        <v/>
      </c>
      <c r="M1892" s="117" t="str">
        <f>IF(A1892="","",VLOOKUP(A1892,'6.A'!$A$11:$C$564,2,FALSE))</f>
        <v/>
      </c>
      <c r="N1892" s="57" t="str">
        <f>IF(A1892="","",IF(M1892=B1892,"si","no"))</f>
        <v/>
      </c>
      <c r="O1892" s="56"/>
      <c r="P1892" s="56"/>
      <c r="Q1892" s="48"/>
      <c r="R1892" s="48"/>
      <c r="S1892" s="2"/>
    </row>
    <row r="1893" spans="1:19" ht="12.75" customHeight="1" x14ac:dyDescent="0.2">
      <c r="A1893" s="22"/>
      <c r="B1893" s="23" t="str">
        <f>IF(A1893="","",VLOOKUP(A1893,'6.A'!$A$11:$G$180,2,FALSE))</f>
        <v/>
      </c>
      <c r="C1893" s="99"/>
      <c r="D1893" s="57" t="str">
        <f>IF(A1893="","",VLOOKUP(A1893,'6.A'!$A$11:$G$180,4,FALSE))</f>
        <v/>
      </c>
      <c r="E1893" s="100" t="str">
        <f>IF(A1893="","",VLOOKUP(A1893,'6.A'!$A$11:$G$180,5,FALSE))</f>
        <v/>
      </c>
      <c r="F1893" s="24" t="str">
        <f t="shared" si="802"/>
        <v>0,00</v>
      </c>
      <c r="G1893" s="52"/>
      <c r="H1893" s="52" t="str">
        <f>IF(A1893="","",VLOOKUP(A1893,'6.A'!$A$11:$E$7984,5,FALSE))</f>
        <v/>
      </c>
      <c r="I1893" s="52" t="str">
        <f t="shared" ref="I1893" si="808">IF(H1893="","",IF(E1893=H1893,"SIM","NÃO"))</f>
        <v/>
      </c>
      <c r="J1893" s="52" t="str">
        <f>IF(H1893="","",VLOOKUP(A1893,'6.A'!$A$11:$E$564,4,FALSE))</f>
        <v/>
      </c>
      <c r="K1893" s="52" t="str">
        <f t="shared" ref="K1893" si="809">IF(H1893="","",IF(J1893=D1893,"SIM","NÃO"))</f>
        <v/>
      </c>
      <c r="L1893" s="52" t="str">
        <f>IF(H1893="","",IF(C1893="","",G1884*C1893))</f>
        <v/>
      </c>
      <c r="M1893" s="117" t="str">
        <f>IF(A1893="","",VLOOKUP(A1893,'6.A'!$A$11:$C$564,2,FALSE))</f>
        <v/>
      </c>
      <c r="N1893" s="57" t="str">
        <f t="shared" ref="N1893" si="810">IF(A1893="","",IF(M1893=B1893,"si","no"))</f>
        <v/>
      </c>
      <c r="O1893" s="56"/>
      <c r="P1893" s="56"/>
      <c r="Q1893" s="48"/>
      <c r="R1893" s="48"/>
      <c r="S1893" s="2"/>
    </row>
    <row r="1894" spans="1:19" ht="12.75" customHeight="1" x14ac:dyDescent="0.2">
      <c r="A1894" s="22"/>
      <c r="B1894" s="23" t="str">
        <f>IF(A1894="","",VLOOKUP(A1894,'6.A'!$A$11:$G$180,2,FALSE))</f>
        <v/>
      </c>
      <c r="C1894" s="99"/>
      <c r="D1894" s="73" t="str">
        <f>IF(A1894="","",VLOOKUP(A1894,'6.A'!$A$11:$G$180,4,FALSE))</f>
        <v/>
      </c>
      <c r="E1894" s="101" t="str">
        <f>IF(A1894="","",VLOOKUP(A1894,'6.A'!$A$11:$G$180,5,FALSE))</f>
        <v/>
      </c>
      <c r="F1894" s="24" t="str">
        <f t="shared" si="802"/>
        <v>0,00</v>
      </c>
      <c r="G1894" s="52"/>
      <c r="H1894" s="52" t="str">
        <f>IF(A1894="","",VLOOKUP(A1894,'6.A'!$A$11:$E$7984,5,FALSE))</f>
        <v/>
      </c>
      <c r="I1894" s="52" t="str">
        <f>IF(H1894="","",IF(E1894=H1894,"SIM","NÃO"))</f>
        <v/>
      </c>
      <c r="J1894" s="52" t="str">
        <f>IF(H1894="","",VLOOKUP(A1894,'6.A'!$A$11:$E$564,4,FALSE))</f>
        <v/>
      </c>
      <c r="K1894" s="52" t="str">
        <f>IF(H1894="","",IF(J1894=D1894,"SIM","NÃO"))</f>
        <v/>
      </c>
      <c r="L1894" s="52" t="str">
        <f>IF(H1894="","",IF(C1894="","",G1884*C1894))</f>
        <v/>
      </c>
      <c r="M1894" s="117" t="str">
        <f>IF(A1894="","",VLOOKUP(A1894,'6.A'!$A$11:$C$564,2,FALSE))</f>
        <v/>
      </c>
      <c r="N1894" s="57" t="str">
        <f>IF(A1894="","",IF(M1894=B1894,"si","no"))</f>
        <v/>
      </c>
      <c r="O1894" s="56"/>
      <c r="P1894" s="56"/>
      <c r="Q1894" s="48"/>
      <c r="R1894" s="48"/>
      <c r="S1894" s="2"/>
    </row>
    <row r="1895" spans="1:19" ht="12.75" customHeight="1" x14ac:dyDescent="0.2">
      <c r="A1895" s="22"/>
      <c r="B1895" s="23" t="str">
        <f>IF(A1895="","",VLOOKUP(A1895,'6.A'!$A$11:$G$180,2,FALSE))</f>
        <v/>
      </c>
      <c r="C1895" s="99"/>
      <c r="D1895" s="25" t="str">
        <f>IF(A1895="","",VLOOKUP(A1895,'6.A'!$A$11:$G$180,4,FALSE))</f>
        <v/>
      </c>
      <c r="E1895" s="101" t="str">
        <f>IF(A1895="","",VLOOKUP(A1895,'6.A'!$A$11:$G$180,5,FALSE))</f>
        <v/>
      </c>
      <c r="F1895" s="24" t="str">
        <f t="shared" si="802"/>
        <v>0,00</v>
      </c>
      <c r="G1895" s="52"/>
      <c r="H1895" s="52" t="str">
        <f>IF(A1895="","",VLOOKUP(A1895,'6.A'!$A$11:$E$7984,5,FALSE))</f>
        <v/>
      </c>
      <c r="I1895" s="52" t="str">
        <f t="shared" ref="I1895" si="811">IF(H1895="","",IF(E1895=H1895,"SIM","NÃO"))</f>
        <v/>
      </c>
      <c r="J1895" s="52" t="str">
        <f>IF(H1895="","",VLOOKUP(A1895,'6.A'!$A$11:$E$564,4,FALSE))</f>
        <v/>
      </c>
      <c r="K1895" s="52" t="str">
        <f t="shared" ref="K1895" si="812">IF(H1895="","",IF(J1895=D1895,"SIM","NÃO"))</f>
        <v/>
      </c>
      <c r="L1895" s="52" t="str">
        <f>IF(H1895="","",IF(C1895="","",G1884*C1895))</f>
        <v/>
      </c>
      <c r="M1895" s="117" t="str">
        <f>IF(A1895="","",VLOOKUP(A1895,'6.A'!$A$11:$C$564,2,FALSE))</f>
        <v/>
      </c>
      <c r="N1895" s="57" t="str">
        <f t="shared" ref="N1895" si="813">IF(A1895="","",IF(M1895=B1895,"si","no"))</f>
        <v/>
      </c>
      <c r="O1895" s="56"/>
      <c r="P1895" s="56"/>
      <c r="Q1895" s="48"/>
      <c r="R1895" s="48"/>
      <c r="S1895" s="2"/>
    </row>
    <row r="1896" spans="1:19" ht="12.75" customHeight="1" x14ac:dyDescent="0.2">
      <c r="A1896" s="17"/>
      <c r="B1896" s="26" t="str">
        <f>$A$8</f>
        <v>LEIS SOCIAIS HORISTA - JORNADA NORMAL</v>
      </c>
      <c r="C1896" s="27">
        <f>$C$8</f>
        <v>0</v>
      </c>
      <c r="D1896" s="57"/>
      <c r="F1896" s="28">
        <f>ROUND(SUM(F1886:F1895)*C1896,2)</f>
        <v>0</v>
      </c>
      <c r="G1896" s="63"/>
      <c r="M1896" s="62"/>
      <c r="N1896" s="57"/>
      <c r="O1896" s="56"/>
      <c r="P1896" s="56"/>
      <c r="Q1896" s="48"/>
      <c r="R1896" s="48"/>
      <c r="S1896" s="2"/>
    </row>
    <row r="1897" spans="1:19" ht="12.75" customHeight="1" x14ac:dyDescent="0.2">
      <c r="A1897" s="22"/>
      <c r="B1897" s="26" t="str">
        <f>$A$9</f>
        <v>BDI</v>
      </c>
      <c r="C1897" s="27">
        <f>$C$9</f>
        <v>0</v>
      </c>
      <c r="D1897" s="29"/>
      <c r="F1897" s="28">
        <f>ROUND(SUM(F1886:F1896)*C1897,2)</f>
        <v>0</v>
      </c>
      <c r="G1897" s="63"/>
      <c r="M1897" s="62"/>
      <c r="N1897" s="57"/>
      <c r="O1897" s="56"/>
      <c r="P1897" s="56"/>
      <c r="Q1897" s="48"/>
      <c r="R1897" s="48"/>
      <c r="S1897" s="2"/>
    </row>
    <row r="1898" spans="1:19" ht="12.75" customHeight="1" x14ac:dyDescent="0.2">
      <c r="A1898" s="30"/>
      <c r="B1898" s="31" t="s">
        <v>56</v>
      </c>
      <c r="C1898" s="32"/>
      <c r="D1898" s="33"/>
      <c r="E1898" s="34"/>
      <c r="F1898" s="35">
        <f>ROUND(SUM(F1886:F1897),2)</f>
        <v>0</v>
      </c>
      <c r="G1898" s="63"/>
      <c r="M1898" s="62"/>
      <c r="N1898" s="57"/>
      <c r="O1898" s="56"/>
      <c r="P1898" s="56"/>
      <c r="Q1898" s="48"/>
      <c r="R1898" s="48"/>
      <c r="S1898" s="2"/>
    </row>
    <row r="1899" spans="1:19" ht="12.75" customHeight="1" x14ac:dyDescent="0.2">
      <c r="A1899" s="17" t="s">
        <v>5</v>
      </c>
      <c r="B1899" s="153" t="s">
        <v>130</v>
      </c>
      <c r="C1899" s="56" t="s">
        <v>59</v>
      </c>
      <c r="D1899" s="56" t="s">
        <v>16</v>
      </c>
      <c r="E1899" s="19" t="s">
        <v>60</v>
      </c>
      <c r="F1899" s="20" t="s">
        <v>61</v>
      </c>
      <c r="G1899" s="21"/>
      <c r="M1899" s="62"/>
      <c r="N1899" s="57"/>
      <c r="O1899" s="56"/>
      <c r="P1899" s="56"/>
      <c r="Q1899" s="48"/>
      <c r="R1899" s="48"/>
      <c r="S1899" s="2"/>
    </row>
    <row r="1900" spans="1:19" ht="12.75" customHeight="1" x14ac:dyDescent="0.2">
      <c r="A1900" s="22"/>
      <c r="B1900" s="23" t="str">
        <f>IF(A1900="","",VLOOKUP(A1900,'6.A'!$A$11:$G$180,2,FALSE))</f>
        <v/>
      </c>
      <c r="C1900" s="99"/>
      <c r="D1900" s="57" t="str">
        <f>IF(A1900="","",VLOOKUP(A1900,'6.A'!$A$11:$G$180,4,FALSE))</f>
        <v/>
      </c>
      <c r="E1900" s="100" t="str">
        <f>IF(A1900="","",VLOOKUP(A1900,'6.A'!$A$11:$G$180,5,FALSE))</f>
        <v/>
      </c>
      <c r="F1900" s="24" t="str">
        <f t="shared" ref="F1900:F1909" si="814">IF(A1900="","0,00",ROUND(C1900*E1900,2))</f>
        <v>0,00</v>
      </c>
      <c r="G1900" s="52"/>
      <c r="H1900" s="52" t="str">
        <f>IF(A1900="","",VLOOKUP(A1900,'6.A'!$A$11:$E$7984,5,FALSE))</f>
        <v/>
      </c>
      <c r="I1900" s="52" t="str">
        <f t="shared" ref="I1900:I1909" si="815">IF(H1900="","",IF(E1900=H1900,"SIM","NÃO"))</f>
        <v/>
      </c>
      <c r="J1900" s="52" t="str">
        <f>IF(H1900="","",VLOOKUP(A1900,'6.A'!$A$11:$E$564,4,FALSE))</f>
        <v/>
      </c>
      <c r="K1900" s="52" t="str">
        <f t="shared" ref="K1900:K1909" si="816">IF(H1900="","",IF(J1900=D1900,"SIM","NÃO"))</f>
        <v/>
      </c>
      <c r="L1900" s="52" t="str">
        <f>IF(H1900="","",IF(C1900="","",G1884*C1900))</f>
        <v/>
      </c>
      <c r="M1900" s="117" t="str">
        <f>IF(A1900="","",VLOOKUP(A1900,'6.A'!$A$11:$C$564,2,FALSE))</f>
        <v/>
      </c>
      <c r="N1900" s="57" t="str">
        <f t="shared" ref="N1900:N1905" si="817">IF(A1900="","",IF(M1900=B1900,"si","no"))</f>
        <v/>
      </c>
      <c r="O1900" s="56"/>
      <c r="P1900" s="56"/>
      <c r="Q1900" s="48"/>
      <c r="R1900" s="48"/>
      <c r="S1900" s="2"/>
    </row>
    <row r="1901" spans="1:19" ht="12.75" customHeight="1" x14ac:dyDescent="0.2">
      <c r="A1901" s="22"/>
      <c r="B1901" s="23" t="str">
        <f>IF(A1901="","",VLOOKUP(A1901,'6.A'!$A$11:$G$180,2,FALSE))</f>
        <v/>
      </c>
      <c r="C1901" s="99"/>
      <c r="D1901" s="57" t="str">
        <f>IF(A1901="","",VLOOKUP(A1901,'6.A'!$A$11:$G$180,4,FALSE))</f>
        <v/>
      </c>
      <c r="E1901" s="100" t="str">
        <f>IF(A1901="","",VLOOKUP(A1901,'6.A'!$A$11:$G$180,5,FALSE))</f>
        <v/>
      </c>
      <c r="F1901" s="24" t="str">
        <f t="shared" si="814"/>
        <v>0,00</v>
      </c>
      <c r="G1901" s="52"/>
      <c r="H1901" s="52" t="str">
        <f>IF(A1901="","",VLOOKUP(A1901,'6.A'!$A$11:$E$7984,5,FALSE))</f>
        <v/>
      </c>
      <c r="I1901" s="52" t="str">
        <f t="shared" si="815"/>
        <v/>
      </c>
      <c r="J1901" s="52" t="str">
        <f>IF(H1901="","",VLOOKUP(A1901,'6.A'!$A$11:$E$564,4,FALSE))</f>
        <v/>
      </c>
      <c r="K1901" s="52" t="str">
        <f t="shared" si="816"/>
        <v/>
      </c>
      <c r="L1901" s="52" t="str">
        <f>IF(H1901="","",IF(C1901="","",G1884*C1901))</f>
        <v/>
      </c>
      <c r="M1901" s="117" t="str">
        <f>IF(A1901="","",VLOOKUP(A1901,'6.A'!$A$11:$C$564,2,FALSE))</f>
        <v/>
      </c>
      <c r="N1901" s="57" t="str">
        <f t="shared" si="817"/>
        <v/>
      </c>
      <c r="O1901" s="56"/>
      <c r="P1901" s="56"/>
      <c r="Q1901" s="48"/>
      <c r="R1901" s="48"/>
      <c r="S1901" s="2"/>
    </row>
    <row r="1902" spans="1:19" ht="12.75" customHeight="1" x14ac:dyDescent="0.2">
      <c r="A1902" s="22"/>
      <c r="B1902" s="23" t="str">
        <f>IF(A1902="","",VLOOKUP(A1902,'6.A'!$A$11:$G$180,2,FALSE))</f>
        <v/>
      </c>
      <c r="C1902" s="99"/>
      <c r="D1902" s="57" t="str">
        <f>IF(A1902="","",VLOOKUP(A1902,'6.A'!$A$11:$G$180,4,FALSE))</f>
        <v/>
      </c>
      <c r="E1902" s="100" t="str">
        <f>IF(A1902="","",VLOOKUP(A1902,'6.A'!$A$11:$G$180,5,FALSE))</f>
        <v/>
      </c>
      <c r="F1902" s="24" t="str">
        <f t="shared" si="814"/>
        <v>0,00</v>
      </c>
      <c r="G1902" s="52"/>
      <c r="H1902" s="52" t="str">
        <f>IF(A1902="","",VLOOKUP(A1902,'6.A'!$A$11:$E$7984,5,FALSE))</f>
        <v/>
      </c>
      <c r="I1902" s="52" t="str">
        <f t="shared" si="815"/>
        <v/>
      </c>
      <c r="J1902" s="52" t="str">
        <f>IF(H1902="","",VLOOKUP(A1902,'6.A'!$A$11:$E$564,4,FALSE))</f>
        <v/>
      </c>
      <c r="K1902" s="52" t="str">
        <f t="shared" si="816"/>
        <v/>
      </c>
      <c r="L1902" s="52" t="str">
        <f>IF(H1902="","",IF(C1902="","",G1884*C1902))</f>
        <v/>
      </c>
      <c r="M1902" s="117" t="str">
        <f>IF(A1902="","",VLOOKUP(A1902,'6.A'!$A$11:$C$564,2,FALSE))</f>
        <v/>
      </c>
      <c r="N1902" s="57" t="str">
        <f t="shared" si="817"/>
        <v/>
      </c>
      <c r="O1902" s="56"/>
      <c r="P1902" s="56"/>
      <c r="Q1902" s="48"/>
      <c r="R1902" s="48"/>
      <c r="S1902" s="2"/>
    </row>
    <row r="1903" spans="1:19" ht="12.75" customHeight="1" x14ac:dyDescent="0.2">
      <c r="A1903" s="22"/>
      <c r="B1903" s="55" t="str">
        <f>IF(A1903="","",VLOOKUP(A1903,'6.A'!$A$11:$G$180,2,FALSE))</f>
        <v/>
      </c>
      <c r="C1903" s="134"/>
      <c r="D1903" s="57" t="str">
        <f>IF(A1903="","",VLOOKUP(A1903,'6.A'!$A$11:$G$180,4,FALSE))</f>
        <v/>
      </c>
      <c r="E1903" s="100" t="str">
        <f>IF(A1903="","",VLOOKUP(A1903,'6.A'!$A$11:$G$180,5,FALSE))</f>
        <v/>
      </c>
      <c r="F1903" s="24" t="str">
        <f t="shared" si="814"/>
        <v>0,00</v>
      </c>
      <c r="G1903" s="52"/>
      <c r="H1903" s="52" t="str">
        <f>IF(A1903="","",VLOOKUP(A1903,'6.A'!$A$11:$E$7984,5,FALSE))</f>
        <v/>
      </c>
      <c r="I1903" s="52" t="str">
        <f t="shared" si="815"/>
        <v/>
      </c>
      <c r="J1903" s="52" t="str">
        <f>IF(H1903="","",VLOOKUP(A1903,'6.A'!$A$11:$E$564,4,FALSE))</f>
        <v/>
      </c>
      <c r="K1903" s="52" t="str">
        <f t="shared" si="816"/>
        <v/>
      </c>
      <c r="L1903" s="52" t="str">
        <f>IF(H1903="","",IF(C1903="","",G1884*C1903))</f>
        <v/>
      </c>
      <c r="M1903" s="117" t="str">
        <f>IF(A1903="","",VLOOKUP(A1903,'6.A'!$A$11:$C$564,2,FALSE))</f>
        <v/>
      </c>
      <c r="N1903" s="57" t="str">
        <f t="shared" si="817"/>
        <v/>
      </c>
      <c r="O1903" s="56"/>
      <c r="P1903" s="56"/>
      <c r="Q1903" s="48"/>
      <c r="R1903" s="48"/>
      <c r="S1903" s="2"/>
    </row>
    <row r="1904" spans="1:19" ht="12.75" customHeight="1" x14ac:dyDescent="0.2">
      <c r="A1904" s="22"/>
      <c r="B1904" s="23" t="str">
        <f>IF(A1904="","",VLOOKUP(A1904,'6.A'!$A$11:$G$180,2,FALSE))</f>
        <v/>
      </c>
      <c r="C1904" s="99"/>
      <c r="D1904" s="57" t="str">
        <f>IF(A1904="","",VLOOKUP(A1904,'6.A'!$A$11:$G$180,4,FALSE))</f>
        <v/>
      </c>
      <c r="E1904" s="100" t="str">
        <f>IF(A1904="","",VLOOKUP(A1904,'6.A'!$A$11:$G$180,5,FALSE))</f>
        <v/>
      </c>
      <c r="F1904" s="24" t="str">
        <f t="shared" si="814"/>
        <v>0,00</v>
      </c>
      <c r="G1904" s="52"/>
      <c r="H1904" s="52" t="str">
        <f>IF(A1904="","",VLOOKUP(A1904,'6.A'!$A$11:$E$7984,5,FALSE))</f>
        <v/>
      </c>
      <c r="I1904" s="52" t="str">
        <f t="shared" si="815"/>
        <v/>
      </c>
      <c r="J1904" s="52" t="str">
        <f>IF(H1904="","",VLOOKUP(A1904,'6.A'!$A$11:$E$564,4,FALSE))</f>
        <v/>
      </c>
      <c r="K1904" s="52" t="str">
        <f t="shared" si="816"/>
        <v/>
      </c>
      <c r="L1904" s="52" t="str">
        <f>IF(H1904="","",IF(C1904="","",G1884*C1904))</f>
        <v/>
      </c>
      <c r="M1904" s="117" t="str">
        <f>IF(A1904="","",VLOOKUP(A1904,'6.A'!$A$11:$C$564,2,FALSE))</f>
        <v/>
      </c>
      <c r="N1904" s="57" t="str">
        <f t="shared" si="817"/>
        <v/>
      </c>
      <c r="O1904" s="56"/>
      <c r="P1904" s="56"/>
      <c r="Q1904" s="48"/>
      <c r="R1904" s="48"/>
      <c r="S1904" s="2"/>
    </row>
    <row r="1905" spans="1:22" ht="12.75" customHeight="1" x14ac:dyDescent="0.2">
      <c r="A1905" s="22"/>
      <c r="B1905" s="23" t="str">
        <f>IF(A1905="","",VLOOKUP(A1905,'6.A'!$A$11:$G$180,2,FALSE))</f>
        <v/>
      </c>
      <c r="C1905" s="99"/>
      <c r="D1905" s="57" t="str">
        <f>IF(A1905="","",VLOOKUP(A1905,'6.A'!$A$11:$G$180,4,FALSE))</f>
        <v/>
      </c>
      <c r="E1905" s="100" t="str">
        <f>IF(A1905="","",VLOOKUP(A1905,'6.A'!$A$11:$G$180,5,FALSE))</f>
        <v/>
      </c>
      <c r="F1905" s="24" t="str">
        <f t="shared" si="814"/>
        <v>0,00</v>
      </c>
      <c r="G1905" s="52"/>
      <c r="H1905" s="52" t="str">
        <f>IF(A1905="","",VLOOKUP(A1905,'6.A'!$A$11:$E$7984,5,FALSE))</f>
        <v/>
      </c>
      <c r="I1905" s="52" t="str">
        <f t="shared" si="815"/>
        <v/>
      </c>
      <c r="J1905" s="52" t="str">
        <f>IF(H1905="","",VLOOKUP(A1905,'6.A'!$A$11:$E$564,4,FALSE))</f>
        <v/>
      </c>
      <c r="K1905" s="52" t="str">
        <f t="shared" si="816"/>
        <v/>
      </c>
      <c r="L1905" s="52" t="str">
        <f>IF(H1905="","",IF(C1905="","",G1884*C1905))</f>
        <v/>
      </c>
      <c r="M1905" s="117" t="str">
        <f>IF(A1905="","",VLOOKUP(A1905,'6.A'!$A$11:$C$564,2,FALSE))</f>
        <v/>
      </c>
      <c r="N1905" s="57" t="str">
        <f t="shared" si="817"/>
        <v/>
      </c>
      <c r="O1905" s="56"/>
      <c r="P1905" s="56"/>
      <c r="Q1905" s="48"/>
      <c r="R1905" s="48"/>
      <c r="S1905" s="2"/>
    </row>
    <row r="1906" spans="1:22" ht="12.75" customHeight="1" x14ac:dyDescent="0.2">
      <c r="A1906" s="22"/>
      <c r="B1906" s="23" t="str">
        <f>IF(A1906="","",VLOOKUP(A1906,'6.A'!$A$11:$G$180,2,FALSE))</f>
        <v/>
      </c>
      <c r="C1906" s="99"/>
      <c r="D1906" s="57" t="str">
        <f>IF(A1906="","",VLOOKUP(A1906,'6.A'!$A$11:$G$180,4,FALSE))</f>
        <v/>
      </c>
      <c r="E1906" s="100" t="str">
        <f>IF(A1906="","",VLOOKUP(A1906,'6.A'!$A$11:$G$180,5,FALSE))</f>
        <v/>
      </c>
      <c r="F1906" s="24" t="str">
        <f t="shared" si="814"/>
        <v>0,00</v>
      </c>
      <c r="G1906" s="52"/>
      <c r="H1906" s="52" t="str">
        <f>IF(A1906="","",VLOOKUP(A1906,'6.A'!$A$11:$E$7984,5,FALSE))</f>
        <v/>
      </c>
      <c r="I1906" s="52" t="str">
        <f t="shared" si="815"/>
        <v/>
      </c>
      <c r="J1906" s="52" t="str">
        <f>IF(H1906="","",VLOOKUP(A1906,'6.A'!$A$11:$E$564,4,FALSE))</f>
        <v/>
      </c>
      <c r="K1906" s="52" t="str">
        <f t="shared" si="816"/>
        <v/>
      </c>
      <c r="L1906" s="52" t="str">
        <f>IF(H1906="","",IF(C1906="","",G1884*C1906))</f>
        <v/>
      </c>
      <c r="M1906" s="117" t="str">
        <f>IF(A1906="","",VLOOKUP(A1906,'6.A'!$A$11:$C$564,2,FALSE))</f>
        <v/>
      </c>
      <c r="N1906" s="57" t="str">
        <f>IF(A1906="","",IF(M1906=B1906,"si","no"))</f>
        <v/>
      </c>
      <c r="O1906" s="56"/>
      <c r="P1906" s="56"/>
      <c r="Q1906" s="48"/>
      <c r="R1906" s="48"/>
      <c r="S1906" s="2"/>
    </row>
    <row r="1907" spans="1:22" ht="12.75" customHeight="1" x14ac:dyDescent="0.2">
      <c r="A1907" s="22"/>
      <c r="B1907" s="23" t="str">
        <f>IF(A1907="","",VLOOKUP(A1907,'6.A'!$A$11:$G$180,2,FALSE))</f>
        <v/>
      </c>
      <c r="C1907" s="99"/>
      <c r="D1907" s="57" t="str">
        <f>IF(A1907="","",VLOOKUP(A1907,'6.A'!$A$11:$G$180,4,FALSE))</f>
        <v/>
      </c>
      <c r="E1907" s="100" t="str">
        <f>IF(A1907="","",VLOOKUP(A1907,'6.A'!$A$11:$G$180,5,FALSE))</f>
        <v/>
      </c>
      <c r="F1907" s="24" t="str">
        <f t="shared" si="814"/>
        <v>0,00</v>
      </c>
      <c r="G1907" s="52"/>
      <c r="H1907" s="52" t="str">
        <f>IF(A1907="","",VLOOKUP(A1907,'6.A'!$A$11:$E$7984,5,FALSE))</f>
        <v/>
      </c>
      <c r="I1907" s="52" t="str">
        <f t="shared" si="815"/>
        <v/>
      </c>
      <c r="J1907" s="52" t="str">
        <f>IF(H1907="","",VLOOKUP(A1907,'6.A'!$A$11:$E$564,4,FALSE))</f>
        <v/>
      </c>
      <c r="K1907" s="52" t="str">
        <f t="shared" si="816"/>
        <v/>
      </c>
      <c r="L1907" s="52" t="str">
        <f>IF(H1907="","",IF(C1907="","",G1884*C1907))</f>
        <v/>
      </c>
      <c r="M1907" s="117" t="str">
        <f>IF(A1907="","",VLOOKUP(A1907,'6.A'!$A$11:$C$564,2,FALSE))</f>
        <v/>
      </c>
      <c r="N1907" s="57" t="str">
        <f>IF(A1907="","",IF(M1907=B1907,"si","no"))</f>
        <v/>
      </c>
      <c r="O1907" s="56"/>
      <c r="P1907" s="56"/>
      <c r="Q1907" s="48"/>
      <c r="R1907" s="48"/>
      <c r="S1907" s="2"/>
    </row>
    <row r="1908" spans="1:22" ht="12.75" customHeight="1" x14ac:dyDescent="0.2">
      <c r="A1908" s="22"/>
      <c r="B1908" s="23" t="str">
        <f>IF(A1908="","",VLOOKUP(A1908,'6.A'!$A$11:$G$180,2,FALSE))</f>
        <v/>
      </c>
      <c r="C1908" s="99"/>
      <c r="D1908" s="57" t="str">
        <f>IF(A1908="","",VLOOKUP(A1908,'6.A'!$A$11:$G$180,4,FALSE))</f>
        <v/>
      </c>
      <c r="E1908" s="100" t="str">
        <f>IF(A1908="","",VLOOKUP(A1908,'6.A'!$A$11:$G$180,5,FALSE))</f>
        <v/>
      </c>
      <c r="F1908" s="24" t="str">
        <f t="shared" si="814"/>
        <v>0,00</v>
      </c>
      <c r="G1908" s="52"/>
      <c r="H1908" s="52" t="str">
        <f>IF(A1908="","",VLOOKUP(A1908,'6.A'!$A$11:$E$7984,5,FALSE))</f>
        <v/>
      </c>
      <c r="I1908" s="52" t="str">
        <f t="shared" si="815"/>
        <v/>
      </c>
      <c r="J1908" s="52" t="str">
        <f>IF(H1908="","",VLOOKUP(A1908,'6.A'!$A$11:$E$564,4,FALSE))</f>
        <v/>
      </c>
      <c r="K1908" s="52" t="str">
        <f t="shared" si="816"/>
        <v/>
      </c>
      <c r="L1908" s="52" t="str">
        <f>IF(H1908="","",IF(C1908="","",G1884*C1908))</f>
        <v/>
      </c>
      <c r="M1908" s="117" t="str">
        <f>IF(A1908="","",VLOOKUP(A1908,'6.A'!$A$11:$C$564,2,FALSE))</f>
        <v/>
      </c>
      <c r="N1908" s="57" t="str">
        <f t="shared" ref="N1908:N1909" si="818">IF(A1908="","",IF(M1908=B1908,"si","no"))</f>
        <v/>
      </c>
      <c r="O1908" s="56"/>
      <c r="P1908" s="56"/>
      <c r="Q1908" s="48"/>
      <c r="R1908" s="48"/>
      <c r="S1908" s="2"/>
    </row>
    <row r="1909" spans="1:22" ht="12.75" customHeight="1" x14ac:dyDescent="0.2">
      <c r="A1909" s="22"/>
      <c r="B1909" s="23" t="str">
        <f>IF(A1909="","",VLOOKUP(A1909,'6.A'!$A$11:$G$180,2,FALSE))</f>
        <v/>
      </c>
      <c r="C1909" s="99"/>
      <c r="D1909" s="57" t="str">
        <f>IF(A1909="","",VLOOKUP(A1909,'6.A'!$A$11:$G$180,4,FALSE))</f>
        <v/>
      </c>
      <c r="E1909" s="100" t="str">
        <f>IF(A1909="","",VLOOKUP(A1909,'6.A'!$A$11:$G$180,5,FALSE))</f>
        <v/>
      </c>
      <c r="F1909" s="24" t="str">
        <f t="shared" si="814"/>
        <v>0,00</v>
      </c>
      <c r="G1909" s="52"/>
      <c r="H1909" s="52" t="str">
        <f>IF(A1909="","",VLOOKUP(A1909,'6.A'!$A$11:$E$7984,5,FALSE))</f>
        <v/>
      </c>
      <c r="I1909" s="52" t="str">
        <f t="shared" si="815"/>
        <v/>
      </c>
      <c r="J1909" s="52" t="str">
        <f>IF(H1909="","",VLOOKUP(A1909,'6.A'!$A$11:$E$564,4,FALSE))</f>
        <v/>
      </c>
      <c r="K1909" s="52" t="str">
        <f t="shared" si="816"/>
        <v/>
      </c>
      <c r="L1909" s="52" t="str">
        <f>IF(H1909="","",IF(C1909="","",G1884*C1909))</f>
        <v/>
      </c>
      <c r="M1909" s="117" t="str">
        <f>IF(A1909="","",VLOOKUP(A1909,'6.A'!$A$11:$C$564,2,FALSE))</f>
        <v/>
      </c>
      <c r="N1909" s="57" t="str">
        <f t="shared" si="818"/>
        <v/>
      </c>
      <c r="O1909" s="56"/>
      <c r="P1909" s="56"/>
      <c r="Q1909" s="48"/>
      <c r="R1909" s="48"/>
      <c r="S1909" s="2"/>
    </row>
    <row r="1910" spans="1:22" ht="12.75" customHeight="1" x14ac:dyDescent="0.2">
      <c r="A1910" s="22"/>
      <c r="B1910" s="26" t="str">
        <f>$A$9</f>
        <v>BDI</v>
      </c>
      <c r="C1910" s="27">
        <f>$C$9</f>
        <v>0</v>
      </c>
      <c r="D1910" s="57"/>
      <c r="F1910" s="28">
        <f>ROUND(SUM(F1900:F1909)*C1910,2)</f>
        <v>0</v>
      </c>
      <c r="G1910" s="63"/>
      <c r="M1910" s="62"/>
      <c r="N1910" s="57"/>
      <c r="O1910" s="56"/>
      <c r="P1910" s="56"/>
      <c r="Q1910" s="48"/>
      <c r="R1910" s="48"/>
      <c r="S1910" s="2"/>
    </row>
    <row r="1911" spans="1:22" ht="12.75" customHeight="1" x14ac:dyDescent="0.2">
      <c r="A1911" s="30"/>
      <c r="B1911" s="31" t="s">
        <v>117</v>
      </c>
      <c r="C1911" s="36"/>
      <c r="D1911" s="37"/>
      <c r="E1911" s="38"/>
      <c r="F1911" s="35">
        <f>ROUND(SUM(F1900:F1910),2)</f>
        <v>0</v>
      </c>
      <c r="G1911" s="63"/>
      <c r="M1911" s="62"/>
      <c r="N1911" s="57"/>
      <c r="O1911" s="56"/>
      <c r="P1911" s="56"/>
      <c r="Q1911" s="48"/>
      <c r="R1911" s="48"/>
      <c r="S1911" s="2"/>
    </row>
    <row r="1912" spans="1:22" ht="12.75" customHeight="1" x14ac:dyDescent="0.2">
      <c r="A1912" s="17" t="s">
        <v>6</v>
      </c>
      <c r="B1912" s="18" t="s">
        <v>17</v>
      </c>
      <c r="C1912" s="56" t="s">
        <v>59</v>
      </c>
      <c r="D1912" s="56" t="s">
        <v>16</v>
      </c>
      <c r="E1912" s="19" t="s">
        <v>60</v>
      </c>
      <c r="F1912" s="20" t="s">
        <v>61</v>
      </c>
      <c r="G1912" s="21"/>
      <c r="M1912" s="62"/>
      <c r="N1912" s="57"/>
      <c r="O1912" s="56"/>
      <c r="P1912" s="56"/>
      <c r="Q1912" s="48"/>
      <c r="R1912" s="48"/>
      <c r="S1912" s="2"/>
    </row>
    <row r="1913" spans="1:22" ht="12.75" customHeight="1" x14ac:dyDescent="0.2">
      <c r="A1913" s="22">
        <f>'6.A'!$A$76</f>
        <v>1000</v>
      </c>
      <c r="B1913" s="23" t="str">
        <f>IF(A1913="","",VLOOKUP(A1913,'6.A'!$A$11:$G$180,2,FALSE))</f>
        <v>CABO DE COBRE, FLEXIVEL, CLASSE 4 OU 5, ISOLACAO EM PVC/A, ANTICHAMA BWF-B, COBERTURA PVC-ST1, ANTICHAMA BWF-B, 1 CONDUTOR, 0,6/1 KV, SECAO NOMINAL 185 MM2</v>
      </c>
      <c r="C1913" s="99">
        <v>1.0149999999999999</v>
      </c>
      <c r="D1913" s="57" t="str">
        <f>IF(A1913="","",VLOOKUP(A1913,'6.A'!$A$11:$G$180,4,FALSE))</f>
        <v>M</v>
      </c>
      <c r="E1913" s="100">
        <f>IF(A1913="","",VLOOKUP(A1913,'6.A'!$A$11:$G$180,5,FALSE))</f>
        <v>0</v>
      </c>
      <c r="F1913" s="24">
        <f t="shared" ref="F1913:F1932" si="819">IF(A1913="","0,00",ROUND(C1913*E1913,2))</f>
        <v>0</v>
      </c>
      <c r="G1913" s="52"/>
      <c r="H1913" s="52">
        <f>IF(A1913="","",VLOOKUP(A1913,'6.A'!$A$11:$E$7984,5,FALSE))</f>
        <v>0</v>
      </c>
      <c r="I1913" s="52" t="str">
        <f t="shared" ref="I1913:I1932" si="820">IF(H1913="","",IF(E1913=H1913,"SIM","NÃO"))</f>
        <v>SIM</v>
      </c>
      <c r="J1913" s="52" t="str">
        <f>IF(H1913="","",VLOOKUP(A1913,'6.A'!$A$11:$E$564,4,FALSE))</f>
        <v>M</v>
      </c>
      <c r="K1913" s="52" t="str">
        <f t="shared" ref="K1913:K1932" si="821">IF(H1913="","",IF(J1913=D1913,"SIM","NÃO"))</f>
        <v>SIM</v>
      </c>
      <c r="L1913" s="52">
        <f>IF(H1913="","",IF(C1913="","",G1884*C1913))</f>
        <v>182.7</v>
      </c>
      <c r="M1913" s="117" t="str">
        <f>IF(A1913="","",VLOOKUP(A1913,'6.A'!$A$11:$C$564,2,FALSE))</f>
        <v>CABO DE COBRE, FLEXIVEL, CLASSE 4 OU 5, ISOLACAO EM PVC/A, ANTICHAMA BWF-B, COBERTURA PVC-ST1, ANTICHAMA BWF-B, 1 CONDUTOR, 0,6/1 KV, SECAO NOMINAL 185 MM2</v>
      </c>
      <c r="N1913" s="57" t="str">
        <f t="shared" ref="N1913:N1932" si="822">IF(A1913="","",IF(M1913=B1913,"si","no"))</f>
        <v>si</v>
      </c>
      <c r="O1913" s="56"/>
      <c r="P1913" s="56"/>
      <c r="Q1913" s="48"/>
      <c r="R1913" s="48"/>
      <c r="S1913" s="2"/>
    </row>
    <row r="1914" spans="1:22" ht="12.75" customHeight="1" x14ac:dyDescent="0.2">
      <c r="A1914" s="22">
        <f>'6.A'!$A$123</f>
        <v>21127</v>
      </c>
      <c r="B1914" s="23" t="str">
        <f>IF(A1914="","",VLOOKUP(A1914,'6.A'!$A$11:$G$180,2,FALSE))</f>
        <v>FITA ISOLANTE ADESIVA ANTICHAMA, USO ATE 750 V, EM ROLO DE 19 MM X 5 M</v>
      </c>
      <c r="C1914" s="99">
        <v>8.9999999999999993E-3</v>
      </c>
      <c r="D1914" s="57" t="str">
        <f>IF(A1914="","",VLOOKUP(A1914,'6.A'!$A$11:$G$180,4,FALSE))</f>
        <v>UN</v>
      </c>
      <c r="E1914" s="100">
        <f>IF(A1914="","",VLOOKUP(A1914,'6.A'!$A$11:$G$180,5,FALSE))</f>
        <v>0</v>
      </c>
      <c r="F1914" s="24">
        <f t="shared" si="819"/>
        <v>0</v>
      </c>
      <c r="G1914" s="52"/>
      <c r="H1914" s="52">
        <f>IF(A1914="","",VLOOKUP(A1914,'6.A'!$A$11:$E$7984,5,FALSE))</f>
        <v>0</v>
      </c>
      <c r="I1914" s="52" t="str">
        <f t="shared" si="820"/>
        <v>SIM</v>
      </c>
      <c r="J1914" s="52" t="str">
        <f>IF(H1914="","",VLOOKUP(A1914,'6.A'!$A$11:$E$564,4,FALSE))</f>
        <v>UN</v>
      </c>
      <c r="K1914" s="52" t="str">
        <f t="shared" si="821"/>
        <v>SIM</v>
      </c>
      <c r="L1914" s="52">
        <f>IF(H1914="","",IF(C1914="","",G1884*C1914))</f>
        <v>1.6199999999999999</v>
      </c>
      <c r="M1914" s="117" t="str">
        <f>IF(A1914="","",VLOOKUP(A1914,'6.A'!$A$11:$C$564,2,FALSE))</f>
        <v>FITA ISOLANTE ADESIVA ANTICHAMA, USO ATE 750 V, EM ROLO DE 19 MM X 5 M</v>
      </c>
      <c r="N1914" s="57" t="str">
        <f t="shared" si="822"/>
        <v>si</v>
      </c>
      <c r="O1914" s="56"/>
      <c r="P1914" s="56"/>
      <c r="Q1914" s="48"/>
      <c r="R1914" s="48"/>
      <c r="S1914" s="2"/>
    </row>
    <row r="1915" spans="1:22" ht="12.75" customHeight="1" x14ac:dyDescent="0.2">
      <c r="A1915" s="22"/>
      <c r="B1915" s="23" t="str">
        <f>IF(A1915="","",VLOOKUP(A1915,'6.A'!$A$11:$G$180,2,FALSE))</f>
        <v/>
      </c>
      <c r="C1915" s="99"/>
      <c r="D1915" s="57" t="str">
        <f>IF(A1915="","",VLOOKUP(A1915,'6.A'!$A$11:$G$180,4,FALSE))</f>
        <v/>
      </c>
      <c r="E1915" s="100" t="str">
        <f>IF(A1915="","",VLOOKUP(A1915,'6.A'!$A$11:$G$180,5,FALSE))</f>
        <v/>
      </c>
      <c r="F1915" s="24" t="str">
        <f t="shared" si="819"/>
        <v>0,00</v>
      </c>
      <c r="G1915" s="52"/>
      <c r="H1915" s="52" t="str">
        <f>IF(A1915="","",VLOOKUP(A1915,'6.A'!$A$11:$E$7984,5,FALSE))</f>
        <v/>
      </c>
      <c r="I1915" s="52" t="str">
        <f t="shared" si="820"/>
        <v/>
      </c>
      <c r="J1915" s="52" t="str">
        <f>IF(H1915="","",VLOOKUP(A1915,'6.A'!$A$11:$E$564,4,FALSE))</f>
        <v/>
      </c>
      <c r="K1915" s="52" t="str">
        <f t="shared" si="821"/>
        <v/>
      </c>
      <c r="L1915" s="52" t="str">
        <f>IF(H1915="","",IF(C1915="","",G1884*C1915))</f>
        <v/>
      </c>
      <c r="M1915" s="117" t="str">
        <f>IF(A1915="","",VLOOKUP(A1915,'6.A'!$A$11:$C$564,2,FALSE))</f>
        <v/>
      </c>
      <c r="N1915" s="57" t="str">
        <f t="shared" si="822"/>
        <v/>
      </c>
      <c r="O1915" s="56"/>
      <c r="P1915" s="56"/>
      <c r="Q1915" s="48"/>
      <c r="R1915" s="48"/>
      <c r="S1915" s="2"/>
    </row>
    <row r="1916" spans="1:22" ht="12.75" customHeight="1" x14ac:dyDescent="0.2">
      <c r="A1916" s="22"/>
      <c r="B1916" s="23" t="str">
        <f>IF(A1916="","",VLOOKUP(A1916,'6.A'!$A$11:$G$180,2,FALSE))</f>
        <v/>
      </c>
      <c r="C1916" s="99"/>
      <c r="D1916" s="57" t="str">
        <f>IF(A1916="","",VLOOKUP(A1916,'6.A'!$A$11:$G$180,4,FALSE))</f>
        <v/>
      </c>
      <c r="E1916" s="100" t="str">
        <f>IF(A1916="","",VLOOKUP(A1916,'6.A'!$A$11:$G$180,5,FALSE))</f>
        <v/>
      </c>
      <c r="F1916" s="24" t="str">
        <f t="shared" si="819"/>
        <v>0,00</v>
      </c>
      <c r="G1916" s="52"/>
      <c r="H1916" s="52" t="str">
        <f>IF(A1916="","",VLOOKUP(A1916,'6.A'!$A$11:$E$7984,5,FALSE))</f>
        <v/>
      </c>
      <c r="I1916" s="52" t="str">
        <f t="shared" si="820"/>
        <v/>
      </c>
      <c r="J1916" s="52" t="str">
        <f>IF(H1916="","",VLOOKUP(A1916,'6.A'!$A$11:$E$564,4,FALSE))</f>
        <v/>
      </c>
      <c r="K1916" s="52" t="str">
        <f t="shared" si="821"/>
        <v/>
      </c>
      <c r="L1916" s="52" t="str">
        <f>IF(H1916="","",IF(C1916="","",G1884*C1916))</f>
        <v/>
      </c>
      <c r="M1916" s="117" t="str">
        <f>IF(A1916="","",VLOOKUP(A1916,'6.A'!$A$11:$C$564,2,FALSE))</f>
        <v/>
      </c>
      <c r="N1916" s="57" t="str">
        <f t="shared" si="822"/>
        <v/>
      </c>
      <c r="O1916" s="56"/>
      <c r="P1916" s="56"/>
      <c r="Q1916" s="48"/>
      <c r="R1916" s="48"/>
      <c r="S1916" s="2"/>
    </row>
    <row r="1917" spans="1:22" ht="12.75" customHeight="1" x14ac:dyDescent="0.2">
      <c r="A1917" s="22"/>
      <c r="B1917" s="23" t="str">
        <f>IF(A1917="","",VLOOKUP(A1917,'6.A'!$A$11:$G$180,2,FALSE))</f>
        <v/>
      </c>
      <c r="C1917" s="99"/>
      <c r="D1917" s="57" t="str">
        <f>IF(A1917="","",VLOOKUP(A1917,'6.A'!$A$11:$G$180,4,FALSE))</f>
        <v/>
      </c>
      <c r="E1917" s="100" t="str">
        <f>IF(A1917="","",VLOOKUP(A1917,'6.A'!$A$11:$G$180,5,FALSE))</f>
        <v/>
      </c>
      <c r="F1917" s="24" t="str">
        <f t="shared" si="819"/>
        <v>0,00</v>
      </c>
      <c r="G1917" s="52"/>
      <c r="H1917" s="52" t="str">
        <f>IF(A1917="","",VLOOKUP(A1917,'6.A'!$A$11:$E$7984,5,FALSE))</f>
        <v/>
      </c>
      <c r="I1917" s="52" t="str">
        <f t="shared" si="820"/>
        <v/>
      </c>
      <c r="J1917" s="52" t="str">
        <f>IF(H1917="","",VLOOKUP(A1917,'6.A'!$A$11:$E$564,4,FALSE))</f>
        <v/>
      </c>
      <c r="K1917" s="52" t="str">
        <f t="shared" si="821"/>
        <v/>
      </c>
      <c r="L1917" s="52" t="str">
        <f>IF(H1917="","",IF(C1917="","",G1884*C1917))</f>
        <v/>
      </c>
      <c r="M1917" s="117" t="str">
        <f>IF(A1917="","",VLOOKUP(A1917,'6.A'!$A$11:$C$564,2,FALSE))</f>
        <v/>
      </c>
      <c r="N1917" s="57" t="str">
        <f t="shared" si="822"/>
        <v/>
      </c>
      <c r="O1917" s="56"/>
      <c r="P1917" s="56"/>
      <c r="Q1917" s="48"/>
      <c r="R1917" s="48"/>
      <c r="S1917" s="2"/>
    </row>
    <row r="1918" spans="1:22" ht="12.75" customHeight="1" x14ac:dyDescent="0.2">
      <c r="A1918" s="22"/>
      <c r="B1918" s="23" t="str">
        <f>IF(A1918="","",VLOOKUP(A1918,'6.A'!$A$11:$G$180,2,FALSE))</f>
        <v/>
      </c>
      <c r="C1918" s="99"/>
      <c r="D1918" s="57" t="str">
        <f>IF(A1918="","",VLOOKUP(A1918,'6.A'!$A$11:$G$180,4,FALSE))</f>
        <v/>
      </c>
      <c r="E1918" s="100" t="str">
        <f>IF(A1918="","",VLOOKUP(A1918,'6.A'!$A$11:$G$180,5,FALSE))</f>
        <v/>
      </c>
      <c r="F1918" s="24" t="str">
        <f t="shared" si="819"/>
        <v>0,00</v>
      </c>
      <c r="G1918" s="52"/>
      <c r="H1918" s="52" t="str">
        <f>IF(A1918="","",VLOOKUP(A1918,'6.A'!$A$11:$E$7984,5,FALSE))</f>
        <v/>
      </c>
      <c r="I1918" s="52" t="str">
        <f t="shared" si="820"/>
        <v/>
      </c>
      <c r="J1918" s="52" t="str">
        <f>IF(H1918="","",VLOOKUP(A1918,'6.A'!$A$11:$E$564,4,FALSE))</f>
        <v/>
      </c>
      <c r="K1918" s="52" t="str">
        <f t="shared" si="821"/>
        <v/>
      </c>
      <c r="L1918" s="52" t="str">
        <f>IF(H1918="","",IF(C1918="","",G1884*C1918))</f>
        <v/>
      </c>
      <c r="M1918" s="117" t="str">
        <f>IF(A1918="","",VLOOKUP(A1918,'6.A'!$A$11:$C$564,2,FALSE))</f>
        <v/>
      </c>
      <c r="N1918" s="57" t="str">
        <f t="shared" si="822"/>
        <v/>
      </c>
      <c r="O1918" s="56"/>
      <c r="P1918" s="56"/>
      <c r="Q1918" s="48"/>
      <c r="R1918" s="48"/>
      <c r="S1918" s="2"/>
    </row>
    <row r="1919" spans="1:22" ht="12.75" customHeight="1" x14ac:dyDescent="0.2">
      <c r="A1919" s="22"/>
      <c r="B1919" s="23" t="str">
        <f>IF(A1919="","",VLOOKUP(A1919,'6.A'!$A$11:$G$180,2,FALSE))</f>
        <v/>
      </c>
      <c r="C1919" s="99"/>
      <c r="D1919" s="57" t="str">
        <f>IF(A1919="","",VLOOKUP(A1919,'6.A'!$A$11:$G$180,4,FALSE))</f>
        <v/>
      </c>
      <c r="E1919" s="100" t="str">
        <f>IF(A1919="","",VLOOKUP(A1919,'6.A'!$A$11:$G$180,5,FALSE))</f>
        <v/>
      </c>
      <c r="F1919" s="24" t="str">
        <f t="shared" si="819"/>
        <v>0,00</v>
      </c>
      <c r="G1919" s="52"/>
      <c r="H1919" s="52" t="str">
        <f>IF(A1919="","",VLOOKUP(A1919,'6.A'!$A$11:$E$7984,5,FALSE))</f>
        <v/>
      </c>
      <c r="I1919" s="52" t="str">
        <f t="shared" si="820"/>
        <v/>
      </c>
      <c r="J1919" s="52" t="str">
        <f>IF(H1919="","",VLOOKUP(A1919,'6.A'!$A$11:$E$564,4,FALSE))</f>
        <v/>
      </c>
      <c r="K1919" s="52" t="str">
        <f t="shared" si="821"/>
        <v/>
      </c>
      <c r="L1919" s="52" t="str">
        <f>IF(H1919="","",IF(C1919="","",G1884*C1919))</f>
        <v/>
      </c>
      <c r="M1919" s="117" t="str">
        <f>IF(A1919="","",VLOOKUP(A1919,'6.A'!$A$11:$C$564,2,FALSE))</f>
        <v/>
      </c>
      <c r="N1919" s="57" t="str">
        <f t="shared" si="822"/>
        <v/>
      </c>
      <c r="O1919" s="56"/>
      <c r="P1919" s="56"/>
      <c r="Q1919" s="48"/>
      <c r="R1919" s="48"/>
      <c r="S1919" s="2"/>
    </row>
    <row r="1920" spans="1:22" s="65" customFormat="1" ht="12.75" customHeight="1" x14ac:dyDescent="0.2">
      <c r="A1920" s="22"/>
      <c r="B1920" s="23" t="str">
        <f>IF(A1920="","",VLOOKUP(A1920,'6.A'!$A$11:$G$180,2,FALSE))</f>
        <v/>
      </c>
      <c r="C1920" s="99"/>
      <c r="D1920" s="57" t="str">
        <f>IF(A1920="","",VLOOKUP(A1920,'6.A'!$A$11:$G$180,4,FALSE))</f>
        <v/>
      </c>
      <c r="E1920" s="100" t="str">
        <f>IF(A1920="","",VLOOKUP(A1920,'6.A'!$A$11:$G$180,5,FALSE))</f>
        <v/>
      </c>
      <c r="F1920" s="24" t="str">
        <f t="shared" si="819"/>
        <v>0,00</v>
      </c>
      <c r="G1920" s="52"/>
      <c r="H1920" s="52" t="str">
        <f>IF(A1920="","",VLOOKUP(A1920,'6.A'!$A$11:$E$7984,5,FALSE))</f>
        <v/>
      </c>
      <c r="I1920" s="52" t="str">
        <f t="shared" si="820"/>
        <v/>
      </c>
      <c r="J1920" s="52" t="str">
        <f>IF(H1920="","",VLOOKUP(A1920,'6.A'!$A$11:$E$564,4,FALSE))</f>
        <v/>
      </c>
      <c r="K1920" s="52" t="str">
        <f t="shared" si="821"/>
        <v/>
      </c>
      <c r="L1920" s="52" t="str">
        <f>IF(H1920="","",IF(C1920="","",G1884*C1920))</f>
        <v/>
      </c>
      <c r="M1920" s="117" t="str">
        <f>IF(A1920="","",VLOOKUP(A1920,'6.A'!$A$11:$C$564,2,FALSE))</f>
        <v/>
      </c>
      <c r="N1920" s="57" t="str">
        <f t="shared" si="822"/>
        <v/>
      </c>
      <c r="O1920" s="56"/>
      <c r="P1920" s="56"/>
      <c r="Q1920" s="48"/>
      <c r="R1920" s="48"/>
      <c r="T1920" s="2"/>
      <c r="U1920" s="2"/>
      <c r="V1920" s="2"/>
    </row>
    <row r="1921" spans="1:23" s="65" customFormat="1" ht="12.75" customHeight="1" x14ac:dyDescent="0.2">
      <c r="A1921" s="22"/>
      <c r="B1921" s="23" t="str">
        <f>IF(A1921="","",VLOOKUP(A1921,'6.A'!$A$11:$G$180,2,FALSE))</f>
        <v/>
      </c>
      <c r="C1921" s="99"/>
      <c r="D1921" s="57" t="str">
        <f>IF(A1921="","",VLOOKUP(A1921,'6.A'!$A$11:$G$180,4,FALSE))</f>
        <v/>
      </c>
      <c r="E1921" s="100" t="str">
        <f>IF(A1921="","",VLOOKUP(A1921,'6.A'!$A$11:$G$180,5,FALSE))</f>
        <v/>
      </c>
      <c r="F1921" s="24" t="str">
        <f t="shared" si="819"/>
        <v>0,00</v>
      </c>
      <c r="G1921" s="52"/>
      <c r="H1921" s="52" t="str">
        <f>IF(A1921="","",VLOOKUP(A1921,'6.A'!$A$11:$E$7984,5,FALSE))</f>
        <v/>
      </c>
      <c r="I1921" s="52" t="str">
        <f t="shared" si="820"/>
        <v/>
      </c>
      <c r="J1921" s="52" t="str">
        <f>IF(H1921="","",VLOOKUP(A1921,'6.A'!$A$11:$E$564,4,FALSE))</f>
        <v/>
      </c>
      <c r="K1921" s="52" t="str">
        <f t="shared" si="821"/>
        <v/>
      </c>
      <c r="L1921" s="52" t="str">
        <f>IF(H1921="","",IF(C1921="","",G1884*C1921))</f>
        <v/>
      </c>
      <c r="M1921" s="117" t="str">
        <f>IF(A1921="","",VLOOKUP(A1921,'6.A'!$A$11:$C$564,2,FALSE))</f>
        <v/>
      </c>
      <c r="N1921" s="57" t="str">
        <f t="shared" si="822"/>
        <v/>
      </c>
      <c r="O1921" s="56"/>
      <c r="P1921" s="56"/>
      <c r="Q1921" s="48"/>
      <c r="R1921" s="48"/>
      <c r="T1921" s="2"/>
      <c r="U1921" s="2"/>
      <c r="V1921" s="2"/>
    </row>
    <row r="1922" spans="1:23" s="65" customFormat="1" ht="12.75" customHeight="1" x14ac:dyDescent="0.2">
      <c r="A1922" s="22"/>
      <c r="B1922" s="23" t="str">
        <f>IF(A1922="","",VLOOKUP(A1922,'6.A'!$A$11:$G$180,2,FALSE))</f>
        <v/>
      </c>
      <c r="C1922" s="99"/>
      <c r="D1922" s="57" t="str">
        <f>IF(A1922="","",VLOOKUP(A1922,'6.A'!$A$11:$G$180,4,FALSE))</f>
        <v/>
      </c>
      <c r="E1922" s="100" t="str">
        <f>IF(A1922="","",VLOOKUP(A1922,'6.A'!$A$11:$G$180,5,FALSE))</f>
        <v/>
      </c>
      <c r="F1922" s="24" t="str">
        <f t="shared" si="819"/>
        <v>0,00</v>
      </c>
      <c r="G1922" s="52"/>
      <c r="H1922" s="52" t="str">
        <f>IF(A1922="","",VLOOKUP(A1922,'6.A'!$A$11:$E$7984,5,FALSE))</f>
        <v/>
      </c>
      <c r="I1922" s="52" t="str">
        <f t="shared" si="820"/>
        <v/>
      </c>
      <c r="J1922" s="52" t="str">
        <f>IF(H1922="","",VLOOKUP(A1922,'6.A'!$A$11:$E$564,4,FALSE))</f>
        <v/>
      </c>
      <c r="K1922" s="52" t="str">
        <f t="shared" si="821"/>
        <v/>
      </c>
      <c r="L1922" s="52" t="str">
        <f>IF(H1922="","",IF(C1922="","",G1884*C1922))</f>
        <v/>
      </c>
      <c r="M1922" s="117" t="str">
        <f>IF(A1922="","",VLOOKUP(A1922,'6.A'!$A$11:$C$564,2,FALSE))</f>
        <v/>
      </c>
      <c r="N1922" s="57" t="str">
        <f t="shared" si="822"/>
        <v/>
      </c>
      <c r="O1922" s="56"/>
      <c r="P1922" s="56"/>
      <c r="Q1922" s="48"/>
      <c r="R1922" s="48"/>
      <c r="T1922" s="2"/>
      <c r="U1922" s="2"/>
      <c r="V1922" s="2"/>
    </row>
    <row r="1923" spans="1:23" s="65" customFormat="1" ht="12.75" customHeight="1" x14ac:dyDescent="0.2">
      <c r="A1923" s="22"/>
      <c r="B1923" s="23" t="str">
        <f>IF(A1923="","",VLOOKUP(A1923,'6.A'!$A$11:$G$180,2,FALSE))</f>
        <v/>
      </c>
      <c r="C1923" s="99"/>
      <c r="D1923" s="57" t="str">
        <f>IF(A1923="","",VLOOKUP(A1923,'6.A'!$A$11:$G$180,4,FALSE))</f>
        <v/>
      </c>
      <c r="E1923" s="100" t="str">
        <f>IF(A1923="","",VLOOKUP(A1923,'6.A'!$A$11:$G$180,5,FALSE))</f>
        <v/>
      </c>
      <c r="F1923" s="24" t="str">
        <f t="shared" si="819"/>
        <v>0,00</v>
      </c>
      <c r="G1923" s="52"/>
      <c r="H1923" s="52" t="str">
        <f>IF(A1923="","",VLOOKUP(A1923,'6.A'!$A$11:$E$7984,5,FALSE))</f>
        <v/>
      </c>
      <c r="I1923" s="52" t="str">
        <f t="shared" si="820"/>
        <v/>
      </c>
      <c r="J1923" s="52" t="str">
        <f>IF(H1923="","",VLOOKUP(A1923,'6.A'!$A$11:$E$564,4,FALSE))</f>
        <v/>
      </c>
      <c r="K1923" s="52" t="str">
        <f t="shared" si="821"/>
        <v/>
      </c>
      <c r="L1923" s="52" t="str">
        <f>IF(H1923="","",IF(C1923="","",G1884*C1923))</f>
        <v/>
      </c>
      <c r="M1923" s="117" t="str">
        <f>IF(A1923="","",VLOOKUP(A1923,'6.A'!$A$11:$C$564,2,FALSE))</f>
        <v/>
      </c>
      <c r="N1923" s="57" t="str">
        <f t="shared" si="822"/>
        <v/>
      </c>
      <c r="O1923" s="56"/>
      <c r="P1923" s="56"/>
      <c r="Q1923" s="48"/>
      <c r="R1923" s="48"/>
      <c r="T1923" s="2"/>
      <c r="U1923" s="2"/>
      <c r="V1923" s="2"/>
    </row>
    <row r="1924" spans="1:23" ht="12.75" customHeight="1" x14ac:dyDescent="0.2">
      <c r="A1924" s="22"/>
      <c r="B1924" s="23" t="str">
        <f>IF(A1924="","",VLOOKUP(A1924,'6.A'!$A$11:$G$180,2,FALSE))</f>
        <v/>
      </c>
      <c r="C1924" s="99"/>
      <c r="D1924" s="57" t="str">
        <f>IF(A1924="","",VLOOKUP(A1924,'6.A'!$A$11:$G$180,4,FALSE))</f>
        <v/>
      </c>
      <c r="E1924" s="100" t="str">
        <f>IF(A1924="","",VLOOKUP(A1924,'6.A'!$A$11:$G$180,5,FALSE))</f>
        <v/>
      </c>
      <c r="F1924" s="24" t="str">
        <f t="shared" si="819"/>
        <v>0,00</v>
      </c>
      <c r="G1924" s="52"/>
      <c r="H1924" s="52" t="str">
        <f>IF(A1924="","",VLOOKUP(A1924,'6.A'!$A$11:$E$7984,5,FALSE))</f>
        <v/>
      </c>
      <c r="I1924" s="52" t="str">
        <f t="shared" si="820"/>
        <v/>
      </c>
      <c r="J1924" s="52" t="str">
        <f>IF(H1924="","",VLOOKUP(A1924,'6.A'!$A$11:$E$564,4,FALSE))</f>
        <v/>
      </c>
      <c r="K1924" s="52" t="str">
        <f t="shared" si="821"/>
        <v/>
      </c>
      <c r="L1924" s="52" t="str">
        <f>IF(H1924="","",IF(C1924="","",G1884*C1924))</f>
        <v/>
      </c>
      <c r="M1924" s="117" t="str">
        <f>IF(A1924="","",VLOOKUP(A1924,'6.A'!$A$11:$C$564,2,FALSE))</f>
        <v/>
      </c>
      <c r="N1924" s="57" t="str">
        <f t="shared" si="822"/>
        <v/>
      </c>
      <c r="O1924" s="56"/>
      <c r="P1924" s="56"/>
      <c r="Q1924" s="48"/>
      <c r="R1924" s="48"/>
    </row>
    <row r="1925" spans="1:23" ht="12.75" customHeight="1" x14ac:dyDescent="0.2">
      <c r="A1925" s="22"/>
      <c r="B1925" s="23" t="str">
        <f>IF(A1925="","",VLOOKUP(A1925,'6.A'!$A$11:$G$180,2,FALSE))</f>
        <v/>
      </c>
      <c r="C1925" s="99"/>
      <c r="D1925" s="57" t="str">
        <f>IF(A1925="","",VLOOKUP(A1925,'6.A'!$A$11:$G$180,4,FALSE))</f>
        <v/>
      </c>
      <c r="E1925" s="100" t="str">
        <f>IF(A1925="","",VLOOKUP(A1925,'6.A'!$A$11:$G$180,5,FALSE))</f>
        <v/>
      </c>
      <c r="F1925" s="24" t="str">
        <f t="shared" si="819"/>
        <v>0,00</v>
      </c>
      <c r="G1925" s="52"/>
      <c r="H1925" s="52" t="str">
        <f>IF(A1925="","",VLOOKUP(A1925,'6.A'!$A$11:$E$7984,5,FALSE))</f>
        <v/>
      </c>
      <c r="I1925" s="52" t="str">
        <f t="shared" si="820"/>
        <v/>
      </c>
      <c r="J1925" s="52" t="str">
        <f>IF(H1925="","",VLOOKUP(A1925,'6.A'!$A$11:$E$564,4,FALSE))</f>
        <v/>
      </c>
      <c r="K1925" s="52" t="str">
        <f t="shared" si="821"/>
        <v/>
      </c>
      <c r="L1925" s="52" t="str">
        <f>IF(H1925="","",IF(C1925="","",G1884*C1925))</f>
        <v/>
      </c>
      <c r="M1925" s="117" t="str">
        <f>IF(A1925="","",VLOOKUP(A1925,'6.A'!$A$11:$C$564,2,FALSE))</f>
        <v/>
      </c>
      <c r="N1925" s="57" t="str">
        <f t="shared" si="822"/>
        <v/>
      </c>
      <c r="O1925" s="56"/>
      <c r="P1925" s="56"/>
      <c r="Q1925" s="48"/>
      <c r="R1925" s="48"/>
    </row>
    <row r="1926" spans="1:23" ht="12.75" customHeight="1" x14ac:dyDescent="0.2">
      <c r="A1926" s="22"/>
      <c r="B1926" s="23" t="str">
        <f>IF(A1926="","",VLOOKUP(A1926,'6.A'!$A$11:$G$180,2,FALSE))</f>
        <v/>
      </c>
      <c r="C1926" s="99"/>
      <c r="D1926" s="57" t="str">
        <f>IF(A1926="","",VLOOKUP(A1926,'6.A'!$A$11:$G$180,4,FALSE))</f>
        <v/>
      </c>
      <c r="E1926" s="100" t="str">
        <f>IF(A1926="","",VLOOKUP(A1926,'6.A'!$A$11:$G$180,5,FALSE))</f>
        <v/>
      </c>
      <c r="F1926" s="24" t="str">
        <f t="shared" si="819"/>
        <v>0,00</v>
      </c>
      <c r="G1926" s="52"/>
      <c r="H1926" s="52" t="str">
        <f>IF(A1926="","",VLOOKUP(A1926,'6.A'!$A$11:$E$7984,5,FALSE))</f>
        <v/>
      </c>
      <c r="I1926" s="52" t="str">
        <f t="shared" si="820"/>
        <v/>
      </c>
      <c r="J1926" s="52" t="str">
        <f>IF(H1926="","",VLOOKUP(A1926,'6.A'!$A$11:$E$564,4,FALSE))</f>
        <v/>
      </c>
      <c r="K1926" s="52" t="str">
        <f t="shared" si="821"/>
        <v/>
      </c>
      <c r="L1926" s="52" t="str">
        <f>IF(H1926="","",IF(C1926="","",G1884*C1926))</f>
        <v/>
      </c>
      <c r="M1926" s="117" t="str">
        <f>IF(A1926="","",VLOOKUP(A1926,'6.A'!$A$11:$C$564,2,FALSE))</f>
        <v/>
      </c>
      <c r="N1926" s="57" t="str">
        <f t="shared" si="822"/>
        <v/>
      </c>
      <c r="O1926" s="56"/>
      <c r="P1926" s="56"/>
      <c r="Q1926" s="48"/>
      <c r="R1926" s="48"/>
    </row>
    <row r="1927" spans="1:23" ht="12.75" customHeight="1" x14ac:dyDescent="0.2">
      <c r="A1927" s="22"/>
      <c r="B1927" s="23" t="str">
        <f>IF(A1927="","",VLOOKUP(A1927,'6.A'!$A$11:$G$180,2,FALSE))</f>
        <v/>
      </c>
      <c r="C1927" s="99"/>
      <c r="D1927" s="57" t="str">
        <f>IF(A1927="","",VLOOKUP(A1927,'6.A'!$A$11:$G$180,4,FALSE))</f>
        <v/>
      </c>
      <c r="E1927" s="100" t="str">
        <f>IF(A1927="","",VLOOKUP(A1927,'6.A'!$A$11:$G$180,5,FALSE))</f>
        <v/>
      </c>
      <c r="F1927" s="24" t="str">
        <f t="shared" si="819"/>
        <v>0,00</v>
      </c>
      <c r="G1927" s="52"/>
      <c r="H1927" s="52" t="str">
        <f>IF(A1927="","",VLOOKUP(A1927,'6.A'!$A$11:$E$7984,5,FALSE))</f>
        <v/>
      </c>
      <c r="I1927" s="52" t="str">
        <f t="shared" si="820"/>
        <v/>
      </c>
      <c r="J1927" s="52" t="str">
        <f>IF(H1927="","",VLOOKUP(A1927,'6.A'!$A$11:$E$564,4,FALSE))</f>
        <v/>
      </c>
      <c r="K1927" s="52" t="str">
        <f t="shared" si="821"/>
        <v/>
      </c>
      <c r="L1927" s="52" t="str">
        <f>IF(H1927="","",IF(C1927="","",G1884*C1927))</f>
        <v/>
      </c>
      <c r="M1927" s="117" t="str">
        <f>IF(A1927="","",VLOOKUP(A1927,'6.A'!$A$11:$C$564,2,FALSE))</f>
        <v/>
      </c>
      <c r="N1927" s="57" t="str">
        <f t="shared" si="822"/>
        <v/>
      </c>
      <c r="O1927" s="56"/>
      <c r="P1927" s="56"/>
      <c r="Q1927" s="48"/>
      <c r="R1927" s="48"/>
    </row>
    <row r="1928" spans="1:23" ht="12.75" customHeight="1" x14ac:dyDescent="0.2">
      <c r="A1928" s="22"/>
      <c r="B1928" s="23" t="str">
        <f>IF(A1928="","",VLOOKUP(A1928,'6.A'!$A$11:$G$180,2,FALSE))</f>
        <v/>
      </c>
      <c r="C1928" s="99"/>
      <c r="D1928" s="57" t="str">
        <f>IF(A1928="","",VLOOKUP(A1928,'6.A'!$A$11:$G$180,4,FALSE))</f>
        <v/>
      </c>
      <c r="E1928" s="100" t="str">
        <f>IF(A1928="","",VLOOKUP(A1928,'6.A'!$A$11:$G$180,5,FALSE))</f>
        <v/>
      </c>
      <c r="F1928" s="24" t="str">
        <f t="shared" si="819"/>
        <v>0,00</v>
      </c>
      <c r="G1928" s="52"/>
      <c r="H1928" s="52" t="str">
        <f>IF(A1928="","",VLOOKUP(A1928,'6.A'!$A$11:$E$7984,5,FALSE))</f>
        <v/>
      </c>
      <c r="I1928" s="52" t="str">
        <f t="shared" si="820"/>
        <v/>
      </c>
      <c r="J1928" s="52" t="str">
        <f>IF(H1928="","",VLOOKUP(A1928,'6.A'!$A$11:$E$564,4,FALSE))</f>
        <v/>
      </c>
      <c r="K1928" s="52" t="str">
        <f t="shared" si="821"/>
        <v/>
      </c>
      <c r="L1928" s="52" t="str">
        <f>IF(H1928="","",IF(C1928="","",G1884*C1928))</f>
        <v/>
      </c>
      <c r="M1928" s="117" t="str">
        <f>IF(A1928="","",VLOOKUP(A1928,'6.A'!$A$11:$C$564,2,FALSE))</f>
        <v/>
      </c>
      <c r="N1928" s="57" t="str">
        <f t="shared" si="822"/>
        <v/>
      </c>
      <c r="O1928" s="56"/>
      <c r="P1928" s="56"/>
      <c r="Q1928" s="48"/>
      <c r="R1928" s="48"/>
    </row>
    <row r="1929" spans="1:23" ht="12.75" customHeight="1" x14ac:dyDescent="0.2">
      <c r="A1929" s="22"/>
      <c r="B1929" s="23" t="str">
        <f>IF(A1929="","",VLOOKUP(A1929,'6.A'!$A$11:$G$180,2,FALSE))</f>
        <v/>
      </c>
      <c r="C1929" s="99"/>
      <c r="D1929" s="57" t="str">
        <f>IF(A1929="","",VLOOKUP(A1929,'6.A'!$A$11:$G$180,4,FALSE))</f>
        <v/>
      </c>
      <c r="E1929" s="100" t="str">
        <f>IF(A1929="","",VLOOKUP(A1929,'6.A'!$A$11:$G$180,5,FALSE))</f>
        <v/>
      </c>
      <c r="F1929" s="24" t="str">
        <f t="shared" si="819"/>
        <v>0,00</v>
      </c>
      <c r="G1929" s="52"/>
      <c r="H1929" s="52" t="str">
        <f>IF(A1929="","",VLOOKUP(A1929,'6.A'!$A$11:$E$7984,5,FALSE))</f>
        <v/>
      </c>
      <c r="I1929" s="52" t="str">
        <f t="shared" si="820"/>
        <v/>
      </c>
      <c r="J1929" s="52" t="str">
        <f>IF(H1929="","",VLOOKUP(A1929,'6.A'!$A$11:$E$564,4,FALSE))</f>
        <v/>
      </c>
      <c r="K1929" s="52" t="str">
        <f t="shared" si="821"/>
        <v/>
      </c>
      <c r="L1929" s="52" t="str">
        <f>IF(H1929="","",IF(C1929="","",G1884*C1929))</f>
        <v/>
      </c>
      <c r="M1929" s="117" t="str">
        <f>IF(A1929="","",VLOOKUP(A1929,'6.A'!$A$11:$C$564,2,FALSE))</f>
        <v/>
      </c>
      <c r="N1929" s="57" t="str">
        <f t="shared" si="822"/>
        <v/>
      </c>
      <c r="O1929" s="56"/>
      <c r="P1929" s="56"/>
      <c r="Q1929" s="48"/>
      <c r="R1929" s="48"/>
    </row>
    <row r="1930" spans="1:23" ht="12.75" customHeight="1" x14ac:dyDescent="0.2">
      <c r="A1930" s="22"/>
      <c r="B1930" s="39" t="str">
        <f>IF(A1930="","",VLOOKUP(A1930,'6.A'!$A$11:$G$180,2,FALSE))</f>
        <v/>
      </c>
      <c r="C1930" s="99"/>
      <c r="D1930" s="57" t="str">
        <f>IF(A1930="","",VLOOKUP(A1930,'6.A'!$A$11:$G$180,4,FALSE))</f>
        <v/>
      </c>
      <c r="E1930" s="100" t="str">
        <f>IF(A1930="","",VLOOKUP(A1930,'6.A'!$A$11:$G$180,5,FALSE))</f>
        <v/>
      </c>
      <c r="F1930" s="24" t="str">
        <f t="shared" si="819"/>
        <v>0,00</v>
      </c>
      <c r="G1930" s="52"/>
      <c r="H1930" s="52" t="str">
        <f>IF(A1930="","",VLOOKUP(A1930,'6.A'!$A$11:$E$7984,5,FALSE))</f>
        <v/>
      </c>
      <c r="I1930" s="52" t="str">
        <f t="shared" si="820"/>
        <v/>
      </c>
      <c r="J1930" s="52" t="str">
        <f>IF(H1930="","",VLOOKUP(A1930,'6.A'!$A$11:$E$564,4,FALSE))</f>
        <v/>
      </c>
      <c r="K1930" s="52" t="str">
        <f t="shared" si="821"/>
        <v/>
      </c>
      <c r="L1930" s="52" t="str">
        <f>IF(H1930="","",IF(C1930="","",G1884*C1930))</f>
        <v/>
      </c>
      <c r="M1930" s="117" t="str">
        <f>IF(A1930="","",VLOOKUP(A1930,'6.A'!$A$11:$C$564,2,FALSE))</f>
        <v/>
      </c>
      <c r="N1930" s="57" t="str">
        <f t="shared" si="822"/>
        <v/>
      </c>
      <c r="O1930" s="56"/>
      <c r="P1930" s="56"/>
      <c r="Q1930" s="48"/>
      <c r="R1930" s="48"/>
    </row>
    <row r="1931" spans="1:23" ht="12.75" customHeight="1" x14ac:dyDescent="0.2">
      <c r="A1931" s="22"/>
      <c r="B1931" s="39" t="str">
        <f>IF(A1931="","",VLOOKUP(A1931,'6.A'!$A$11:$G$180,2,FALSE))</f>
        <v/>
      </c>
      <c r="C1931" s="99"/>
      <c r="D1931" s="57" t="str">
        <f>IF(A1931="","",VLOOKUP(A1931,'6.A'!$A$11:$G$180,4,FALSE))</f>
        <v/>
      </c>
      <c r="E1931" s="100" t="str">
        <f>IF(A1931="","",VLOOKUP(A1931,'6.A'!$A$11:$G$180,5,FALSE))</f>
        <v/>
      </c>
      <c r="F1931" s="24" t="str">
        <f t="shared" si="819"/>
        <v>0,00</v>
      </c>
      <c r="G1931" s="52"/>
      <c r="H1931" s="52" t="str">
        <f>IF(A1931="","",VLOOKUP(A1931,'6.A'!$A$11:$E$7984,5,FALSE))</f>
        <v/>
      </c>
      <c r="I1931" s="52" t="str">
        <f t="shared" si="820"/>
        <v/>
      </c>
      <c r="J1931" s="52" t="str">
        <f>IF(H1931="","",VLOOKUP(A1931,'6.A'!$A$11:$E$564,4,FALSE))</f>
        <v/>
      </c>
      <c r="K1931" s="52" t="str">
        <f t="shared" si="821"/>
        <v/>
      </c>
      <c r="L1931" s="52" t="str">
        <f>IF(H1931="","",IF(C1931="","",G1884*C1931))</f>
        <v/>
      </c>
      <c r="M1931" s="117" t="str">
        <f>IF(A1931="","",VLOOKUP(A1931,'6.A'!$A$11:$C$564,2,FALSE))</f>
        <v/>
      </c>
      <c r="N1931" s="57" t="str">
        <f t="shared" si="822"/>
        <v/>
      </c>
      <c r="O1931" s="56"/>
      <c r="P1931" s="56"/>
      <c r="Q1931" s="48"/>
      <c r="R1931" s="48"/>
    </row>
    <row r="1932" spans="1:23" ht="12.75" customHeight="1" x14ac:dyDescent="0.2">
      <c r="A1932" s="22"/>
      <c r="B1932" s="39" t="str">
        <f>IF(A1932="","",VLOOKUP(A1932,'6.A'!$A$11:$G$180,2,FALSE))</f>
        <v/>
      </c>
      <c r="C1932" s="99"/>
      <c r="D1932" s="57" t="str">
        <f>IF(A1932="","",VLOOKUP(A1932,'6.A'!$A$11:$G$180,4,FALSE))</f>
        <v/>
      </c>
      <c r="E1932" s="100" t="str">
        <f>IF(A1932="","",VLOOKUP(A1932,'6.A'!$A$11:$G$180,5,FALSE))</f>
        <v/>
      </c>
      <c r="F1932" s="24" t="str">
        <f t="shared" si="819"/>
        <v>0,00</v>
      </c>
      <c r="G1932" s="52"/>
      <c r="H1932" s="52" t="str">
        <f>IF(A1932="","",VLOOKUP(A1932,'6.A'!$A$11:$E$7984,5,FALSE))</f>
        <v/>
      </c>
      <c r="I1932" s="52" t="str">
        <f t="shared" si="820"/>
        <v/>
      </c>
      <c r="J1932" s="52" t="str">
        <f>IF(H1932="","",VLOOKUP(A1932,'6.A'!$A$11:$E$564,4,FALSE))</f>
        <v/>
      </c>
      <c r="K1932" s="52" t="str">
        <f t="shared" si="821"/>
        <v/>
      </c>
      <c r="L1932" s="52" t="str">
        <f>IF(H1932="","",IF(C1932="","",G1884*C1932))</f>
        <v/>
      </c>
      <c r="M1932" s="117" t="str">
        <f>IF(A1932="","",VLOOKUP(A1932,'6.A'!$A$11:$C$564,2,FALSE))</f>
        <v/>
      </c>
      <c r="N1932" s="57" t="str">
        <f t="shared" si="822"/>
        <v/>
      </c>
      <c r="O1932" s="56"/>
      <c r="P1932" s="56"/>
      <c r="Q1932" s="48"/>
      <c r="R1932" s="48"/>
    </row>
    <row r="1933" spans="1:23" ht="12.75" customHeight="1" x14ac:dyDescent="0.2">
      <c r="A1933" s="22"/>
      <c r="B1933" s="26" t="str">
        <f>$A$9</f>
        <v>BDI</v>
      </c>
      <c r="C1933" s="40">
        <f>$C$9</f>
        <v>0</v>
      </c>
      <c r="D1933" s="57"/>
      <c r="F1933" s="28">
        <f>ROUND(SUM(F1913:F1932)*C1933,2)</f>
        <v>0</v>
      </c>
      <c r="G1933" s="63"/>
      <c r="M1933" s="57"/>
      <c r="N1933" s="57"/>
      <c r="O1933" s="56"/>
      <c r="P1933" s="56"/>
      <c r="Q1933" s="48"/>
      <c r="R1933" s="48"/>
    </row>
    <row r="1934" spans="1:23" ht="12.75" customHeight="1" thickBot="1" x14ac:dyDescent="0.25">
      <c r="A1934" s="41"/>
      <c r="B1934" s="42" t="s">
        <v>57</v>
      </c>
      <c r="C1934" s="43"/>
      <c r="D1934" s="44"/>
      <c r="E1934" s="45"/>
      <c r="F1934" s="46">
        <f>ROUND(SUM(F1913:F1933),2)</f>
        <v>0</v>
      </c>
      <c r="G1934" s="63"/>
      <c r="M1934" s="57"/>
      <c r="N1934" s="57"/>
      <c r="O1934" s="56"/>
      <c r="P1934" s="56"/>
      <c r="Q1934" s="48"/>
      <c r="R1934" s="48"/>
    </row>
    <row r="1935" spans="1:23" ht="12" customHeight="1" thickBot="1" x14ac:dyDescent="0.25">
      <c r="A1935" s="8"/>
      <c r="B1935" s="9"/>
      <c r="C1935" s="10"/>
      <c r="D1935" s="57"/>
      <c r="F1935" s="12"/>
      <c r="M1935" s="57"/>
      <c r="N1935" s="57"/>
      <c r="O1935" s="56"/>
      <c r="P1935" s="56"/>
    </row>
    <row r="1936" spans="1:23" ht="50.1" customHeight="1" x14ac:dyDescent="0.2">
      <c r="A1936" s="13" t="str">
        <f>'3.A'!$A$50</f>
        <v>3.2.13</v>
      </c>
      <c r="B1936" s="14" t="str">
        <f>IF(A1936="","",VLOOKUP(A1936,'3.A'!$A$17:$M$279,2,FALSE))</f>
        <v>CABO DE COBRE FLEXÍVEL ISOLADO, 185 MM², ANTI-CHAMA 0,6/1,0 KV, PARA REDE ENTERRADA DE ENERGIA ELÉTRICA - NEUTRO</v>
      </c>
      <c r="C1936" s="413" t="s">
        <v>62</v>
      </c>
      <c r="D1936" s="413"/>
      <c r="E1936" s="15" t="str">
        <f>IF(A1936="","",VLOOKUP(A1936,'3.A'!$A$17:$M$279,3,FALSE))</f>
        <v>M</v>
      </c>
      <c r="F1936" s="16">
        <f>ROUND(F1950+F1963+F1986,2)</f>
        <v>0</v>
      </c>
      <c r="G1936" s="118">
        <f>VLOOKUP(A1936,'3.A'!$A$19:$I$279,4,FALSE)</f>
        <v>30</v>
      </c>
      <c r="H1936" s="47">
        <f>SUM(F1938:F1949)</f>
        <v>0</v>
      </c>
      <c r="I1936" s="47">
        <f>SUM(F1952:F1962)</f>
        <v>0</v>
      </c>
      <c r="J1936" s="47">
        <f>SUM(F1965:F1985)</f>
        <v>0</v>
      </c>
      <c r="K1936" s="47">
        <f>SUM(H1936:J1936)</f>
        <v>0</v>
      </c>
      <c r="L1936" s="47" t="str">
        <f>IF(K1936=F1936,"SIM","NÃO")</f>
        <v>SIM</v>
      </c>
      <c r="M1936" s="58">
        <f>ROUND(SUM(F1938:F1947)*C1948,2)+ROUND(SUM(F1938:F1948)*C1949,2)+ROUND(SUM(F1938:F1947),2)+ROUND(SUM(F1952:F1961)*C1962,2)+ROUND(SUM(F1952:F1961),2)+ROUND(SUM(F1965:F1984)*C1985,2)+ROUND(SUM(F1965:F1984),2)</f>
        <v>0</v>
      </c>
      <c r="N1936" s="50" t="str">
        <f>IF(M1936=F1936,"SIM","NÃO")</f>
        <v>SIM</v>
      </c>
      <c r="O1936" s="51" t="str">
        <f>VLOOKUP(A1936,'3.A'!$A$8:$E$279,3,FALSE)</f>
        <v>M</v>
      </c>
      <c r="P1936" s="51" t="str">
        <f>IF(O1936=E1936,"SIM","NÃO")</f>
        <v>SIM</v>
      </c>
      <c r="Q1936" s="53">
        <f>ROUND(G1936*F1950,2)+ROUND(G1936*F1963,2)+ROUND(G1936*F1986,2)</f>
        <v>0</v>
      </c>
      <c r="R1936" s="59">
        <f>VLOOKUP(A1936,'3.A'!$A$17:$L$279,12,FALSE)</f>
        <v>0</v>
      </c>
      <c r="S1936" s="60" t="str">
        <f>IF(Q1936=R1936,"si","no")</f>
        <v>si</v>
      </c>
      <c r="T1936" s="61">
        <f>SUM(L1938:L1947)+SUM(L1952:L1961)+SUM(L1965:L1984)</f>
        <v>42.87</v>
      </c>
      <c r="U1936" s="52">
        <f>G1936*C1944+G1936*C1946+G1936*C1939+G1936*C1940+G1936*C1942+G1936*C1945+G1936*C1943+G1936*C1938+G1936*C1941+G1936*C1947+G1936*C1958+G1936*C1952+G1936*C1960+G1936*C1959+G1936*C1957+G1936*C1954+G1936*C1953+G1936*C1955+G1936*C1961+G1936*C1956+G1936*C1965+G1936*C1966+G1936*C1967+G1936*C1975+G1936*C1976+G1936*C1977+G1936*C1978+G1936*C1979+G1936*C1980+G1936*C1981+G1936*C1982+G1936*C1983+G1936*C1984+G1936*C1973+G1936*C1974+G1936*C1968+G1936*C1969+G1936*C1970+G1936*C1971+G1936*C1972</f>
        <v>42.87</v>
      </c>
      <c r="V1936" s="54" t="str">
        <f>IF(T1936=U1936,"si","no")</f>
        <v>si</v>
      </c>
      <c r="W1936" s="137"/>
    </row>
    <row r="1937" spans="1:19" ht="12.75" customHeight="1" x14ac:dyDescent="0.2">
      <c r="A1937" s="17" t="s">
        <v>3</v>
      </c>
      <c r="B1937" s="18" t="s">
        <v>58</v>
      </c>
      <c r="C1937" s="56" t="s">
        <v>59</v>
      </c>
      <c r="D1937" s="56" t="s">
        <v>16</v>
      </c>
      <c r="E1937" s="19" t="s">
        <v>60</v>
      </c>
      <c r="F1937" s="20" t="s">
        <v>61</v>
      </c>
      <c r="G1937" s="21"/>
      <c r="M1937" s="57"/>
      <c r="N1937" s="57"/>
      <c r="O1937" s="56"/>
      <c r="P1937" s="56"/>
      <c r="Q1937" s="48"/>
      <c r="R1937" s="48"/>
    </row>
    <row r="1938" spans="1:19" ht="12.75" customHeight="1" x14ac:dyDescent="0.2">
      <c r="A1938" s="22">
        <f>'6.A'!$A$15</f>
        <v>88247</v>
      </c>
      <c r="B1938" s="23" t="str">
        <f>IF(A1938="","",VLOOKUP(A1938,'6.A'!$A$11:$G$180,2,FALSE))</f>
        <v>AUXILIAR DE ELETRICISTA COM ENCARGOS COMPLEMENTARES</v>
      </c>
      <c r="C1938" s="99">
        <v>0.20250000000000001</v>
      </c>
      <c r="D1938" s="57" t="str">
        <f>IF(A1938="","",VLOOKUP(A1938,'6.A'!$A$11:$G$180,4,FALSE))</f>
        <v>H</v>
      </c>
      <c r="E1938" s="100">
        <f>IF(A1938="","",VLOOKUP(A1938,'6.A'!$A$11:$G$180,5,FALSE))</f>
        <v>0</v>
      </c>
      <c r="F1938" s="24">
        <f t="shared" ref="F1938:F1947" si="823">IF(A1938="","0,00",ROUND(C1938*E1938,2))</f>
        <v>0</v>
      </c>
      <c r="G1938" s="52"/>
      <c r="H1938" s="52">
        <f>IF(A1938="","",VLOOKUP(A1938,'6.A'!$A$11:$E$7984,5,FALSE))</f>
        <v>0</v>
      </c>
      <c r="I1938" s="52" t="str">
        <f>IF(H1938="","",IF(E1938=H1938,"SIM","NÃO"))</f>
        <v>SIM</v>
      </c>
      <c r="J1938" s="52" t="str">
        <f>IF(H1938="","",VLOOKUP(A1938,'6.A'!$A$11:$E$564,4,FALSE))</f>
        <v>H</v>
      </c>
      <c r="K1938" s="52" t="str">
        <f>IF(H1938="","",IF(J1938=D1938,"SIM","NÃO"))</f>
        <v>SIM</v>
      </c>
      <c r="L1938" s="52">
        <f>IF(H1938="","",IF(C1938="","",G1936*C1938))</f>
        <v>6.0750000000000002</v>
      </c>
      <c r="M1938" s="117" t="str">
        <f>IF(A1938="","",VLOOKUP(A1938,'6.A'!$A$11:$C$564,2,FALSE))</f>
        <v>AUXILIAR DE ELETRICISTA COM ENCARGOS COMPLEMENTARES</v>
      </c>
      <c r="N1938" s="57" t="str">
        <f>IF(A1938="","",IF(M1938=B1938,"si","no"))</f>
        <v>si</v>
      </c>
      <c r="O1938" s="56"/>
      <c r="P1938" s="56"/>
      <c r="Q1938" s="48"/>
      <c r="R1938" s="48"/>
    </row>
    <row r="1939" spans="1:19" ht="12.75" customHeight="1" x14ac:dyDescent="0.2">
      <c r="A1939" s="22">
        <f>'6.A'!$A$18</f>
        <v>88264</v>
      </c>
      <c r="B1939" s="23" t="str">
        <f>IF(A1939="","",VLOOKUP(A1939,'6.A'!$A$11:$G$180,2,FALSE))</f>
        <v>ELETRICISTA COM ENCARGOS COMPLEMENTARES</v>
      </c>
      <c r="C1939" s="99">
        <v>0.20250000000000001</v>
      </c>
      <c r="D1939" s="57" t="str">
        <f>IF(A1939="","",VLOOKUP(A1939,'6.A'!$A$11:$G$180,4,FALSE))</f>
        <v>H</v>
      </c>
      <c r="E1939" s="100">
        <f>IF(A1939="","",VLOOKUP(A1939,'6.A'!$A$11:$G$180,5,FALSE))</f>
        <v>0</v>
      </c>
      <c r="F1939" s="24">
        <f t="shared" si="823"/>
        <v>0</v>
      </c>
      <c r="G1939" s="52"/>
      <c r="H1939" s="52">
        <f>IF(A1939="","",VLOOKUP(A1939,'6.A'!$A$11:$E$7984,5,FALSE))</f>
        <v>0</v>
      </c>
      <c r="I1939" s="52" t="str">
        <f>IF(H1939="","",IF(E1939=H1939,"SIM","NÃO"))</f>
        <v>SIM</v>
      </c>
      <c r="J1939" s="52" t="str">
        <f>IF(H1939="","",VLOOKUP(A1939,'6.A'!$A$11:$E$564,4,FALSE))</f>
        <v>H</v>
      </c>
      <c r="K1939" s="52" t="str">
        <f>IF(H1939="","",IF(J1939=D1939,"SIM","NÃO"))</f>
        <v>SIM</v>
      </c>
      <c r="L1939" s="52">
        <f>IF(H1939="","",IF(C1939="","",G1936*C1939))</f>
        <v>6.0750000000000002</v>
      </c>
      <c r="M1939" s="117" t="str">
        <f>IF(A1939="","",VLOOKUP(A1939,'6.A'!$A$11:$C$564,2,FALSE))</f>
        <v>ELETRICISTA COM ENCARGOS COMPLEMENTARES</v>
      </c>
      <c r="N1939" s="57" t="str">
        <f>IF(A1939="","",IF(M1939=B1939,"si","no"))</f>
        <v>si</v>
      </c>
      <c r="O1939" s="56"/>
      <c r="P1939" s="56"/>
      <c r="Q1939" s="48"/>
      <c r="R1939" s="48"/>
    </row>
    <row r="1940" spans="1:19" ht="12.75" customHeight="1" x14ac:dyDescent="0.2">
      <c r="A1940" s="22"/>
      <c r="B1940" s="23" t="str">
        <f>IF(A1940="","",VLOOKUP(A1940,'6.A'!$A$11:$G$180,2,FALSE))</f>
        <v/>
      </c>
      <c r="C1940" s="99"/>
      <c r="D1940" s="57" t="str">
        <f>IF(A1940="","",VLOOKUP(A1940,'6.A'!$A$11:$G$180,4,FALSE))</f>
        <v/>
      </c>
      <c r="E1940" s="100" t="str">
        <f>IF(A1940="","",VLOOKUP(A1940,'6.A'!$A$11:$G$180,5,FALSE))</f>
        <v/>
      </c>
      <c r="F1940" s="24" t="str">
        <f t="shared" si="823"/>
        <v>0,00</v>
      </c>
      <c r="G1940" s="52"/>
      <c r="H1940" s="52" t="str">
        <f>IF(A1940="","",VLOOKUP(A1940,'6.A'!$A$11:$E$7984,5,FALSE))</f>
        <v/>
      </c>
      <c r="I1940" s="52" t="str">
        <f>IF(H1940="","",IF(E1940=H1940,"SIM","NÃO"))</f>
        <v/>
      </c>
      <c r="J1940" s="52" t="str">
        <f>IF(H1940="","",VLOOKUP(A1940,'6.A'!$A$11:$E$564,4,FALSE))</f>
        <v/>
      </c>
      <c r="K1940" s="52" t="str">
        <f t="shared" ref="K1940" si="824">IF(H1940="","",IF(J1940=D1940,"SIM","NÃO"))</f>
        <v/>
      </c>
      <c r="L1940" s="52" t="str">
        <f>IF(H1940="","",IF(C1940="","",G1936*C1940))</f>
        <v/>
      </c>
      <c r="M1940" s="117" t="str">
        <f>IF(A1940="","",VLOOKUP(A1940,'6.A'!$A$11:$C$564,2,FALSE))</f>
        <v/>
      </c>
      <c r="N1940" s="57" t="str">
        <f t="shared" ref="N1940" si="825">IF(A1940="","",IF(M1940=B1940,"si","no"))</f>
        <v/>
      </c>
      <c r="O1940" s="56"/>
      <c r="P1940" s="56"/>
      <c r="Q1940" s="48"/>
      <c r="R1940" s="48"/>
      <c r="S1940" s="2"/>
    </row>
    <row r="1941" spans="1:19" ht="12.75" customHeight="1" x14ac:dyDescent="0.2">
      <c r="A1941" s="22"/>
      <c r="B1941" s="23" t="str">
        <f>IF(A1941="","",VLOOKUP(A1941,'6.A'!$A$11:$G$180,2,FALSE))</f>
        <v/>
      </c>
      <c r="C1941" s="99"/>
      <c r="D1941" s="57" t="str">
        <f>IF(A1941="","",VLOOKUP(A1941,'6.A'!$A$11:$G$180,4,FALSE))</f>
        <v/>
      </c>
      <c r="E1941" s="100" t="str">
        <f>IF(A1941="","",VLOOKUP(A1941,'6.A'!$A$11:$G$180,5,FALSE))</f>
        <v/>
      </c>
      <c r="F1941" s="24" t="str">
        <f t="shared" si="823"/>
        <v>0,00</v>
      </c>
      <c r="G1941" s="52"/>
      <c r="H1941" s="52" t="str">
        <f>IF(A1941="","",VLOOKUP(A1941,'6.A'!$A$11:$E$7984,5,FALSE))</f>
        <v/>
      </c>
      <c r="I1941" s="52" t="str">
        <f>IF(H1941="","",IF(E1941=H1941,"SIM","NÃO"))</f>
        <v/>
      </c>
      <c r="J1941" s="52" t="str">
        <f>IF(H1941="","",VLOOKUP(A1941,'6.A'!$A$11:$E$564,4,FALSE))</f>
        <v/>
      </c>
      <c r="K1941" s="52" t="str">
        <f>IF(H1941="","",IF(J1941=D1941,"SIM","NÃO"))</f>
        <v/>
      </c>
      <c r="L1941" s="52" t="str">
        <f>IF(H1941="","",IF(C1941="","",G1936*C1941))</f>
        <v/>
      </c>
      <c r="M1941" s="117" t="str">
        <f>IF(A1941="","",VLOOKUP(A1941,'6.A'!$A$11:$C$564,2,FALSE))</f>
        <v/>
      </c>
      <c r="N1941" s="57" t="str">
        <f>IF(A1941="","",IF(M1941=B1941,"si","no"))</f>
        <v/>
      </c>
      <c r="O1941" s="56"/>
      <c r="P1941" s="56"/>
      <c r="Q1941" s="48"/>
      <c r="R1941" s="48"/>
      <c r="S1941" s="2"/>
    </row>
    <row r="1942" spans="1:19" ht="12.75" customHeight="1" x14ac:dyDescent="0.2">
      <c r="A1942" s="22"/>
      <c r="B1942" s="23" t="str">
        <f>IF(A1942="","",VLOOKUP(A1942,'6.A'!$A$11:$G$180,2,FALSE))</f>
        <v/>
      </c>
      <c r="C1942" s="99"/>
      <c r="D1942" s="57" t="str">
        <f>IF(A1942="","",VLOOKUP(A1942,'6.A'!$A$11:$G$180,4,FALSE))</f>
        <v/>
      </c>
      <c r="E1942" s="101" t="str">
        <f>IF(A1942="","",VLOOKUP(A1942,'6.A'!$A$11:$G$180,5,FALSE))</f>
        <v/>
      </c>
      <c r="F1942" s="24" t="str">
        <f t="shared" si="823"/>
        <v>0,00</v>
      </c>
      <c r="G1942" s="52"/>
      <c r="H1942" s="52" t="str">
        <f>IF(A1942="","",VLOOKUP(A1942,'6.A'!$A$11:$E$7984,5,FALSE))</f>
        <v/>
      </c>
      <c r="I1942" s="52" t="str">
        <f t="shared" ref="I1942" si="826">IF(H1942="","",IF(E1942=H1942,"SIM","NÃO"))</f>
        <v/>
      </c>
      <c r="J1942" s="52" t="str">
        <f>IF(H1942="","",VLOOKUP(A1942,'6.A'!$A$11:$E$564,4,FALSE))</f>
        <v/>
      </c>
      <c r="K1942" s="52" t="str">
        <f t="shared" ref="K1942" si="827">IF(H1942="","",IF(J1942=D1942,"SIM","NÃO"))</f>
        <v/>
      </c>
      <c r="L1942" s="52" t="str">
        <f>IF(H1942="","",IF(C1942="","",G1936*C1942))</f>
        <v/>
      </c>
      <c r="M1942" s="117" t="str">
        <f>IF(A1942="","",VLOOKUP(A1942,'6.A'!$A$11:$C$564,2,FALSE))</f>
        <v/>
      </c>
      <c r="N1942" s="57" t="str">
        <f t="shared" ref="N1942" si="828">IF(A1942="","",IF(M1942=B1942,"si","no"))</f>
        <v/>
      </c>
      <c r="O1942" s="56"/>
      <c r="P1942" s="56"/>
      <c r="Q1942" s="48"/>
      <c r="R1942" s="48"/>
      <c r="S1942" s="2"/>
    </row>
    <row r="1943" spans="1:19" ht="12.75" customHeight="1" x14ac:dyDescent="0.2">
      <c r="A1943" s="22"/>
      <c r="B1943" s="23" t="str">
        <f>IF(A1943="","",VLOOKUP(A1943,'6.A'!$A$11:$G$180,2,FALSE))</f>
        <v/>
      </c>
      <c r="C1943" s="99"/>
      <c r="D1943" s="57" t="str">
        <f>IF(A1943="","",VLOOKUP(A1943,'6.A'!$A$11:$G$180,4,FALSE))</f>
        <v/>
      </c>
      <c r="E1943" s="101" t="str">
        <f>IF(A1943="","",VLOOKUP(A1943,'6.A'!$A$11:$G$180,5,FALSE))</f>
        <v/>
      </c>
      <c r="F1943" s="24" t="str">
        <f t="shared" si="823"/>
        <v>0,00</v>
      </c>
      <c r="G1943" s="52"/>
      <c r="H1943" s="52" t="str">
        <f>IF(A1943="","",VLOOKUP(A1943,'6.A'!$A$11:$E$7984,5,FALSE))</f>
        <v/>
      </c>
      <c r="I1943" s="52" t="str">
        <f>IF(H1943="","",IF(E1943=H1943,"SIM","NÃO"))</f>
        <v/>
      </c>
      <c r="J1943" s="52" t="str">
        <f>IF(H1943="","",VLOOKUP(A1943,'6.A'!$A$11:$E$564,4,FALSE))</f>
        <v/>
      </c>
      <c r="K1943" s="52" t="str">
        <f>IF(H1943="","",IF(J1943=D1943,"SIM","NÃO"))</f>
        <v/>
      </c>
      <c r="L1943" s="52" t="str">
        <f>IF(H1943="","",IF(C1943="","",G1936*C1943))</f>
        <v/>
      </c>
      <c r="M1943" s="117" t="str">
        <f>IF(A1943="","",VLOOKUP(A1943,'6.A'!$A$11:$C$564,2,FALSE))</f>
        <v/>
      </c>
      <c r="N1943" s="57" t="str">
        <f>IF(A1943="","",IF(M1943=B1943,"si","no"))</f>
        <v/>
      </c>
      <c r="O1943" s="56"/>
      <c r="P1943" s="56"/>
      <c r="Q1943" s="48"/>
      <c r="R1943" s="48"/>
      <c r="S1943" s="2"/>
    </row>
    <row r="1944" spans="1:19" ht="12.75" customHeight="1" x14ac:dyDescent="0.2">
      <c r="A1944" s="22"/>
      <c r="B1944" s="23" t="str">
        <f>IF(A1944="","",VLOOKUP(A1944,'6.A'!$A$11:$G$180,2,FALSE))</f>
        <v/>
      </c>
      <c r="C1944" s="99"/>
      <c r="D1944" s="57" t="str">
        <f>IF(A1944="","",VLOOKUP(A1944,'6.A'!$A$11:$G$180,4,FALSE))</f>
        <v/>
      </c>
      <c r="E1944" s="100" t="str">
        <f>IF(A1944="","",VLOOKUP(A1944,'6.A'!$A$11:$G$180,5,FALSE))</f>
        <v/>
      </c>
      <c r="F1944" s="24" t="str">
        <f t="shared" si="823"/>
        <v>0,00</v>
      </c>
      <c r="G1944" s="52"/>
      <c r="H1944" s="52" t="str">
        <f>IF(A1944="","",VLOOKUP(A1944,'6.A'!$A$11:$E$7984,5,FALSE))</f>
        <v/>
      </c>
      <c r="I1944" s="52" t="str">
        <f>IF(H1944="","",IF(E1944=H1944,"SIM","NÃO"))</f>
        <v/>
      </c>
      <c r="J1944" s="52" t="str">
        <f>IF(H1944="","",VLOOKUP(A1944,'6.A'!$A$11:$E$564,4,FALSE))</f>
        <v/>
      </c>
      <c r="K1944" s="52" t="str">
        <f>IF(H1944="","",IF(J1944=D1944,"SIM","NÃO"))</f>
        <v/>
      </c>
      <c r="L1944" s="52" t="str">
        <f>IF(H1944="","",IF(C1944="","",G1936*C1944))</f>
        <v/>
      </c>
      <c r="M1944" s="117" t="str">
        <f>IF(A1944="","",VLOOKUP(A1944,'6.A'!$A$11:$C$564,2,FALSE))</f>
        <v/>
      </c>
      <c r="N1944" s="57" t="str">
        <f>IF(A1944="","",IF(M1944=B1944,"si","no"))</f>
        <v/>
      </c>
      <c r="O1944" s="56"/>
      <c r="P1944" s="56"/>
      <c r="Q1944" s="48"/>
      <c r="R1944" s="48"/>
      <c r="S1944" s="2"/>
    </row>
    <row r="1945" spans="1:19" ht="12.75" customHeight="1" x14ac:dyDescent="0.2">
      <c r="A1945" s="22"/>
      <c r="B1945" s="23" t="str">
        <f>IF(A1945="","",VLOOKUP(A1945,'6.A'!$A$11:$G$180,2,FALSE))</f>
        <v/>
      </c>
      <c r="C1945" s="99"/>
      <c r="D1945" s="57" t="str">
        <f>IF(A1945="","",VLOOKUP(A1945,'6.A'!$A$11:$G$180,4,FALSE))</f>
        <v/>
      </c>
      <c r="E1945" s="100" t="str">
        <f>IF(A1945="","",VLOOKUP(A1945,'6.A'!$A$11:$G$180,5,FALSE))</f>
        <v/>
      </c>
      <c r="F1945" s="24" t="str">
        <f t="shared" si="823"/>
        <v>0,00</v>
      </c>
      <c r="G1945" s="52"/>
      <c r="H1945" s="52" t="str">
        <f>IF(A1945="","",VLOOKUP(A1945,'6.A'!$A$11:$E$7984,5,FALSE))</f>
        <v/>
      </c>
      <c r="I1945" s="52" t="str">
        <f t="shared" ref="I1945" si="829">IF(H1945="","",IF(E1945=H1945,"SIM","NÃO"))</f>
        <v/>
      </c>
      <c r="J1945" s="52" t="str">
        <f>IF(H1945="","",VLOOKUP(A1945,'6.A'!$A$11:$E$564,4,FALSE))</f>
        <v/>
      </c>
      <c r="K1945" s="52" t="str">
        <f t="shared" ref="K1945" si="830">IF(H1945="","",IF(J1945=D1945,"SIM","NÃO"))</f>
        <v/>
      </c>
      <c r="L1945" s="52" t="str">
        <f>IF(H1945="","",IF(C1945="","",G1936*C1945))</f>
        <v/>
      </c>
      <c r="M1945" s="117" t="str">
        <f>IF(A1945="","",VLOOKUP(A1945,'6.A'!$A$11:$C$564,2,FALSE))</f>
        <v/>
      </c>
      <c r="N1945" s="57" t="str">
        <f t="shared" ref="N1945" si="831">IF(A1945="","",IF(M1945=B1945,"si","no"))</f>
        <v/>
      </c>
      <c r="O1945" s="56"/>
      <c r="P1945" s="56"/>
      <c r="Q1945" s="48"/>
      <c r="R1945" s="48"/>
      <c r="S1945" s="2"/>
    </row>
    <row r="1946" spans="1:19" ht="12.75" customHeight="1" x14ac:dyDescent="0.2">
      <c r="A1946" s="22"/>
      <c r="B1946" s="23" t="str">
        <f>IF(A1946="","",VLOOKUP(A1946,'6.A'!$A$11:$G$180,2,FALSE))</f>
        <v/>
      </c>
      <c r="C1946" s="99"/>
      <c r="D1946" s="73" t="str">
        <f>IF(A1946="","",VLOOKUP(A1946,'6.A'!$A$11:$G$180,4,FALSE))</f>
        <v/>
      </c>
      <c r="E1946" s="101" t="str">
        <f>IF(A1946="","",VLOOKUP(A1946,'6.A'!$A$11:$G$180,5,FALSE))</f>
        <v/>
      </c>
      <c r="F1946" s="24" t="str">
        <f t="shared" si="823"/>
        <v>0,00</v>
      </c>
      <c r="G1946" s="52"/>
      <c r="H1946" s="52" t="str">
        <f>IF(A1946="","",VLOOKUP(A1946,'6.A'!$A$11:$E$7984,5,FALSE))</f>
        <v/>
      </c>
      <c r="I1946" s="52" t="str">
        <f>IF(H1946="","",IF(E1946=H1946,"SIM","NÃO"))</f>
        <v/>
      </c>
      <c r="J1946" s="52" t="str">
        <f>IF(H1946="","",VLOOKUP(A1946,'6.A'!$A$11:$E$564,4,FALSE))</f>
        <v/>
      </c>
      <c r="K1946" s="52" t="str">
        <f>IF(H1946="","",IF(J1946=D1946,"SIM","NÃO"))</f>
        <v/>
      </c>
      <c r="L1946" s="52" t="str">
        <f>IF(H1946="","",IF(C1946="","",G1936*C1946))</f>
        <v/>
      </c>
      <c r="M1946" s="117" t="str">
        <f>IF(A1946="","",VLOOKUP(A1946,'6.A'!$A$11:$C$564,2,FALSE))</f>
        <v/>
      </c>
      <c r="N1946" s="57" t="str">
        <f>IF(A1946="","",IF(M1946=B1946,"si","no"))</f>
        <v/>
      </c>
      <c r="O1946" s="56"/>
      <c r="P1946" s="56"/>
      <c r="Q1946" s="48"/>
      <c r="R1946" s="48"/>
      <c r="S1946" s="2"/>
    </row>
    <row r="1947" spans="1:19" ht="12.75" customHeight="1" x14ac:dyDescent="0.2">
      <c r="A1947" s="22"/>
      <c r="B1947" s="23" t="str">
        <f>IF(A1947="","",VLOOKUP(A1947,'6.A'!$A$11:$G$180,2,FALSE))</f>
        <v/>
      </c>
      <c r="C1947" s="99"/>
      <c r="D1947" s="25" t="str">
        <f>IF(A1947="","",VLOOKUP(A1947,'6.A'!$A$11:$G$180,4,FALSE))</f>
        <v/>
      </c>
      <c r="E1947" s="101" t="str">
        <f>IF(A1947="","",VLOOKUP(A1947,'6.A'!$A$11:$G$180,5,FALSE))</f>
        <v/>
      </c>
      <c r="F1947" s="24" t="str">
        <f t="shared" si="823"/>
        <v>0,00</v>
      </c>
      <c r="G1947" s="52"/>
      <c r="H1947" s="52" t="str">
        <f>IF(A1947="","",VLOOKUP(A1947,'6.A'!$A$11:$E$7984,5,FALSE))</f>
        <v/>
      </c>
      <c r="I1947" s="52" t="str">
        <f t="shared" ref="I1947" si="832">IF(H1947="","",IF(E1947=H1947,"SIM","NÃO"))</f>
        <v/>
      </c>
      <c r="J1947" s="52" t="str">
        <f>IF(H1947="","",VLOOKUP(A1947,'6.A'!$A$11:$E$564,4,FALSE))</f>
        <v/>
      </c>
      <c r="K1947" s="52" t="str">
        <f t="shared" ref="K1947" si="833">IF(H1947="","",IF(J1947=D1947,"SIM","NÃO"))</f>
        <v/>
      </c>
      <c r="L1947" s="52" t="str">
        <f>IF(H1947="","",IF(C1947="","",G1936*C1947))</f>
        <v/>
      </c>
      <c r="M1947" s="117" t="str">
        <f>IF(A1947="","",VLOOKUP(A1947,'6.A'!$A$11:$C$564,2,FALSE))</f>
        <v/>
      </c>
      <c r="N1947" s="57" t="str">
        <f t="shared" ref="N1947" si="834">IF(A1947="","",IF(M1947=B1947,"si","no"))</f>
        <v/>
      </c>
      <c r="O1947" s="56"/>
      <c r="P1947" s="56"/>
      <c r="Q1947" s="48"/>
      <c r="R1947" s="48"/>
      <c r="S1947" s="2"/>
    </row>
    <row r="1948" spans="1:19" ht="12.75" customHeight="1" x14ac:dyDescent="0.2">
      <c r="A1948" s="17"/>
      <c r="B1948" s="26" t="str">
        <f>$A$8</f>
        <v>LEIS SOCIAIS HORISTA - JORNADA NORMAL</v>
      </c>
      <c r="C1948" s="27">
        <f>$C$8</f>
        <v>0</v>
      </c>
      <c r="D1948" s="57"/>
      <c r="F1948" s="28">
        <f>ROUND(SUM(F1938:F1947)*C1948,2)</f>
        <v>0</v>
      </c>
      <c r="G1948" s="63"/>
      <c r="M1948" s="62"/>
      <c r="N1948" s="57"/>
      <c r="O1948" s="56"/>
      <c r="P1948" s="56"/>
      <c r="Q1948" s="48"/>
      <c r="R1948" s="48"/>
      <c r="S1948" s="2"/>
    </row>
    <row r="1949" spans="1:19" ht="12.75" customHeight="1" x14ac:dyDescent="0.2">
      <c r="A1949" s="22"/>
      <c r="B1949" s="26" t="str">
        <f>$A$9</f>
        <v>BDI</v>
      </c>
      <c r="C1949" s="27">
        <f>$C$9</f>
        <v>0</v>
      </c>
      <c r="D1949" s="29"/>
      <c r="F1949" s="28">
        <f>ROUND(SUM(F1938:F1948)*C1949,2)</f>
        <v>0</v>
      </c>
      <c r="G1949" s="63"/>
      <c r="M1949" s="62"/>
      <c r="N1949" s="57"/>
      <c r="O1949" s="56"/>
      <c r="P1949" s="56"/>
      <c r="Q1949" s="48"/>
      <c r="R1949" s="48"/>
      <c r="S1949" s="2"/>
    </row>
    <row r="1950" spans="1:19" ht="12.75" customHeight="1" x14ac:dyDescent="0.2">
      <c r="A1950" s="30"/>
      <c r="B1950" s="31" t="s">
        <v>56</v>
      </c>
      <c r="C1950" s="32"/>
      <c r="D1950" s="33"/>
      <c r="E1950" s="34"/>
      <c r="F1950" s="35">
        <f>ROUND(SUM(F1938:F1949),2)</f>
        <v>0</v>
      </c>
      <c r="G1950" s="63"/>
      <c r="M1950" s="62"/>
      <c r="N1950" s="57"/>
      <c r="O1950" s="56"/>
      <c r="P1950" s="56"/>
      <c r="Q1950" s="48"/>
      <c r="R1950" s="48"/>
      <c r="S1950" s="2"/>
    </row>
    <row r="1951" spans="1:19" ht="12.75" customHeight="1" x14ac:dyDescent="0.2">
      <c r="A1951" s="17" t="s">
        <v>5</v>
      </c>
      <c r="B1951" s="153" t="s">
        <v>130</v>
      </c>
      <c r="C1951" s="56" t="s">
        <v>59</v>
      </c>
      <c r="D1951" s="56" t="s">
        <v>16</v>
      </c>
      <c r="E1951" s="19" t="s">
        <v>60</v>
      </c>
      <c r="F1951" s="20" t="s">
        <v>61</v>
      </c>
      <c r="G1951" s="21"/>
      <c r="M1951" s="62"/>
      <c r="N1951" s="57"/>
      <c r="O1951" s="56"/>
      <c r="P1951" s="56"/>
      <c r="Q1951" s="48"/>
      <c r="R1951" s="48"/>
      <c r="S1951" s="2"/>
    </row>
    <row r="1952" spans="1:19" ht="12.75" customHeight="1" x14ac:dyDescent="0.2">
      <c r="A1952" s="22"/>
      <c r="B1952" s="23" t="str">
        <f>IF(A1952="","",VLOOKUP(A1952,'6.A'!$A$11:$G$180,2,FALSE))</f>
        <v/>
      </c>
      <c r="C1952" s="99"/>
      <c r="D1952" s="57" t="str">
        <f>IF(A1952="","",VLOOKUP(A1952,'6.A'!$A$11:$G$180,4,FALSE))</f>
        <v/>
      </c>
      <c r="E1952" s="100" t="str">
        <f>IF(A1952="","",VLOOKUP(A1952,'6.A'!$A$11:$G$180,5,FALSE))</f>
        <v/>
      </c>
      <c r="F1952" s="24" t="str">
        <f t="shared" ref="F1952:F1961" si="835">IF(A1952="","0,00",ROUND(C1952*E1952,2))</f>
        <v>0,00</v>
      </c>
      <c r="G1952" s="52"/>
      <c r="H1952" s="52" t="str">
        <f>IF(A1952="","",VLOOKUP(A1952,'6.A'!$A$11:$E$7984,5,FALSE))</f>
        <v/>
      </c>
      <c r="I1952" s="52" t="str">
        <f t="shared" ref="I1952:I1961" si="836">IF(H1952="","",IF(E1952=H1952,"SIM","NÃO"))</f>
        <v/>
      </c>
      <c r="J1952" s="52" t="str">
        <f>IF(H1952="","",VLOOKUP(A1952,'6.A'!$A$11:$E$564,4,FALSE))</f>
        <v/>
      </c>
      <c r="K1952" s="52" t="str">
        <f t="shared" ref="K1952:K1961" si="837">IF(H1952="","",IF(J1952=D1952,"SIM","NÃO"))</f>
        <v/>
      </c>
      <c r="L1952" s="52" t="str">
        <f>IF(H1952="","",IF(C1952="","",G1936*C1952))</f>
        <v/>
      </c>
      <c r="M1952" s="117" t="str">
        <f>IF(A1952="","",VLOOKUP(A1952,'6.A'!$A$11:$C$564,2,FALSE))</f>
        <v/>
      </c>
      <c r="N1952" s="57" t="str">
        <f t="shared" ref="N1952:N1957" si="838">IF(A1952="","",IF(M1952=B1952,"si","no"))</f>
        <v/>
      </c>
      <c r="O1952" s="56"/>
      <c r="P1952" s="56"/>
      <c r="Q1952" s="48"/>
      <c r="R1952" s="48"/>
      <c r="S1952" s="2"/>
    </row>
    <row r="1953" spans="1:19" ht="12.75" customHeight="1" x14ac:dyDescent="0.2">
      <c r="A1953" s="22"/>
      <c r="B1953" s="23" t="str">
        <f>IF(A1953="","",VLOOKUP(A1953,'6.A'!$A$11:$G$180,2,FALSE))</f>
        <v/>
      </c>
      <c r="C1953" s="99"/>
      <c r="D1953" s="57" t="str">
        <f>IF(A1953="","",VLOOKUP(A1953,'6.A'!$A$11:$G$180,4,FALSE))</f>
        <v/>
      </c>
      <c r="E1953" s="100" t="str">
        <f>IF(A1953="","",VLOOKUP(A1953,'6.A'!$A$11:$G$180,5,FALSE))</f>
        <v/>
      </c>
      <c r="F1953" s="24" t="str">
        <f t="shared" si="835"/>
        <v>0,00</v>
      </c>
      <c r="G1953" s="52"/>
      <c r="H1953" s="52" t="str">
        <f>IF(A1953="","",VLOOKUP(A1953,'6.A'!$A$11:$E$7984,5,FALSE))</f>
        <v/>
      </c>
      <c r="I1953" s="52" t="str">
        <f t="shared" si="836"/>
        <v/>
      </c>
      <c r="J1953" s="52" t="str">
        <f>IF(H1953="","",VLOOKUP(A1953,'6.A'!$A$11:$E$564,4,FALSE))</f>
        <v/>
      </c>
      <c r="K1953" s="52" t="str">
        <f t="shared" si="837"/>
        <v/>
      </c>
      <c r="L1953" s="52" t="str">
        <f>IF(H1953="","",IF(C1953="","",G1936*C1953))</f>
        <v/>
      </c>
      <c r="M1953" s="117" t="str">
        <f>IF(A1953="","",VLOOKUP(A1953,'6.A'!$A$11:$C$564,2,FALSE))</f>
        <v/>
      </c>
      <c r="N1953" s="57" t="str">
        <f t="shared" si="838"/>
        <v/>
      </c>
      <c r="O1953" s="56"/>
      <c r="P1953" s="56"/>
      <c r="Q1953" s="48"/>
      <c r="R1953" s="48"/>
      <c r="S1953" s="2"/>
    </row>
    <row r="1954" spans="1:19" ht="12.75" customHeight="1" x14ac:dyDescent="0.2">
      <c r="A1954" s="22"/>
      <c r="B1954" s="23" t="str">
        <f>IF(A1954="","",VLOOKUP(A1954,'6.A'!$A$11:$G$180,2,FALSE))</f>
        <v/>
      </c>
      <c r="C1954" s="99"/>
      <c r="D1954" s="57" t="str">
        <f>IF(A1954="","",VLOOKUP(A1954,'6.A'!$A$11:$G$180,4,FALSE))</f>
        <v/>
      </c>
      <c r="E1954" s="100" t="str">
        <f>IF(A1954="","",VLOOKUP(A1954,'6.A'!$A$11:$G$180,5,FALSE))</f>
        <v/>
      </c>
      <c r="F1954" s="24" t="str">
        <f t="shared" si="835"/>
        <v>0,00</v>
      </c>
      <c r="G1954" s="52"/>
      <c r="H1954" s="52" t="str">
        <f>IF(A1954="","",VLOOKUP(A1954,'6.A'!$A$11:$E$7984,5,FALSE))</f>
        <v/>
      </c>
      <c r="I1954" s="52" t="str">
        <f t="shared" si="836"/>
        <v/>
      </c>
      <c r="J1954" s="52" t="str">
        <f>IF(H1954="","",VLOOKUP(A1954,'6.A'!$A$11:$E$564,4,FALSE))</f>
        <v/>
      </c>
      <c r="K1954" s="52" t="str">
        <f t="shared" si="837"/>
        <v/>
      </c>
      <c r="L1954" s="52" t="str">
        <f>IF(H1954="","",IF(C1954="","",G1936*C1954))</f>
        <v/>
      </c>
      <c r="M1954" s="117" t="str">
        <f>IF(A1954="","",VLOOKUP(A1954,'6.A'!$A$11:$C$564,2,FALSE))</f>
        <v/>
      </c>
      <c r="N1954" s="57" t="str">
        <f t="shared" si="838"/>
        <v/>
      </c>
      <c r="O1954" s="56"/>
      <c r="P1954" s="56"/>
      <c r="Q1954" s="48"/>
      <c r="R1954" s="48"/>
      <c r="S1954" s="2"/>
    </row>
    <row r="1955" spans="1:19" ht="12.75" customHeight="1" x14ac:dyDescent="0.2">
      <c r="A1955" s="22"/>
      <c r="B1955" s="55" t="str">
        <f>IF(A1955="","",VLOOKUP(A1955,'6.A'!$A$11:$G$180,2,FALSE))</f>
        <v/>
      </c>
      <c r="C1955" s="134"/>
      <c r="D1955" s="57" t="str">
        <f>IF(A1955="","",VLOOKUP(A1955,'6.A'!$A$11:$G$180,4,FALSE))</f>
        <v/>
      </c>
      <c r="E1955" s="100" t="str">
        <f>IF(A1955="","",VLOOKUP(A1955,'6.A'!$A$11:$G$180,5,FALSE))</f>
        <v/>
      </c>
      <c r="F1955" s="24" t="str">
        <f t="shared" si="835"/>
        <v>0,00</v>
      </c>
      <c r="G1955" s="52"/>
      <c r="H1955" s="52" t="str">
        <f>IF(A1955="","",VLOOKUP(A1955,'6.A'!$A$11:$E$7984,5,FALSE))</f>
        <v/>
      </c>
      <c r="I1955" s="52" t="str">
        <f t="shared" si="836"/>
        <v/>
      </c>
      <c r="J1955" s="52" t="str">
        <f>IF(H1955="","",VLOOKUP(A1955,'6.A'!$A$11:$E$564,4,FALSE))</f>
        <v/>
      </c>
      <c r="K1955" s="52" t="str">
        <f t="shared" si="837"/>
        <v/>
      </c>
      <c r="L1955" s="52" t="str">
        <f>IF(H1955="","",IF(C1955="","",G1936*C1955))</f>
        <v/>
      </c>
      <c r="M1955" s="117" t="str">
        <f>IF(A1955="","",VLOOKUP(A1955,'6.A'!$A$11:$C$564,2,FALSE))</f>
        <v/>
      </c>
      <c r="N1955" s="57" t="str">
        <f t="shared" si="838"/>
        <v/>
      </c>
      <c r="O1955" s="56"/>
      <c r="P1955" s="56"/>
      <c r="Q1955" s="48"/>
      <c r="R1955" s="48"/>
      <c r="S1955" s="2"/>
    </row>
    <row r="1956" spans="1:19" ht="12.75" customHeight="1" x14ac:dyDescent="0.2">
      <c r="A1956" s="22"/>
      <c r="B1956" s="23" t="str">
        <f>IF(A1956="","",VLOOKUP(A1956,'6.A'!$A$11:$G$180,2,FALSE))</f>
        <v/>
      </c>
      <c r="C1956" s="99"/>
      <c r="D1956" s="57" t="str">
        <f>IF(A1956="","",VLOOKUP(A1956,'6.A'!$A$11:$G$180,4,FALSE))</f>
        <v/>
      </c>
      <c r="E1956" s="100" t="str">
        <f>IF(A1956="","",VLOOKUP(A1956,'6.A'!$A$11:$G$180,5,FALSE))</f>
        <v/>
      </c>
      <c r="F1956" s="24" t="str">
        <f t="shared" si="835"/>
        <v>0,00</v>
      </c>
      <c r="G1956" s="52"/>
      <c r="H1956" s="52" t="str">
        <f>IF(A1956="","",VLOOKUP(A1956,'6.A'!$A$11:$E$7984,5,FALSE))</f>
        <v/>
      </c>
      <c r="I1956" s="52" t="str">
        <f t="shared" si="836"/>
        <v/>
      </c>
      <c r="J1956" s="52" t="str">
        <f>IF(H1956="","",VLOOKUP(A1956,'6.A'!$A$11:$E$564,4,FALSE))</f>
        <v/>
      </c>
      <c r="K1956" s="52" t="str">
        <f t="shared" si="837"/>
        <v/>
      </c>
      <c r="L1956" s="52" t="str">
        <f>IF(H1956="","",IF(C1956="","",G1936*C1956))</f>
        <v/>
      </c>
      <c r="M1956" s="117" t="str">
        <f>IF(A1956="","",VLOOKUP(A1956,'6.A'!$A$11:$C$564,2,FALSE))</f>
        <v/>
      </c>
      <c r="N1956" s="57" t="str">
        <f t="shared" si="838"/>
        <v/>
      </c>
      <c r="O1956" s="56"/>
      <c r="P1956" s="56"/>
      <c r="Q1956" s="48"/>
      <c r="R1956" s="48"/>
      <c r="S1956" s="2"/>
    </row>
    <row r="1957" spans="1:19" ht="12.75" customHeight="1" x14ac:dyDescent="0.2">
      <c r="A1957" s="22"/>
      <c r="B1957" s="23" t="str">
        <f>IF(A1957="","",VLOOKUP(A1957,'6.A'!$A$11:$G$180,2,FALSE))</f>
        <v/>
      </c>
      <c r="C1957" s="99"/>
      <c r="D1957" s="57" t="str">
        <f>IF(A1957="","",VLOOKUP(A1957,'6.A'!$A$11:$G$180,4,FALSE))</f>
        <v/>
      </c>
      <c r="E1957" s="100" t="str">
        <f>IF(A1957="","",VLOOKUP(A1957,'6.A'!$A$11:$G$180,5,FALSE))</f>
        <v/>
      </c>
      <c r="F1957" s="24" t="str">
        <f t="shared" si="835"/>
        <v>0,00</v>
      </c>
      <c r="G1957" s="52"/>
      <c r="H1957" s="52" t="str">
        <f>IF(A1957="","",VLOOKUP(A1957,'6.A'!$A$11:$E$7984,5,FALSE))</f>
        <v/>
      </c>
      <c r="I1957" s="52" t="str">
        <f t="shared" si="836"/>
        <v/>
      </c>
      <c r="J1957" s="52" t="str">
        <f>IF(H1957="","",VLOOKUP(A1957,'6.A'!$A$11:$E$564,4,FALSE))</f>
        <v/>
      </c>
      <c r="K1957" s="52" t="str">
        <f t="shared" si="837"/>
        <v/>
      </c>
      <c r="L1957" s="52" t="str">
        <f>IF(H1957="","",IF(C1957="","",G1936*C1957))</f>
        <v/>
      </c>
      <c r="M1957" s="117" t="str">
        <f>IF(A1957="","",VLOOKUP(A1957,'6.A'!$A$11:$C$564,2,FALSE))</f>
        <v/>
      </c>
      <c r="N1957" s="57" t="str">
        <f t="shared" si="838"/>
        <v/>
      </c>
      <c r="O1957" s="56"/>
      <c r="P1957" s="56"/>
      <c r="Q1957" s="48"/>
      <c r="R1957" s="48"/>
      <c r="S1957" s="2"/>
    </row>
    <row r="1958" spans="1:19" ht="12.75" customHeight="1" x14ac:dyDescent="0.2">
      <c r="A1958" s="22"/>
      <c r="B1958" s="23" t="str">
        <f>IF(A1958="","",VLOOKUP(A1958,'6.A'!$A$11:$G$180,2,FALSE))</f>
        <v/>
      </c>
      <c r="C1958" s="99"/>
      <c r="D1958" s="57" t="str">
        <f>IF(A1958="","",VLOOKUP(A1958,'6.A'!$A$11:$G$180,4,FALSE))</f>
        <v/>
      </c>
      <c r="E1958" s="100" t="str">
        <f>IF(A1958="","",VLOOKUP(A1958,'6.A'!$A$11:$G$180,5,FALSE))</f>
        <v/>
      </c>
      <c r="F1958" s="24" t="str">
        <f t="shared" si="835"/>
        <v>0,00</v>
      </c>
      <c r="G1958" s="52"/>
      <c r="H1958" s="52" t="str">
        <f>IF(A1958="","",VLOOKUP(A1958,'6.A'!$A$11:$E$7984,5,FALSE))</f>
        <v/>
      </c>
      <c r="I1958" s="52" t="str">
        <f t="shared" si="836"/>
        <v/>
      </c>
      <c r="J1958" s="52" t="str">
        <f>IF(H1958="","",VLOOKUP(A1958,'6.A'!$A$11:$E$564,4,FALSE))</f>
        <v/>
      </c>
      <c r="K1958" s="52" t="str">
        <f t="shared" si="837"/>
        <v/>
      </c>
      <c r="L1958" s="52" t="str">
        <f>IF(H1958="","",IF(C1958="","",G1936*C1958))</f>
        <v/>
      </c>
      <c r="M1958" s="117" t="str">
        <f>IF(A1958="","",VLOOKUP(A1958,'6.A'!$A$11:$C$564,2,FALSE))</f>
        <v/>
      </c>
      <c r="N1958" s="57" t="str">
        <f>IF(A1958="","",IF(M1958=B1958,"si","no"))</f>
        <v/>
      </c>
      <c r="O1958" s="56"/>
      <c r="P1958" s="56"/>
      <c r="Q1958" s="48"/>
      <c r="R1958" s="48"/>
      <c r="S1958" s="2"/>
    </row>
    <row r="1959" spans="1:19" ht="12.75" customHeight="1" x14ac:dyDescent="0.2">
      <c r="A1959" s="22"/>
      <c r="B1959" s="23" t="str">
        <f>IF(A1959="","",VLOOKUP(A1959,'6.A'!$A$11:$G$180,2,FALSE))</f>
        <v/>
      </c>
      <c r="C1959" s="99"/>
      <c r="D1959" s="57" t="str">
        <f>IF(A1959="","",VLOOKUP(A1959,'6.A'!$A$11:$G$180,4,FALSE))</f>
        <v/>
      </c>
      <c r="E1959" s="100" t="str">
        <f>IF(A1959="","",VLOOKUP(A1959,'6.A'!$A$11:$G$180,5,FALSE))</f>
        <v/>
      </c>
      <c r="F1959" s="24" t="str">
        <f t="shared" si="835"/>
        <v>0,00</v>
      </c>
      <c r="G1959" s="52"/>
      <c r="H1959" s="52" t="str">
        <f>IF(A1959="","",VLOOKUP(A1959,'6.A'!$A$11:$E$7984,5,FALSE))</f>
        <v/>
      </c>
      <c r="I1959" s="52" t="str">
        <f t="shared" si="836"/>
        <v/>
      </c>
      <c r="J1959" s="52" t="str">
        <f>IF(H1959="","",VLOOKUP(A1959,'6.A'!$A$11:$E$564,4,FALSE))</f>
        <v/>
      </c>
      <c r="K1959" s="52" t="str">
        <f t="shared" si="837"/>
        <v/>
      </c>
      <c r="L1959" s="52" t="str">
        <f>IF(H1959="","",IF(C1959="","",G1936*C1959))</f>
        <v/>
      </c>
      <c r="M1959" s="117" t="str">
        <f>IF(A1959="","",VLOOKUP(A1959,'6.A'!$A$11:$C$564,2,FALSE))</f>
        <v/>
      </c>
      <c r="N1959" s="57" t="str">
        <f>IF(A1959="","",IF(M1959=B1959,"si","no"))</f>
        <v/>
      </c>
      <c r="O1959" s="56"/>
      <c r="P1959" s="56"/>
      <c r="Q1959" s="48"/>
      <c r="R1959" s="48"/>
      <c r="S1959" s="2"/>
    </row>
    <row r="1960" spans="1:19" ht="12.75" customHeight="1" x14ac:dyDescent="0.2">
      <c r="A1960" s="22"/>
      <c r="B1960" s="23" t="str">
        <f>IF(A1960="","",VLOOKUP(A1960,'6.A'!$A$11:$G$180,2,FALSE))</f>
        <v/>
      </c>
      <c r="C1960" s="99"/>
      <c r="D1960" s="57" t="str">
        <f>IF(A1960="","",VLOOKUP(A1960,'6.A'!$A$11:$G$180,4,FALSE))</f>
        <v/>
      </c>
      <c r="E1960" s="100" t="str">
        <f>IF(A1960="","",VLOOKUP(A1960,'6.A'!$A$11:$G$180,5,FALSE))</f>
        <v/>
      </c>
      <c r="F1960" s="24" t="str">
        <f t="shared" si="835"/>
        <v>0,00</v>
      </c>
      <c r="G1960" s="52"/>
      <c r="H1960" s="52" t="str">
        <f>IF(A1960="","",VLOOKUP(A1960,'6.A'!$A$11:$E$7984,5,FALSE))</f>
        <v/>
      </c>
      <c r="I1960" s="52" t="str">
        <f t="shared" si="836"/>
        <v/>
      </c>
      <c r="J1960" s="52" t="str">
        <f>IF(H1960="","",VLOOKUP(A1960,'6.A'!$A$11:$E$564,4,FALSE))</f>
        <v/>
      </c>
      <c r="K1960" s="52" t="str">
        <f t="shared" si="837"/>
        <v/>
      </c>
      <c r="L1960" s="52" t="str">
        <f>IF(H1960="","",IF(C1960="","",G1936*C1960))</f>
        <v/>
      </c>
      <c r="M1960" s="117" t="str">
        <f>IF(A1960="","",VLOOKUP(A1960,'6.A'!$A$11:$C$564,2,FALSE))</f>
        <v/>
      </c>
      <c r="N1960" s="57" t="str">
        <f t="shared" ref="N1960:N1961" si="839">IF(A1960="","",IF(M1960=B1960,"si","no"))</f>
        <v/>
      </c>
      <c r="O1960" s="56"/>
      <c r="P1960" s="56"/>
      <c r="Q1960" s="48"/>
      <c r="R1960" s="48"/>
      <c r="S1960" s="2"/>
    </row>
    <row r="1961" spans="1:19" ht="12.75" customHeight="1" x14ac:dyDescent="0.2">
      <c r="A1961" s="22"/>
      <c r="B1961" s="23" t="str">
        <f>IF(A1961="","",VLOOKUP(A1961,'6.A'!$A$11:$G$180,2,FALSE))</f>
        <v/>
      </c>
      <c r="C1961" s="99"/>
      <c r="D1961" s="57" t="str">
        <f>IF(A1961="","",VLOOKUP(A1961,'6.A'!$A$11:$G$180,4,FALSE))</f>
        <v/>
      </c>
      <c r="E1961" s="100" t="str">
        <f>IF(A1961="","",VLOOKUP(A1961,'6.A'!$A$11:$G$180,5,FALSE))</f>
        <v/>
      </c>
      <c r="F1961" s="24" t="str">
        <f t="shared" si="835"/>
        <v>0,00</v>
      </c>
      <c r="G1961" s="52"/>
      <c r="H1961" s="52" t="str">
        <f>IF(A1961="","",VLOOKUP(A1961,'6.A'!$A$11:$E$7984,5,FALSE))</f>
        <v/>
      </c>
      <c r="I1961" s="52" t="str">
        <f t="shared" si="836"/>
        <v/>
      </c>
      <c r="J1961" s="52" t="str">
        <f>IF(H1961="","",VLOOKUP(A1961,'6.A'!$A$11:$E$564,4,FALSE))</f>
        <v/>
      </c>
      <c r="K1961" s="52" t="str">
        <f t="shared" si="837"/>
        <v/>
      </c>
      <c r="L1961" s="52" t="str">
        <f>IF(H1961="","",IF(C1961="","",G1936*C1961))</f>
        <v/>
      </c>
      <c r="M1961" s="117" t="str">
        <f>IF(A1961="","",VLOOKUP(A1961,'6.A'!$A$11:$C$564,2,FALSE))</f>
        <v/>
      </c>
      <c r="N1961" s="57" t="str">
        <f t="shared" si="839"/>
        <v/>
      </c>
      <c r="O1961" s="56"/>
      <c r="P1961" s="56"/>
      <c r="Q1961" s="48"/>
      <c r="R1961" s="48"/>
      <c r="S1961" s="2"/>
    </row>
    <row r="1962" spans="1:19" ht="12.75" customHeight="1" x14ac:dyDescent="0.2">
      <c r="A1962" s="22"/>
      <c r="B1962" s="26" t="str">
        <f>$A$9</f>
        <v>BDI</v>
      </c>
      <c r="C1962" s="27">
        <f>$C$9</f>
        <v>0</v>
      </c>
      <c r="D1962" s="57"/>
      <c r="F1962" s="28">
        <f>ROUND(SUM(F1952:F1961)*C1962,2)</f>
        <v>0</v>
      </c>
      <c r="G1962" s="63"/>
      <c r="M1962" s="62"/>
      <c r="N1962" s="57"/>
      <c r="O1962" s="56"/>
      <c r="P1962" s="56"/>
      <c r="Q1962" s="48"/>
      <c r="R1962" s="48"/>
      <c r="S1962" s="2"/>
    </row>
    <row r="1963" spans="1:19" ht="12.75" customHeight="1" x14ac:dyDescent="0.2">
      <c r="A1963" s="30"/>
      <c r="B1963" s="31" t="s">
        <v>117</v>
      </c>
      <c r="C1963" s="36"/>
      <c r="D1963" s="37"/>
      <c r="E1963" s="38"/>
      <c r="F1963" s="35">
        <f>ROUND(SUM(F1952:F1962),2)</f>
        <v>0</v>
      </c>
      <c r="G1963" s="63"/>
      <c r="M1963" s="62"/>
      <c r="N1963" s="57"/>
      <c r="O1963" s="56"/>
      <c r="P1963" s="56"/>
      <c r="Q1963" s="48"/>
      <c r="R1963" s="48"/>
      <c r="S1963" s="2"/>
    </row>
    <row r="1964" spans="1:19" ht="12.75" customHeight="1" x14ac:dyDescent="0.2">
      <c r="A1964" s="17" t="s">
        <v>6</v>
      </c>
      <c r="B1964" s="18" t="s">
        <v>17</v>
      </c>
      <c r="C1964" s="56" t="s">
        <v>59</v>
      </c>
      <c r="D1964" s="56" t="s">
        <v>16</v>
      </c>
      <c r="E1964" s="19" t="s">
        <v>60</v>
      </c>
      <c r="F1964" s="20" t="s">
        <v>61</v>
      </c>
      <c r="G1964" s="21"/>
      <c r="M1964" s="62"/>
      <c r="N1964" s="57"/>
      <c r="O1964" s="56"/>
      <c r="P1964" s="56"/>
      <c r="Q1964" s="48"/>
      <c r="R1964" s="48"/>
      <c r="S1964" s="2"/>
    </row>
    <row r="1965" spans="1:19" ht="12.75" customHeight="1" x14ac:dyDescent="0.2">
      <c r="A1965" s="22">
        <f>'6.A'!$A$76</f>
        <v>1000</v>
      </c>
      <c r="B1965" s="23" t="str">
        <f>IF(A1965="","",VLOOKUP(A1965,'6.A'!$A$11:$G$180,2,FALSE))</f>
        <v>CABO DE COBRE, FLEXIVEL, CLASSE 4 OU 5, ISOLACAO EM PVC/A, ANTICHAMA BWF-B, COBERTURA PVC-ST1, ANTICHAMA BWF-B, 1 CONDUTOR, 0,6/1 KV, SECAO NOMINAL 185 MM2</v>
      </c>
      <c r="C1965" s="99">
        <v>1.0149999999999999</v>
      </c>
      <c r="D1965" s="57" t="str">
        <f>IF(A1965="","",VLOOKUP(A1965,'6.A'!$A$11:$G$180,4,FALSE))</f>
        <v>M</v>
      </c>
      <c r="E1965" s="100">
        <f>IF(A1965="","",VLOOKUP(A1965,'6.A'!$A$11:$G$180,5,FALSE))</f>
        <v>0</v>
      </c>
      <c r="F1965" s="24">
        <f t="shared" ref="F1965:F1984" si="840">IF(A1965="","0,00",ROUND(C1965*E1965,2))</f>
        <v>0</v>
      </c>
      <c r="G1965" s="52"/>
      <c r="H1965" s="52">
        <f>IF(A1965="","",VLOOKUP(A1965,'6.A'!$A$11:$E$7984,5,FALSE))</f>
        <v>0</v>
      </c>
      <c r="I1965" s="52" t="str">
        <f t="shared" ref="I1965:I1984" si="841">IF(H1965="","",IF(E1965=H1965,"SIM","NÃO"))</f>
        <v>SIM</v>
      </c>
      <c r="J1965" s="52" t="str">
        <f>IF(H1965="","",VLOOKUP(A1965,'6.A'!$A$11:$E$564,4,FALSE))</f>
        <v>M</v>
      </c>
      <c r="K1965" s="52" t="str">
        <f t="shared" ref="K1965:K1984" si="842">IF(H1965="","",IF(J1965=D1965,"SIM","NÃO"))</f>
        <v>SIM</v>
      </c>
      <c r="L1965" s="52">
        <f>IF(H1965="","",IF(C1965="","",G1936*C1965))</f>
        <v>30.449999999999996</v>
      </c>
      <c r="M1965" s="117" t="str">
        <f>IF(A1965="","",VLOOKUP(A1965,'6.A'!$A$11:$C$564,2,FALSE))</f>
        <v>CABO DE COBRE, FLEXIVEL, CLASSE 4 OU 5, ISOLACAO EM PVC/A, ANTICHAMA BWF-B, COBERTURA PVC-ST1, ANTICHAMA BWF-B, 1 CONDUTOR, 0,6/1 KV, SECAO NOMINAL 185 MM2</v>
      </c>
      <c r="N1965" s="57" t="str">
        <f t="shared" ref="N1965:N1984" si="843">IF(A1965="","",IF(M1965=B1965,"si","no"))</f>
        <v>si</v>
      </c>
      <c r="O1965" s="56"/>
      <c r="P1965" s="56"/>
      <c r="Q1965" s="48"/>
      <c r="R1965" s="48"/>
      <c r="S1965" s="2"/>
    </row>
    <row r="1966" spans="1:19" ht="12.75" customHeight="1" x14ac:dyDescent="0.2">
      <c r="A1966" s="22">
        <f>'6.A'!$A$123</f>
        <v>21127</v>
      </c>
      <c r="B1966" s="23" t="str">
        <f>IF(A1966="","",VLOOKUP(A1966,'6.A'!$A$11:$G$180,2,FALSE))</f>
        <v>FITA ISOLANTE ADESIVA ANTICHAMA, USO ATE 750 V, EM ROLO DE 19 MM X 5 M</v>
      </c>
      <c r="C1966" s="99">
        <v>8.9999999999999993E-3</v>
      </c>
      <c r="D1966" s="57" t="str">
        <f>IF(A1966="","",VLOOKUP(A1966,'6.A'!$A$11:$G$180,4,FALSE))</f>
        <v>UN</v>
      </c>
      <c r="E1966" s="100">
        <f>IF(A1966="","",VLOOKUP(A1966,'6.A'!$A$11:$G$180,5,FALSE))</f>
        <v>0</v>
      </c>
      <c r="F1966" s="24">
        <f t="shared" si="840"/>
        <v>0</v>
      </c>
      <c r="G1966" s="52"/>
      <c r="H1966" s="52">
        <f>IF(A1966="","",VLOOKUP(A1966,'6.A'!$A$11:$E$7984,5,FALSE))</f>
        <v>0</v>
      </c>
      <c r="I1966" s="52" t="str">
        <f t="shared" si="841"/>
        <v>SIM</v>
      </c>
      <c r="J1966" s="52" t="str">
        <f>IF(H1966="","",VLOOKUP(A1966,'6.A'!$A$11:$E$564,4,FALSE))</f>
        <v>UN</v>
      </c>
      <c r="K1966" s="52" t="str">
        <f t="shared" si="842"/>
        <v>SIM</v>
      </c>
      <c r="L1966" s="52">
        <f>IF(H1966="","",IF(C1966="","",G1936*C1966))</f>
        <v>0.26999999999999996</v>
      </c>
      <c r="M1966" s="117" t="str">
        <f>IF(A1966="","",VLOOKUP(A1966,'6.A'!$A$11:$C$564,2,FALSE))</f>
        <v>FITA ISOLANTE ADESIVA ANTICHAMA, USO ATE 750 V, EM ROLO DE 19 MM X 5 M</v>
      </c>
      <c r="N1966" s="57" t="str">
        <f t="shared" si="843"/>
        <v>si</v>
      </c>
      <c r="O1966" s="56"/>
      <c r="P1966" s="56"/>
      <c r="Q1966" s="48"/>
      <c r="R1966" s="48"/>
      <c r="S1966" s="2"/>
    </row>
    <row r="1967" spans="1:19" ht="12.75" customHeight="1" x14ac:dyDescent="0.2">
      <c r="A1967" s="22"/>
      <c r="B1967" s="23" t="str">
        <f>IF(A1967="","",VLOOKUP(A1967,'6.A'!$A$11:$G$180,2,FALSE))</f>
        <v/>
      </c>
      <c r="C1967" s="99"/>
      <c r="D1967" s="57" t="str">
        <f>IF(A1967="","",VLOOKUP(A1967,'6.A'!$A$11:$G$180,4,FALSE))</f>
        <v/>
      </c>
      <c r="E1967" s="100" t="str">
        <f>IF(A1967="","",VLOOKUP(A1967,'6.A'!$A$11:$G$180,5,FALSE))</f>
        <v/>
      </c>
      <c r="F1967" s="24" t="str">
        <f t="shared" si="840"/>
        <v>0,00</v>
      </c>
      <c r="G1967" s="52"/>
      <c r="H1967" s="52" t="str">
        <f>IF(A1967="","",VLOOKUP(A1967,'6.A'!$A$11:$E$7984,5,FALSE))</f>
        <v/>
      </c>
      <c r="I1967" s="52" t="str">
        <f t="shared" si="841"/>
        <v/>
      </c>
      <c r="J1967" s="52" t="str">
        <f>IF(H1967="","",VLOOKUP(A1967,'6.A'!$A$11:$E$564,4,FALSE))</f>
        <v/>
      </c>
      <c r="K1967" s="52" t="str">
        <f t="shared" si="842"/>
        <v/>
      </c>
      <c r="L1967" s="52" t="str">
        <f>IF(H1967="","",IF(C1967="","",G1936*C1967))</f>
        <v/>
      </c>
      <c r="M1967" s="117" t="str">
        <f>IF(A1967="","",VLOOKUP(A1967,'6.A'!$A$11:$C$564,2,FALSE))</f>
        <v/>
      </c>
      <c r="N1967" s="57" t="str">
        <f t="shared" si="843"/>
        <v/>
      </c>
      <c r="O1967" s="56"/>
      <c r="P1967" s="56"/>
      <c r="Q1967" s="48"/>
      <c r="R1967" s="48"/>
      <c r="S1967" s="2"/>
    </row>
    <row r="1968" spans="1:19" ht="12.75" customHeight="1" x14ac:dyDescent="0.2">
      <c r="A1968" s="22"/>
      <c r="B1968" s="23" t="str">
        <f>IF(A1968="","",VLOOKUP(A1968,'6.A'!$A$11:$G$180,2,FALSE))</f>
        <v/>
      </c>
      <c r="C1968" s="99"/>
      <c r="D1968" s="57" t="str">
        <f>IF(A1968="","",VLOOKUP(A1968,'6.A'!$A$11:$G$180,4,FALSE))</f>
        <v/>
      </c>
      <c r="E1968" s="100" t="str">
        <f>IF(A1968="","",VLOOKUP(A1968,'6.A'!$A$11:$G$180,5,FALSE))</f>
        <v/>
      </c>
      <c r="F1968" s="24" t="str">
        <f t="shared" si="840"/>
        <v>0,00</v>
      </c>
      <c r="G1968" s="52"/>
      <c r="H1968" s="52" t="str">
        <f>IF(A1968="","",VLOOKUP(A1968,'6.A'!$A$11:$E$7984,5,FALSE))</f>
        <v/>
      </c>
      <c r="I1968" s="52" t="str">
        <f t="shared" si="841"/>
        <v/>
      </c>
      <c r="J1968" s="52" t="str">
        <f>IF(H1968="","",VLOOKUP(A1968,'6.A'!$A$11:$E$564,4,FALSE))</f>
        <v/>
      </c>
      <c r="K1968" s="52" t="str">
        <f t="shared" si="842"/>
        <v/>
      </c>
      <c r="L1968" s="52" t="str">
        <f>IF(H1968="","",IF(C1968="","",G1936*C1968))</f>
        <v/>
      </c>
      <c r="M1968" s="117" t="str">
        <f>IF(A1968="","",VLOOKUP(A1968,'6.A'!$A$11:$C$564,2,FALSE))</f>
        <v/>
      </c>
      <c r="N1968" s="57" t="str">
        <f t="shared" si="843"/>
        <v/>
      </c>
      <c r="O1968" s="56"/>
      <c r="P1968" s="56"/>
      <c r="Q1968" s="48"/>
      <c r="R1968" s="48"/>
      <c r="S1968" s="2"/>
    </row>
    <row r="1969" spans="1:22" ht="12.75" customHeight="1" x14ac:dyDescent="0.2">
      <c r="A1969" s="22"/>
      <c r="B1969" s="23" t="str">
        <f>IF(A1969="","",VLOOKUP(A1969,'6.A'!$A$11:$G$180,2,FALSE))</f>
        <v/>
      </c>
      <c r="C1969" s="99"/>
      <c r="D1969" s="57" t="str">
        <f>IF(A1969="","",VLOOKUP(A1969,'6.A'!$A$11:$G$180,4,FALSE))</f>
        <v/>
      </c>
      <c r="E1969" s="100" t="str">
        <f>IF(A1969="","",VLOOKUP(A1969,'6.A'!$A$11:$G$180,5,FALSE))</f>
        <v/>
      </c>
      <c r="F1969" s="24" t="str">
        <f t="shared" si="840"/>
        <v>0,00</v>
      </c>
      <c r="G1969" s="52"/>
      <c r="H1969" s="52" t="str">
        <f>IF(A1969="","",VLOOKUP(A1969,'6.A'!$A$11:$E$7984,5,FALSE))</f>
        <v/>
      </c>
      <c r="I1969" s="52" t="str">
        <f t="shared" si="841"/>
        <v/>
      </c>
      <c r="J1969" s="52" t="str">
        <f>IF(H1969="","",VLOOKUP(A1969,'6.A'!$A$11:$E$564,4,FALSE))</f>
        <v/>
      </c>
      <c r="K1969" s="52" t="str">
        <f t="shared" si="842"/>
        <v/>
      </c>
      <c r="L1969" s="52" t="str">
        <f>IF(H1969="","",IF(C1969="","",G1936*C1969))</f>
        <v/>
      </c>
      <c r="M1969" s="117" t="str">
        <f>IF(A1969="","",VLOOKUP(A1969,'6.A'!$A$11:$C$564,2,FALSE))</f>
        <v/>
      </c>
      <c r="N1969" s="57" t="str">
        <f t="shared" si="843"/>
        <v/>
      </c>
      <c r="O1969" s="56"/>
      <c r="P1969" s="56"/>
      <c r="Q1969" s="48"/>
      <c r="R1969" s="48"/>
      <c r="S1969" s="2"/>
    </row>
    <row r="1970" spans="1:22" ht="12.75" customHeight="1" x14ac:dyDescent="0.2">
      <c r="A1970" s="22"/>
      <c r="B1970" s="23" t="str">
        <f>IF(A1970="","",VLOOKUP(A1970,'6.A'!$A$11:$G$180,2,FALSE))</f>
        <v/>
      </c>
      <c r="C1970" s="99"/>
      <c r="D1970" s="57" t="str">
        <f>IF(A1970="","",VLOOKUP(A1970,'6.A'!$A$11:$G$180,4,FALSE))</f>
        <v/>
      </c>
      <c r="E1970" s="100" t="str">
        <f>IF(A1970="","",VLOOKUP(A1970,'6.A'!$A$11:$G$180,5,FALSE))</f>
        <v/>
      </c>
      <c r="F1970" s="24" t="str">
        <f t="shared" si="840"/>
        <v>0,00</v>
      </c>
      <c r="G1970" s="52"/>
      <c r="H1970" s="52" t="str">
        <f>IF(A1970="","",VLOOKUP(A1970,'6.A'!$A$11:$E$7984,5,FALSE))</f>
        <v/>
      </c>
      <c r="I1970" s="52" t="str">
        <f t="shared" si="841"/>
        <v/>
      </c>
      <c r="J1970" s="52" t="str">
        <f>IF(H1970="","",VLOOKUP(A1970,'6.A'!$A$11:$E$564,4,FALSE))</f>
        <v/>
      </c>
      <c r="K1970" s="52" t="str">
        <f t="shared" si="842"/>
        <v/>
      </c>
      <c r="L1970" s="52" t="str">
        <f>IF(H1970="","",IF(C1970="","",G1936*C1970))</f>
        <v/>
      </c>
      <c r="M1970" s="117" t="str">
        <f>IF(A1970="","",VLOOKUP(A1970,'6.A'!$A$11:$C$564,2,FALSE))</f>
        <v/>
      </c>
      <c r="N1970" s="57" t="str">
        <f t="shared" si="843"/>
        <v/>
      </c>
      <c r="O1970" s="56"/>
      <c r="P1970" s="56"/>
      <c r="Q1970" s="48"/>
      <c r="R1970" s="48"/>
      <c r="S1970" s="2"/>
    </row>
    <row r="1971" spans="1:22" ht="12.75" customHeight="1" x14ac:dyDescent="0.2">
      <c r="A1971" s="22"/>
      <c r="B1971" s="23" t="str">
        <f>IF(A1971="","",VLOOKUP(A1971,'6.A'!$A$11:$G$180,2,FALSE))</f>
        <v/>
      </c>
      <c r="C1971" s="99"/>
      <c r="D1971" s="57" t="str">
        <f>IF(A1971="","",VLOOKUP(A1971,'6.A'!$A$11:$G$180,4,FALSE))</f>
        <v/>
      </c>
      <c r="E1971" s="100" t="str">
        <f>IF(A1971="","",VLOOKUP(A1971,'6.A'!$A$11:$G$180,5,FALSE))</f>
        <v/>
      </c>
      <c r="F1971" s="24" t="str">
        <f t="shared" si="840"/>
        <v>0,00</v>
      </c>
      <c r="G1971" s="52"/>
      <c r="H1971" s="52" t="str">
        <f>IF(A1971="","",VLOOKUP(A1971,'6.A'!$A$11:$E$7984,5,FALSE))</f>
        <v/>
      </c>
      <c r="I1971" s="52" t="str">
        <f t="shared" si="841"/>
        <v/>
      </c>
      <c r="J1971" s="52" t="str">
        <f>IF(H1971="","",VLOOKUP(A1971,'6.A'!$A$11:$E$564,4,FALSE))</f>
        <v/>
      </c>
      <c r="K1971" s="52" t="str">
        <f t="shared" si="842"/>
        <v/>
      </c>
      <c r="L1971" s="52" t="str">
        <f>IF(H1971="","",IF(C1971="","",G1936*C1971))</f>
        <v/>
      </c>
      <c r="M1971" s="117" t="str">
        <f>IF(A1971="","",VLOOKUP(A1971,'6.A'!$A$11:$C$564,2,FALSE))</f>
        <v/>
      </c>
      <c r="N1971" s="57" t="str">
        <f t="shared" si="843"/>
        <v/>
      </c>
      <c r="O1971" s="56"/>
      <c r="P1971" s="56"/>
      <c r="Q1971" s="48"/>
      <c r="R1971" s="48"/>
      <c r="S1971" s="2"/>
    </row>
    <row r="1972" spans="1:22" s="65" customFormat="1" ht="12.75" customHeight="1" x14ac:dyDescent="0.2">
      <c r="A1972" s="22"/>
      <c r="B1972" s="23" t="str">
        <f>IF(A1972="","",VLOOKUP(A1972,'6.A'!$A$11:$G$180,2,FALSE))</f>
        <v/>
      </c>
      <c r="C1972" s="99"/>
      <c r="D1972" s="57" t="str">
        <f>IF(A1972="","",VLOOKUP(A1972,'6.A'!$A$11:$G$180,4,FALSE))</f>
        <v/>
      </c>
      <c r="E1972" s="100" t="str">
        <f>IF(A1972="","",VLOOKUP(A1972,'6.A'!$A$11:$G$180,5,FALSE))</f>
        <v/>
      </c>
      <c r="F1972" s="24" t="str">
        <f t="shared" si="840"/>
        <v>0,00</v>
      </c>
      <c r="G1972" s="52"/>
      <c r="H1972" s="52" t="str">
        <f>IF(A1972="","",VLOOKUP(A1972,'6.A'!$A$11:$E$7984,5,FALSE))</f>
        <v/>
      </c>
      <c r="I1972" s="52" t="str">
        <f t="shared" si="841"/>
        <v/>
      </c>
      <c r="J1972" s="52" t="str">
        <f>IF(H1972="","",VLOOKUP(A1972,'6.A'!$A$11:$E$564,4,FALSE))</f>
        <v/>
      </c>
      <c r="K1972" s="52" t="str">
        <f t="shared" si="842"/>
        <v/>
      </c>
      <c r="L1972" s="52" t="str">
        <f>IF(H1972="","",IF(C1972="","",G1936*C1972))</f>
        <v/>
      </c>
      <c r="M1972" s="117" t="str">
        <f>IF(A1972="","",VLOOKUP(A1972,'6.A'!$A$11:$C$564,2,FALSE))</f>
        <v/>
      </c>
      <c r="N1972" s="57" t="str">
        <f t="shared" si="843"/>
        <v/>
      </c>
      <c r="O1972" s="56"/>
      <c r="P1972" s="56"/>
      <c r="Q1972" s="48"/>
      <c r="R1972" s="48"/>
      <c r="T1972" s="2"/>
      <c r="U1972" s="2"/>
      <c r="V1972" s="2"/>
    </row>
    <row r="1973" spans="1:22" s="65" customFormat="1" ht="12.75" customHeight="1" x14ac:dyDescent="0.2">
      <c r="A1973" s="22"/>
      <c r="B1973" s="23" t="str">
        <f>IF(A1973="","",VLOOKUP(A1973,'6.A'!$A$11:$G$180,2,FALSE))</f>
        <v/>
      </c>
      <c r="C1973" s="99"/>
      <c r="D1973" s="57" t="str">
        <f>IF(A1973="","",VLOOKUP(A1973,'6.A'!$A$11:$G$180,4,FALSE))</f>
        <v/>
      </c>
      <c r="E1973" s="100" t="str">
        <f>IF(A1973="","",VLOOKUP(A1973,'6.A'!$A$11:$G$180,5,FALSE))</f>
        <v/>
      </c>
      <c r="F1973" s="24" t="str">
        <f t="shared" si="840"/>
        <v>0,00</v>
      </c>
      <c r="G1973" s="52"/>
      <c r="H1973" s="52" t="str">
        <f>IF(A1973="","",VLOOKUP(A1973,'6.A'!$A$11:$E$7984,5,FALSE))</f>
        <v/>
      </c>
      <c r="I1973" s="52" t="str">
        <f t="shared" si="841"/>
        <v/>
      </c>
      <c r="J1973" s="52" t="str">
        <f>IF(H1973="","",VLOOKUP(A1973,'6.A'!$A$11:$E$564,4,FALSE))</f>
        <v/>
      </c>
      <c r="K1973" s="52" t="str">
        <f t="shared" si="842"/>
        <v/>
      </c>
      <c r="L1973" s="52" t="str">
        <f>IF(H1973="","",IF(C1973="","",G1936*C1973))</f>
        <v/>
      </c>
      <c r="M1973" s="117" t="str">
        <f>IF(A1973="","",VLOOKUP(A1973,'6.A'!$A$11:$C$564,2,FALSE))</f>
        <v/>
      </c>
      <c r="N1973" s="57" t="str">
        <f t="shared" si="843"/>
        <v/>
      </c>
      <c r="O1973" s="56"/>
      <c r="P1973" s="56"/>
      <c r="Q1973" s="48"/>
      <c r="R1973" s="48"/>
      <c r="T1973" s="2"/>
      <c r="U1973" s="2"/>
      <c r="V1973" s="2"/>
    </row>
    <row r="1974" spans="1:22" s="65" customFormat="1" ht="12.75" customHeight="1" x14ac:dyDescent="0.2">
      <c r="A1974" s="22"/>
      <c r="B1974" s="23" t="str">
        <f>IF(A1974="","",VLOOKUP(A1974,'6.A'!$A$11:$G$180,2,FALSE))</f>
        <v/>
      </c>
      <c r="C1974" s="99"/>
      <c r="D1974" s="57" t="str">
        <f>IF(A1974="","",VLOOKUP(A1974,'6.A'!$A$11:$G$180,4,FALSE))</f>
        <v/>
      </c>
      <c r="E1974" s="100" t="str">
        <f>IF(A1974="","",VLOOKUP(A1974,'6.A'!$A$11:$G$180,5,FALSE))</f>
        <v/>
      </c>
      <c r="F1974" s="24" t="str">
        <f t="shared" si="840"/>
        <v>0,00</v>
      </c>
      <c r="G1974" s="52"/>
      <c r="H1974" s="52" t="str">
        <f>IF(A1974="","",VLOOKUP(A1974,'6.A'!$A$11:$E$7984,5,FALSE))</f>
        <v/>
      </c>
      <c r="I1974" s="52" t="str">
        <f t="shared" si="841"/>
        <v/>
      </c>
      <c r="J1974" s="52" t="str">
        <f>IF(H1974="","",VLOOKUP(A1974,'6.A'!$A$11:$E$564,4,FALSE))</f>
        <v/>
      </c>
      <c r="K1974" s="52" t="str">
        <f t="shared" si="842"/>
        <v/>
      </c>
      <c r="L1974" s="52" t="str">
        <f>IF(H1974="","",IF(C1974="","",G1936*C1974))</f>
        <v/>
      </c>
      <c r="M1974" s="117" t="str">
        <f>IF(A1974="","",VLOOKUP(A1974,'6.A'!$A$11:$C$564,2,FALSE))</f>
        <v/>
      </c>
      <c r="N1974" s="57" t="str">
        <f t="shared" si="843"/>
        <v/>
      </c>
      <c r="O1974" s="56"/>
      <c r="P1974" s="56"/>
      <c r="Q1974" s="48"/>
      <c r="R1974" s="48"/>
      <c r="T1974" s="2"/>
      <c r="U1974" s="2"/>
      <c r="V1974" s="2"/>
    </row>
    <row r="1975" spans="1:22" s="65" customFormat="1" ht="12.75" customHeight="1" x14ac:dyDescent="0.2">
      <c r="A1975" s="22"/>
      <c r="B1975" s="23" t="str">
        <f>IF(A1975="","",VLOOKUP(A1975,'6.A'!$A$11:$G$180,2,FALSE))</f>
        <v/>
      </c>
      <c r="C1975" s="99"/>
      <c r="D1975" s="57" t="str">
        <f>IF(A1975="","",VLOOKUP(A1975,'6.A'!$A$11:$G$180,4,FALSE))</f>
        <v/>
      </c>
      <c r="E1975" s="100" t="str">
        <f>IF(A1975="","",VLOOKUP(A1975,'6.A'!$A$11:$G$180,5,FALSE))</f>
        <v/>
      </c>
      <c r="F1975" s="24" t="str">
        <f t="shared" si="840"/>
        <v>0,00</v>
      </c>
      <c r="G1975" s="52"/>
      <c r="H1975" s="52" t="str">
        <f>IF(A1975="","",VLOOKUP(A1975,'6.A'!$A$11:$E$7984,5,FALSE))</f>
        <v/>
      </c>
      <c r="I1975" s="52" t="str">
        <f t="shared" si="841"/>
        <v/>
      </c>
      <c r="J1975" s="52" t="str">
        <f>IF(H1975="","",VLOOKUP(A1975,'6.A'!$A$11:$E$564,4,FALSE))</f>
        <v/>
      </c>
      <c r="K1975" s="52" t="str">
        <f t="shared" si="842"/>
        <v/>
      </c>
      <c r="L1975" s="52" t="str">
        <f>IF(H1975="","",IF(C1975="","",G1936*C1975))</f>
        <v/>
      </c>
      <c r="M1975" s="117" t="str">
        <f>IF(A1975="","",VLOOKUP(A1975,'6.A'!$A$11:$C$564,2,FALSE))</f>
        <v/>
      </c>
      <c r="N1975" s="57" t="str">
        <f t="shared" si="843"/>
        <v/>
      </c>
      <c r="O1975" s="56"/>
      <c r="P1975" s="56"/>
      <c r="Q1975" s="48"/>
      <c r="R1975" s="48"/>
      <c r="T1975" s="2"/>
      <c r="U1975" s="2"/>
      <c r="V1975" s="2"/>
    </row>
    <row r="1976" spans="1:22" ht="12.75" customHeight="1" x14ac:dyDescent="0.2">
      <c r="A1976" s="22"/>
      <c r="B1976" s="23" t="str">
        <f>IF(A1976="","",VLOOKUP(A1976,'6.A'!$A$11:$G$180,2,FALSE))</f>
        <v/>
      </c>
      <c r="C1976" s="99"/>
      <c r="D1976" s="57" t="str">
        <f>IF(A1976="","",VLOOKUP(A1976,'6.A'!$A$11:$G$180,4,FALSE))</f>
        <v/>
      </c>
      <c r="E1976" s="100" t="str">
        <f>IF(A1976="","",VLOOKUP(A1976,'6.A'!$A$11:$G$180,5,FALSE))</f>
        <v/>
      </c>
      <c r="F1976" s="24" t="str">
        <f t="shared" si="840"/>
        <v>0,00</v>
      </c>
      <c r="G1976" s="52"/>
      <c r="H1976" s="52" t="str">
        <f>IF(A1976="","",VLOOKUP(A1976,'6.A'!$A$11:$E$7984,5,FALSE))</f>
        <v/>
      </c>
      <c r="I1976" s="52" t="str">
        <f t="shared" si="841"/>
        <v/>
      </c>
      <c r="J1976" s="52" t="str">
        <f>IF(H1976="","",VLOOKUP(A1976,'6.A'!$A$11:$E$564,4,FALSE))</f>
        <v/>
      </c>
      <c r="K1976" s="52" t="str">
        <f t="shared" si="842"/>
        <v/>
      </c>
      <c r="L1976" s="52" t="str">
        <f>IF(H1976="","",IF(C1976="","",G1936*C1976))</f>
        <v/>
      </c>
      <c r="M1976" s="117" t="str">
        <f>IF(A1976="","",VLOOKUP(A1976,'6.A'!$A$11:$C$564,2,FALSE))</f>
        <v/>
      </c>
      <c r="N1976" s="57" t="str">
        <f t="shared" si="843"/>
        <v/>
      </c>
      <c r="O1976" s="56"/>
      <c r="P1976" s="56"/>
      <c r="Q1976" s="48"/>
      <c r="R1976" s="48"/>
    </row>
    <row r="1977" spans="1:22" ht="12.75" customHeight="1" x14ac:dyDescent="0.2">
      <c r="A1977" s="22"/>
      <c r="B1977" s="23" t="str">
        <f>IF(A1977="","",VLOOKUP(A1977,'6.A'!$A$11:$G$180,2,FALSE))</f>
        <v/>
      </c>
      <c r="C1977" s="99"/>
      <c r="D1977" s="57" t="str">
        <f>IF(A1977="","",VLOOKUP(A1977,'6.A'!$A$11:$G$180,4,FALSE))</f>
        <v/>
      </c>
      <c r="E1977" s="100" t="str">
        <f>IF(A1977="","",VLOOKUP(A1977,'6.A'!$A$11:$G$180,5,FALSE))</f>
        <v/>
      </c>
      <c r="F1977" s="24" t="str">
        <f t="shared" si="840"/>
        <v>0,00</v>
      </c>
      <c r="G1977" s="52"/>
      <c r="H1977" s="52" t="str">
        <f>IF(A1977="","",VLOOKUP(A1977,'6.A'!$A$11:$E$7984,5,FALSE))</f>
        <v/>
      </c>
      <c r="I1977" s="52" t="str">
        <f t="shared" si="841"/>
        <v/>
      </c>
      <c r="J1977" s="52" t="str">
        <f>IF(H1977="","",VLOOKUP(A1977,'6.A'!$A$11:$E$564,4,FALSE))</f>
        <v/>
      </c>
      <c r="K1977" s="52" t="str">
        <f t="shared" si="842"/>
        <v/>
      </c>
      <c r="L1977" s="52" t="str">
        <f>IF(H1977="","",IF(C1977="","",G1936*C1977))</f>
        <v/>
      </c>
      <c r="M1977" s="117" t="str">
        <f>IF(A1977="","",VLOOKUP(A1977,'6.A'!$A$11:$C$564,2,FALSE))</f>
        <v/>
      </c>
      <c r="N1977" s="57" t="str">
        <f t="shared" si="843"/>
        <v/>
      </c>
      <c r="O1977" s="56"/>
      <c r="P1977" s="56"/>
      <c r="Q1977" s="48"/>
      <c r="R1977" s="48"/>
    </row>
    <row r="1978" spans="1:22" ht="12.75" customHeight="1" x14ac:dyDescent="0.2">
      <c r="A1978" s="22"/>
      <c r="B1978" s="23" t="str">
        <f>IF(A1978="","",VLOOKUP(A1978,'6.A'!$A$11:$G$180,2,FALSE))</f>
        <v/>
      </c>
      <c r="C1978" s="99"/>
      <c r="D1978" s="57" t="str">
        <f>IF(A1978="","",VLOOKUP(A1978,'6.A'!$A$11:$G$180,4,FALSE))</f>
        <v/>
      </c>
      <c r="E1978" s="100" t="str">
        <f>IF(A1978="","",VLOOKUP(A1978,'6.A'!$A$11:$G$180,5,FALSE))</f>
        <v/>
      </c>
      <c r="F1978" s="24" t="str">
        <f t="shared" si="840"/>
        <v>0,00</v>
      </c>
      <c r="G1978" s="52"/>
      <c r="H1978" s="52" t="str">
        <f>IF(A1978="","",VLOOKUP(A1978,'6.A'!$A$11:$E$7984,5,FALSE))</f>
        <v/>
      </c>
      <c r="I1978" s="52" t="str">
        <f t="shared" si="841"/>
        <v/>
      </c>
      <c r="J1978" s="52" t="str">
        <f>IF(H1978="","",VLOOKUP(A1978,'6.A'!$A$11:$E$564,4,FALSE))</f>
        <v/>
      </c>
      <c r="K1978" s="52" t="str">
        <f t="shared" si="842"/>
        <v/>
      </c>
      <c r="L1978" s="52" t="str">
        <f>IF(H1978="","",IF(C1978="","",G1936*C1978))</f>
        <v/>
      </c>
      <c r="M1978" s="117" t="str">
        <f>IF(A1978="","",VLOOKUP(A1978,'6.A'!$A$11:$C$564,2,FALSE))</f>
        <v/>
      </c>
      <c r="N1978" s="57" t="str">
        <f t="shared" si="843"/>
        <v/>
      </c>
      <c r="O1978" s="56"/>
      <c r="P1978" s="56"/>
      <c r="Q1978" s="48"/>
      <c r="R1978" s="48"/>
    </row>
    <row r="1979" spans="1:22" ht="12.75" customHeight="1" x14ac:dyDescent="0.2">
      <c r="A1979" s="22"/>
      <c r="B1979" s="23" t="str">
        <f>IF(A1979="","",VLOOKUP(A1979,'6.A'!$A$11:$G$180,2,FALSE))</f>
        <v/>
      </c>
      <c r="C1979" s="99"/>
      <c r="D1979" s="57" t="str">
        <f>IF(A1979="","",VLOOKUP(A1979,'6.A'!$A$11:$G$180,4,FALSE))</f>
        <v/>
      </c>
      <c r="E1979" s="100" t="str">
        <f>IF(A1979="","",VLOOKUP(A1979,'6.A'!$A$11:$G$180,5,FALSE))</f>
        <v/>
      </c>
      <c r="F1979" s="24" t="str">
        <f t="shared" si="840"/>
        <v>0,00</v>
      </c>
      <c r="G1979" s="52"/>
      <c r="H1979" s="52" t="str">
        <f>IF(A1979="","",VLOOKUP(A1979,'6.A'!$A$11:$E$7984,5,FALSE))</f>
        <v/>
      </c>
      <c r="I1979" s="52" t="str">
        <f t="shared" si="841"/>
        <v/>
      </c>
      <c r="J1979" s="52" t="str">
        <f>IF(H1979="","",VLOOKUP(A1979,'6.A'!$A$11:$E$564,4,FALSE))</f>
        <v/>
      </c>
      <c r="K1979" s="52" t="str">
        <f t="shared" si="842"/>
        <v/>
      </c>
      <c r="L1979" s="52" t="str">
        <f>IF(H1979="","",IF(C1979="","",G1936*C1979))</f>
        <v/>
      </c>
      <c r="M1979" s="117" t="str">
        <f>IF(A1979="","",VLOOKUP(A1979,'6.A'!$A$11:$C$564,2,FALSE))</f>
        <v/>
      </c>
      <c r="N1979" s="57" t="str">
        <f t="shared" si="843"/>
        <v/>
      </c>
      <c r="O1979" s="56"/>
      <c r="P1979" s="56"/>
      <c r="Q1979" s="48"/>
      <c r="R1979" s="48"/>
    </row>
    <row r="1980" spans="1:22" ht="12.75" customHeight="1" x14ac:dyDescent="0.2">
      <c r="A1980" s="22"/>
      <c r="B1980" s="23" t="str">
        <f>IF(A1980="","",VLOOKUP(A1980,'6.A'!$A$11:$G$180,2,FALSE))</f>
        <v/>
      </c>
      <c r="C1980" s="99"/>
      <c r="D1980" s="57" t="str">
        <f>IF(A1980="","",VLOOKUP(A1980,'6.A'!$A$11:$G$180,4,FALSE))</f>
        <v/>
      </c>
      <c r="E1980" s="100" t="str">
        <f>IF(A1980="","",VLOOKUP(A1980,'6.A'!$A$11:$G$180,5,FALSE))</f>
        <v/>
      </c>
      <c r="F1980" s="24" t="str">
        <f t="shared" si="840"/>
        <v>0,00</v>
      </c>
      <c r="G1980" s="52"/>
      <c r="H1980" s="52" t="str">
        <f>IF(A1980="","",VLOOKUP(A1980,'6.A'!$A$11:$E$7984,5,FALSE))</f>
        <v/>
      </c>
      <c r="I1980" s="52" t="str">
        <f t="shared" si="841"/>
        <v/>
      </c>
      <c r="J1980" s="52" t="str">
        <f>IF(H1980="","",VLOOKUP(A1980,'6.A'!$A$11:$E$564,4,FALSE))</f>
        <v/>
      </c>
      <c r="K1980" s="52" t="str">
        <f t="shared" si="842"/>
        <v/>
      </c>
      <c r="L1980" s="52" t="str">
        <f>IF(H1980="","",IF(C1980="","",G1936*C1980))</f>
        <v/>
      </c>
      <c r="M1980" s="117" t="str">
        <f>IF(A1980="","",VLOOKUP(A1980,'6.A'!$A$11:$C$564,2,FALSE))</f>
        <v/>
      </c>
      <c r="N1980" s="57" t="str">
        <f t="shared" si="843"/>
        <v/>
      </c>
      <c r="O1980" s="56"/>
      <c r="P1980" s="56"/>
      <c r="Q1980" s="48"/>
      <c r="R1980" s="48"/>
    </row>
    <row r="1981" spans="1:22" ht="12.75" customHeight="1" x14ac:dyDescent="0.2">
      <c r="A1981" s="22"/>
      <c r="B1981" s="23" t="str">
        <f>IF(A1981="","",VLOOKUP(A1981,'6.A'!$A$11:$G$180,2,FALSE))</f>
        <v/>
      </c>
      <c r="C1981" s="99"/>
      <c r="D1981" s="57" t="str">
        <f>IF(A1981="","",VLOOKUP(A1981,'6.A'!$A$11:$G$180,4,FALSE))</f>
        <v/>
      </c>
      <c r="E1981" s="100" t="str">
        <f>IF(A1981="","",VLOOKUP(A1981,'6.A'!$A$11:$G$180,5,FALSE))</f>
        <v/>
      </c>
      <c r="F1981" s="24" t="str">
        <f t="shared" si="840"/>
        <v>0,00</v>
      </c>
      <c r="G1981" s="52"/>
      <c r="H1981" s="52" t="str">
        <f>IF(A1981="","",VLOOKUP(A1981,'6.A'!$A$11:$E$7984,5,FALSE))</f>
        <v/>
      </c>
      <c r="I1981" s="52" t="str">
        <f t="shared" si="841"/>
        <v/>
      </c>
      <c r="J1981" s="52" t="str">
        <f>IF(H1981="","",VLOOKUP(A1981,'6.A'!$A$11:$E$564,4,FALSE))</f>
        <v/>
      </c>
      <c r="K1981" s="52" t="str">
        <f t="shared" si="842"/>
        <v/>
      </c>
      <c r="L1981" s="52" t="str">
        <f>IF(H1981="","",IF(C1981="","",G1936*C1981))</f>
        <v/>
      </c>
      <c r="M1981" s="117" t="str">
        <f>IF(A1981="","",VLOOKUP(A1981,'6.A'!$A$11:$C$564,2,FALSE))</f>
        <v/>
      </c>
      <c r="N1981" s="57" t="str">
        <f t="shared" si="843"/>
        <v/>
      </c>
      <c r="O1981" s="56"/>
      <c r="P1981" s="56"/>
      <c r="Q1981" s="48"/>
      <c r="R1981" s="48"/>
    </row>
    <row r="1982" spans="1:22" ht="12.75" customHeight="1" x14ac:dyDescent="0.2">
      <c r="A1982" s="22"/>
      <c r="B1982" s="39" t="str">
        <f>IF(A1982="","",VLOOKUP(A1982,'6.A'!$A$11:$G$180,2,FALSE))</f>
        <v/>
      </c>
      <c r="C1982" s="99"/>
      <c r="D1982" s="57" t="str">
        <f>IF(A1982="","",VLOOKUP(A1982,'6.A'!$A$11:$G$180,4,FALSE))</f>
        <v/>
      </c>
      <c r="E1982" s="100" t="str">
        <f>IF(A1982="","",VLOOKUP(A1982,'6.A'!$A$11:$G$180,5,FALSE))</f>
        <v/>
      </c>
      <c r="F1982" s="24" t="str">
        <f t="shared" si="840"/>
        <v>0,00</v>
      </c>
      <c r="G1982" s="52"/>
      <c r="H1982" s="52" t="str">
        <f>IF(A1982="","",VLOOKUP(A1982,'6.A'!$A$11:$E$7984,5,FALSE))</f>
        <v/>
      </c>
      <c r="I1982" s="52" t="str">
        <f t="shared" si="841"/>
        <v/>
      </c>
      <c r="J1982" s="52" t="str">
        <f>IF(H1982="","",VLOOKUP(A1982,'6.A'!$A$11:$E$564,4,FALSE))</f>
        <v/>
      </c>
      <c r="K1982" s="52" t="str">
        <f t="shared" si="842"/>
        <v/>
      </c>
      <c r="L1982" s="52" t="str">
        <f>IF(H1982="","",IF(C1982="","",G1936*C1982))</f>
        <v/>
      </c>
      <c r="M1982" s="117" t="str">
        <f>IF(A1982="","",VLOOKUP(A1982,'6.A'!$A$11:$C$564,2,FALSE))</f>
        <v/>
      </c>
      <c r="N1982" s="57" t="str">
        <f t="shared" si="843"/>
        <v/>
      </c>
      <c r="O1982" s="56"/>
      <c r="P1982" s="56"/>
      <c r="Q1982" s="48"/>
      <c r="R1982" s="48"/>
    </row>
    <row r="1983" spans="1:22" ht="12.75" customHeight="1" x14ac:dyDescent="0.2">
      <c r="A1983" s="22"/>
      <c r="B1983" s="39" t="str">
        <f>IF(A1983="","",VLOOKUP(A1983,'6.A'!$A$11:$G$180,2,FALSE))</f>
        <v/>
      </c>
      <c r="C1983" s="99"/>
      <c r="D1983" s="57" t="str">
        <f>IF(A1983="","",VLOOKUP(A1983,'6.A'!$A$11:$G$180,4,FALSE))</f>
        <v/>
      </c>
      <c r="E1983" s="100" t="str">
        <f>IF(A1983="","",VLOOKUP(A1983,'6.A'!$A$11:$G$180,5,FALSE))</f>
        <v/>
      </c>
      <c r="F1983" s="24" t="str">
        <f t="shared" si="840"/>
        <v>0,00</v>
      </c>
      <c r="G1983" s="52"/>
      <c r="H1983" s="52" t="str">
        <f>IF(A1983="","",VLOOKUP(A1983,'6.A'!$A$11:$E$7984,5,FALSE))</f>
        <v/>
      </c>
      <c r="I1983" s="52" t="str">
        <f t="shared" si="841"/>
        <v/>
      </c>
      <c r="J1983" s="52" t="str">
        <f>IF(H1983="","",VLOOKUP(A1983,'6.A'!$A$11:$E$564,4,FALSE))</f>
        <v/>
      </c>
      <c r="K1983" s="52" t="str">
        <f t="shared" si="842"/>
        <v/>
      </c>
      <c r="L1983" s="52" t="str">
        <f>IF(H1983="","",IF(C1983="","",G1936*C1983))</f>
        <v/>
      </c>
      <c r="M1983" s="117" t="str">
        <f>IF(A1983="","",VLOOKUP(A1983,'6.A'!$A$11:$C$564,2,FALSE))</f>
        <v/>
      </c>
      <c r="N1983" s="57" t="str">
        <f t="shared" si="843"/>
        <v/>
      </c>
      <c r="O1983" s="56"/>
      <c r="P1983" s="56"/>
      <c r="Q1983" s="48"/>
      <c r="R1983" s="48"/>
    </row>
    <row r="1984" spans="1:22" ht="12.75" customHeight="1" x14ac:dyDescent="0.2">
      <c r="A1984" s="22"/>
      <c r="B1984" s="39" t="str">
        <f>IF(A1984="","",VLOOKUP(A1984,'6.A'!$A$11:$G$180,2,FALSE))</f>
        <v/>
      </c>
      <c r="C1984" s="99"/>
      <c r="D1984" s="57" t="str">
        <f>IF(A1984="","",VLOOKUP(A1984,'6.A'!$A$11:$G$180,4,FALSE))</f>
        <v/>
      </c>
      <c r="E1984" s="100" t="str">
        <f>IF(A1984="","",VLOOKUP(A1984,'6.A'!$A$11:$G$180,5,FALSE))</f>
        <v/>
      </c>
      <c r="F1984" s="24" t="str">
        <f t="shared" si="840"/>
        <v>0,00</v>
      </c>
      <c r="G1984" s="52"/>
      <c r="H1984" s="52" t="str">
        <f>IF(A1984="","",VLOOKUP(A1984,'6.A'!$A$11:$E$7984,5,FALSE))</f>
        <v/>
      </c>
      <c r="I1984" s="52" t="str">
        <f t="shared" si="841"/>
        <v/>
      </c>
      <c r="J1984" s="52" t="str">
        <f>IF(H1984="","",VLOOKUP(A1984,'6.A'!$A$11:$E$564,4,FALSE))</f>
        <v/>
      </c>
      <c r="K1984" s="52" t="str">
        <f t="shared" si="842"/>
        <v/>
      </c>
      <c r="L1984" s="52" t="str">
        <f>IF(H1984="","",IF(C1984="","",G1936*C1984))</f>
        <v/>
      </c>
      <c r="M1984" s="117" t="str">
        <f>IF(A1984="","",VLOOKUP(A1984,'6.A'!$A$11:$C$564,2,FALSE))</f>
        <v/>
      </c>
      <c r="N1984" s="57" t="str">
        <f t="shared" si="843"/>
        <v/>
      </c>
      <c r="O1984" s="56"/>
      <c r="P1984" s="56"/>
      <c r="Q1984" s="48"/>
      <c r="R1984" s="48"/>
    </row>
    <row r="1985" spans="1:23" ht="12.75" customHeight="1" x14ac:dyDescent="0.2">
      <c r="A1985" s="22"/>
      <c r="B1985" s="26" t="str">
        <f>$A$9</f>
        <v>BDI</v>
      </c>
      <c r="C1985" s="40">
        <f>$C$9</f>
        <v>0</v>
      </c>
      <c r="D1985" s="57"/>
      <c r="F1985" s="28">
        <f>ROUND(SUM(F1965:F1984)*C1985,2)</f>
        <v>0</v>
      </c>
      <c r="G1985" s="63"/>
      <c r="M1985" s="57"/>
      <c r="N1985" s="57"/>
      <c r="O1985" s="56"/>
      <c r="P1985" s="56"/>
      <c r="Q1985" s="48"/>
      <c r="R1985" s="48"/>
    </row>
    <row r="1986" spans="1:23" ht="12.75" customHeight="1" thickBot="1" x14ac:dyDescent="0.25">
      <c r="A1986" s="41"/>
      <c r="B1986" s="42" t="s">
        <v>57</v>
      </c>
      <c r="C1986" s="43"/>
      <c r="D1986" s="44"/>
      <c r="E1986" s="45"/>
      <c r="F1986" s="46">
        <f>ROUND(SUM(F1965:F1985),2)</f>
        <v>0</v>
      </c>
      <c r="G1986" s="63"/>
      <c r="M1986" s="57"/>
      <c r="N1986" s="57"/>
      <c r="O1986" s="56"/>
      <c r="P1986" s="56"/>
      <c r="Q1986" s="48"/>
      <c r="R1986" s="48"/>
    </row>
    <row r="1987" spans="1:23" ht="12" customHeight="1" thickBot="1" x14ac:dyDescent="0.25">
      <c r="A1987" s="8"/>
      <c r="B1987" s="9"/>
      <c r="C1987" s="10"/>
      <c r="D1987" s="57"/>
      <c r="F1987" s="12"/>
      <c r="M1987" s="57"/>
      <c r="N1987" s="57"/>
      <c r="O1987" s="56"/>
      <c r="P1987" s="56"/>
    </row>
    <row r="1988" spans="1:23" ht="50.1" customHeight="1" x14ac:dyDescent="0.2">
      <c r="A1988" s="13" t="str">
        <f>'3.A'!$A$140</f>
        <v>3.2.14</v>
      </c>
      <c r="B1988" s="14" t="str">
        <f>IF(A1988="","",VLOOKUP(A1988,'3.A'!$A$17:$M$279,2,FALSE))</f>
        <v>TERMINAL OU CONECTOR DE PRESSAO PARA CABO 16MM</v>
      </c>
      <c r="C1988" s="413" t="s">
        <v>62</v>
      </c>
      <c r="D1988" s="413"/>
      <c r="E1988" s="15" t="str">
        <f>IF(A1988="","",VLOOKUP(A1988,'3.A'!$A$17:$M$279,3,FALSE))</f>
        <v>UN</v>
      </c>
      <c r="F1988" s="16">
        <f>ROUND(F2002+F2015+F2038,2)</f>
        <v>0</v>
      </c>
      <c r="G1988" s="118">
        <f>VLOOKUP(A1988,'3.A'!$A$19:$I$279,4,FALSE)</f>
        <v>2</v>
      </c>
      <c r="H1988" s="47">
        <f>SUM(F1990:F2001)</f>
        <v>0</v>
      </c>
      <c r="I1988" s="47">
        <f>SUM(F2004:F2014)</f>
        <v>0</v>
      </c>
      <c r="J1988" s="47">
        <f>SUM(F2017:F2037)</f>
        <v>0</v>
      </c>
      <c r="K1988" s="47">
        <f>SUM(H1988:J1988)</f>
        <v>0</v>
      </c>
      <c r="L1988" s="47" t="str">
        <f>IF(K1988=F1988,"SIM","NÃO")</f>
        <v>SIM</v>
      </c>
      <c r="M1988" s="58">
        <f>ROUND(SUM(F1990:F1999)*C2000,2)+ROUND(SUM(F1990:F2000)*C2001,2)+ROUND(SUM(F1990:F1999),2)+ROUND(SUM(F2004:F2013)*C2014,2)+ROUND(SUM(F2004:F2013),2)+ROUND(SUM(F2017:F2036)*C2037,2)+ROUND(SUM(F2017:F2036),2)</f>
        <v>0</v>
      </c>
      <c r="N1988" s="50" t="str">
        <f>IF(M1988=F1988,"SIM","NÃO")</f>
        <v>SIM</v>
      </c>
      <c r="O1988" s="51" t="str">
        <f>VLOOKUP(A1988,'3.A'!$A$8:$E$279,3,FALSE)</f>
        <v>UN</v>
      </c>
      <c r="P1988" s="51" t="str">
        <f>IF(O1988=E1988,"SIM","NÃO")</f>
        <v>SIM</v>
      </c>
      <c r="Q1988" s="53">
        <f>ROUND(G1988*F2002,2)+ROUND(G1988*F2015,2)+ROUND(G1988*F2038,2)</f>
        <v>0</v>
      </c>
      <c r="R1988" s="59">
        <f>VLOOKUP(A1988,'3.A'!$A$17:$L$279,12,FALSE)</f>
        <v>0</v>
      </c>
      <c r="S1988" s="60" t="str">
        <f>IF(Q1988=R1988,"si","no")</f>
        <v>si</v>
      </c>
      <c r="T1988" s="61">
        <f>SUM(L1990:L1999)+SUM(L2004:L2013)+SUM(L2017:L2036)</f>
        <v>3.2</v>
      </c>
      <c r="U1988" s="52">
        <f>G1988*C1996+G1988*C1998+G1988*C1991+G1988*C1992+G1988*C1994+G1988*C1997+G1988*C1995+G1988*C1990+G1988*C1993+G1988*C1999+G1988*C2010+G1988*C2004+G1988*C2012+G1988*C2011+G1988*C2009+G1988*C2006+G1988*C2005+G1988*C2007+G1988*C2013+G1988*C2008+G1988*C2017+G1988*C2018+G1988*C2019+G1988*C2027+G1988*C2028+G1988*C2029+G1988*C2030+G1988*C2031+G1988*C2032+G1988*C2033+G1988*C2034+G1988*C2035+G1988*C2036+G1988*C2025+G1988*C2026+G1988*C2020+G1988*C2021+G1988*C2022+G1988*C2023+G1988*C2024</f>
        <v>3.2</v>
      </c>
      <c r="V1988" s="54" t="str">
        <f>IF(T1988=U1988,"si","no")</f>
        <v>si</v>
      </c>
      <c r="W1988" s="137"/>
    </row>
    <row r="1989" spans="1:23" ht="12.75" customHeight="1" x14ac:dyDescent="0.2">
      <c r="A1989" s="17" t="s">
        <v>3</v>
      </c>
      <c r="B1989" s="18" t="s">
        <v>58</v>
      </c>
      <c r="C1989" s="56" t="s">
        <v>59</v>
      </c>
      <c r="D1989" s="56" t="s">
        <v>16</v>
      </c>
      <c r="E1989" s="19" t="s">
        <v>60</v>
      </c>
      <c r="F1989" s="20" t="s">
        <v>61</v>
      </c>
      <c r="G1989" s="21"/>
      <c r="M1989" s="57"/>
      <c r="N1989" s="57"/>
      <c r="O1989" s="56"/>
      <c r="P1989" s="56"/>
      <c r="Q1989" s="48"/>
      <c r="R1989" s="48"/>
    </row>
    <row r="1990" spans="1:23" ht="12.75" customHeight="1" x14ac:dyDescent="0.2">
      <c r="A1990" s="22">
        <f>'6.A'!$A$15</f>
        <v>88247</v>
      </c>
      <c r="B1990" s="23" t="str">
        <f>IF(A1990="","",VLOOKUP(A1990,'6.A'!$A$11:$G$180,2,FALSE))</f>
        <v>AUXILIAR DE ELETRICISTA COM ENCARGOS COMPLEMENTARES</v>
      </c>
      <c r="C1990" s="99">
        <v>0.3</v>
      </c>
      <c r="D1990" s="57" t="str">
        <f>IF(A1990="","",VLOOKUP(A1990,'6.A'!$A$11:$G$180,4,FALSE))</f>
        <v>H</v>
      </c>
      <c r="E1990" s="100">
        <f>IF(A1990="","",VLOOKUP(A1990,'6.A'!$A$11:$G$180,5,FALSE))</f>
        <v>0</v>
      </c>
      <c r="F1990" s="24">
        <f t="shared" ref="F1990" si="844">IF(A1990="","0,00",ROUND(C1990*E1990,2))</f>
        <v>0</v>
      </c>
      <c r="G1990" s="52"/>
      <c r="H1990" s="52">
        <f>IF(A1990="","",VLOOKUP(A1990,'6.A'!$A$11:$E$7984,5,FALSE))</f>
        <v>0</v>
      </c>
      <c r="I1990" s="52" t="str">
        <f>IF(H1990="","",IF(E1990=H1990,"SIM","NÃO"))</f>
        <v>SIM</v>
      </c>
      <c r="J1990" s="52" t="str">
        <f>IF(H1990="","",VLOOKUP(A1990,'6.A'!$A$11:$E$564,4,FALSE))</f>
        <v>H</v>
      </c>
      <c r="K1990" s="52" t="str">
        <f>IF(H1990="","",IF(J1990=D1990,"SIM","NÃO"))</f>
        <v>SIM</v>
      </c>
      <c r="L1990" s="52">
        <f>IF(H1990="","",IF(C1990="","",G1988*C1990))</f>
        <v>0.6</v>
      </c>
      <c r="M1990" s="117" t="str">
        <f>IF(A1990="","",VLOOKUP(A1990,'6.A'!$A$11:$C$564,2,FALSE))</f>
        <v>AUXILIAR DE ELETRICISTA COM ENCARGOS COMPLEMENTARES</v>
      </c>
      <c r="N1990" s="57" t="str">
        <f>IF(A1990="","",IF(M1990=B1990,"si","no"))</f>
        <v>si</v>
      </c>
      <c r="O1990" s="56"/>
      <c r="P1990" s="56"/>
      <c r="Q1990" s="48"/>
      <c r="R1990" s="48"/>
    </row>
    <row r="1991" spans="1:23" ht="12.75" customHeight="1" x14ac:dyDescent="0.2">
      <c r="A1991" s="22">
        <f>'6.A'!$A$18</f>
        <v>88264</v>
      </c>
      <c r="B1991" s="23" t="str">
        <f>IF(A1991="","",VLOOKUP(A1991,'6.A'!$A$11:$G$180,2,FALSE))</f>
        <v>ELETRICISTA COM ENCARGOS COMPLEMENTARES</v>
      </c>
      <c r="C1991" s="99">
        <v>0.3</v>
      </c>
      <c r="D1991" s="57" t="str">
        <f>IF(A1991="","",VLOOKUP(A1991,'6.A'!$A$11:$G$180,4,FALSE))</f>
        <v>H</v>
      </c>
      <c r="E1991" s="100">
        <f>IF(A1991="","",VLOOKUP(A1991,'6.A'!$A$11:$G$180,5,FALSE))</f>
        <v>0</v>
      </c>
      <c r="F1991" s="24">
        <f>IF(A1991="","0,00",ROUND(C1991*E1991,2))</f>
        <v>0</v>
      </c>
      <c r="G1991" s="52"/>
      <c r="H1991" s="52">
        <f>IF(A1991="","",VLOOKUP(A1991,'6.A'!$A$11:$E$7984,5,FALSE))</f>
        <v>0</v>
      </c>
      <c r="I1991" s="52" t="str">
        <f>IF(H1991="","",IF(E1991=H1991,"SIM","NÃO"))</f>
        <v>SIM</v>
      </c>
      <c r="J1991" s="52" t="str">
        <f>IF(H1991="","",VLOOKUP(A1991,'6.A'!$A$11:$E$564,4,FALSE))</f>
        <v>H</v>
      </c>
      <c r="K1991" s="52" t="str">
        <f>IF(H1991="","",IF(J1991=D1991,"SIM","NÃO"))</f>
        <v>SIM</v>
      </c>
      <c r="L1991" s="52">
        <f>IF(H1991="","",IF(C1991="","",G1988*C1991))</f>
        <v>0.6</v>
      </c>
      <c r="M1991" s="117" t="str">
        <f>IF(A1991="","",VLOOKUP(A1991,'6.A'!$A$11:$C$564,2,FALSE))</f>
        <v>ELETRICISTA COM ENCARGOS COMPLEMENTARES</v>
      </c>
      <c r="N1991" s="57" t="str">
        <f>IF(A1991="","",IF(M1991=B1991,"si","no"))</f>
        <v>si</v>
      </c>
      <c r="O1991" s="56"/>
      <c r="P1991" s="56"/>
      <c r="Q1991" s="48"/>
      <c r="R1991" s="48"/>
    </row>
    <row r="1992" spans="1:23" ht="12.75" customHeight="1" x14ac:dyDescent="0.2">
      <c r="A1992" s="22"/>
      <c r="B1992" s="23" t="str">
        <f>IF(A1992="","",VLOOKUP(A1992,'6.A'!$A$11:$G$180,2,FALSE))</f>
        <v/>
      </c>
      <c r="C1992" s="99"/>
      <c r="D1992" s="57" t="str">
        <f>IF(A1992="","",VLOOKUP(A1992,'6.A'!$A$11:$G$180,4,FALSE))</f>
        <v/>
      </c>
      <c r="E1992" s="100" t="str">
        <f>IF(A1992="","",VLOOKUP(A1992,'6.A'!$A$11:$G$180,5,FALSE))</f>
        <v/>
      </c>
      <c r="F1992" s="24" t="str">
        <f t="shared" ref="F1992:F1999" si="845">IF(A1992="","0,00",ROUND(C1992*E1992,2))</f>
        <v>0,00</v>
      </c>
      <c r="G1992" s="52"/>
      <c r="H1992" s="52" t="str">
        <f>IF(A1992="","",VLOOKUP(A1992,'6.A'!$A$11:$E$7984,5,FALSE))</f>
        <v/>
      </c>
      <c r="I1992" s="52" t="str">
        <f>IF(H1992="","",IF(E1992=H1992,"SIM","NÃO"))</f>
        <v/>
      </c>
      <c r="J1992" s="52" t="str">
        <f>IF(H1992="","",VLOOKUP(A1992,'6.A'!$A$11:$E$564,4,FALSE))</f>
        <v/>
      </c>
      <c r="K1992" s="52" t="str">
        <f t="shared" ref="K1992" si="846">IF(H1992="","",IF(J1992=D1992,"SIM","NÃO"))</f>
        <v/>
      </c>
      <c r="L1992" s="52" t="str">
        <f>IF(H1992="","",IF(C1992="","",G1988*C1992))</f>
        <v/>
      </c>
      <c r="M1992" s="117" t="str">
        <f>IF(A1992="","",VLOOKUP(A1992,'6.A'!$A$11:$C$564,2,FALSE))</f>
        <v/>
      </c>
      <c r="N1992" s="57" t="str">
        <f t="shared" ref="N1992" si="847">IF(A1992="","",IF(M1992=B1992,"si","no"))</f>
        <v/>
      </c>
      <c r="O1992" s="56"/>
      <c r="P1992" s="56"/>
      <c r="Q1992" s="48"/>
      <c r="R1992" s="48"/>
      <c r="S1992" s="2"/>
    </row>
    <row r="1993" spans="1:23" ht="12.75" customHeight="1" x14ac:dyDescent="0.2">
      <c r="A1993" s="22"/>
      <c r="B1993" s="23" t="str">
        <f>IF(A1993="","",VLOOKUP(A1993,'6.A'!$A$11:$G$180,2,FALSE))</f>
        <v/>
      </c>
      <c r="C1993" s="99"/>
      <c r="D1993" s="57" t="str">
        <f>IF(A1993="","",VLOOKUP(A1993,'6.A'!$A$11:$G$180,4,FALSE))</f>
        <v/>
      </c>
      <c r="E1993" s="100" t="str">
        <f>IF(A1993="","",VLOOKUP(A1993,'6.A'!$A$11:$G$180,5,FALSE))</f>
        <v/>
      </c>
      <c r="F1993" s="24" t="str">
        <f t="shared" si="845"/>
        <v>0,00</v>
      </c>
      <c r="G1993" s="52"/>
      <c r="H1993" s="52" t="str">
        <f>IF(A1993="","",VLOOKUP(A1993,'6.A'!$A$11:$E$7984,5,FALSE))</f>
        <v/>
      </c>
      <c r="I1993" s="52" t="str">
        <f>IF(H1993="","",IF(E1993=H1993,"SIM","NÃO"))</f>
        <v/>
      </c>
      <c r="J1993" s="52" t="str">
        <f>IF(H1993="","",VLOOKUP(A1993,'6.A'!$A$11:$E$564,4,FALSE))</f>
        <v/>
      </c>
      <c r="K1993" s="52" t="str">
        <f>IF(H1993="","",IF(J1993=D1993,"SIM","NÃO"))</f>
        <v/>
      </c>
      <c r="L1993" s="52" t="str">
        <f>IF(H1993="","",IF(C1993="","",G1988*C1993))</f>
        <v/>
      </c>
      <c r="M1993" s="117" t="str">
        <f>IF(A1993="","",VLOOKUP(A1993,'6.A'!$A$11:$C$564,2,FALSE))</f>
        <v/>
      </c>
      <c r="N1993" s="57" t="str">
        <f>IF(A1993="","",IF(M1993=B1993,"si","no"))</f>
        <v/>
      </c>
      <c r="O1993" s="56"/>
      <c r="P1993" s="56"/>
      <c r="Q1993" s="48"/>
      <c r="R1993" s="48"/>
      <c r="S1993" s="2"/>
    </row>
    <row r="1994" spans="1:23" ht="12.75" customHeight="1" x14ac:dyDescent="0.2">
      <c r="A1994" s="22"/>
      <c r="B1994" s="23" t="str">
        <f>IF(A1994="","",VLOOKUP(A1994,'6.A'!$A$11:$G$180,2,FALSE))</f>
        <v/>
      </c>
      <c r="C1994" s="99"/>
      <c r="D1994" s="57" t="str">
        <f>IF(A1994="","",VLOOKUP(A1994,'6.A'!$A$11:$G$180,4,FALSE))</f>
        <v/>
      </c>
      <c r="E1994" s="101" t="str">
        <f>IF(A1994="","",VLOOKUP(A1994,'6.A'!$A$11:$G$180,5,FALSE))</f>
        <v/>
      </c>
      <c r="F1994" s="24" t="str">
        <f t="shared" si="845"/>
        <v>0,00</v>
      </c>
      <c r="G1994" s="52"/>
      <c r="H1994" s="52" t="str">
        <f>IF(A1994="","",VLOOKUP(A1994,'6.A'!$A$11:$E$7984,5,FALSE))</f>
        <v/>
      </c>
      <c r="I1994" s="52" t="str">
        <f t="shared" ref="I1994" si="848">IF(H1994="","",IF(E1994=H1994,"SIM","NÃO"))</f>
        <v/>
      </c>
      <c r="J1994" s="52" t="str">
        <f>IF(H1994="","",VLOOKUP(A1994,'6.A'!$A$11:$E$564,4,FALSE))</f>
        <v/>
      </c>
      <c r="K1994" s="52" t="str">
        <f t="shared" ref="K1994" si="849">IF(H1994="","",IF(J1994=D1994,"SIM","NÃO"))</f>
        <v/>
      </c>
      <c r="L1994" s="52" t="str">
        <f>IF(H1994="","",IF(C1994="","",G1988*C1994))</f>
        <v/>
      </c>
      <c r="M1994" s="117" t="str">
        <f>IF(A1994="","",VLOOKUP(A1994,'6.A'!$A$11:$C$564,2,FALSE))</f>
        <v/>
      </c>
      <c r="N1994" s="57" t="str">
        <f t="shared" ref="N1994" si="850">IF(A1994="","",IF(M1994=B1994,"si","no"))</f>
        <v/>
      </c>
      <c r="O1994" s="56"/>
      <c r="P1994" s="56"/>
      <c r="Q1994" s="48"/>
      <c r="R1994" s="48"/>
      <c r="S1994" s="2"/>
    </row>
    <row r="1995" spans="1:23" ht="12.75" customHeight="1" x14ac:dyDescent="0.2">
      <c r="A1995" s="22"/>
      <c r="B1995" s="23" t="str">
        <f>IF(A1995="","",VLOOKUP(A1995,'6.A'!$A$11:$G$180,2,FALSE))</f>
        <v/>
      </c>
      <c r="C1995" s="99"/>
      <c r="D1995" s="57" t="str">
        <f>IF(A1995="","",VLOOKUP(A1995,'6.A'!$A$11:$G$180,4,FALSE))</f>
        <v/>
      </c>
      <c r="E1995" s="101" t="str">
        <f>IF(A1995="","",VLOOKUP(A1995,'6.A'!$A$11:$G$180,5,FALSE))</f>
        <v/>
      </c>
      <c r="F1995" s="24" t="str">
        <f t="shared" si="845"/>
        <v>0,00</v>
      </c>
      <c r="G1995" s="52"/>
      <c r="H1995" s="52" t="str">
        <f>IF(A1995="","",VLOOKUP(A1995,'6.A'!$A$11:$E$7984,5,FALSE))</f>
        <v/>
      </c>
      <c r="I1995" s="52" t="str">
        <f>IF(H1995="","",IF(E1995=H1995,"SIM","NÃO"))</f>
        <v/>
      </c>
      <c r="J1995" s="52" t="str">
        <f>IF(H1995="","",VLOOKUP(A1995,'6.A'!$A$11:$E$564,4,FALSE))</f>
        <v/>
      </c>
      <c r="K1995" s="52" t="str">
        <f>IF(H1995="","",IF(J1995=D1995,"SIM","NÃO"))</f>
        <v/>
      </c>
      <c r="L1995" s="52" t="str">
        <f>IF(H1995="","",IF(C1995="","",G1988*C1995))</f>
        <v/>
      </c>
      <c r="M1995" s="117" t="str">
        <f>IF(A1995="","",VLOOKUP(A1995,'6.A'!$A$11:$C$564,2,FALSE))</f>
        <v/>
      </c>
      <c r="N1995" s="57" t="str">
        <f>IF(A1995="","",IF(M1995=B1995,"si","no"))</f>
        <v/>
      </c>
      <c r="O1995" s="56"/>
      <c r="P1995" s="56"/>
      <c r="Q1995" s="48"/>
      <c r="R1995" s="48"/>
      <c r="S1995" s="2"/>
    </row>
    <row r="1996" spans="1:23" ht="12.75" customHeight="1" x14ac:dyDescent="0.2">
      <c r="A1996" s="22"/>
      <c r="B1996" s="23" t="str">
        <f>IF(A1996="","",VLOOKUP(A1996,'6.A'!$A$11:$G$180,2,FALSE))</f>
        <v/>
      </c>
      <c r="C1996" s="99"/>
      <c r="D1996" s="57" t="str">
        <f>IF(A1996="","",VLOOKUP(A1996,'6.A'!$A$11:$G$180,4,FALSE))</f>
        <v/>
      </c>
      <c r="E1996" s="100" t="str">
        <f>IF(A1996="","",VLOOKUP(A1996,'6.A'!$A$11:$G$180,5,FALSE))</f>
        <v/>
      </c>
      <c r="F1996" s="24" t="str">
        <f t="shared" si="845"/>
        <v>0,00</v>
      </c>
      <c r="G1996" s="52"/>
      <c r="H1996" s="52" t="str">
        <f>IF(A1996="","",VLOOKUP(A1996,'6.A'!$A$11:$E$7984,5,FALSE))</f>
        <v/>
      </c>
      <c r="I1996" s="52" t="str">
        <f>IF(H1996="","",IF(E1996=H1996,"SIM","NÃO"))</f>
        <v/>
      </c>
      <c r="J1996" s="52" t="str">
        <f>IF(H1996="","",VLOOKUP(A1996,'6.A'!$A$11:$E$564,4,FALSE))</f>
        <v/>
      </c>
      <c r="K1996" s="52" t="str">
        <f>IF(H1996="","",IF(J1996=D1996,"SIM","NÃO"))</f>
        <v/>
      </c>
      <c r="L1996" s="52" t="str">
        <f>IF(H1996="","",IF(C1996="","",G1988*C1996))</f>
        <v/>
      </c>
      <c r="M1996" s="117" t="str">
        <f>IF(A1996="","",VLOOKUP(A1996,'6.A'!$A$11:$C$564,2,FALSE))</f>
        <v/>
      </c>
      <c r="N1996" s="57" t="str">
        <f>IF(A1996="","",IF(M1996=B1996,"si","no"))</f>
        <v/>
      </c>
      <c r="O1996" s="56"/>
      <c r="P1996" s="56"/>
      <c r="Q1996" s="48"/>
      <c r="R1996" s="48"/>
      <c r="S1996" s="2"/>
    </row>
    <row r="1997" spans="1:23" ht="12.75" customHeight="1" x14ac:dyDescent="0.2">
      <c r="A1997" s="22"/>
      <c r="B1997" s="23" t="str">
        <f>IF(A1997="","",VLOOKUP(A1997,'6.A'!$A$11:$G$180,2,FALSE))</f>
        <v/>
      </c>
      <c r="C1997" s="99"/>
      <c r="D1997" s="57" t="str">
        <f>IF(A1997="","",VLOOKUP(A1997,'6.A'!$A$11:$G$180,4,FALSE))</f>
        <v/>
      </c>
      <c r="E1997" s="100" t="str">
        <f>IF(A1997="","",VLOOKUP(A1997,'6.A'!$A$11:$G$180,5,FALSE))</f>
        <v/>
      </c>
      <c r="F1997" s="24" t="str">
        <f t="shared" si="845"/>
        <v>0,00</v>
      </c>
      <c r="G1997" s="52"/>
      <c r="H1997" s="52" t="str">
        <f>IF(A1997="","",VLOOKUP(A1997,'6.A'!$A$11:$E$7984,5,FALSE))</f>
        <v/>
      </c>
      <c r="I1997" s="52" t="str">
        <f t="shared" ref="I1997" si="851">IF(H1997="","",IF(E1997=H1997,"SIM","NÃO"))</f>
        <v/>
      </c>
      <c r="J1997" s="52" t="str">
        <f>IF(H1997="","",VLOOKUP(A1997,'6.A'!$A$11:$E$564,4,FALSE))</f>
        <v/>
      </c>
      <c r="K1997" s="52" t="str">
        <f t="shared" ref="K1997" si="852">IF(H1997="","",IF(J1997=D1997,"SIM","NÃO"))</f>
        <v/>
      </c>
      <c r="L1997" s="52" t="str">
        <f>IF(H1997="","",IF(C1997="","",G1988*C1997))</f>
        <v/>
      </c>
      <c r="M1997" s="117" t="str">
        <f>IF(A1997="","",VLOOKUP(A1997,'6.A'!$A$11:$C$564,2,FALSE))</f>
        <v/>
      </c>
      <c r="N1997" s="57" t="str">
        <f t="shared" ref="N1997" si="853">IF(A1997="","",IF(M1997=B1997,"si","no"))</f>
        <v/>
      </c>
      <c r="O1997" s="56"/>
      <c r="P1997" s="56"/>
      <c r="Q1997" s="48"/>
      <c r="R1997" s="48"/>
      <c r="S1997" s="2"/>
    </row>
    <row r="1998" spans="1:23" ht="12.75" customHeight="1" x14ac:dyDescent="0.2">
      <c r="A1998" s="22"/>
      <c r="B1998" s="23" t="str">
        <f>IF(A1998="","",VLOOKUP(A1998,'6.A'!$A$11:$G$180,2,FALSE))</f>
        <v/>
      </c>
      <c r="C1998" s="99"/>
      <c r="D1998" s="73" t="str">
        <f>IF(A1998="","",VLOOKUP(A1998,'6.A'!$A$11:$G$180,4,FALSE))</f>
        <v/>
      </c>
      <c r="E1998" s="101" t="str">
        <f>IF(A1998="","",VLOOKUP(A1998,'6.A'!$A$11:$G$180,5,FALSE))</f>
        <v/>
      </c>
      <c r="F1998" s="24" t="str">
        <f t="shared" si="845"/>
        <v>0,00</v>
      </c>
      <c r="G1998" s="52"/>
      <c r="H1998" s="52" t="str">
        <f>IF(A1998="","",VLOOKUP(A1998,'6.A'!$A$11:$E$7984,5,FALSE))</f>
        <v/>
      </c>
      <c r="I1998" s="52" t="str">
        <f>IF(H1998="","",IF(E1998=H1998,"SIM","NÃO"))</f>
        <v/>
      </c>
      <c r="J1998" s="52" t="str">
        <f>IF(H1998="","",VLOOKUP(A1998,'6.A'!$A$11:$E$564,4,FALSE))</f>
        <v/>
      </c>
      <c r="K1998" s="52" t="str">
        <f>IF(H1998="","",IF(J1998=D1998,"SIM","NÃO"))</f>
        <v/>
      </c>
      <c r="L1998" s="52" t="str">
        <f>IF(H1998="","",IF(C1998="","",G1988*C1998))</f>
        <v/>
      </c>
      <c r="M1998" s="117" t="str">
        <f>IF(A1998="","",VLOOKUP(A1998,'6.A'!$A$11:$C$564,2,FALSE))</f>
        <v/>
      </c>
      <c r="N1998" s="57" t="str">
        <f>IF(A1998="","",IF(M1998=B1998,"si","no"))</f>
        <v/>
      </c>
      <c r="O1998" s="56"/>
      <c r="P1998" s="56"/>
      <c r="Q1998" s="48"/>
      <c r="R1998" s="48"/>
      <c r="S1998" s="2"/>
    </row>
    <row r="1999" spans="1:23" ht="12.75" customHeight="1" x14ac:dyDescent="0.2">
      <c r="A1999" s="22"/>
      <c r="B1999" s="23" t="str">
        <f>IF(A1999="","",VLOOKUP(A1999,'6.A'!$A$11:$G$180,2,FALSE))</f>
        <v/>
      </c>
      <c r="C1999" s="99"/>
      <c r="D1999" s="25" t="str">
        <f>IF(A1999="","",VLOOKUP(A1999,'6.A'!$A$11:$G$180,4,FALSE))</f>
        <v/>
      </c>
      <c r="E1999" s="101" t="str">
        <f>IF(A1999="","",VLOOKUP(A1999,'6.A'!$A$11:$G$180,5,FALSE))</f>
        <v/>
      </c>
      <c r="F1999" s="24" t="str">
        <f t="shared" si="845"/>
        <v>0,00</v>
      </c>
      <c r="G1999" s="52"/>
      <c r="H1999" s="52" t="str">
        <f>IF(A1999="","",VLOOKUP(A1999,'6.A'!$A$11:$E$7984,5,FALSE))</f>
        <v/>
      </c>
      <c r="I1999" s="52" t="str">
        <f t="shared" ref="I1999" si="854">IF(H1999="","",IF(E1999=H1999,"SIM","NÃO"))</f>
        <v/>
      </c>
      <c r="J1999" s="52" t="str">
        <f>IF(H1999="","",VLOOKUP(A1999,'6.A'!$A$11:$E$564,4,FALSE))</f>
        <v/>
      </c>
      <c r="K1999" s="52" t="str">
        <f t="shared" ref="K1999" si="855">IF(H1999="","",IF(J1999=D1999,"SIM","NÃO"))</f>
        <v/>
      </c>
      <c r="L1999" s="52" t="str">
        <f>IF(H1999="","",IF(C1999="","",G1988*C1999))</f>
        <v/>
      </c>
      <c r="M1999" s="117" t="str">
        <f>IF(A1999="","",VLOOKUP(A1999,'6.A'!$A$11:$C$564,2,FALSE))</f>
        <v/>
      </c>
      <c r="N1999" s="57" t="str">
        <f t="shared" ref="N1999" si="856">IF(A1999="","",IF(M1999=B1999,"si","no"))</f>
        <v/>
      </c>
      <c r="O1999" s="56"/>
      <c r="P1999" s="56"/>
      <c r="Q1999" s="48"/>
      <c r="R1999" s="48"/>
      <c r="S1999" s="2"/>
    </row>
    <row r="2000" spans="1:23" ht="12.75" customHeight="1" x14ac:dyDescent="0.2">
      <c r="A2000" s="17"/>
      <c r="B2000" s="26" t="str">
        <f>$A$8</f>
        <v>LEIS SOCIAIS HORISTA - JORNADA NORMAL</v>
      </c>
      <c r="C2000" s="27">
        <f>$C$8</f>
        <v>0</v>
      </c>
      <c r="D2000" s="57"/>
      <c r="F2000" s="28">
        <f>ROUND(SUM(F1990:F1999)*C2000,2)</f>
        <v>0</v>
      </c>
      <c r="G2000" s="63"/>
      <c r="M2000" s="62"/>
      <c r="N2000" s="57"/>
      <c r="O2000" s="56"/>
      <c r="P2000" s="56"/>
      <c r="Q2000" s="48"/>
      <c r="R2000" s="48"/>
      <c r="S2000" s="2"/>
    </row>
    <row r="2001" spans="1:19" ht="12.75" customHeight="1" x14ac:dyDescent="0.2">
      <c r="A2001" s="22"/>
      <c r="B2001" s="26" t="str">
        <f>$A$9</f>
        <v>BDI</v>
      </c>
      <c r="C2001" s="27">
        <f>$C$9</f>
        <v>0</v>
      </c>
      <c r="D2001" s="29"/>
      <c r="F2001" s="28">
        <f>ROUND(SUM(F1990:F2000)*C2001,2)</f>
        <v>0</v>
      </c>
      <c r="G2001" s="63"/>
      <c r="M2001" s="62"/>
      <c r="N2001" s="57"/>
      <c r="O2001" s="56"/>
      <c r="P2001" s="56"/>
      <c r="Q2001" s="48"/>
      <c r="R2001" s="48"/>
      <c r="S2001" s="2"/>
    </row>
    <row r="2002" spans="1:19" ht="12.75" customHeight="1" x14ac:dyDescent="0.2">
      <c r="A2002" s="30"/>
      <c r="B2002" s="31" t="s">
        <v>56</v>
      </c>
      <c r="C2002" s="32"/>
      <c r="D2002" s="33"/>
      <c r="E2002" s="34"/>
      <c r="F2002" s="35">
        <f>ROUND(SUM(F1990:F2001),2)</f>
        <v>0</v>
      </c>
      <c r="G2002" s="63"/>
      <c r="M2002" s="62"/>
      <c r="N2002" s="57"/>
      <c r="O2002" s="56"/>
      <c r="P2002" s="56"/>
      <c r="Q2002" s="48"/>
      <c r="R2002" s="48"/>
      <c r="S2002" s="2"/>
    </row>
    <row r="2003" spans="1:19" ht="12.75" customHeight="1" x14ac:dyDescent="0.2">
      <c r="A2003" s="17" t="s">
        <v>5</v>
      </c>
      <c r="B2003" s="153" t="s">
        <v>130</v>
      </c>
      <c r="C2003" s="56" t="s">
        <v>59</v>
      </c>
      <c r="D2003" s="56" t="s">
        <v>16</v>
      </c>
      <c r="E2003" s="19" t="s">
        <v>60</v>
      </c>
      <c r="F2003" s="20" t="s">
        <v>61</v>
      </c>
      <c r="G2003" s="21"/>
      <c r="M2003" s="62"/>
      <c r="N2003" s="57"/>
      <c r="O2003" s="56"/>
      <c r="P2003" s="56"/>
      <c r="Q2003" s="48"/>
      <c r="R2003" s="48"/>
      <c r="S2003" s="2"/>
    </row>
    <row r="2004" spans="1:19" ht="12.75" customHeight="1" x14ac:dyDescent="0.2">
      <c r="A2004" s="22"/>
      <c r="B2004" s="23" t="str">
        <f>IF(A2004="","",VLOOKUP(A2004,'6.A'!$A$11:$G$180,2,FALSE))</f>
        <v/>
      </c>
      <c r="C2004" s="99"/>
      <c r="D2004" s="57" t="str">
        <f>IF(A2004="","",VLOOKUP(A2004,'6.A'!$A$11:$G$180,4,FALSE))</f>
        <v/>
      </c>
      <c r="E2004" s="100" t="str">
        <f>IF(A2004="","",VLOOKUP(A2004,'6.A'!$A$11:$G$180,5,FALSE))</f>
        <v/>
      </c>
      <c r="F2004" s="24" t="str">
        <f t="shared" ref="F2004:F2013" si="857">IF(A2004="","0,00",ROUND(C2004*E2004,2))</f>
        <v>0,00</v>
      </c>
      <c r="G2004" s="52"/>
      <c r="H2004" s="52" t="str">
        <f>IF(A2004="","",VLOOKUP(A2004,'6.A'!$A$11:$E$7984,5,FALSE))</f>
        <v/>
      </c>
      <c r="I2004" s="52" t="str">
        <f t="shared" ref="I2004:I2013" si="858">IF(H2004="","",IF(E2004=H2004,"SIM","NÃO"))</f>
        <v/>
      </c>
      <c r="J2004" s="52" t="str">
        <f>IF(H2004="","",VLOOKUP(A2004,'6.A'!$A$11:$E$564,4,FALSE))</f>
        <v/>
      </c>
      <c r="K2004" s="52" t="str">
        <f t="shared" ref="K2004:K2013" si="859">IF(H2004="","",IF(J2004=D2004,"SIM","NÃO"))</f>
        <v/>
      </c>
      <c r="L2004" s="52" t="str">
        <f>IF(H2004="","",IF(C2004="","",G1988*C2004))</f>
        <v/>
      </c>
      <c r="M2004" s="117" t="str">
        <f>IF(A2004="","",VLOOKUP(A2004,'6.A'!$A$11:$C$564,2,FALSE))</f>
        <v/>
      </c>
      <c r="N2004" s="57" t="str">
        <f t="shared" ref="N2004:N2009" si="860">IF(A2004="","",IF(M2004=B2004,"si","no"))</f>
        <v/>
      </c>
      <c r="O2004" s="56"/>
      <c r="P2004" s="56"/>
      <c r="Q2004" s="48"/>
      <c r="R2004" s="48"/>
      <c r="S2004" s="2"/>
    </row>
    <row r="2005" spans="1:19" ht="12.75" customHeight="1" x14ac:dyDescent="0.2">
      <c r="A2005" s="22"/>
      <c r="B2005" s="23" t="str">
        <f>IF(A2005="","",VLOOKUP(A2005,'6.A'!$A$11:$G$180,2,FALSE))</f>
        <v/>
      </c>
      <c r="C2005" s="99"/>
      <c r="D2005" s="57" t="str">
        <f>IF(A2005="","",VLOOKUP(A2005,'6.A'!$A$11:$G$180,4,FALSE))</f>
        <v/>
      </c>
      <c r="E2005" s="100" t="str">
        <f>IF(A2005="","",VLOOKUP(A2005,'6.A'!$A$11:$G$180,5,FALSE))</f>
        <v/>
      </c>
      <c r="F2005" s="24" t="str">
        <f t="shared" si="857"/>
        <v>0,00</v>
      </c>
      <c r="G2005" s="52"/>
      <c r="H2005" s="52" t="str">
        <f>IF(A2005="","",VLOOKUP(A2005,'6.A'!$A$11:$E$7984,5,FALSE))</f>
        <v/>
      </c>
      <c r="I2005" s="52" t="str">
        <f t="shared" si="858"/>
        <v/>
      </c>
      <c r="J2005" s="52" t="str">
        <f>IF(H2005="","",VLOOKUP(A2005,'6.A'!$A$11:$E$564,4,FALSE))</f>
        <v/>
      </c>
      <c r="K2005" s="52" t="str">
        <f t="shared" si="859"/>
        <v/>
      </c>
      <c r="L2005" s="52" t="str">
        <f>IF(H2005="","",IF(C2005="","",G1988*C2005))</f>
        <v/>
      </c>
      <c r="M2005" s="117" t="str">
        <f>IF(A2005="","",VLOOKUP(A2005,'6.A'!$A$11:$C$564,2,FALSE))</f>
        <v/>
      </c>
      <c r="N2005" s="57" t="str">
        <f t="shared" si="860"/>
        <v/>
      </c>
      <c r="O2005" s="56"/>
      <c r="P2005" s="56"/>
      <c r="Q2005" s="48"/>
      <c r="R2005" s="48"/>
      <c r="S2005" s="2"/>
    </row>
    <row r="2006" spans="1:19" ht="12.75" customHeight="1" x14ac:dyDescent="0.2">
      <c r="A2006" s="22"/>
      <c r="B2006" s="23" t="str">
        <f>IF(A2006="","",VLOOKUP(A2006,'6.A'!$A$11:$G$180,2,FALSE))</f>
        <v/>
      </c>
      <c r="C2006" s="99"/>
      <c r="D2006" s="57" t="str">
        <f>IF(A2006="","",VLOOKUP(A2006,'6.A'!$A$11:$G$180,4,FALSE))</f>
        <v/>
      </c>
      <c r="E2006" s="100" t="str">
        <f>IF(A2006="","",VLOOKUP(A2006,'6.A'!$A$11:$G$180,5,FALSE))</f>
        <v/>
      </c>
      <c r="F2006" s="24" t="str">
        <f t="shared" si="857"/>
        <v>0,00</v>
      </c>
      <c r="G2006" s="52"/>
      <c r="H2006" s="52" t="str">
        <f>IF(A2006="","",VLOOKUP(A2006,'6.A'!$A$11:$E$7984,5,FALSE))</f>
        <v/>
      </c>
      <c r="I2006" s="52" t="str">
        <f t="shared" si="858"/>
        <v/>
      </c>
      <c r="J2006" s="52" t="str">
        <f>IF(H2006="","",VLOOKUP(A2006,'6.A'!$A$11:$E$564,4,FALSE))</f>
        <v/>
      </c>
      <c r="K2006" s="52" t="str">
        <f t="shared" si="859"/>
        <v/>
      </c>
      <c r="L2006" s="52" t="str">
        <f>IF(H2006="","",IF(C2006="","",G1988*C2006))</f>
        <v/>
      </c>
      <c r="M2006" s="117" t="str">
        <f>IF(A2006="","",VLOOKUP(A2006,'6.A'!$A$11:$C$564,2,FALSE))</f>
        <v/>
      </c>
      <c r="N2006" s="57" t="str">
        <f t="shared" si="860"/>
        <v/>
      </c>
      <c r="O2006" s="56"/>
      <c r="P2006" s="56"/>
      <c r="Q2006" s="48"/>
      <c r="R2006" s="48"/>
      <c r="S2006" s="2"/>
    </row>
    <row r="2007" spans="1:19" ht="12.75" customHeight="1" x14ac:dyDescent="0.2">
      <c r="A2007" s="22"/>
      <c r="B2007" s="55" t="str">
        <f>IF(A2007="","",VLOOKUP(A2007,'6.A'!$A$11:$G$180,2,FALSE))</f>
        <v/>
      </c>
      <c r="C2007" s="134"/>
      <c r="D2007" s="57" t="str">
        <f>IF(A2007="","",VLOOKUP(A2007,'6.A'!$A$11:$G$180,4,FALSE))</f>
        <v/>
      </c>
      <c r="E2007" s="100" t="str">
        <f>IF(A2007="","",VLOOKUP(A2007,'6.A'!$A$11:$G$180,5,FALSE))</f>
        <v/>
      </c>
      <c r="F2007" s="24" t="str">
        <f t="shared" si="857"/>
        <v>0,00</v>
      </c>
      <c r="G2007" s="52"/>
      <c r="H2007" s="52" t="str">
        <f>IF(A2007="","",VLOOKUP(A2007,'6.A'!$A$11:$E$7984,5,FALSE))</f>
        <v/>
      </c>
      <c r="I2007" s="52" t="str">
        <f t="shared" si="858"/>
        <v/>
      </c>
      <c r="J2007" s="52" t="str">
        <f>IF(H2007="","",VLOOKUP(A2007,'6.A'!$A$11:$E$564,4,FALSE))</f>
        <v/>
      </c>
      <c r="K2007" s="52" t="str">
        <f t="shared" si="859"/>
        <v/>
      </c>
      <c r="L2007" s="52" t="str">
        <f>IF(H2007="","",IF(C2007="","",G1988*C2007))</f>
        <v/>
      </c>
      <c r="M2007" s="117" t="str">
        <f>IF(A2007="","",VLOOKUP(A2007,'6.A'!$A$11:$C$564,2,FALSE))</f>
        <v/>
      </c>
      <c r="N2007" s="57" t="str">
        <f t="shared" si="860"/>
        <v/>
      </c>
      <c r="O2007" s="56"/>
      <c r="P2007" s="56"/>
      <c r="Q2007" s="48"/>
      <c r="R2007" s="48"/>
      <c r="S2007" s="2"/>
    </row>
    <row r="2008" spans="1:19" ht="12.75" customHeight="1" x14ac:dyDescent="0.2">
      <c r="A2008" s="22"/>
      <c r="B2008" s="23" t="str">
        <f>IF(A2008="","",VLOOKUP(A2008,'6.A'!$A$11:$G$180,2,FALSE))</f>
        <v/>
      </c>
      <c r="C2008" s="99"/>
      <c r="D2008" s="57" t="str">
        <f>IF(A2008="","",VLOOKUP(A2008,'6.A'!$A$11:$G$180,4,FALSE))</f>
        <v/>
      </c>
      <c r="E2008" s="100" t="str">
        <f>IF(A2008="","",VLOOKUP(A2008,'6.A'!$A$11:$G$180,5,FALSE))</f>
        <v/>
      </c>
      <c r="F2008" s="24" t="str">
        <f t="shared" si="857"/>
        <v>0,00</v>
      </c>
      <c r="G2008" s="52"/>
      <c r="H2008" s="52" t="str">
        <f>IF(A2008="","",VLOOKUP(A2008,'6.A'!$A$11:$E$7984,5,FALSE))</f>
        <v/>
      </c>
      <c r="I2008" s="52" t="str">
        <f t="shared" si="858"/>
        <v/>
      </c>
      <c r="J2008" s="52" t="str">
        <f>IF(H2008="","",VLOOKUP(A2008,'6.A'!$A$11:$E$564,4,FALSE))</f>
        <v/>
      </c>
      <c r="K2008" s="52" t="str">
        <f t="shared" si="859"/>
        <v/>
      </c>
      <c r="L2008" s="52" t="str">
        <f>IF(H2008="","",IF(C2008="","",G1988*C2008))</f>
        <v/>
      </c>
      <c r="M2008" s="117" t="str">
        <f>IF(A2008="","",VLOOKUP(A2008,'6.A'!$A$11:$C$564,2,FALSE))</f>
        <v/>
      </c>
      <c r="N2008" s="57" t="str">
        <f t="shared" si="860"/>
        <v/>
      </c>
      <c r="O2008" s="56"/>
      <c r="P2008" s="56"/>
      <c r="Q2008" s="48"/>
      <c r="R2008" s="48"/>
      <c r="S2008" s="2"/>
    </row>
    <row r="2009" spans="1:19" ht="12.75" customHeight="1" x14ac:dyDescent="0.2">
      <c r="A2009" s="22"/>
      <c r="B2009" s="23" t="str">
        <f>IF(A2009="","",VLOOKUP(A2009,'6.A'!$A$11:$G$180,2,FALSE))</f>
        <v/>
      </c>
      <c r="C2009" s="99"/>
      <c r="D2009" s="57" t="str">
        <f>IF(A2009="","",VLOOKUP(A2009,'6.A'!$A$11:$G$180,4,FALSE))</f>
        <v/>
      </c>
      <c r="E2009" s="100" t="str">
        <f>IF(A2009="","",VLOOKUP(A2009,'6.A'!$A$11:$G$180,5,FALSE))</f>
        <v/>
      </c>
      <c r="F2009" s="24" t="str">
        <f t="shared" si="857"/>
        <v>0,00</v>
      </c>
      <c r="G2009" s="52"/>
      <c r="H2009" s="52" t="str">
        <f>IF(A2009="","",VLOOKUP(A2009,'6.A'!$A$11:$E$7984,5,FALSE))</f>
        <v/>
      </c>
      <c r="I2009" s="52" t="str">
        <f t="shared" si="858"/>
        <v/>
      </c>
      <c r="J2009" s="52" t="str">
        <f>IF(H2009="","",VLOOKUP(A2009,'6.A'!$A$11:$E$564,4,FALSE))</f>
        <v/>
      </c>
      <c r="K2009" s="52" t="str">
        <f t="shared" si="859"/>
        <v/>
      </c>
      <c r="L2009" s="52" t="str">
        <f>IF(H2009="","",IF(C2009="","",G1988*C2009))</f>
        <v/>
      </c>
      <c r="M2009" s="117" t="str">
        <f>IF(A2009="","",VLOOKUP(A2009,'6.A'!$A$11:$C$564,2,FALSE))</f>
        <v/>
      </c>
      <c r="N2009" s="57" t="str">
        <f t="shared" si="860"/>
        <v/>
      </c>
      <c r="O2009" s="56"/>
      <c r="P2009" s="56"/>
      <c r="Q2009" s="48"/>
      <c r="R2009" s="48"/>
      <c r="S2009" s="2"/>
    </row>
    <row r="2010" spans="1:19" ht="12.75" customHeight="1" x14ac:dyDescent="0.2">
      <c r="A2010" s="22"/>
      <c r="B2010" s="23" t="str">
        <f>IF(A2010="","",VLOOKUP(A2010,'6.A'!$A$11:$G$180,2,FALSE))</f>
        <v/>
      </c>
      <c r="C2010" s="99"/>
      <c r="D2010" s="57" t="str">
        <f>IF(A2010="","",VLOOKUP(A2010,'6.A'!$A$11:$G$180,4,FALSE))</f>
        <v/>
      </c>
      <c r="E2010" s="100" t="str">
        <f>IF(A2010="","",VLOOKUP(A2010,'6.A'!$A$11:$G$180,5,FALSE))</f>
        <v/>
      </c>
      <c r="F2010" s="24" t="str">
        <f t="shared" si="857"/>
        <v>0,00</v>
      </c>
      <c r="G2010" s="52"/>
      <c r="H2010" s="52" t="str">
        <f>IF(A2010="","",VLOOKUP(A2010,'6.A'!$A$11:$E$7984,5,FALSE))</f>
        <v/>
      </c>
      <c r="I2010" s="52" t="str">
        <f t="shared" si="858"/>
        <v/>
      </c>
      <c r="J2010" s="52" t="str">
        <f>IF(H2010="","",VLOOKUP(A2010,'6.A'!$A$11:$E$564,4,FALSE))</f>
        <v/>
      </c>
      <c r="K2010" s="52" t="str">
        <f t="shared" si="859"/>
        <v/>
      </c>
      <c r="L2010" s="52" t="str">
        <f>IF(H2010="","",IF(C2010="","",G1988*C2010))</f>
        <v/>
      </c>
      <c r="M2010" s="117" t="str">
        <f>IF(A2010="","",VLOOKUP(A2010,'6.A'!$A$11:$C$564,2,FALSE))</f>
        <v/>
      </c>
      <c r="N2010" s="57" t="str">
        <f>IF(A2010="","",IF(M2010=B2010,"si","no"))</f>
        <v/>
      </c>
      <c r="O2010" s="56"/>
      <c r="P2010" s="56"/>
      <c r="Q2010" s="48"/>
      <c r="R2010" s="48"/>
      <c r="S2010" s="2"/>
    </row>
    <row r="2011" spans="1:19" ht="12.75" customHeight="1" x14ac:dyDescent="0.2">
      <c r="A2011" s="22"/>
      <c r="B2011" s="23" t="str">
        <f>IF(A2011="","",VLOOKUP(A2011,'6.A'!$A$11:$G$180,2,FALSE))</f>
        <v/>
      </c>
      <c r="C2011" s="99"/>
      <c r="D2011" s="57" t="str">
        <f>IF(A2011="","",VLOOKUP(A2011,'6.A'!$A$11:$G$180,4,FALSE))</f>
        <v/>
      </c>
      <c r="E2011" s="100" t="str">
        <f>IF(A2011="","",VLOOKUP(A2011,'6.A'!$A$11:$G$180,5,FALSE))</f>
        <v/>
      </c>
      <c r="F2011" s="24" t="str">
        <f t="shared" si="857"/>
        <v>0,00</v>
      </c>
      <c r="G2011" s="52"/>
      <c r="H2011" s="52" t="str">
        <f>IF(A2011="","",VLOOKUP(A2011,'6.A'!$A$11:$E$7984,5,FALSE))</f>
        <v/>
      </c>
      <c r="I2011" s="52" t="str">
        <f t="shared" si="858"/>
        <v/>
      </c>
      <c r="J2011" s="52" t="str">
        <f>IF(H2011="","",VLOOKUP(A2011,'6.A'!$A$11:$E$564,4,FALSE))</f>
        <v/>
      </c>
      <c r="K2011" s="52" t="str">
        <f t="shared" si="859"/>
        <v/>
      </c>
      <c r="L2011" s="52" t="str">
        <f>IF(H2011="","",IF(C2011="","",G1988*C2011))</f>
        <v/>
      </c>
      <c r="M2011" s="117" t="str">
        <f>IF(A2011="","",VLOOKUP(A2011,'6.A'!$A$11:$C$564,2,FALSE))</f>
        <v/>
      </c>
      <c r="N2011" s="57" t="str">
        <f>IF(A2011="","",IF(M2011=B2011,"si","no"))</f>
        <v/>
      </c>
      <c r="O2011" s="56"/>
      <c r="P2011" s="56"/>
      <c r="Q2011" s="48"/>
      <c r="R2011" s="48"/>
      <c r="S2011" s="2"/>
    </row>
    <row r="2012" spans="1:19" ht="12.75" customHeight="1" x14ac:dyDescent="0.2">
      <c r="A2012" s="22"/>
      <c r="B2012" s="23" t="str">
        <f>IF(A2012="","",VLOOKUP(A2012,'6.A'!$A$11:$G$180,2,FALSE))</f>
        <v/>
      </c>
      <c r="C2012" s="99"/>
      <c r="D2012" s="57" t="str">
        <f>IF(A2012="","",VLOOKUP(A2012,'6.A'!$A$11:$G$180,4,FALSE))</f>
        <v/>
      </c>
      <c r="E2012" s="100" t="str">
        <f>IF(A2012="","",VLOOKUP(A2012,'6.A'!$A$11:$G$180,5,FALSE))</f>
        <v/>
      </c>
      <c r="F2012" s="24" t="str">
        <f t="shared" si="857"/>
        <v>0,00</v>
      </c>
      <c r="G2012" s="52"/>
      <c r="H2012" s="52" t="str">
        <f>IF(A2012="","",VLOOKUP(A2012,'6.A'!$A$11:$E$7984,5,FALSE))</f>
        <v/>
      </c>
      <c r="I2012" s="52" t="str">
        <f t="shared" si="858"/>
        <v/>
      </c>
      <c r="J2012" s="52" t="str">
        <f>IF(H2012="","",VLOOKUP(A2012,'6.A'!$A$11:$E$564,4,FALSE))</f>
        <v/>
      </c>
      <c r="K2012" s="52" t="str">
        <f t="shared" si="859"/>
        <v/>
      </c>
      <c r="L2012" s="52" t="str">
        <f>IF(H2012="","",IF(C2012="","",G1988*C2012))</f>
        <v/>
      </c>
      <c r="M2012" s="117" t="str">
        <f>IF(A2012="","",VLOOKUP(A2012,'6.A'!$A$11:$C$564,2,FALSE))</f>
        <v/>
      </c>
      <c r="N2012" s="57" t="str">
        <f t="shared" ref="N2012:N2013" si="861">IF(A2012="","",IF(M2012=B2012,"si","no"))</f>
        <v/>
      </c>
      <c r="O2012" s="56"/>
      <c r="P2012" s="56"/>
      <c r="Q2012" s="48"/>
      <c r="R2012" s="48"/>
      <c r="S2012" s="2"/>
    </row>
    <row r="2013" spans="1:19" ht="12.75" customHeight="1" x14ac:dyDescent="0.2">
      <c r="A2013" s="22"/>
      <c r="B2013" s="23" t="str">
        <f>IF(A2013="","",VLOOKUP(A2013,'6.A'!$A$11:$G$180,2,FALSE))</f>
        <v/>
      </c>
      <c r="C2013" s="99"/>
      <c r="D2013" s="57" t="str">
        <f>IF(A2013="","",VLOOKUP(A2013,'6.A'!$A$11:$G$180,4,FALSE))</f>
        <v/>
      </c>
      <c r="E2013" s="100" t="str">
        <f>IF(A2013="","",VLOOKUP(A2013,'6.A'!$A$11:$G$180,5,FALSE))</f>
        <v/>
      </c>
      <c r="F2013" s="24" t="str">
        <f t="shared" si="857"/>
        <v>0,00</v>
      </c>
      <c r="G2013" s="52"/>
      <c r="H2013" s="52" t="str">
        <f>IF(A2013="","",VLOOKUP(A2013,'6.A'!$A$11:$E$7984,5,FALSE))</f>
        <v/>
      </c>
      <c r="I2013" s="52" t="str">
        <f t="shared" si="858"/>
        <v/>
      </c>
      <c r="J2013" s="52" t="str">
        <f>IF(H2013="","",VLOOKUP(A2013,'6.A'!$A$11:$E$564,4,FALSE))</f>
        <v/>
      </c>
      <c r="K2013" s="52" t="str">
        <f t="shared" si="859"/>
        <v/>
      </c>
      <c r="L2013" s="52" t="str">
        <f>IF(H2013="","",IF(C2013="","",G1988*C2013))</f>
        <v/>
      </c>
      <c r="M2013" s="117" t="str">
        <f>IF(A2013="","",VLOOKUP(A2013,'6.A'!$A$11:$C$564,2,FALSE))</f>
        <v/>
      </c>
      <c r="N2013" s="57" t="str">
        <f t="shared" si="861"/>
        <v/>
      </c>
      <c r="O2013" s="56"/>
      <c r="P2013" s="56"/>
      <c r="Q2013" s="48"/>
      <c r="R2013" s="48"/>
      <c r="S2013" s="2"/>
    </row>
    <row r="2014" spans="1:19" ht="12.75" customHeight="1" x14ac:dyDescent="0.2">
      <c r="A2014" s="22"/>
      <c r="B2014" s="26" t="str">
        <f>$A$9</f>
        <v>BDI</v>
      </c>
      <c r="C2014" s="27">
        <f>$C$9</f>
        <v>0</v>
      </c>
      <c r="D2014" s="57"/>
      <c r="F2014" s="28">
        <f>ROUND(SUM(F2004:F2013)*C2014,2)</f>
        <v>0</v>
      </c>
      <c r="G2014" s="63"/>
      <c r="M2014" s="62"/>
      <c r="N2014" s="57"/>
      <c r="O2014" s="56"/>
      <c r="P2014" s="56"/>
      <c r="Q2014" s="48"/>
      <c r="R2014" s="48"/>
      <c r="S2014" s="2"/>
    </row>
    <row r="2015" spans="1:19" ht="12.75" customHeight="1" x14ac:dyDescent="0.2">
      <c r="A2015" s="30"/>
      <c r="B2015" s="31" t="s">
        <v>117</v>
      </c>
      <c r="C2015" s="36"/>
      <c r="D2015" s="37"/>
      <c r="E2015" s="38"/>
      <c r="F2015" s="35">
        <f>ROUND(SUM(F2004:F2014),2)</f>
        <v>0</v>
      </c>
      <c r="G2015" s="63"/>
      <c r="M2015" s="62"/>
      <c r="N2015" s="57"/>
      <c r="O2015" s="56"/>
      <c r="P2015" s="56"/>
      <c r="Q2015" s="48"/>
      <c r="R2015" s="48"/>
      <c r="S2015" s="2"/>
    </row>
    <row r="2016" spans="1:19" ht="12.75" customHeight="1" x14ac:dyDescent="0.2">
      <c r="A2016" s="17" t="s">
        <v>6</v>
      </c>
      <c r="B2016" s="18" t="s">
        <v>17</v>
      </c>
      <c r="C2016" s="56" t="s">
        <v>59</v>
      </c>
      <c r="D2016" s="56" t="s">
        <v>16</v>
      </c>
      <c r="E2016" s="19" t="s">
        <v>60</v>
      </c>
      <c r="F2016" s="20" t="s">
        <v>61</v>
      </c>
      <c r="G2016" s="21"/>
      <c r="M2016" s="62"/>
      <c r="N2016" s="57"/>
      <c r="O2016" s="56"/>
      <c r="P2016" s="56"/>
      <c r="Q2016" s="48"/>
      <c r="R2016" s="48"/>
      <c r="S2016" s="2"/>
    </row>
    <row r="2017" spans="1:22" ht="12.75" customHeight="1" x14ac:dyDescent="0.2">
      <c r="A2017" s="22">
        <f>'6.A'!$A$89</f>
        <v>1585</v>
      </c>
      <c r="B2017" s="23" t="str">
        <f>IF(A2017="","",VLOOKUP(A2017,'6.A'!$A$11:$G$180,2,FALSE))</f>
        <v>TERMINAL METALICO A PRESSAO PARA 1 CABO DE 16 MM2, COM 1 FURO DE FIXACAO</v>
      </c>
      <c r="C2017" s="99">
        <v>1</v>
      </c>
      <c r="D2017" s="57" t="str">
        <f>IF(A2017="","",VLOOKUP(A2017,'6.A'!$A$11:$G$180,4,FALSE))</f>
        <v>UN</v>
      </c>
      <c r="E2017" s="100">
        <f>IF(A2017="","",VLOOKUP(A2017,'6.A'!$A$11:$G$180,5,FALSE))</f>
        <v>0</v>
      </c>
      <c r="F2017" s="24">
        <f t="shared" ref="F2017:F2036" si="862">IF(A2017="","0,00",ROUND(C2017*E2017,2))</f>
        <v>0</v>
      </c>
      <c r="G2017" s="52"/>
      <c r="H2017" s="52">
        <f>IF(A2017="","",VLOOKUP(A2017,'6.A'!$A$11:$E$7984,5,FALSE))</f>
        <v>0</v>
      </c>
      <c r="I2017" s="52" t="str">
        <f t="shared" ref="I2017:I2036" si="863">IF(H2017="","",IF(E2017=H2017,"SIM","NÃO"))</f>
        <v>SIM</v>
      </c>
      <c r="J2017" s="52" t="str">
        <f>IF(H2017="","",VLOOKUP(A2017,'6.A'!$A$11:$E$564,4,FALSE))</f>
        <v>UN</v>
      </c>
      <c r="K2017" s="52" t="str">
        <f t="shared" ref="K2017:K2036" si="864">IF(H2017="","",IF(J2017=D2017,"SIM","NÃO"))</f>
        <v>SIM</v>
      </c>
      <c r="L2017" s="52">
        <f>IF(H2017="","",IF(C2017="","",G1988*C2017))</f>
        <v>2</v>
      </c>
      <c r="M2017" s="117" t="str">
        <f>IF(A2017="","",VLOOKUP(A2017,'6.A'!$A$11:$C$564,2,FALSE))</f>
        <v>TERMINAL METALICO A PRESSAO PARA 1 CABO DE 16 MM2, COM 1 FURO DE FIXACAO</v>
      </c>
      <c r="N2017" s="57" t="str">
        <f t="shared" ref="N2017:N2036" si="865">IF(A2017="","",IF(M2017=B2017,"si","no"))</f>
        <v>si</v>
      </c>
      <c r="O2017" s="56"/>
      <c r="P2017" s="56"/>
      <c r="Q2017" s="48"/>
      <c r="R2017" s="48"/>
      <c r="S2017" s="2"/>
    </row>
    <row r="2018" spans="1:22" ht="12.75" customHeight="1" x14ac:dyDescent="0.2">
      <c r="A2018" s="22"/>
      <c r="B2018" s="23" t="str">
        <f>IF(A2018="","",VLOOKUP(A2018,'6.A'!$A$11:$G$180,2,FALSE))</f>
        <v/>
      </c>
      <c r="C2018" s="99"/>
      <c r="D2018" s="57" t="str">
        <f>IF(A2018="","",VLOOKUP(A2018,'6.A'!$A$11:$G$180,4,FALSE))</f>
        <v/>
      </c>
      <c r="E2018" s="100" t="str">
        <f>IF(A2018="","",VLOOKUP(A2018,'6.A'!$A$11:$G$180,5,FALSE))</f>
        <v/>
      </c>
      <c r="F2018" s="24" t="str">
        <f t="shared" si="862"/>
        <v>0,00</v>
      </c>
      <c r="G2018" s="52"/>
      <c r="H2018" s="52" t="str">
        <f>IF(A2018="","",VLOOKUP(A2018,'6.A'!$A$11:$E$7984,5,FALSE))</f>
        <v/>
      </c>
      <c r="I2018" s="52" t="str">
        <f t="shared" si="863"/>
        <v/>
      </c>
      <c r="J2018" s="52" t="str">
        <f>IF(H2018="","",VLOOKUP(A2018,'6.A'!$A$11:$E$564,4,FALSE))</f>
        <v/>
      </c>
      <c r="K2018" s="52" t="str">
        <f t="shared" si="864"/>
        <v/>
      </c>
      <c r="L2018" s="52" t="str">
        <f>IF(H2018="","",IF(C2018="","",G1988*C2018))</f>
        <v/>
      </c>
      <c r="M2018" s="117" t="str">
        <f>IF(A2018="","",VLOOKUP(A2018,'6.A'!$A$11:$C$564,2,FALSE))</f>
        <v/>
      </c>
      <c r="N2018" s="57" t="str">
        <f t="shared" si="865"/>
        <v/>
      </c>
      <c r="O2018" s="56"/>
      <c r="P2018" s="56"/>
      <c r="Q2018" s="48"/>
      <c r="R2018" s="48"/>
      <c r="S2018" s="2"/>
    </row>
    <row r="2019" spans="1:22" ht="12.75" customHeight="1" x14ac:dyDescent="0.2">
      <c r="A2019" s="22"/>
      <c r="B2019" s="23" t="str">
        <f>IF(A2019="","",VLOOKUP(A2019,'6.A'!$A$11:$G$180,2,FALSE))</f>
        <v/>
      </c>
      <c r="C2019" s="99"/>
      <c r="D2019" s="57" t="str">
        <f>IF(A2019="","",VLOOKUP(A2019,'6.A'!$A$11:$G$180,4,FALSE))</f>
        <v/>
      </c>
      <c r="E2019" s="100" t="str">
        <f>IF(A2019="","",VLOOKUP(A2019,'6.A'!$A$11:$G$180,5,FALSE))</f>
        <v/>
      </c>
      <c r="F2019" s="24" t="str">
        <f t="shared" si="862"/>
        <v>0,00</v>
      </c>
      <c r="G2019" s="52"/>
      <c r="H2019" s="52" t="str">
        <f>IF(A2019="","",VLOOKUP(A2019,'6.A'!$A$11:$E$7984,5,FALSE))</f>
        <v/>
      </c>
      <c r="I2019" s="52" t="str">
        <f t="shared" si="863"/>
        <v/>
      </c>
      <c r="J2019" s="52" t="str">
        <f>IF(H2019="","",VLOOKUP(A2019,'6.A'!$A$11:$E$564,4,FALSE))</f>
        <v/>
      </c>
      <c r="K2019" s="52" t="str">
        <f t="shared" si="864"/>
        <v/>
      </c>
      <c r="L2019" s="52" t="str">
        <f>IF(H2019="","",IF(C2019="","",G1988*C2019))</f>
        <v/>
      </c>
      <c r="M2019" s="117" t="str">
        <f>IF(A2019="","",VLOOKUP(A2019,'6.A'!$A$11:$C$564,2,FALSE))</f>
        <v/>
      </c>
      <c r="N2019" s="57" t="str">
        <f t="shared" si="865"/>
        <v/>
      </c>
      <c r="O2019" s="56"/>
      <c r="P2019" s="56"/>
      <c r="Q2019" s="48"/>
      <c r="R2019" s="48"/>
      <c r="S2019" s="2"/>
    </row>
    <row r="2020" spans="1:22" ht="12.75" customHeight="1" x14ac:dyDescent="0.2">
      <c r="A2020" s="22"/>
      <c r="B2020" s="23" t="str">
        <f>IF(A2020="","",VLOOKUP(A2020,'6.A'!$A$11:$G$180,2,FALSE))</f>
        <v/>
      </c>
      <c r="C2020" s="99"/>
      <c r="D2020" s="57" t="str">
        <f>IF(A2020="","",VLOOKUP(A2020,'6.A'!$A$11:$G$180,4,FALSE))</f>
        <v/>
      </c>
      <c r="E2020" s="100" t="str">
        <f>IF(A2020="","",VLOOKUP(A2020,'6.A'!$A$11:$G$180,5,FALSE))</f>
        <v/>
      </c>
      <c r="F2020" s="24" t="str">
        <f t="shared" si="862"/>
        <v>0,00</v>
      </c>
      <c r="G2020" s="52"/>
      <c r="H2020" s="52" t="str">
        <f>IF(A2020="","",VLOOKUP(A2020,'6.A'!$A$11:$E$7984,5,FALSE))</f>
        <v/>
      </c>
      <c r="I2020" s="52" t="str">
        <f t="shared" si="863"/>
        <v/>
      </c>
      <c r="J2020" s="52" t="str">
        <f>IF(H2020="","",VLOOKUP(A2020,'6.A'!$A$11:$E$564,4,FALSE))</f>
        <v/>
      </c>
      <c r="K2020" s="52" t="str">
        <f t="shared" si="864"/>
        <v/>
      </c>
      <c r="L2020" s="52" t="str">
        <f>IF(H2020="","",IF(C2020="","",G1988*C2020))</f>
        <v/>
      </c>
      <c r="M2020" s="117" t="str">
        <f>IF(A2020="","",VLOOKUP(A2020,'6.A'!$A$11:$C$564,2,FALSE))</f>
        <v/>
      </c>
      <c r="N2020" s="57" t="str">
        <f t="shared" si="865"/>
        <v/>
      </c>
      <c r="O2020" s="56"/>
      <c r="P2020" s="56"/>
      <c r="Q2020" s="48"/>
      <c r="R2020" s="48"/>
      <c r="S2020" s="2"/>
    </row>
    <row r="2021" spans="1:22" ht="12.75" customHeight="1" x14ac:dyDescent="0.2">
      <c r="A2021" s="22"/>
      <c r="B2021" s="23" t="str">
        <f>IF(A2021="","",VLOOKUP(A2021,'6.A'!$A$11:$G$180,2,FALSE))</f>
        <v/>
      </c>
      <c r="C2021" s="99"/>
      <c r="D2021" s="57" t="str">
        <f>IF(A2021="","",VLOOKUP(A2021,'6.A'!$A$11:$G$180,4,FALSE))</f>
        <v/>
      </c>
      <c r="E2021" s="100" t="str">
        <f>IF(A2021="","",VLOOKUP(A2021,'6.A'!$A$11:$G$180,5,FALSE))</f>
        <v/>
      </c>
      <c r="F2021" s="24" t="str">
        <f t="shared" si="862"/>
        <v>0,00</v>
      </c>
      <c r="G2021" s="52"/>
      <c r="H2021" s="52" t="str">
        <f>IF(A2021="","",VLOOKUP(A2021,'6.A'!$A$11:$E$7984,5,FALSE))</f>
        <v/>
      </c>
      <c r="I2021" s="52" t="str">
        <f t="shared" si="863"/>
        <v/>
      </c>
      <c r="J2021" s="52" t="str">
        <f>IF(H2021="","",VLOOKUP(A2021,'6.A'!$A$11:$E$564,4,FALSE))</f>
        <v/>
      </c>
      <c r="K2021" s="52" t="str">
        <f t="shared" si="864"/>
        <v/>
      </c>
      <c r="L2021" s="52" t="str">
        <f>IF(H2021="","",IF(C2021="","",G1988*C2021))</f>
        <v/>
      </c>
      <c r="M2021" s="117" t="str">
        <f>IF(A2021="","",VLOOKUP(A2021,'6.A'!$A$11:$C$564,2,FALSE))</f>
        <v/>
      </c>
      <c r="N2021" s="57" t="str">
        <f t="shared" si="865"/>
        <v/>
      </c>
      <c r="O2021" s="56"/>
      <c r="P2021" s="56"/>
      <c r="Q2021" s="48"/>
      <c r="R2021" s="48"/>
      <c r="S2021" s="2"/>
    </row>
    <row r="2022" spans="1:22" ht="12.75" customHeight="1" x14ac:dyDescent="0.2">
      <c r="A2022" s="22"/>
      <c r="B2022" s="23" t="str">
        <f>IF(A2022="","",VLOOKUP(A2022,'6.A'!$A$11:$G$180,2,FALSE))</f>
        <v/>
      </c>
      <c r="C2022" s="99"/>
      <c r="D2022" s="57" t="str">
        <f>IF(A2022="","",VLOOKUP(A2022,'6.A'!$A$11:$G$180,4,FALSE))</f>
        <v/>
      </c>
      <c r="E2022" s="100" t="str">
        <f>IF(A2022="","",VLOOKUP(A2022,'6.A'!$A$11:$G$180,5,FALSE))</f>
        <v/>
      </c>
      <c r="F2022" s="24" t="str">
        <f t="shared" si="862"/>
        <v>0,00</v>
      </c>
      <c r="G2022" s="52"/>
      <c r="H2022" s="52" t="str">
        <f>IF(A2022="","",VLOOKUP(A2022,'6.A'!$A$11:$E$7984,5,FALSE))</f>
        <v/>
      </c>
      <c r="I2022" s="52" t="str">
        <f t="shared" si="863"/>
        <v/>
      </c>
      <c r="J2022" s="52" t="str">
        <f>IF(H2022="","",VLOOKUP(A2022,'6.A'!$A$11:$E$564,4,FALSE))</f>
        <v/>
      </c>
      <c r="K2022" s="52" t="str">
        <f t="shared" si="864"/>
        <v/>
      </c>
      <c r="L2022" s="52" t="str">
        <f>IF(H2022="","",IF(C2022="","",G1988*C2022))</f>
        <v/>
      </c>
      <c r="M2022" s="117" t="str">
        <f>IF(A2022="","",VLOOKUP(A2022,'6.A'!$A$11:$C$564,2,FALSE))</f>
        <v/>
      </c>
      <c r="N2022" s="57" t="str">
        <f t="shared" si="865"/>
        <v/>
      </c>
      <c r="O2022" s="56"/>
      <c r="P2022" s="56"/>
      <c r="Q2022" s="48"/>
      <c r="R2022" s="48"/>
      <c r="S2022" s="2"/>
    </row>
    <row r="2023" spans="1:22" ht="12.75" customHeight="1" x14ac:dyDescent="0.2">
      <c r="A2023" s="22"/>
      <c r="B2023" s="23" t="str">
        <f>IF(A2023="","",VLOOKUP(A2023,'6.A'!$A$11:$G$180,2,FALSE))</f>
        <v/>
      </c>
      <c r="C2023" s="99"/>
      <c r="D2023" s="57" t="str">
        <f>IF(A2023="","",VLOOKUP(A2023,'6.A'!$A$11:$G$180,4,FALSE))</f>
        <v/>
      </c>
      <c r="E2023" s="100" t="str">
        <f>IF(A2023="","",VLOOKUP(A2023,'6.A'!$A$11:$G$180,5,FALSE))</f>
        <v/>
      </c>
      <c r="F2023" s="24" t="str">
        <f t="shared" si="862"/>
        <v>0,00</v>
      </c>
      <c r="G2023" s="52"/>
      <c r="H2023" s="52" t="str">
        <f>IF(A2023="","",VLOOKUP(A2023,'6.A'!$A$11:$E$7984,5,FALSE))</f>
        <v/>
      </c>
      <c r="I2023" s="52" t="str">
        <f t="shared" si="863"/>
        <v/>
      </c>
      <c r="J2023" s="52" t="str">
        <f>IF(H2023="","",VLOOKUP(A2023,'6.A'!$A$11:$E$564,4,FALSE))</f>
        <v/>
      </c>
      <c r="K2023" s="52" t="str">
        <f t="shared" si="864"/>
        <v/>
      </c>
      <c r="L2023" s="52" t="str">
        <f>IF(H2023="","",IF(C2023="","",G1988*C2023))</f>
        <v/>
      </c>
      <c r="M2023" s="117" t="str">
        <f>IF(A2023="","",VLOOKUP(A2023,'6.A'!$A$11:$C$564,2,FALSE))</f>
        <v/>
      </c>
      <c r="N2023" s="57" t="str">
        <f t="shared" si="865"/>
        <v/>
      </c>
      <c r="O2023" s="56"/>
      <c r="P2023" s="56"/>
      <c r="Q2023" s="48"/>
      <c r="R2023" s="48"/>
      <c r="S2023" s="2"/>
    </row>
    <row r="2024" spans="1:22" s="65" customFormat="1" ht="12.75" customHeight="1" x14ac:dyDescent="0.2">
      <c r="A2024" s="22"/>
      <c r="B2024" s="23" t="str">
        <f>IF(A2024="","",VLOOKUP(A2024,'6.A'!$A$11:$G$180,2,FALSE))</f>
        <v/>
      </c>
      <c r="C2024" s="99"/>
      <c r="D2024" s="57" t="str">
        <f>IF(A2024="","",VLOOKUP(A2024,'6.A'!$A$11:$G$180,4,FALSE))</f>
        <v/>
      </c>
      <c r="E2024" s="100" t="str">
        <f>IF(A2024="","",VLOOKUP(A2024,'6.A'!$A$11:$G$180,5,FALSE))</f>
        <v/>
      </c>
      <c r="F2024" s="24" t="str">
        <f t="shared" si="862"/>
        <v>0,00</v>
      </c>
      <c r="G2024" s="52"/>
      <c r="H2024" s="52" t="str">
        <f>IF(A2024="","",VLOOKUP(A2024,'6.A'!$A$11:$E$7984,5,FALSE))</f>
        <v/>
      </c>
      <c r="I2024" s="52" t="str">
        <f t="shared" si="863"/>
        <v/>
      </c>
      <c r="J2024" s="52" t="str">
        <f>IF(H2024="","",VLOOKUP(A2024,'6.A'!$A$11:$E$564,4,FALSE))</f>
        <v/>
      </c>
      <c r="K2024" s="52" t="str">
        <f t="shared" si="864"/>
        <v/>
      </c>
      <c r="L2024" s="52" t="str">
        <f>IF(H2024="","",IF(C2024="","",G1988*C2024))</f>
        <v/>
      </c>
      <c r="M2024" s="117" t="str">
        <f>IF(A2024="","",VLOOKUP(A2024,'6.A'!$A$11:$C$564,2,FALSE))</f>
        <v/>
      </c>
      <c r="N2024" s="57" t="str">
        <f t="shared" si="865"/>
        <v/>
      </c>
      <c r="O2024" s="56"/>
      <c r="P2024" s="56"/>
      <c r="Q2024" s="48"/>
      <c r="R2024" s="48"/>
      <c r="T2024" s="2"/>
      <c r="U2024" s="2"/>
      <c r="V2024" s="2"/>
    </row>
    <row r="2025" spans="1:22" s="65" customFormat="1" ht="12.75" customHeight="1" x14ac:dyDescent="0.2">
      <c r="A2025" s="22"/>
      <c r="B2025" s="23" t="str">
        <f>IF(A2025="","",VLOOKUP(A2025,'6.A'!$A$11:$G$180,2,FALSE))</f>
        <v/>
      </c>
      <c r="C2025" s="99"/>
      <c r="D2025" s="57" t="str">
        <f>IF(A2025="","",VLOOKUP(A2025,'6.A'!$A$11:$G$180,4,FALSE))</f>
        <v/>
      </c>
      <c r="E2025" s="100" t="str">
        <f>IF(A2025="","",VLOOKUP(A2025,'6.A'!$A$11:$G$180,5,FALSE))</f>
        <v/>
      </c>
      <c r="F2025" s="24" t="str">
        <f t="shared" si="862"/>
        <v>0,00</v>
      </c>
      <c r="G2025" s="52"/>
      <c r="H2025" s="52" t="str">
        <f>IF(A2025="","",VLOOKUP(A2025,'6.A'!$A$11:$E$7984,5,FALSE))</f>
        <v/>
      </c>
      <c r="I2025" s="52" t="str">
        <f t="shared" si="863"/>
        <v/>
      </c>
      <c r="J2025" s="52" t="str">
        <f>IF(H2025="","",VLOOKUP(A2025,'6.A'!$A$11:$E$564,4,FALSE))</f>
        <v/>
      </c>
      <c r="K2025" s="52" t="str">
        <f t="shared" si="864"/>
        <v/>
      </c>
      <c r="L2025" s="52" t="str">
        <f>IF(H2025="","",IF(C2025="","",G1988*C2025))</f>
        <v/>
      </c>
      <c r="M2025" s="117" t="str">
        <f>IF(A2025="","",VLOOKUP(A2025,'6.A'!$A$11:$C$564,2,FALSE))</f>
        <v/>
      </c>
      <c r="N2025" s="57" t="str">
        <f t="shared" si="865"/>
        <v/>
      </c>
      <c r="O2025" s="56"/>
      <c r="P2025" s="56"/>
      <c r="Q2025" s="48"/>
      <c r="R2025" s="48"/>
      <c r="T2025" s="2"/>
      <c r="U2025" s="2"/>
      <c r="V2025" s="2"/>
    </row>
    <row r="2026" spans="1:22" s="65" customFormat="1" ht="12.75" customHeight="1" x14ac:dyDescent="0.2">
      <c r="A2026" s="22"/>
      <c r="B2026" s="23" t="str">
        <f>IF(A2026="","",VLOOKUP(A2026,'6.A'!$A$11:$G$180,2,FALSE))</f>
        <v/>
      </c>
      <c r="C2026" s="99"/>
      <c r="D2026" s="57" t="str">
        <f>IF(A2026="","",VLOOKUP(A2026,'6.A'!$A$11:$G$180,4,FALSE))</f>
        <v/>
      </c>
      <c r="E2026" s="100" t="str">
        <f>IF(A2026="","",VLOOKUP(A2026,'6.A'!$A$11:$G$180,5,FALSE))</f>
        <v/>
      </c>
      <c r="F2026" s="24" t="str">
        <f t="shared" si="862"/>
        <v>0,00</v>
      </c>
      <c r="G2026" s="52"/>
      <c r="H2026" s="52" t="str">
        <f>IF(A2026="","",VLOOKUP(A2026,'6.A'!$A$11:$E$7984,5,FALSE))</f>
        <v/>
      </c>
      <c r="I2026" s="52" t="str">
        <f t="shared" si="863"/>
        <v/>
      </c>
      <c r="J2026" s="52" t="str">
        <f>IF(H2026="","",VLOOKUP(A2026,'6.A'!$A$11:$E$564,4,FALSE))</f>
        <v/>
      </c>
      <c r="K2026" s="52" t="str">
        <f t="shared" si="864"/>
        <v/>
      </c>
      <c r="L2026" s="52" t="str">
        <f>IF(H2026="","",IF(C2026="","",G1988*C2026))</f>
        <v/>
      </c>
      <c r="M2026" s="117" t="str">
        <f>IF(A2026="","",VLOOKUP(A2026,'6.A'!$A$11:$C$564,2,FALSE))</f>
        <v/>
      </c>
      <c r="N2026" s="57" t="str">
        <f t="shared" si="865"/>
        <v/>
      </c>
      <c r="O2026" s="56"/>
      <c r="P2026" s="56"/>
      <c r="Q2026" s="48"/>
      <c r="R2026" s="48"/>
      <c r="T2026" s="2"/>
      <c r="U2026" s="2"/>
      <c r="V2026" s="2"/>
    </row>
    <row r="2027" spans="1:22" s="65" customFormat="1" ht="12.75" customHeight="1" x14ac:dyDescent="0.2">
      <c r="A2027" s="22"/>
      <c r="B2027" s="23" t="str">
        <f>IF(A2027="","",VLOOKUP(A2027,'6.A'!$A$11:$G$180,2,FALSE))</f>
        <v/>
      </c>
      <c r="C2027" s="99"/>
      <c r="D2027" s="57" t="str">
        <f>IF(A2027="","",VLOOKUP(A2027,'6.A'!$A$11:$G$180,4,FALSE))</f>
        <v/>
      </c>
      <c r="E2027" s="100" t="str">
        <f>IF(A2027="","",VLOOKUP(A2027,'6.A'!$A$11:$G$180,5,FALSE))</f>
        <v/>
      </c>
      <c r="F2027" s="24" t="str">
        <f t="shared" si="862"/>
        <v>0,00</v>
      </c>
      <c r="G2027" s="52"/>
      <c r="H2027" s="52" t="str">
        <f>IF(A2027="","",VLOOKUP(A2027,'6.A'!$A$11:$E$7984,5,FALSE))</f>
        <v/>
      </c>
      <c r="I2027" s="52" t="str">
        <f t="shared" si="863"/>
        <v/>
      </c>
      <c r="J2027" s="52" t="str">
        <f>IF(H2027="","",VLOOKUP(A2027,'6.A'!$A$11:$E$564,4,FALSE))</f>
        <v/>
      </c>
      <c r="K2027" s="52" t="str">
        <f t="shared" si="864"/>
        <v/>
      </c>
      <c r="L2027" s="52" t="str">
        <f>IF(H2027="","",IF(C2027="","",G1988*C2027))</f>
        <v/>
      </c>
      <c r="M2027" s="117" t="str">
        <f>IF(A2027="","",VLOOKUP(A2027,'6.A'!$A$11:$C$564,2,FALSE))</f>
        <v/>
      </c>
      <c r="N2027" s="57" t="str">
        <f t="shared" si="865"/>
        <v/>
      </c>
      <c r="O2027" s="56"/>
      <c r="P2027" s="56"/>
      <c r="Q2027" s="48"/>
      <c r="R2027" s="48"/>
      <c r="T2027" s="2"/>
      <c r="U2027" s="2"/>
      <c r="V2027" s="2"/>
    </row>
    <row r="2028" spans="1:22" ht="12.75" customHeight="1" x14ac:dyDescent="0.2">
      <c r="A2028" s="22"/>
      <c r="B2028" s="23" t="str">
        <f>IF(A2028="","",VLOOKUP(A2028,'6.A'!$A$11:$G$180,2,FALSE))</f>
        <v/>
      </c>
      <c r="C2028" s="99"/>
      <c r="D2028" s="57" t="str">
        <f>IF(A2028="","",VLOOKUP(A2028,'6.A'!$A$11:$G$180,4,FALSE))</f>
        <v/>
      </c>
      <c r="E2028" s="100" t="str">
        <f>IF(A2028="","",VLOOKUP(A2028,'6.A'!$A$11:$G$180,5,FALSE))</f>
        <v/>
      </c>
      <c r="F2028" s="24" t="str">
        <f t="shared" si="862"/>
        <v>0,00</v>
      </c>
      <c r="G2028" s="52"/>
      <c r="H2028" s="52" t="str">
        <f>IF(A2028="","",VLOOKUP(A2028,'6.A'!$A$11:$E$7984,5,FALSE))</f>
        <v/>
      </c>
      <c r="I2028" s="52" t="str">
        <f t="shared" si="863"/>
        <v/>
      </c>
      <c r="J2028" s="52" t="str">
        <f>IF(H2028="","",VLOOKUP(A2028,'6.A'!$A$11:$E$564,4,FALSE))</f>
        <v/>
      </c>
      <c r="K2028" s="52" t="str">
        <f t="shared" si="864"/>
        <v/>
      </c>
      <c r="L2028" s="52" t="str">
        <f>IF(H2028="","",IF(C2028="","",G1988*C2028))</f>
        <v/>
      </c>
      <c r="M2028" s="117" t="str">
        <f>IF(A2028="","",VLOOKUP(A2028,'6.A'!$A$11:$C$564,2,FALSE))</f>
        <v/>
      </c>
      <c r="N2028" s="57" t="str">
        <f t="shared" si="865"/>
        <v/>
      </c>
      <c r="O2028" s="56"/>
      <c r="P2028" s="56"/>
      <c r="Q2028" s="48"/>
      <c r="R2028" s="48"/>
    </row>
    <row r="2029" spans="1:22" ht="12.75" customHeight="1" x14ac:dyDescent="0.2">
      <c r="A2029" s="22"/>
      <c r="B2029" s="23" t="str">
        <f>IF(A2029="","",VLOOKUP(A2029,'6.A'!$A$11:$G$180,2,FALSE))</f>
        <v/>
      </c>
      <c r="C2029" s="99"/>
      <c r="D2029" s="57" t="str">
        <f>IF(A2029="","",VLOOKUP(A2029,'6.A'!$A$11:$G$180,4,FALSE))</f>
        <v/>
      </c>
      <c r="E2029" s="100" t="str">
        <f>IF(A2029="","",VLOOKUP(A2029,'6.A'!$A$11:$G$180,5,FALSE))</f>
        <v/>
      </c>
      <c r="F2029" s="24" t="str">
        <f t="shared" si="862"/>
        <v>0,00</v>
      </c>
      <c r="G2029" s="52"/>
      <c r="H2029" s="52" t="str">
        <f>IF(A2029="","",VLOOKUP(A2029,'6.A'!$A$11:$E$7984,5,FALSE))</f>
        <v/>
      </c>
      <c r="I2029" s="52" t="str">
        <f t="shared" si="863"/>
        <v/>
      </c>
      <c r="J2029" s="52" t="str">
        <f>IF(H2029="","",VLOOKUP(A2029,'6.A'!$A$11:$E$564,4,FALSE))</f>
        <v/>
      </c>
      <c r="K2029" s="52" t="str">
        <f t="shared" si="864"/>
        <v/>
      </c>
      <c r="L2029" s="52" t="str">
        <f>IF(H2029="","",IF(C2029="","",G1988*C2029))</f>
        <v/>
      </c>
      <c r="M2029" s="117" t="str">
        <f>IF(A2029="","",VLOOKUP(A2029,'6.A'!$A$11:$C$564,2,FALSE))</f>
        <v/>
      </c>
      <c r="N2029" s="57" t="str">
        <f t="shared" si="865"/>
        <v/>
      </c>
      <c r="O2029" s="56"/>
      <c r="P2029" s="56"/>
      <c r="Q2029" s="48"/>
      <c r="R2029" s="48"/>
    </row>
    <row r="2030" spans="1:22" ht="12.75" customHeight="1" x14ac:dyDescent="0.2">
      <c r="A2030" s="22"/>
      <c r="B2030" s="23" t="str">
        <f>IF(A2030="","",VLOOKUP(A2030,'6.A'!$A$11:$G$180,2,FALSE))</f>
        <v/>
      </c>
      <c r="C2030" s="99"/>
      <c r="D2030" s="57" t="str">
        <f>IF(A2030="","",VLOOKUP(A2030,'6.A'!$A$11:$G$180,4,FALSE))</f>
        <v/>
      </c>
      <c r="E2030" s="100" t="str">
        <f>IF(A2030="","",VLOOKUP(A2030,'6.A'!$A$11:$G$180,5,FALSE))</f>
        <v/>
      </c>
      <c r="F2030" s="24" t="str">
        <f t="shared" si="862"/>
        <v>0,00</v>
      </c>
      <c r="G2030" s="52"/>
      <c r="H2030" s="52" t="str">
        <f>IF(A2030="","",VLOOKUP(A2030,'6.A'!$A$11:$E$7984,5,FALSE))</f>
        <v/>
      </c>
      <c r="I2030" s="52" t="str">
        <f t="shared" si="863"/>
        <v/>
      </c>
      <c r="J2030" s="52" t="str">
        <f>IF(H2030="","",VLOOKUP(A2030,'6.A'!$A$11:$E$564,4,FALSE))</f>
        <v/>
      </c>
      <c r="K2030" s="52" t="str">
        <f t="shared" si="864"/>
        <v/>
      </c>
      <c r="L2030" s="52" t="str">
        <f>IF(H2030="","",IF(C2030="","",G1988*C2030))</f>
        <v/>
      </c>
      <c r="M2030" s="117" t="str">
        <f>IF(A2030="","",VLOOKUP(A2030,'6.A'!$A$11:$C$564,2,FALSE))</f>
        <v/>
      </c>
      <c r="N2030" s="57" t="str">
        <f t="shared" si="865"/>
        <v/>
      </c>
      <c r="O2030" s="56"/>
      <c r="P2030" s="56"/>
      <c r="Q2030" s="48"/>
      <c r="R2030" s="48"/>
    </row>
    <row r="2031" spans="1:22" ht="12.75" customHeight="1" x14ac:dyDescent="0.2">
      <c r="A2031" s="22"/>
      <c r="B2031" s="23" t="str">
        <f>IF(A2031="","",VLOOKUP(A2031,'6.A'!$A$11:$G$180,2,FALSE))</f>
        <v/>
      </c>
      <c r="C2031" s="99"/>
      <c r="D2031" s="57" t="str">
        <f>IF(A2031="","",VLOOKUP(A2031,'6.A'!$A$11:$G$180,4,FALSE))</f>
        <v/>
      </c>
      <c r="E2031" s="100" t="str">
        <f>IF(A2031="","",VLOOKUP(A2031,'6.A'!$A$11:$G$180,5,FALSE))</f>
        <v/>
      </c>
      <c r="F2031" s="24" t="str">
        <f t="shared" si="862"/>
        <v>0,00</v>
      </c>
      <c r="G2031" s="52"/>
      <c r="H2031" s="52" t="str">
        <f>IF(A2031="","",VLOOKUP(A2031,'6.A'!$A$11:$E$7984,5,FALSE))</f>
        <v/>
      </c>
      <c r="I2031" s="52" t="str">
        <f t="shared" si="863"/>
        <v/>
      </c>
      <c r="J2031" s="52" t="str">
        <f>IF(H2031="","",VLOOKUP(A2031,'6.A'!$A$11:$E$564,4,FALSE))</f>
        <v/>
      </c>
      <c r="K2031" s="52" t="str">
        <f t="shared" si="864"/>
        <v/>
      </c>
      <c r="L2031" s="52" t="str">
        <f>IF(H2031="","",IF(C2031="","",G1988*C2031))</f>
        <v/>
      </c>
      <c r="M2031" s="117" t="str">
        <f>IF(A2031="","",VLOOKUP(A2031,'6.A'!$A$11:$C$564,2,FALSE))</f>
        <v/>
      </c>
      <c r="N2031" s="57" t="str">
        <f t="shared" si="865"/>
        <v/>
      </c>
      <c r="O2031" s="56"/>
      <c r="P2031" s="56"/>
      <c r="Q2031" s="48"/>
      <c r="R2031" s="48"/>
    </row>
    <row r="2032" spans="1:22" ht="12.75" customHeight="1" x14ac:dyDescent="0.2">
      <c r="A2032" s="22"/>
      <c r="B2032" s="23" t="str">
        <f>IF(A2032="","",VLOOKUP(A2032,'6.A'!$A$11:$G$180,2,FALSE))</f>
        <v/>
      </c>
      <c r="C2032" s="99"/>
      <c r="D2032" s="57" t="str">
        <f>IF(A2032="","",VLOOKUP(A2032,'6.A'!$A$11:$G$180,4,FALSE))</f>
        <v/>
      </c>
      <c r="E2032" s="100" t="str">
        <f>IF(A2032="","",VLOOKUP(A2032,'6.A'!$A$11:$G$180,5,FALSE))</f>
        <v/>
      </c>
      <c r="F2032" s="24" t="str">
        <f t="shared" si="862"/>
        <v>0,00</v>
      </c>
      <c r="G2032" s="52"/>
      <c r="H2032" s="52" t="str">
        <f>IF(A2032="","",VLOOKUP(A2032,'6.A'!$A$11:$E$7984,5,FALSE))</f>
        <v/>
      </c>
      <c r="I2032" s="52" t="str">
        <f t="shared" si="863"/>
        <v/>
      </c>
      <c r="J2032" s="52" t="str">
        <f>IF(H2032="","",VLOOKUP(A2032,'6.A'!$A$11:$E$564,4,FALSE))</f>
        <v/>
      </c>
      <c r="K2032" s="52" t="str">
        <f t="shared" si="864"/>
        <v/>
      </c>
      <c r="L2032" s="52" t="str">
        <f>IF(H2032="","",IF(C2032="","",G1988*C2032))</f>
        <v/>
      </c>
      <c r="M2032" s="117" t="str">
        <f>IF(A2032="","",VLOOKUP(A2032,'6.A'!$A$11:$C$564,2,FALSE))</f>
        <v/>
      </c>
      <c r="N2032" s="57" t="str">
        <f t="shared" si="865"/>
        <v/>
      </c>
      <c r="O2032" s="56"/>
      <c r="P2032" s="56"/>
      <c r="Q2032" s="48"/>
      <c r="R2032" s="48"/>
    </row>
    <row r="2033" spans="1:23" ht="12.75" customHeight="1" x14ac:dyDescent="0.2">
      <c r="A2033" s="22"/>
      <c r="B2033" s="23" t="str">
        <f>IF(A2033="","",VLOOKUP(A2033,'6.A'!$A$11:$G$180,2,FALSE))</f>
        <v/>
      </c>
      <c r="C2033" s="99"/>
      <c r="D2033" s="57" t="str">
        <f>IF(A2033="","",VLOOKUP(A2033,'6.A'!$A$11:$G$180,4,FALSE))</f>
        <v/>
      </c>
      <c r="E2033" s="100" t="str">
        <f>IF(A2033="","",VLOOKUP(A2033,'6.A'!$A$11:$G$180,5,FALSE))</f>
        <v/>
      </c>
      <c r="F2033" s="24" t="str">
        <f t="shared" si="862"/>
        <v>0,00</v>
      </c>
      <c r="G2033" s="52"/>
      <c r="H2033" s="52" t="str">
        <f>IF(A2033="","",VLOOKUP(A2033,'6.A'!$A$11:$E$7984,5,FALSE))</f>
        <v/>
      </c>
      <c r="I2033" s="52" t="str">
        <f t="shared" si="863"/>
        <v/>
      </c>
      <c r="J2033" s="52" t="str">
        <f>IF(H2033="","",VLOOKUP(A2033,'6.A'!$A$11:$E$564,4,FALSE))</f>
        <v/>
      </c>
      <c r="K2033" s="52" t="str">
        <f t="shared" si="864"/>
        <v/>
      </c>
      <c r="L2033" s="52" t="str">
        <f>IF(H2033="","",IF(C2033="","",G1988*C2033))</f>
        <v/>
      </c>
      <c r="M2033" s="117" t="str">
        <f>IF(A2033="","",VLOOKUP(A2033,'6.A'!$A$11:$C$564,2,FALSE))</f>
        <v/>
      </c>
      <c r="N2033" s="57" t="str">
        <f t="shared" si="865"/>
        <v/>
      </c>
      <c r="O2033" s="56"/>
      <c r="P2033" s="56"/>
      <c r="Q2033" s="48"/>
      <c r="R2033" s="48"/>
    </row>
    <row r="2034" spans="1:23" ht="12.75" customHeight="1" x14ac:dyDescent="0.2">
      <c r="A2034" s="22"/>
      <c r="B2034" s="39" t="str">
        <f>IF(A2034="","",VLOOKUP(A2034,'6.A'!$A$11:$G$180,2,FALSE))</f>
        <v/>
      </c>
      <c r="C2034" s="99"/>
      <c r="D2034" s="57" t="str">
        <f>IF(A2034="","",VLOOKUP(A2034,'6.A'!$A$11:$G$180,4,FALSE))</f>
        <v/>
      </c>
      <c r="E2034" s="100" t="str">
        <f>IF(A2034="","",VLOOKUP(A2034,'6.A'!$A$11:$G$180,5,FALSE))</f>
        <v/>
      </c>
      <c r="F2034" s="24" t="str">
        <f t="shared" si="862"/>
        <v>0,00</v>
      </c>
      <c r="G2034" s="52"/>
      <c r="H2034" s="52" t="str">
        <f>IF(A2034="","",VLOOKUP(A2034,'6.A'!$A$11:$E$7984,5,FALSE))</f>
        <v/>
      </c>
      <c r="I2034" s="52" t="str">
        <f t="shared" si="863"/>
        <v/>
      </c>
      <c r="J2034" s="52" t="str">
        <f>IF(H2034="","",VLOOKUP(A2034,'6.A'!$A$11:$E$564,4,FALSE))</f>
        <v/>
      </c>
      <c r="K2034" s="52" t="str">
        <f t="shared" si="864"/>
        <v/>
      </c>
      <c r="L2034" s="52" t="str">
        <f>IF(H2034="","",IF(C2034="","",G1988*C2034))</f>
        <v/>
      </c>
      <c r="M2034" s="117" t="str">
        <f>IF(A2034="","",VLOOKUP(A2034,'6.A'!$A$11:$C$564,2,FALSE))</f>
        <v/>
      </c>
      <c r="N2034" s="57" t="str">
        <f t="shared" si="865"/>
        <v/>
      </c>
      <c r="O2034" s="56"/>
      <c r="P2034" s="56"/>
      <c r="Q2034" s="48"/>
      <c r="R2034" s="48"/>
    </row>
    <row r="2035" spans="1:23" ht="12.75" customHeight="1" x14ac:dyDescent="0.2">
      <c r="A2035" s="22"/>
      <c r="B2035" s="39" t="str">
        <f>IF(A2035="","",VLOOKUP(A2035,'6.A'!$A$11:$G$180,2,FALSE))</f>
        <v/>
      </c>
      <c r="C2035" s="99"/>
      <c r="D2035" s="57" t="str">
        <f>IF(A2035="","",VLOOKUP(A2035,'6.A'!$A$11:$G$180,4,FALSE))</f>
        <v/>
      </c>
      <c r="E2035" s="100" t="str">
        <f>IF(A2035="","",VLOOKUP(A2035,'6.A'!$A$11:$G$180,5,FALSE))</f>
        <v/>
      </c>
      <c r="F2035" s="24" t="str">
        <f t="shared" si="862"/>
        <v>0,00</v>
      </c>
      <c r="G2035" s="52"/>
      <c r="H2035" s="52" t="str">
        <f>IF(A2035="","",VLOOKUP(A2035,'6.A'!$A$11:$E$7984,5,FALSE))</f>
        <v/>
      </c>
      <c r="I2035" s="52" t="str">
        <f t="shared" si="863"/>
        <v/>
      </c>
      <c r="J2035" s="52" t="str">
        <f>IF(H2035="","",VLOOKUP(A2035,'6.A'!$A$11:$E$564,4,FALSE))</f>
        <v/>
      </c>
      <c r="K2035" s="52" t="str">
        <f t="shared" si="864"/>
        <v/>
      </c>
      <c r="L2035" s="52" t="str">
        <f>IF(H2035="","",IF(C2035="","",G1988*C2035))</f>
        <v/>
      </c>
      <c r="M2035" s="117" t="str">
        <f>IF(A2035="","",VLOOKUP(A2035,'6.A'!$A$11:$C$564,2,FALSE))</f>
        <v/>
      </c>
      <c r="N2035" s="57" t="str">
        <f t="shared" si="865"/>
        <v/>
      </c>
      <c r="O2035" s="56"/>
      <c r="P2035" s="56"/>
      <c r="Q2035" s="48"/>
      <c r="R2035" s="48"/>
    </row>
    <row r="2036" spans="1:23" ht="12.75" customHeight="1" x14ac:dyDescent="0.2">
      <c r="A2036" s="22"/>
      <c r="B2036" s="39" t="str">
        <f>IF(A2036="","",VLOOKUP(A2036,'6.A'!$A$11:$G$180,2,FALSE))</f>
        <v/>
      </c>
      <c r="C2036" s="99"/>
      <c r="D2036" s="57" t="str">
        <f>IF(A2036="","",VLOOKUP(A2036,'6.A'!$A$11:$G$180,4,FALSE))</f>
        <v/>
      </c>
      <c r="E2036" s="100" t="str">
        <f>IF(A2036="","",VLOOKUP(A2036,'6.A'!$A$11:$G$180,5,FALSE))</f>
        <v/>
      </c>
      <c r="F2036" s="24" t="str">
        <f t="shared" si="862"/>
        <v>0,00</v>
      </c>
      <c r="G2036" s="52"/>
      <c r="H2036" s="52" t="str">
        <f>IF(A2036="","",VLOOKUP(A2036,'6.A'!$A$11:$E$7984,5,FALSE))</f>
        <v/>
      </c>
      <c r="I2036" s="52" t="str">
        <f t="shared" si="863"/>
        <v/>
      </c>
      <c r="J2036" s="52" t="str">
        <f>IF(H2036="","",VLOOKUP(A2036,'6.A'!$A$11:$E$564,4,FALSE))</f>
        <v/>
      </c>
      <c r="K2036" s="52" t="str">
        <f t="shared" si="864"/>
        <v/>
      </c>
      <c r="L2036" s="52" t="str">
        <f>IF(H2036="","",IF(C2036="","",G1988*C2036))</f>
        <v/>
      </c>
      <c r="M2036" s="117" t="str">
        <f>IF(A2036="","",VLOOKUP(A2036,'6.A'!$A$11:$C$564,2,FALSE))</f>
        <v/>
      </c>
      <c r="N2036" s="57" t="str">
        <f t="shared" si="865"/>
        <v/>
      </c>
      <c r="O2036" s="56"/>
      <c r="P2036" s="56"/>
      <c r="Q2036" s="48"/>
      <c r="R2036" s="48"/>
    </row>
    <row r="2037" spans="1:23" ht="12.75" customHeight="1" x14ac:dyDescent="0.2">
      <c r="A2037" s="22"/>
      <c r="B2037" s="26" t="str">
        <f>$A$9</f>
        <v>BDI</v>
      </c>
      <c r="C2037" s="40">
        <f>$C$9</f>
        <v>0</v>
      </c>
      <c r="D2037" s="57"/>
      <c r="F2037" s="28">
        <f>ROUND(SUM(F2017:F2036)*C2037,2)</f>
        <v>0</v>
      </c>
      <c r="G2037" s="63"/>
      <c r="M2037" s="57"/>
      <c r="N2037" s="57"/>
      <c r="O2037" s="56"/>
      <c r="P2037" s="56"/>
      <c r="Q2037" s="48"/>
      <c r="R2037" s="48"/>
    </row>
    <row r="2038" spans="1:23" ht="12.75" customHeight="1" thickBot="1" x14ac:dyDescent="0.25">
      <c r="A2038" s="41"/>
      <c r="B2038" s="42" t="s">
        <v>57</v>
      </c>
      <c r="C2038" s="43"/>
      <c r="D2038" s="44"/>
      <c r="E2038" s="45"/>
      <c r="F2038" s="46">
        <f>ROUND(SUM(F2017:F2037),2)</f>
        <v>0</v>
      </c>
      <c r="G2038" s="63"/>
      <c r="M2038" s="57"/>
      <c r="N2038" s="57"/>
      <c r="O2038" s="56"/>
      <c r="P2038" s="56"/>
      <c r="Q2038" s="48"/>
      <c r="R2038" s="48"/>
    </row>
    <row r="2039" spans="1:23" ht="12" customHeight="1" thickBot="1" x14ac:dyDescent="0.25">
      <c r="A2039" s="8"/>
      <c r="B2039" s="9"/>
      <c r="C2039" s="10"/>
      <c r="D2039" s="57"/>
      <c r="F2039" s="12"/>
      <c r="M2039" s="57"/>
      <c r="N2039" s="57"/>
      <c r="O2039" s="56"/>
      <c r="P2039" s="56"/>
    </row>
    <row r="2040" spans="1:23" ht="50.1" customHeight="1" x14ac:dyDescent="0.2">
      <c r="A2040" s="13" t="str">
        <f>'3.A'!$A$51</f>
        <v>3.2.15</v>
      </c>
      <c r="B2040" s="14" t="str">
        <f>IF(A2040="","",VLOOKUP(A2040,'3.A'!$A$17:$M$279,2,FALSE))</f>
        <v>TERMINAL OU CONECTOR DE PRESSAO PARA CABO 25MM</v>
      </c>
      <c r="C2040" s="413" t="s">
        <v>62</v>
      </c>
      <c r="D2040" s="413"/>
      <c r="E2040" s="15" t="str">
        <f>IF(A2040="","",VLOOKUP(A2040,'3.A'!$A$17:$M$279,3,FALSE))</f>
        <v>UN</v>
      </c>
      <c r="F2040" s="16">
        <f>ROUND(F2054+F2067+F2090,2)</f>
        <v>0</v>
      </c>
      <c r="G2040" s="118">
        <f>VLOOKUP(A2040,'3.A'!$A$19:$I$279,4,FALSE)</f>
        <v>2</v>
      </c>
      <c r="H2040" s="47">
        <f>SUM(F2042:F2053)</f>
        <v>0</v>
      </c>
      <c r="I2040" s="47">
        <f>SUM(F2056:F2066)</f>
        <v>0</v>
      </c>
      <c r="J2040" s="47">
        <f>SUM(F2069:F2089)</f>
        <v>0</v>
      </c>
      <c r="K2040" s="47">
        <f>SUM(H2040:J2040)</f>
        <v>0</v>
      </c>
      <c r="L2040" s="47" t="str">
        <f>IF(K2040=F2040,"SIM","NÃO")</f>
        <v>SIM</v>
      </c>
      <c r="M2040" s="58">
        <f>ROUND(SUM(F2042:F2051)*C2052,2)+ROUND(SUM(F2042:F2052)*C2053,2)+ROUND(SUM(F2042:F2051),2)+ROUND(SUM(F2056:F2065)*C2066,2)+ROUND(SUM(F2056:F2065),2)+ROUND(SUM(F2069:F2088)*C2089,2)+ROUND(SUM(F2069:F2088),2)</f>
        <v>0</v>
      </c>
      <c r="N2040" s="50" t="str">
        <f>IF(M2040=F2040,"SIM","NÃO")</f>
        <v>SIM</v>
      </c>
      <c r="O2040" s="51" t="str">
        <f>VLOOKUP(A2040,'3.A'!$A$8:$E$279,3,FALSE)</f>
        <v>UN</v>
      </c>
      <c r="P2040" s="51" t="str">
        <f>IF(O2040=E2040,"SIM","NÃO")</f>
        <v>SIM</v>
      </c>
      <c r="Q2040" s="53">
        <f>ROUND(G2040*F2054,2)+ROUND(G2040*F2067,2)+ROUND(G2040*F2090,2)</f>
        <v>0</v>
      </c>
      <c r="R2040" s="59">
        <f>VLOOKUP(A2040,'3.A'!$A$17:$L$279,12,FALSE)</f>
        <v>0</v>
      </c>
      <c r="S2040" s="60" t="str">
        <f>IF(Q2040=R2040,"si","no")</f>
        <v>si</v>
      </c>
      <c r="T2040" s="61">
        <f>SUM(L2042:L2051)+SUM(L2056:L2065)+SUM(L2069:L2088)</f>
        <v>3.2</v>
      </c>
      <c r="U2040" s="52">
        <f>G2040*C2048+G2040*C2050+G2040*C2043+G2040*C2044+G2040*C2046+G2040*C2049+G2040*C2047+G2040*C2042+G2040*C2045+G2040*C2051+G2040*C2062+G2040*C2056+G2040*C2064+G2040*C2063+G2040*C2061+G2040*C2058+G2040*C2057+G2040*C2059+G2040*C2065+G2040*C2060+G2040*C2069+G2040*C2070+G2040*C2071+G2040*C2079+G2040*C2080+G2040*C2081+G2040*C2082+G2040*C2083+G2040*C2084+G2040*C2085+G2040*C2086+G2040*C2087+G2040*C2088+G2040*C2077+G2040*C2078+G2040*C2072+G2040*C2073+G2040*C2074+G2040*C2075+G2040*C2076</f>
        <v>3.2</v>
      </c>
      <c r="V2040" s="54" t="str">
        <f>IF(T2040=U2040,"si","no")</f>
        <v>si</v>
      </c>
      <c r="W2040" s="137"/>
    </row>
    <row r="2041" spans="1:23" ht="12.75" customHeight="1" x14ac:dyDescent="0.2">
      <c r="A2041" s="17" t="s">
        <v>3</v>
      </c>
      <c r="B2041" s="18" t="s">
        <v>58</v>
      </c>
      <c r="C2041" s="56" t="s">
        <v>59</v>
      </c>
      <c r="D2041" s="56" t="s">
        <v>16</v>
      </c>
      <c r="E2041" s="19" t="s">
        <v>60</v>
      </c>
      <c r="F2041" s="20" t="s">
        <v>61</v>
      </c>
      <c r="G2041" s="21"/>
      <c r="M2041" s="57"/>
      <c r="N2041" s="57"/>
      <c r="O2041" s="56"/>
      <c r="P2041" s="56"/>
      <c r="Q2041" s="48"/>
      <c r="R2041" s="48"/>
    </row>
    <row r="2042" spans="1:23" ht="12.75" customHeight="1" x14ac:dyDescent="0.2">
      <c r="A2042" s="22">
        <f>'6.A'!$A$15</f>
        <v>88247</v>
      </c>
      <c r="B2042" s="23" t="str">
        <f>IF(A2042="","",VLOOKUP(A2042,'6.A'!$A$11:$G$180,2,FALSE))</f>
        <v>AUXILIAR DE ELETRICISTA COM ENCARGOS COMPLEMENTARES</v>
      </c>
      <c r="C2042" s="99">
        <v>0.3</v>
      </c>
      <c r="D2042" s="57" t="str">
        <f>IF(A2042="","",VLOOKUP(A2042,'6.A'!$A$11:$G$180,4,FALSE))</f>
        <v>H</v>
      </c>
      <c r="E2042" s="100">
        <f>IF(A2042="","",VLOOKUP(A2042,'6.A'!$A$11:$G$180,5,FALSE))</f>
        <v>0</v>
      </c>
      <c r="F2042" s="24">
        <f t="shared" ref="F2042:F2051" si="866">IF(A2042="","0,00",ROUND(C2042*E2042,2))</f>
        <v>0</v>
      </c>
      <c r="G2042" s="52"/>
      <c r="H2042" s="52">
        <f>IF(A2042="","",VLOOKUP(A2042,'6.A'!$A$11:$E$7984,5,FALSE))</f>
        <v>0</v>
      </c>
      <c r="I2042" s="52" t="str">
        <f>IF(H2042="","",IF(E2042=H2042,"SIM","NÃO"))</f>
        <v>SIM</v>
      </c>
      <c r="J2042" s="52" t="str">
        <f>IF(H2042="","",VLOOKUP(A2042,'6.A'!$A$11:$E$564,4,FALSE))</f>
        <v>H</v>
      </c>
      <c r="K2042" s="52" t="str">
        <f>IF(H2042="","",IF(J2042=D2042,"SIM","NÃO"))</f>
        <v>SIM</v>
      </c>
      <c r="L2042" s="52">
        <f>IF(H2042="","",IF(C2042="","",G2040*C2042))</f>
        <v>0.6</v>
      </c>
      <c r="M2042" s="117" t="str">
        <f>IF(A2042="","",VLOOKUP(A2042,'6.A'!$A$11:$C$564,2,FALSE))</f>
        <v>AUXILIAR DE ELETRICISTA COM ENCARGOS COMPLEMENTARES</v>
      </c>
      <c r="N2042" s="57" t="str">
        <f>IF(A2042="","",IF(M2042=B2042,"si","no"))</f>
        <v>si</v>
      </c>
      <c r="O2042" s="56"/>
      <c r="P2042" s="56"/>
      <c r="Q2042" s="48"/>
      <c r="R2042" s="48"/>
    </row>
    <row r="2043" spans="1:23" ht="12.75" customHeight="1" x14ac:dyDescent="0.2">
      <c r="A2043" s="22">
        <f>'6.A'!$A$18</f>
        <v>88264</v>
      </c>
      <c r="B2043" s="23" t="str">
        <f>IF(A2043="","",VLOOKUP(A2043,'6.A'!$A$11:$G$180,2,FALSE))</f>
        <v>ELETRICISTA COM ENCARGOS COMPLEMENTARES</v>
      </c>
      <c r="C2043" s="99">
        <v>0.3</v>
      </c>
      <c r="D2043" s="57" t="str">
        <f>IF(A2043="","",VLOOKUP(A2043,'6.A'!$A$11:$G$180,4,FALSE))</f>
        <v>H</v>
      </c>
      <c r="E2043" s="100">
        <f>IF(A2043="","",VLOOKUP(A2043,'6.A'!$A$11:$G$180,5,FALSE))</f>
        <v>0</v>
      </c>
      <c r="F2043" s="24">
        <f>IF(A2043="","0,00",ROUND(C2043*E2043,2))</f>
        <v>0</v>
      </c>
      <c r="G2043" s="52"/>
      <c r="H2043" s="52">
        <f>IF(A2043="","",VLOOKUP(A2043,'6.A'!$A$11:$E$7984,5,FALSE))</f>
        <v>0</v>
      </c>
      <c r="I2043" s="52" t="str">
        <f>IF(H2043="","",IF(E2043=H2043,"SIM","NÃO"))</f>
        <v>SIM</v>
      </c>
      <c r="J2043" s="52" t="str">
        <f>IF(H2043="","",VLOOKUP(A2043,'6.A'!$A$11:$E$564,4,FALSE))</f>
        <v>H</v>
      </c>
      <c r="K2043" s="52" t="str">
        <f>IF(H2043="","",IF(J2043=D2043,"SIM","NÃO"))</f>
        <v>SIM</v>
      </c>
      <c r="L2043" s="52">
        <f>IF(H2043="","",IF(C2043="","",G2040*C2043))</f>
        <v>0.6</v>
      </c>
      <c r="M2043" s="117" t="str">
        <f>IF(A2043="","",VLOOKUP(A2043,'6.A'!$A$11:$C$564,2,FALSE))</f>
        <v>ELETRICISTA COM ENCARGOS COMPLEMENTARES</v>
      </c>
      <c r="N2043" s="57" t="str">
        <f>IF(A2043="","",IF(M2043=B2043,"si","no"))</f>
        <v>si</v>
      </c>
      <c r="O2043" s="56"/>
      <c r="P2043" s="56"/>
      <c r="Q2043" s="48"/>
      <c r="R2043" s="48"/>
    </row>
    <row r="2044" spans="1:23" ht="12.75" customHeight="1" x14ac:dyDescent="0.2">
      <c r="A2044" s="22"/>
      <c r="B2044" s="23" t="str">
        <f>IF(A2044="","",VLOOKUP(A2044,'6.A'!$A$11:$G$180,2,FALSE))</f>
        <v/>
      </c>
      <c r="C2044" s="99"/>
      <c r="D2044" s="57" t="str">
        <f>IF(A2044="","",VLOOKUP(A2044,'6.A'!$A$11:$G$180,4,FALSE))</f>
        <v/>
      </c>
      <c r="E2044" s="100" t="str">
        <f>IF(A2044="","",VLOOKUP(A2044,'6.A'!$A$11:$G$180,5,FALSE))</f>
        <v/>
      </c>
      <c r="F2044" s="24" t="str">
        <f t="shared" si="866"/>
        <v>0,00</v>
      </c>
      <c r="G2044" s="52"/>
      <c r="H2044" s="52" t="str">
        <f>IF(A2044="","",VLOOKUP(A2044,'6.A'!$A$11:$E$7984,5,FALSE))</f>
        <v/>
      </c>
      <c r="I2044" s="52" t="str">
        <f>IF(H2044="","",IF(E2044=H2044,"SIM","NÃO"))</f>
        <v/>
      </c>
      <c r="J2044" s="52" t="str">
        <f>IF(H2044="","",VLOOKUP(A2044,'6.A'!$A$11:$E$564,4,FALSE))</f>
        <v/>
      </c>
      <c r="K2044" s="52" t="str">
        <f t="shared" ref="K2044" si="867">IF(H2044="","",IF(J2044=D2044,"SIM","NÃO"))</f>
        <v/>
      </c>
      <c r="L2044" s="52" t="str">
        <f>IF(H2044="","",IF(C2044="","",G2040*C2044))</f>
        <v/>
      </c>
      <c r="M2044" s="117" t="str">
        <f>IF(A2044="","",VLOOKUP(A2044,'6.A'!$A$11:$C$564,2,FALSE))</f>
        <v/>
      </c>
      <c r="N2044" s="57" t="str">
        <f t="shared" ref="N2044" si="868">IF(A2044="","",IF(M2044=B2044,"si","no"))</f>
        <v/>
      </c>
      <c r="O2044" s="56"/>
      <c r="P2044" s="56"/>
      <c r="Q2044" s="48"/>
      <c r="R2044" s="48"/>
      <c r="S2044" s="2"/>
    </row>
    <row r="2045" spans="1:23" ht="12.75" customHeight="1" x14ac:dyDescent="0.2">
      <c r="A2045" s="22"/>
      <c r="B2045" s="23" t="str">
        <f>IF(A2045="","",VLOOKUP(A2045,'6.A'!$A$11:$G$180,2,FALSE))</f>
        <v/>
      </c>
      <c r="C2045" s="99"/>
      <c r="D2045" s="57" t="str">
        <f>IF(A2045="","",VLOOKUP(A2045,'6.A'!$A$11:$G$180,4,FALSE))</f>
        <v/>
      </c>
      <c r="E2045" s="100" t="str">
        <f>IF(A2045="","",VLOOKUP(A2045,'6.A'!$A$11:$G$180,5,FALSE))</f>
        <v/>
      </c>
      <c r="F2045" s="24" t="str">
        <f t="shared" si="866"/>
        <v>0,00</v>
      </c>
      <c r="G2045" s="52"/>
      <c r="H2045" s="52" t="str">
        <f>IF(A2045="","",VLOOKUP(A2045,'6.A'!$A$11:$E$7984,5,FALSE))</f>
        <v/>
      </c>
      <c r="I2045" s="52" t="str">
        <f>IF(H2045="","",IF(E2045=H2045,"SIM","NÃO"))</f>
        <v/>
      </c>
      <c r="J2045" s="52" t="str">
        <f>IF(H2045="","",VLOOKUP(A2045,'6.A'!$A$11:$E$564,4,FALSE))</f>
        <v/>
      </c>
      <c r="K2045" s="52" t="str">
        <f>IF(H2045="","",IF(J2045=D2045,"SIM","NÃO"))</f>
        <v/>
      </c>
      <c r="L2045" s="52" t="str">
        <f>IF(H2045="","",IF(C2045="","",G2040*C2045))</f>
        <v/>
      </c>
      <c r="M2045" s="117" t="str">
        <f>IF(A2045="","",VLOOKUP(A2045,'6.A'!$A$11:$C$564,2,FALSE))</f>
        <v/>
      </c>
      <c r="N2045" s="57" t="str">
        <f>IF(A2045="","",IF(M2045=B2045,"si","no"))</f>
        <v/>
      </c>
      <c r="O2045" s="56"/>
      <c r="P2045" s="56"/>
      <c r="Q2045" s="48"/>
      <c r="R2045" s="48"/>
      <c r="S2045" s="2"/>
    </row>
    <row r="2046" spans="1:23" ht="12.75" customHeight="1" x14ac:dyDescent="0.2">
      <c r="A2046" s="22"/>
      <c r="B2046" s="23" t="str">
        <f>IF(A2046="","",VLOOKUP(A2046,'6.A'!$A$11:$G$180,2,FALSE))</f>
        <v/>
      </c>
      <c r="C2046" s="99"/>
      <c r="D2046" s="57" t="str">
        <f>IF(A2046="","",VLOOKUP(A2046,'6.A'!$A$11:$G$180,4,FALSE))</f>
        <v/>
      </c>
      <c r="E2046" s="101" t="str">
        <f>IF(A2046="","",VLOOKUP(A2046,'6.A'!$A$11:$G$180,5,FALSE))</f>
        <v/>
      </c>
      <c r="F2046" s="24" t="str">
        <f t="shared" si="866"/>
        <v>0,00</v>
      </c>
      <c r="G2046" s="52"/>
      <c r="H2046" s="52" t="str">
        <f>IF(A2046="","",VLOOKUP(A2046,'6.A'!$A$11:$E$7984,5,FALSE))</f>
        <v/>
      </c>
      <c r="I2046" s="52" t="str">
        <f t="shared" ref="I2046" si="869">IF(H2046="","",IF(E2046=H2046,"SIM","NÃO"))</f>
        <v/>
      </c>
      <c r="J2046" s="52" t="str">
        <f>IF(H2046="","",VLOOKUP(A2046,'6.A'!$A$11:$E$564,4,FALSE))</f>
        <v/>
      </c>
      <c r="K2046" s="52" t="str">
        <f t="shared" ref="K2046" si="870">IF(H2046="","",IF(J2046=D2046,"SIM","NÃO"))</f>
        <v/>
      </c>
      <c r="L2046" s="52" t="str">
        <f>IF(H2046="","",IF(C2046="","",G2040*C2046))</f>
        <v/>
      </c>
      <c r="M2046" s="117" t="str">
        <f>IF(A2046="","",VLOOKUP(A2046,'6.A'!$A$11:$C$564,2,FALSE))</f>
        <v/>
      </c>
      <c r="N2046" s="57" t="str">
        <f t="shared" ref="N2046" si="871">IF(A2046="","",IF(M2046=B2046,"si","no"))</f>
        <v/>
      </c>
      <c r="O2046" s="56"/>
      <c r="P2046" s="56"/>
      <c r="Q2046" s="48"/>
      <c r="R2046" s="48"/>
      <c r="S2046" s="2"/>
    </row>
    <row r="2047" spans="1:23" ht="12.75" customHeight="1" x14ac:dyDescent="0.2">
      <c r="A2047" s="22"/>
      <c r="B2047" s="23" t="str">
        <f>IF(A2047="","",VLOOKUP(A2047,'6.A'!$A$11:$G$180,2,FALSE))</f>
        <v/>
      </c>
      <c r="C2047" s="99"/>
      <c r="D2047" s="57" t="str">
        <f>IF(A2047="","",VLOOKUP(A2047,'6.A'!$A$11:$G$180,4,FALSE))</f>
        <v/>
      </c>
      <c r="E2047" s="101" t="str">
        <f>IF(A2047="","",VLOOKUP(A2047,'6.A'!$A$11:$G$180,5,FALSE))</f>
        <v/>
      </c>
      <c r="F2047" s="24" t="str">
        <f t="shared" si="866"/>
        <v>0,00</v>
      </c>
      <c r="G2047" s="52"/>
      <c r="H2047" s="52" t="str">
        <f>IF(A2047="","",VLOOKUP(A2047,'6.A'!$A$11:$E$7984,5,FALSE))</f>
        <v/>
      </c>
      <c r="I2047" s="52" t="str">
        <f>IF(H2047="","",IF(E2047=H2047,"SIM","NÃO"))</f>
        <v/>
      </c>
      <c r="J2047" s="52" t="str">
        <f>IF(H2047="","",VLOOKUP(A2047,'6.A'!$A$11:$E$564,4,FALSE))</f>
        <v/>
      </c>
      <c r="K2047" s="52" t="str">
        <f>IF(H2047="","",IF(J2047=D2047,"SIM","NÃO"))</f>
        <v/>
      </c>
      <c r="L2047" s="52" t="str">
        <f>IF(H2047="","",IF(C2047="","",G2040*C2047))</f>
        <v/>
      </c>
      <c r="M2047" s="117" t="str">
        <f>IF(A2047="","",VLOOKUP(A2047,'6.A'!$A$11:$C$564,2,FALSE))</f>
        <v/>
      </c>
      <c r="N2047" s="57" t="str">
        <f>IF(A2047="","",IF(M2047=B2047,"si","no"))</f>
        <v/>
      </c>
      <c r="O2047" s="56"/>
      <c r="P2047" s="56"/>
      <c r="Q2047" s="48"/>
      <c r="R2047" s="48"/>
      <c r="S2047" s="2"/>
    </row>
    <row r="2048" spans="1:23" ht="12.75" customHeight="1" x14ac:dyDescent="0.2">
      <c r="A2048" s="22"/>
      <c r="B2048" s="23" t="str">
        <f>IF(A2048="","",VLOOKUP(A2048,'6.A'!$A$11:$G$180,2,FALSE))</f>
        <v/>
      </c>
      <c r="C2048" s="99"/>
      <c r="D2048" s="57" t="str">
        <f>IF(A2048="","",VLOOKUP(A2048,'6.A'!$A$11:$G$180,4,FALSE))</f>
        <v/>
      </c>
      <c r="E2048" s="100" t="str">
        <f>IF(A2048="","",VLOOKUP(A2048,'6.A'!$A$11:$G$180,5,FALSE))</f>
        <v/>
      </c>
      <c r="F2048" s="24" t="str">
        <f t="shared" si="866"/>
        <v>0,00</v>
      </c>
      <c r="G2048" s="52"/>
      <c r="H2048" s="52" t="str">
        <f>IF(A2048="","",VLOOKUP(A2048,'6.A'!$A$11:$E$7984,5,FALSE))</f>
        <v/>
      </c>
      <c r="I2048" s="52" t="str">
        <f>IF(H2048="","",IF(E2048=H2048,"SIM","NÃO"))</f>
        <v/>
      </c>
      <c r="J2048" s="52" t="str">
        <f>IF(H2048="","",VLOOKUP(A2048,'6.A'!$A$11:$E$564,4,FALSE))</f>
        <v/>
      </c>
      <c r="K2048" s="52" t="str">
        <f>IF(H2048="","",IF(J2048=D2048,"SIM","NÃO"))</f>
        <v/>
      </c>
      <c r="L2048" s="52" t="str">
        <f>IF(H2048="","",IF(C2048="","",G2040*C2048))</f>
        <v/>
      </c>
      <c r="M2048" s="117" t="str">
        <f>IF(A2048="","",VLOOKUP(A2048,'6.A'!$A$11:$C$564,2,FALSE))</f>
        <v/>
      </c>
      <c r="N2048" s="57" t="str">
        <f>IF(A2048="","",IF(M2048=B2048,"si","no"))</f>
        <v/>
      </c>
      <c r="O2048" s="56"/>
      <c r="P2048" s="56"/>
      <c r="Q2048" s="48"/>
      <c r="R2048" s="48"/>
      <c r="S2048" s="2"/>
    </row>
    <row r="2049" spans="1:19" ht="12.75" customHeight="1" x14ac:dyDescent="0.2">
      <c r="A2049" s="22"/>
      <c r="B2049" s="23" t="str">
        <f>IF(A2049="","",VLOOKUP(A2049,'6.A'!$A$11:$G$180,2,FALSE))</f>
        <v/>
      </c>
      <c r="C2049" s="99"/>
      <c r="D2049" s="57" t="str">
        <f>IF(A2049="","",VLOOKUP(A2049,'6.A'!$A$11:$G$180,4,FALSE))</f>
        <v/>
      </c>
      <c r="E2049" s="100" t="str">
        <f>IF(A2049="","",VLOOKUP(A2049,'6.A'!$A$11:$G$180,5,FALSE))</f>
        <v/>
      </c>
      <c r="F2049" s="24" t="str">
        <f t="shared" si="866"/>
        <v>0,00</v>
      </c>
      <c r="G2049" s="52"/>
      <c r="H2049" s="52" t="str">
        <f>IF(A2049="","",VLOOKUP(A2049,'6.A'!$A$11:$E$7984,5,FALSE))</f>
        <v/>
      </c>
      <c r="I2049" s="52" t="str">
        <f t="shared" ref="I2049" si="872">IF(H2049="","",IF(E2049=H2049,"SIM","NÃO"))</f>
        <v/>
      </c>
      <c r="J2049" s="52" t="str">
        <f>IF(H2049="","",VLOOKUP(A2049,'6.A'!$A$11:$E$564,4,FALSE))</f>
        <v/>
      </c>
      <c r="K2049" s="52" t="str">
        <f t="shared" ref="K2049" si="873">IF(H2049="","",IF(J2049=D2049,"SIM","NÃO"))</f>
        <v/>
      </c>
      <c r="L2049" s="52" t="str">
        <f>IF(H2049="","",IF(C2049="","",G2040*C2049))</f>
        <v/>
      </c>
      <c r="M2049" s="117" t="str">
        <f>IF(A2049="","",VLOOKUP(A2049,'6.A'!$A$11:$C$564,2,FALSE))</f>
        <v/>
      </c>
      <c r="N2049" s="57" t="str">
        <f t="shared" ref="N2049" si="874">IF(A2049="","",IF(M2049=B2049,"si","no"))</f>
        <v/>
      </c>
      <c r="O2049" s="56"/>
      <c r="P2049" s="56"/>
      <c r="Q2049" s="48"/>
      <c r="R2049" s="48"/>
      <c r="S2049" s="2"/>
    </row>
    <row r="2050" spans="1:19" ht="12.75" customHeight="1" x14ac:dyDescent="0.2">
      <c r="A2050" s="22"/>
      <c r="B2050" s="23" t="str">
        <f>IF(A2050="","",VLOOKUP(A2050,'6.A'!$A$11:$G$180,2,FALSE))</f>
        <v/>
      </c>
      <c r="C2050" s="99"/>
      <c r="D2050" s="73" t="str">
        <f>IF(A2050="","",VLOOKUP(A2050,'6.A'!$A$11:$G$180,4,FALSE))</f>
        <v/>
      </c>
      <c r="E2050" s="101" t="str">
        <f>IF(A2050="","",VLOOKUP(A2050,'6.A'!$A$11:$G$180,5,FALSE))</f>
        <v/>
      </c>
      <c r="F2050" s="24" t="str">
        <f t="shared" si="866"/>
        <v>0,00</v>
      </c>
      <c r="G2050" s="52"/>
      <c r="H2050" s="52" t="str">
        <f>IF(A2050="","",VLOOKUP(A2050,'6.A'!$A$11:$E$7984,5,FALSE))</f>
        <v/>
      </c>
      <c r="I2050" s="52" t="str">
        <f>IF(H2050="","",IF(E2050=H2050,"SIM","NÃO"))</f>
        <v/>
      </c>
      <c r="J2050" s="52" t="str">
        <f>IF(H2050="","",VLOOKUP(A2050,'6.A'!$A$11:$E$564,4,FALSE))</f>
        <v/>
      </c>
      <c r="K2050" s="52" t="str">
        <f>IF(H2050="","",IF(J2050=D2050,"SIM","NÃO"))</f>
        <v/>
      </c>
      <c r="L2050" s="52" t="str">
        <f>IF(H2050="","",IF(C2050="","",G2040*C2050))</f>
        <v/>
      </c>
      <c r="M2050" s="117" t="str">
        <f>IF(A2050="","",VLOOKUP(A2050,'6.A'!$A$11:$C$564,2,FALSE))</f>
        <v/>
      </c>
      <c r="N2050" s="57" t="str">
        <f>IF(A2050="","",IF(M2050=B2050,"si","no"))</f>
        <v/>
      </c>
      <c r="O2050" s="56"/>
      <c r="P2050" s="56"/>
      <c r="Q2050" s="48"/>
      <c r="R2050" s="48"/>
      <c r="S2050" s="2"/>
    </row>
    <row r="2051" spans="1:19" ht="12.75" customHeight="1" x14ac:dyDescent="0.2">
      <c r="A2051" s="22"/>
      <c r="B2051" s="23" t="str">
        <f>IF(A2051="","",VLOOKUP(A2051,'6.A'!$A$11:$G$180,2,FALSE))</f>
        <v/>
      </c>
      <c r="C2051" s="99"/>
      <c r="D2051" s="25" t="str">
        <f>IF(A2051="","",VLOOKUP(A2051,'6.A'!$A$11:$G$180,4,FALSE))</f>
        <v/>
      </c>
      <c r="E2051" s="101" t="str">
        <f>IF(A2051="","",VLOOKUP(A2051,'6.A'!$A$11:$G$180,5,FALSE))</f>
        <v/>
      </c>
      <c r="F2051" s="24" t="str">
        <f t="shared" si="866"/>
        <v>0,00</v>
      </c>
      <c r="G2051" s="52"/>
      <c r="H2051" s="52" t="str">
        <f>IF(A2051="","",VLOOKUP(A2051,'6.A'!$A$11:$E$7984,5,FALSE))</f>
        <v/>
      </c>
      <c r="I2051" s="52" t="str">
        <f t="shared" ref="I2051" si="875">IF(H2051="","",IF(E2051=H2051,"SIM","NÃO"))</f>
        <v/>
      </c>
      <c r="J2051" s="52" t="str">
        <f>IF(H2051="","",VLOOKUP(A2051,'6.A'!$A$11:$E$564,4,FALSE))</f>
        <v/>
      </c>
      <c r="K2051" s="52" t="str">
        <f t="shared" ref="K2051" si="876">IF(H2051="","",IF(J2051=D2051,"SIM","NÃO"))</f>
        <v/>
      </c>
      <c r="L2051" s="52" t="str">
        <f>IF(H2051="","",IF(C2051="","",G2040*C2051))</f>
        <v/>
      </c>
      <c r="M2051" s="117" t="str">
        <f>IF(A2051="","",VLOOKUP(A2051,'6.A'!$A$11:$C$564,2,FALSE))</f>
        <v/>
      </c>
      <c r="N2051" s="57" t="str">
        <f t="shared" ref="N2051" si="877">IF(A2051="","",IF(M2051=B2051,"si","no"))</f>
        <v/>
      </c>
      <c r="O2051" s="56"/>
      <c r="P2051" s="56"/>
      <c r="Q2051" s="48"/>
      <c r="R2051" s="48"/>
      <c r="S2051" s="2"/>
    </row>
    <row r="2052" spans="1:19" ht="12.75" customHeight="1" x14ac:dyDescent="0.2">
      <c r="A2052" s="17"/>
      <c r="B2052" s="26" t="str">
        <f>$A$8</f>
        <v>LEIS SOCIAIS HORISTA - JORNADA NORMAL</v>
      </c>
      <c r="C2052" s="27">
        <f>$C$8</f>
        <v>0</v>
      </c>
      <c r="D2052" s="57"/>
      <c r="F2052" s="28">
        <f>ROUND(SUM(F2042:F2051)*C2052,2)</f>
        <v>0</v>
      </c>
      <c r="G2052" s="63"/>
      <c r="M2052" s="62"/>
      <c r="N2052" s="57"/>
      <c r="O2052" s="56"/>
      <c r="P2052" s="56"/>
      <c r="Q2052" s="48"/>
      <c r="R2052" s="48"/>
      <c r="S2052" s="2"/>
    </row>
    <row r="2053" spans="1:19" ht="12.75" customHeight="1" x14ac:dyDescent="0.2">
      <c r="A2053" s="22"/>
      <c r="B2053" s="26" t="str">
        <f>$A$9</f>
        <v>BDI</v>
      </c>
      <c r="C2053" s="27">
        <f>$C$9</f>
        <v>0</v>
      </c>
      <c r="D2053" s="29"/>
      <c r="F2053" s="28">
        <f>ROUND(SUM(F2042:F2052)*C2053,2)</f>
        <v>0</v>
      </c>
      <c r="G2053" s="63"/>
      <c r="M2053" s="62"/>
      <c r="N2053" s="57"/>
      <c r="O2053" s="56"/>
      <c r="P2053" s="56"/>
      <c r="Q2053" s="48"/>
      <c r="R2053" s="48"/>
      <c r="S2053" s="2"/>
    </row>
    <row r="2054" spans="1:19" ht="12.75" customHeight="1" x14ac:dyDescent="0.2">
      <c r="A2054" s="30"/>
      <c r="B2054" s="31" t="s">
        <v>56</v>
      </c>
      <c r="C2054" s="32"/>
      <c r="D2054" s="33"/>
      <c r="E2054" s="34"/>
      <c r="F2054" s="35">
        <f>ROUND(SUM(F2042:F2053),2)</f>
        <v>0</v>
      </c>
      <c r="G2054" s="63"/>
      <c r="M2054" s="62"/>
      <c r="N2054" s="57"/>
      <c r="O2054" s="56"/>
      <c r="P2054" s="56"/>
      <c r="Q2054" s="48"/>
      <c r="R2054" s="48"/>
      <c r="S2054" s="2"/>
    </row>
    <row r="2055" spans="1:19" ht="12.75" customHeight="1" x14ac:dyDescent="0.2">
      <c r="A2055" s="17" t="s">
        <v>5</v>
      </c>
      <c r="B2055" s="153" t="s">
        <v>130</v>
      </c>
      <c r="C2055" s="56" t="s">
        <v>59</v>
      </c>
      <c r="D2055" s="56" t="s">
        <v>16</v>
      </c>
      <c r="E2055" s="19" t="s">
        <v>60</v>
      </c>
      <c r="F2055" s="20" t="s">
        <v>61</v>
      </c>
      <c r="G2055" s="21"/>
      <c r="M2055" s="62"/>
      <c r="N2055" s="57"/>
      <c r="O2055" s="56"/>
      <c r="P2055" s="56"/>
      <c r="Q2055" s="48"/>
      <c r="R2055" s="48"/>
      <c r="S2055" s="2"/>
    </row>
    <row r="2056" spans="1:19" ht="12.75" customHeight="1" x14ac:dyDescent="0.2">
      <c r="A2056" s="22"/>
      <c r="B2056" s="23" t="str">
        <f>IF(A2056="","",VLOOKUP(A2056,'6.A'!$A$11:$G$180,2,FALSE))</f>
        <v/>
      </c>
      <c r="C2056" s="99"/>
      <c r="D2056" s="57" t="str">
        <f>IF(A2056="","",VLOOKUP(A2056,'6.A'!$A$11:$G$180,4,FALSE))</f>
        <v/>
      </c>
      <c r="E2056" s="100" t="str">
        <f>IF(A2056="","",VLOOKUP(A2056,'6.A'!$A$11:$G$180,5,FALSE))</f>
        <v/>
      </c>
      <c r="F2056" s="24" t="str">
        <f t="shared" ref="F2056:F2065" si="878">IF(A2056="","0,00",ROUND(C2056*E2056,2))</f>
        <v>0,00</v>
      </c>
      <c r="G2056" s="52"/>
      <c r="H2056" s="52" t="str">
        <f>IF(A2056="","",VLOOKUP(A2056,'6.A'!$A$11:$E$7984,5,FALSE))</f>
        <v/>
      </c>
      <c r="I2056" s="52" t="str">
        <f t="shared" ref="I2056:I2065" si="879">IF(H2056="","",IF(E2056=H2056,"SIM","NÃO"))</f>
        <v/>
      </c>
      <c r="J2056" s="52" t="str">
        <f>IF(H2056="","",VLOOKUP(A2056,'6.A'!$A$11:$E$564,4,FALSE))</f>
        <v/>
      </c>
      <c r="K2056" s="52" t="str">
        <f t="shared" ref="K2056:K2065" si="880">IF(H2056="","",IF(J2056=D2056,"SIM","NÃO"))</f>
        <v/>
      </c>
      <c r="L2056" s="52" t="str">
        <f>IF(H2056="","",IF(C2056="","",G2040*C2056))</f>
        <v/>
      </c>
      <c r="M2056" s="117" t="str">
        <f>IF(A2056="","",VLOOKUP(A2056,'6.A'!$A$11:$C$564,2,FALSE))</f>
        <v/>
      </c>
      <c r="N2056" s="57" t="str">
        <f t="shared" ref="N2056:N2061" si="881">IF(A2056="","",IF(M2056=B2056,"si","no"))</f>
        <v/>
      </c>
      <c r="O2056" s="56"/>
      <c r="P2056" s="56"/>
      <c r="Q2056" s="48"/>
      <c r="R2056" s="48"/>
      <c r="S2056" s="2"/>
    </row>
    <row r="2057" spans="1:19" ht="12.75" customHeight="1" x14ac:dyDescent="0.2">
      <c r="A2057" s="22"/>
      <c r="B2057" s="23" t="str">
        <f>IF(A2057="","",VLOOKUP(A2057,'6.A'!$A$11:$G$180,2,FALSE))</f>
        <v/>
      </c>
      <c r="C2057" s="99"/>
      <c r="D2057" s="57" t="str">
        <f>IF(A2057="","",VLOOKUP(A2057,'6.A'!$A$11:$G$180,4,FALSE))</f>
        <v/>
      </c>
      <c r="E2057" s="100" t="str">
        <f>IF(A2057="","",VLOOKUP(A2057,'6.A'!$A$11:$G$180,5,FALSE))</f>
        <v/>
      </c>
      <c r="F2057" s="24" t="str">
        <f t="shared" si="878"/>
        <v>0,00</v>
      </c>
      <c r="G2057" s="52"/>
      <c r="H2057" s="52" t="str">
        <f>IF(A2057="","",VLOOKUP(A2057,'6.A'!$A$11:$E$7984,5,FALSE))</f>
        <v/>
      </c>
      <c r="I2057" s="52" t="str">
        <f t="shared" si="879"/>
        <v/>
      </c>
      <c r="J2057" s="52" t="str">
        <f>IF(H2057="","",VLOOKUP(A2057,'6.A'!$A$11:$E$564,4,FALSE))</f>
        <v/>
      </c>
      <c r="K2057" s="52" t="str">
        <f t="shared" si="880"/>
        <v/>
      </c>
      <c r="L2057" s="52" t="str">
        <f>IF(H2057="","",IF(C2057="","",G2040*C2057))</f>
        <v/>
      </c>
      <c r="M2057" s="117" t="str">
        <f>IF(A2057="","",VLOOKUP(A2057,'6.A'!$A$11:$C$564,2,FALSE))</f>
        <v/>
      </c>
      <c r="N2057" s="57" t="str">
        <f t="shared" si="881"/>
        <v/>
      </c>
      <c r="O2057" s="56"/>
      <c r="P2057" s="56"/>
      <c r="Q2057" s="48"/>
      <c r="R2057" s="48"/>
      <c r="S2057" s="2"/>
    </row>
    <row r="2058" spans="1:19" ht="12.75" customHeight="1" x14ac:dyDescent="0.2">
      <c r="A2058" s="22"/>
      <c r="B2058" s="23" t="str">
        <f>IF(A2058="","",VLOOKUP(A2058,'6.A'!$A$11:$G$180,2,FALSE))</f>
        <v/>
      </c>
      <c r="C2058" s="99"/>
      <c r="D2058" s="57" t="str">
        <f>IF(A2058="","",VLOOKUP(A2058,'6.A'!$A$11:$G$180,4,FALSE))</f>
        <v/>
      </c>
      <c r="E2058" s="100" t="str">
        <f>IF(A2058="","",VLOOKUP(A2058,'6.A'!$A$11:$G$180,5,FALSE))</f>
        <v/>
      </c>
      <c r="F2058" s="24" t="str">
        <f t="shared" si="878"/>
        <v>0,00</v>
      </c>
      <c r="G2058" s="52"/>
      <c r="H2058" s="52" t="str">
        <f>IF(A2058="","",VLOOKUP(A2058,'6.A'!$A$11:$E$7984,5,FALSE))</f>
        <v/>
      </c>
      <c r="I2058" s="52" t="str">
        <f t="shared" si="879"/>
        <v/>
      </c>
      <c r="J2058" s="52" t="str">
        <f>IF(H2058="","",VLOOKUP(A2058,'6.A'!$A$11:$E$564,4,FALSE))</f>
        <v/>
      </c>
      <c r="K2058" s="52" t="str">
        <f t="shared" si="880"/>
        <v/>
      </c>
      <c r="L2058" s="52" t="str">
        <f>IF(H2058="","",IF(C2058="","",G2040*C2058))</f>
        <v/>
      </c>
      <c r="M2058" s="117" t="str">
        <f>IF(A2058="","",VLOOKUP(A2058,'6.A'!$A$11:$C$564,2,FALSE))</f>
        <v/>
      </c>
      <c r="N2058" s="57" t="str">
        <f t="shared" si="881"/>
        <v/>
      </c>
      <c r="O2058" s="56"/>
      <c r="P2058" s="56"/>
      <c r="Q2058" s="48"/>
      <c r="R2058" s="48"/>
      <c r="S2058" s="2"/>
    </row>
    <row r="2059" spans="1:19" ht="12.75" customHeight="1" x14ac:dyDescent="0.2">
      <c r="A2059" s="22"/>
      <c r="B2059" s="55" t="str">
        <f>IF(A2059="","",VLOOKUP(A2059,'6.A'!$A$11:$G$180,2,FALSE))</f>
        <v/>
      </c>
      <c r="C2059" s="134"/>
      <c r="D2059" s="57" t="str">
        <f>IF(A2059="","",VLOOKUP(A2059,'6.A'!$A$11:$G$180,4,FALSE))</f>
        <v/>
      </c>
      <c r="E2059" s="100" t="str">
        <f>IF(A2059="","",VLOOKUP(A2059,'6.A'!$A$11:$G$180,5,FALSE))</f>
        <v/>
      </c>
      <c r="F2059" s="24" t="str">
        <f t="shared" si="878"/>
        <v>0,00</v>
      </c>
      <c r="G2059" s="52"/>
      <c r="H2059" s="52" t="str">
        <f>IF(A2059="","",VLOOKUP(A2059,'6.A'!$A$11:$E$7984,5,FALSE))</f>
        <v/>
      </c>
      <c r="I2059" s="52" t="str">
        <f t="shared" si="879"/>
        <v/>
      </c>
      <c r="J2059" s="52" t="str">
        <f>IF(H2059="","",VLOOKUP(A2059,'6.A'!$A$11:$E$564,4,FALSE))</f>
        <v/>
      </c>
      <c r="K2059" s="52" t="str">
        <f t="shared" si="880"/>
        <v/>
      </c>
      <c r="L2059" s="52" t="str">
        <f>IF(H2059="","",IF(C2059="","",G2040*C2059))</f>
        <v/>
      </c>
      <c r="M2059" s="117" t="str">
        <f>IF(A2059="","",VLOOKUP(A2059,'6.A'!$A$11:$C$564,2,FALSE))</f>
        <v/>
      </c>
      <c r="N2059" s="57" t="str">
        <f t="shared" si="881"/>
        <v/>
      </c>
      <c r="O2059" s="56"/>
      <c r="P2059" s="56"/>
      <c r="Q2059" s="48"/>
      <c r="R2059" s="48"/>
      <c r="S2059" s="2"/>
    </row>
    <row r="2060" spans="1:19" ht="12.75" customHeight="1" x14ac:dyDescent="0.2">
      <c r="A2060" s="22"/>
      <c r="B2060" s="23" t="str">
        <f>IF(A2060="","",VLOOKUP(A2060,'6.A'!$A$11:$G$180,2,FALSE))</f>
        <v/>
      </c>
      <c r="C2060" s="99"/>
      <c r="D2060" s="57" t="str">
        <f>IF(A2060="","",VLOOKUP(A2060,'6.A'!$A$11:$G$180,4,FALSE))</f>
        <v/>
      </c>
      <c r="E2060" s="100" t="str">
        <f>IF(A2060="","",VLOOKUP(A2060,'6.A'!$A$11:$G$180,5,FALSE))</f>
        <v/>
      </c>
      <c r="F2060" s="24" t="str">
        <f t="shared" si="878"/>
        <v>0,00</v>
      </c>
      <c r="G2060" s="52"/>
      <c r="H2060" s="52" t="str">
        <f>IF(A2060="","",VLOOKUP(A2060,'6.A'!$A$11:$E$7984,5,FALSE))</f>
        <v/>
      </c>
      <c r="I2060" s="52" t="str">
        <f t="shared" si="879"/>
        <v/>
      </c>
      <c r="J2060" s="52" t="str">
        <f>IF(H2060="","",VLOOKUP(A2060,'6.A'!$A$11:$E$564,4,FALSE))</f>
        <v/>
      </c>
      <c r="K2060" s="52" t="str">
        <f t="shared" si="880"/>
        <v/>
      </c>
      <c r="L2060" s="52" t="str">
        <f>IF(H2060="","",IF(C2060="","",G2040*C2060))</f>
        <v/>
      </c>
      <c r="M2060" s="117" t="str">
        <f>IF(A2060="","",VLOOKUP(A2060,'6.A'!$A$11:$C$564,2,FALSE))</f>
        <v/>
      </c>
      <c r="N2060" s="57" t="str">
        <f t="shared" si="881"/>
        <v/>
      </c>
      <c r="O2060" s="56"/>
      <c r="P2060" s="56"/>
      <c r="Q2060" s="48"/>
      <c r="R2060" s="48"/>
      <c r="S2060" s="2"/>
    </row>
    <row r="2061" spans="1:19" ht="12.75" customHeight="1" x14ac:dyDescent="0.2">
      <c r="A2061" s="22"/>
      <c r="B2061" s="23" t="str">
        <f>IF(A2061="","",VLOOKUP(A2061,'6.A'!$A$11:$G$180,2,FALSE))</f>
        <v/>
      </c>
      <c r="C2061" s="99"/>
      <c r="D2061" s="57" t="str">
        <f>IF(A2061="","",VLOOKUP(A2061,'6.A'!$A$11:$G$180,4,FALSE))</f>
        <v/>
      </c>
      <c r="E2061" s="100" t="str">
        <f>IF(A2061="","",VLOOKUP(A2061,'6.A'!$A$11:$G$180,5,FALSE))</f>
        <v/>
      </c>
      <c r="F2061" s="24" t="str">
        <f t="shared" si="878"/>
        <v>0,00</v>
      </c>
      <c r="G2061" s="52"/>
      <c r="H2061" s="52" t="str">
        <f>IF(A2061="","",VLOOKUP(A2061,'6.A'!$A$11:$E$7984,5,FALSE))</f>
        <v/>
      </c>
      <c r="I2061" s="52" t="str">
        <f t="shared" si="879"/>
        <v/>
      </c>
      <c r="J2061" s="52" t="str">
        <f>IF(H2061="","",VLOOKUP(A2061,'6.A'!$A$11:$E$564,4,FALSE))</f>
        <v/>
      </c>
      <c r="K2061" s="52" t="str">
        <f t="shared" si="880"/>
        <v/>
      </c>
      <c r="L2061" s="52" t="str">
        <f>IF(H2061="","",IF(C2061="","",G2040*C2061))</f>
        <v/>
      </c>
      <c r="M2061" s="117" t="str">
        <f>IF(A2061="","",VLOOKUP(A2061,'6.A'!$A$11:$C$564,2,FALSE))</f>
        <v/>
      </c>
      <c r="N2061" s="57" t="str">
        <f t="shared" si="881"/>
        <v/>
      </c>
      <c r="O2061" s="56"/>
      <c r="P2061" s="56"/>
      <c r="Q2061" s="48"/>
      <c r="R2061" s="48"/>
      <c r="S2061" s="2"/>
    </row>
    <row r="2062" spans="1:19" ht="12.75" customHeight="1" x14ac:dyDescent="0.2">
      <c r="A2062" s="22"/>
      <c r="B2062" s="23" t="str">
        <f>IF(A2062="","",VLOOKUP(A2062,'6.A'!$A$11:$G$180,2,FALSE))</f>
        <v/>
      </c>
      <c r="C2062" s="99"/>
      <c r="D2062" s="57" t="str">
        <f>IF(A2062="","",VLOOKUP(A2062,'6.A'!$A$11:$G$180,4,FALSE))</f>
        <v/>
      </c>
      <c r="E2062" s="100" t="str">
        <f>IF(A2062="","",VLOOKUP(A2062,'6.A'!$A$11:$G$180,5,FALSE))</f>
        <v/>
      </c>
      <c r="F2062" s="24" t="str">
        <f t="shared" si="878"/>
        <v>0,00</v>
      </c>
      <c r="G2062" s="52"/>
      <c r="H2062" s="52" t="str">
        <f>IF(A2062="","",VLOOKUP(A2062,'6.A'!$A$11:$E$7984,5,FALSE))</f>
        <v/>
      </c>
      <c r="I2062" s="52" t="str">
        <f t="shared" si="879"/>
        <v/>
      </c>
      <c r="J2062" s="52" t="str">
        <f>IF(H2062="","",VLOOKUP(A2062,'6.A'!$A$11:$E$564,4,FALSE))</f>
        <v/>
      </c>
      <c r="K2062" s="52" t="str">
        <f t="shared" si="880"/>
        <v/>
      </c>
      <c r="L2062" s="52" t="str">
        <f>IF(H2062="","",IF(C2062="","",G2040*C2062))</f>
        <v/>
      </c>
      <c r="M2062" s="117" t="str">
        <f>IF(A2062="","",VLOOKUP(A2062,'6.A'!$A$11:$C$564,2,FALSE))</f>
        <v/>
      </c>
      <c r="N2062" s="57" t="str">
        <f>IF(A2062="","",IF(M2062=B2062,"si","no"))</f>
        <v/>
      </c>
      <c r="O2062" s="56"/>
      <c r="P2062" s="56"/>
      <c r="Q2062" s="48"/>
      <c r="R2062" s="48"/>
      <c r="S2062" s="2"/>
    </row>
    <row r="2063" spans="1:19" ht="12.75" customHeight="1" x14ac:dyDescent="0.2">
      <c r="A2063" s="22"/>
      <c r="B2063" s="23" t="str">
        <f>IF(A2063="","",VLOOKUP(A2063,'6.A'!$A$11:$G$180,2,FALSE))</f>
        <v/>
      </c>
      <c r="C2063" s="99"/>
      <c r="D2063" s="57" t="str">
        <f>IF(A2063="","",VLOOKUP(A2063,'6.A'!$A$11:$G$180,4,FALSE))</f>
        <v/>
      </c>
      <c r="E2063" s="100" t="str">
        <f>IF(A2063="","",VLOOKUP(A2063,'6.A'!$A$11:$G$180,5,FALSE))</f>
        <v/>
      </c>
      <c r="F2063" s="24" t="str">
        <f t="shared" si="878"/>
        <v>0,00</v>
      </c>
      <c r="G2063" s="52"/>
      <c r="H2063" s="52" t="str">
        <f>IF(A2063="","",VLOOKUP(A2063,'6.A'!$A$11:$E$7984,5,FALSE))</f>
        <v/>
      </c>
      <c r="I2063" s="52" t="str">
        <f t="shared" si="879"/>
        <v/>
      </c>
      <c r="J2063" s="52" t="str">
        <f>IF(H2063="","",VLOOKUP(A2063,'6.A'!$A$11:$E$564,4,FALSE))</f>
        <v/>
      </c>
      <c r="K2063" s="52" t="str">
        <f t="shared" si="880"/>
        <v/>
      </c>
      <c r="L2063" s="52" t="str">
        <f>IF(H2063="","",IF(C2063="","",G2040*C2063))</f>
        <v/>
      </c>
      <c r="M2063" s="117" t="str">
        <f>IF(A2063="","",VLOOKUP(A2063,'6.A'!$A$11:$C$564,2,FALSE))</f>
        <v/>
      </c>
      <c r="N2063" s="57" t="str">
        <f>IF(A2063="","",IF(M2063=B2063,"si","no"))</f>
        <v/>
      </c>
      <c r="O2063" s="56"/>
      <c r="P2063" s="56"/>
      <c r="Q2063" s="48"/>
      <c r="R2063" s="48"/>
      <c r="S2063" s="2"/>
    </row>
    <row r="2064" spans="1:19" ht="12.75" customHeight="1" x14ac:dyDescent="0.2">
      <c r="A2064" s="22"/>
      <c r="B2064" s="23" t="str">
        <f>IF(A2064="","",VLOOKUP(A2064,'6.A'!$A$11:$G$180,2,FALSE))</f>
        <v/>
      </c>
      <c r="C2064" s="99"/>
      <c r="D2064" s="57" t="str">
        <f>IF(A2064="","",VLOOKUP(A2064,'6.A'!$A$11:$G$180,4,FALSE))</f>
        <v/>
      </c>
      <c r="E2064" s="100" t="str">
        <f>IF(A2064="","",VLOOKUP(A2064,'6.A'!$A$11:$G$180,5,FALSE))</f>
        <v/>
      </c>
      <c r="F2064" s="24" t="str">
        <f t="shared" si="878"/>
        <v>0,00</v>
      </c>
      <c r="G2064" s="52"/>
      <c r="H2064" s="52" t="str">
        <f>IF(A2064="","",VLOOKUP(A2064,'6.A'!$A$11:$E$7984,5,FALSE))</f>
        <v/>
      </c>
      <c r="I2064" s="52" t="str">
        <f t="shared" si="879"/>
        <v/>
      </c>
      <c r="J2064" s="52" t="str">
        <f>IF(H2064="","",VLOOKUP(A2064,'6.A'!$A$11:$E$564,4,FALSE))</f>
        <v/>
      </c>
      <c r="K2064" s="52" t="str">
        <f t="shared" si="880"/>
        <v/>
      </c>
      <c r="L2064" s="52" t="str">
        <f>IF(H2064="","",IF(C2064="","",G2040*C2064))</f>
        <v/>
      </c>
      <c r="M2064" s="117" t="str">
        <f>IF(A2064="","",VLOOKUP(A2064,'6.A'!$A$11:$C$564,2,FALSE))</f>
        <v/>
      </c>
      <c r="N2064" s="57" t="str">
        <f t="shared" ref="N2064:N2065" si="882">IF(A2064="","",IF(M2064=B2064,"si","no"))</f>
        <v/>
      </c>
      <c r="O2064" s="56"/>
      <c r="P2064" s="56"/>
      <c r="Q2064" s="48"/>
      <c r="R2064" s="48"/>
      <c r="S2064" s="2"/>
    </row>
    <row r="2065" spans="1:22" ht="12.75" customHeight="1" x14ac:dyDescent="0.2">
      <c r="A2065" s="22"/>
      <c r="B2065" s="23" t="str">
        <f>IF(A2065="","",VLOOKUP(A2065,'6.A'!$A$11:$G$180,2,FALSE))</f>
        <v/>
      </c>
      <c r="C2065" s="99"/>
      <c r="D2065" s="57" t="str">
        <f>IF(A2065="","",VLOOKUP(A2065,'6.A'!$A$11:$G$180,4,FALSE))</f>
        <v/>
      </c>
      <c r="E2065" s="100" t="str">
        <f>IF(A2065="","",VLOOKUP(A2065,'6.A'!$A$11:$G$180,5,FALSE))</f>
        <v/>
      </c>
      <c r="F2065" s="24" t="str">
        <f t="shared" si="878"/>
        <v>0,00</v>
      </c>
      <c r="G2065" s="52"/>
      <c r="H2065" s="52" t="str">
        <f>IF(A2065="","",VLOOKUP(A2065,'6.A'!$A$11:$E$7984,5,FALSE))</f>
        <v/>
      </c>
      <c r="I2065" s="52" t="str">
        <f t="shared" si="879"/>
        <v/>
      </c>
      <c r="J2065" s="52" t="str">
        <f>IF(H2065="","",VLOOKUP(A2065,'6.A'!$A$11:$E$564,4,FALSE))</f>
        <v/>
      </c>
      <c r="K2065" s="52" t="str">
        <f t="shared" si="880"/>
        <v/>
      </c>
      <c r="L2065" s="52" t="str">
        <f>IF(H2065="","",IF(C2065="","",G2040*C2065))</f>
        <v/>
      </c>
      <c r="M2065" s="117" t="str">
        <f>IF(A2065="","",VLOOKUP(A2065,'6.A'!$A$11:$C$564,2,FALSE))</f>
        <v/>
      </c>
      <c r="N2065" s="57" t="str">
        <f t="shared" si="882"/>
        <v/>
      </c>
      <c r="O2065" s="56"/>
      <c r="P2065" s="56"/>
      <c r="Q2065" s="48"/>
      <c r="R2065" s="48"/>
      <c r="S2065" s="2"/>
    </row>
    <row r="2066" spans="1:22" ht="12.75" customHeight="1" x14ac:dyDescent="0.2">
      <c r="A2066" s="22"/>
      <c r="B2066" s="26" t="str">
        <f>$A$9</f>
        <v>BDI</v>
      </c>
      <c r="C2066" s="27">
        <f>$C$9</f>
        <v>0</v>
      </c>
      <c r="D2066" s="57"/>
      <c r="F2066" s="28">
        <f>ROUND(SUM(F2056:F2065)*C2066,2)</f>
        <v>0</v>
      </c>
      <c r="G2066" s="63"/>
      <c r="M2066" s="62"/>
      <c r="N2066" s="57"/>
      <c r="O2066" s="56"/>
      <c r="P2066" s="56"/>
      <c r="Q2066" s="48"/>
      <c r="R2066" s="48"/>
      <c r="S2066" s="2"/>
    </row>
    <row r="2067" spans="1:22" ht="12.75" customHeight="1" x14ac:dyDescent="0.2">
      <c r="A2067" s="30"/>
      <c r="B2067" s="31" t="s">
        <v>117</v>
      </c>
      <c r="C2067" s="36"/>
      <c r="D2067" s="37"/>
      <c r="E2067" s="38"/>
      <c r="F2067" s="35">
        <f>ROUND(SUM(F2056:F2066),2)</f>
        <v>0</v>
      </c>
      <c r="G2067" s="63"/>
      <c r="M2067" s="62"/>
      <c r="N2067" s="57"/>
      <c r="O2067" s="56"/>
      <c r="P2067" s="56"/>
      <c r="Q2067" s="48"/>
      <c r="R2067" s="48"/>
      <c r="S2067" s="2"/>
    </row>
    <row r="2068" spans="1:22" ht="12.75" customHeight="1" x14ac:dyDescent="0.2">
      <c r="A2068" s="17" t="s">
        <v>6</v>
      </c>
      <c r="B2068" s="18" t="s">
        <v>17</v>
      </c>
      <c r="C2068" s="56" t="s">
        <v>59</v>
      </c>
      <c r="D2068" s="56" t="s">
        <v>16</v>
      </c>
      <c r="E2068" s="19" t="s">
        <v>60</v>
      </c>
      <c r="F2068" s="20" t="s">
        <v>61</v>
      </c>
      <c r="G2068" s="21"/>
      <c r="M2068" s="62"/>
      <c r="N2068" s="57"/>
      <c r="O2068" s="56"/>
      <c r="P2068" s="56"/>
      <c r="Q2068" s="48"/>
      <c r="R2068" s="48"/>
      <c r="S2068" s="2"/>
    </row>
    <row r="2069" spans="1:22" ht="12.75" customHeight="1" x14ac:dyDescent="0.2">
      <c r="A2069" s="22">
        <f>'6.A'!$A$90</f>
        <v>1586</v>
      </c>
      <c r="B2069" s="23" t="str">
        <f>IF(A2069="","",VLOOKUP(A2069,'6.A'!$A$11:$G$180,2,FALSE))</f>
        <v>TERMINAL METALICO A PRESSAO PARA 1 CABO DE 25 MM2, COM 1 FURO DE FIXACAO</v>
      </c>
      <c r="C2069" s="99">
        <v>1</v>
      </c>
      <c r="D2069" s="57" t="str">
        <f>IF(A2069="","",VLOOKUP(A2069,'6.A'!$A$11:$G$180,4,FALSE))</f>
        <v>UN</v>
      </c>
      <c r="E2069" s="100">
        <f>IF(A2069="","",VLOOKUP(A2069,'6.A'!$A$11:$G$180,5,FALSE))</f>
        <v>0</v>
      </c>
      <c r="F2069" s="24">
        <f t="shared" ref="F2069:F2088" si="883">IF(A2069="","0,00",ROUND(C2069*E2069,2))</f>
        <v>0</v>
      </c>
      <c r="G2069" s="52"/>
      <c r="H2069" s="52">
        <f>IF(A2069="","",VLOOKUP(A2069,'6.A'!$A$11:$E$7984,5,FALSE))</f>
        <v>0</v>
      </c>
      <c r="I2069" s="52" t="str">
        <f t="shared" ref="I2069:I2088" si="884">IF(H2069="","",IF(E2069=H2069,"SIM","NÃO"))</f>
        <v>SIM</v>
      </c>
      <c r="J2069" s="52" t="str">
        <f>IF(H2069="","",VLOOKUP(A2069,'6.A'!$A$11:$E$564,4,FALSE))</f>
        <v>UN</v>
      </c>
      <c r="K2069" s="52" t="str">
        <f t="shared" ref="K2069:K2088" si="885">IF(H2069="","",IF(J2069=D2069,"SIM","NÃO"))</f>
        <v>SIM</v>
      </c>
      <c r="L2069" s="52">
        <f>IF(H2069="","",IF(C2069="","",G2040*C2069))</f>
        <v>2</v>
      </c>
      <c r="M2069" s="117" t="str">
        <f>IF(A2069="","",VLOOKUP(A2069,'6.A'!$A$11:$C$564,2,FALSE))</f>
        <v>TERMINAL METALICO A PRESSAO PARA 1 CABO DE 25 MM2, COM 1 FURO DE FIXACAO</v>
      </c>
      <c r="N2069" s="57" t="str">
        <f t="shared" ref="N2069:N2088" si="886">IF(A2069="","",IF(M2069=B2069,"si","no"))</f>
        <v>si</v>
      </c>
      <c r="O2069" s="56"/>
      <c r="P2069" s="56"/>
      <c r="Q2069" s="48"/>
      <c r="R2069" s="48"/>
      <c r="S2069" s="2"/>
    </row>
    <row r="2070" spans="1:22" ht="12.75" customHeight="1" x14ac:dyDescent="0.2">
      <c r="A2070" s="22"/>
      <c r="B2070" s="23" t="str">
        <f>IF(A2070="","",VLOOKUP(A2070,'6.A'!$A$11:$G$180,2,FALSE))</f>
        <v/>
      </c>
      <c r="C2070" s="99"/>
      <c r="D2070" s="57" t="str">
        <f>IF(A2070="","",VLOOKUP(A2070,'6.A'!$A$11:$G$180,4,FALSE))</f>
        <v/>
      </c>
      <c r="E2070" s="100" t="str">
        <f>IF(A2070="","",VLOOKUP(A2070,'6.A'!$A$11:$G$180,5,FALSE))</f>
        <v/>
      </c>
      <c r="F2070" s="24" t="str">
        <f t="shared" si="883"/>
        <v>0,00</v>
      </c>
      <c r="G2070" s="52"/>
      <c r="H2070" s="52" t="str">
        <f>IF(A2070="","",VLOOKUP(A2070,'6.A'!$A$11:$E$7984,5,FALSE))</f>
        <v/>
      </c>
      <c r="I2070" s="52" t="str">
        <f t="shared" si="884"/>
        <v/>
      </c>
      <c r="J2070" s="52" t="str">
        <f>IF(H2070="","",VLOOKUP(A2070,'6.A'!$A$11:$E$564,4,FALSE))</f>
        <v/>
      </c>
      <c r="K2070" s="52" t="str">
        <f t="shared" si="885"/>
        <v/>
      </c>
      <c r="L2070" s="52" t="str">
        <f>IF(H2070="","",IF(C2070="","",G2040*C2070))</f>
        <v/>
      </c>
      <c r="M2070" s="117" t="str">
        <f>IF(A2070="","",VLOOKUP(A2070,'6.A'!$A$11:$C$564,2,FALSE))</f>
        <v/>
      </c>
      <c r="N2070" s="57" t="str">
        <f t="shared" si="886"/>
        <v/>
      </c>
      <c r="O2070" s="56"/>
      <c r="P2070" s="56"/>
      <c r="Q2070" s="48"/>
      <c r="R2070" s="48"/>
      <c r="S2070" s="2"/>
    </row>
    <row r="2071" spans="1:22" ht="12.75" customHeight="1" x14ac:dyDescent="0.2">
      <c r="A2071" s="22"/>
      <c r="B2071" s="23" t="str">
        <f>IF(A2071="","",VLOOKUP(A2071,'6.A'!$A$11:$G$180,2,FALSE))</f>
        <v/>
      </c>
      <c r="C2071" s="99"/>
      <c r="D2071" s="57" t="str">
        <f>IF(A2071="","",VLOOKUP(A2071,'6.A'!$A$11:$G$180,4,FALSE))</f>
        <v/>
      </c>
      <c r="E2071" s="100" t="str">
        <f>IF(A2071="","",VLOOKUP(A2071,'6.A'!$A$11:$G$180,5,FALSE))</f>
        <v/>
      </c>
      <c r="F2071" s="24" t="str">
        <f t="shared" si="883"/>
        <v>0,00</v>
      </c>
      <c r="G2071" s="52"/>
      <c r="H2071" s="52" t="str">
        <f>IF(A2071="","",VLOOKUP(A2071,'6.A'!$A$11:$E$7984,5,FALSE))</f>
        <v/>
      </c>
      <c r="I2071" s="52" t="str">
        <f t="shared" si="884"/>
        <v/>
      </c>
      <c r="J2071" s="52" t="str">
        <f>IF(H2071="","",VLOOKUP(A2071,'6.A'!$A$11:$E$564,4,FALSE))</f>
        <v/>
      </c>
      <c r="K2071" s="52" t="str">
        <f t="shared" si="885"/>
        <v/>
      </c>
      <c r="L2071" s="52" t="str">
        <f>IF(H2071="","",IF(C2071="","",G2040*C2071))</f>
        <v/>
      </c>
      <c r="M2071" s="117" t="str">
        <f>IF(A2071="","",VLOOKUP(A2071,'6.A'!$A$11:$C$564,2,FALSE))</f>
        <v/>
      </c>
      <c r="N2071" s="57" t="str">
        <f t="shared" si="886"/>
        <v/>
      </c>
      <c r="O2071" s="56"/>
      <c r="P2071" s="56"/>
      <c r="Q2071" s="48"/>
      <c r="R2071" s="48"/>
      <c r="S2071" s="2"/>
    </row>
    <row r="2072" spans="1:22" ht="12.75" customHeight="1" x14ac:dyDescent="0.2">
      <c r="A2072" s="22"/>
      <c r="B2072" s="23" t="str">
        <f>IF(A2072="","",VLOOKUP(A2072,'6.A'!$A$11:$G$180,2,FALSE))</f>
        <v/>
      </c>
      <c r="C2072" s="99"/>
      <c r="D2072" s="57" t="str">
        <f>IF(A2072="","",VLOOKUP(A2072,'6.A'!$A$11:$G$180,4,FALSE))</f>
        <v/>
      </c>
      <c r="E2072" s="100" t="str">
        <f>IF(A2072="","",VLOOKUP(A2072,'6.A'!$A$11:$G$180,5,FALSE))</f>
        <v/>
      </c>
      <c r="F2072" s="24" t="str">
        <f t="shared" si="883"/>
        <v>0,00</v>
      </c>
      <c r="G2072" s="52"/>
      <c r="H2072" s="52" t="str">
        <f>IF(A2072="","",VLOOKUP(A2072,'6.A'!$A$11:$E$7984,5,FALSE))</f>
        <v/>
      </c>
      <c r="I2072" s="52" t="str">
        <f t="shared" si="884"/>
        <v/>
      </c>
      <c r="J2072" s="52" t="str">
        <f>IF(H2072="","",VLOOKUP(A2072,'6.A'!$A$11:$E$564,4,FALSE))</f>
        <v/>
      </c>
      <c r="K2072" s="52" t="str">
        <f t="shared" si="885"/>
        <v/>
      </c>
      <c r="L2072" s="52" t="str">
        <f>IF(H2072="","",IF(C2072="","",G2040*C2072))</f>
        <v/>
      </c>
      <c r="M2072" s="117" t="str">
        <f>IF(A2072="","",VLOOKUP(A2072,'6.A'!$A$11:$C$564,2,FALSE))</f>
        <v/>
      </c>
      <c r="N2072" s="57" t="str">
        <f t="shared" si="886"/>
        <v/>
      </c>
      <c r="O2072" s="56"/>
      <c r="P2072" s="56"/>
      <c r="Q2072" s="48"/>
      <c r="R2072" s="48"/>
      <c r="S2072" s="2"/>
    </row>
    <row r="2073" spans="1:22" ht="12.75" customHeight="1" x14ac:dyDescent="0.2">
      <c r="A2073" s="22"/>
      <c r="B2073" s="23" t="str">
        <f>IF(A2073="","",VLOOKUP(A2073,'6.A'!$A$11:$G$180,2,FALSE))</f>
        <v/>
      </c>
      <c r="C2073" s="99"/>
      <c r="D2073" s="57" t="str">
        <f>IF(A2073="","",VLOOKUP(A2073,'6.A'!$A$11:$G$180,4,FALSE))</f>
        <v/>
      </c>
      <c r="E2073" s="100" t="str">
        <f>IF(A2073="","",VLOOKUP(A2073,'6.A'!$A$11:$G$180,5,FALSE))</f>
        <v/>
      </c>
      <c r="F2073" s="24" t="str">
        <f t="shared" si="883"/>
        <v>0,00</v>
      </c>
      <c r="G2073" s="52"/>
      <c r="H2073" s="52" t="str">
        <f>IF(A2073="","",VLOOKUP(A2073,'6.A'!$A$11:$E$7984,5,FALSE))</f>
        <v/>
      </c>
      <c r="I2073" s="52" t="str">
        <f t="shared" si="884"/>
        <v/>
      </c>
      <c r="J2073" s="52" t="str">
        <f>IF(H2073="","",VLOOKUP(A2073,'6.A'!$A$11:$E$564,4,FALSE))</f>
        <v/>
      </c>
      <c r="K2073" s="52" t="str">
        <f t="shared" si="885"/>
        <v/>
      </c>
      <c r="L2073" s="52" t="str">
        <f>IF(H2073="","",IF(C2073="","",G2040*C2073))</f>
        <v/>
      </c>
      <c r="M2073" s="117" t="str">
        <f>IF(A2073="","",VLOOKUP(A2073,'6.A'!$A$11:$C$564,2,FALSE))</f>
        <v/>
      </c>
      <c r="N2073" s="57" t="str">
        <f t="shared" si="886"/>
        <v/>
      </c>
      <c r="O2073" s="56"/>
      <c r="P2073" s="56"/>
      <c r="Q2073" s="48"/>
      <c r="R2073" s="48"/>
      <c r="S2073" s="2"/>
    </row>
    <row r="2074" spans="1:22" ht="12.75" customHeight="1" x14ac:dyDescent="0.2">
      <c r="A2074" s="22"/>
      <c r="B2074" s="23" t="str">
        <f>IF(A2074="","",VLOOKUP(A2074,'6.A'!$A$11:$G$180,2,FALSE))</f>
        <v/>
      </c>
      <c r="C2074" s="99"/>
      <c r="D2074" s="57" t="str">
        <f>IF(A2074="","",VLOOKUP(A2074,'6.A'!$A$11:$G$180,4,FALSE))</f>
        <v/>
      </c>
      <c r="E2074" s="100" t="str">
        <f>IF(A2074="","",VLOOKUP(A2074,'6.A'!$A$11:$G$180,5,FALSE))</f>
        <v/>
      </c>
      <c r="F2074" s="24" t="str">
        <f t="shared" si="883"/>
        <v>0,00</v>
      </c>
      <c r="G2074" s="52"/>
      <c r="H2074" s="52" t="str">
        <f>IF(A2074="","",VLOOKUP(A2074,'6.A'!$A$11:$E$7984,5,FALSE))</f>
        <v/>
      </c>
      <c r="I2074" s="52" t="str">
        <f t="shared" si="884"/>
        <v/>
      </c>
      <c r="J2074" s="52" t="str">
        <f>IF(H2074="","",VLOOKUP(A2074,'6.A'!$A$11:$E$564,4,FALSE))</f>
        <v/>
      </c>
      <c r="K2074" s="52" t="str">
        <f t="shared" si="885"/>
        <v/>
      </c>
      <c r="L2074" s="52" t="str">
        <f>IF(H2074="","",IF(C2074="","",G2040*C2074))</f>
        <v/>
      </c>
      <c r="M2074" s="117" t="str">
        <f>IF(A2074="","",VLOOKUP(A2074,'6.A'!$A$11:$C$564,2,FALSE))</f>
        <v/>
      </c>
      <c r="N2074" s="57" t="str">
        <f t="shared" si="886"/>
        <v/>
      </c>
      <c r="O2074" s="56"/>
      <c r="P2074" s="56"/>
      <c r="Q2074" s="48"/>
      <c r="R2074" s="48"/>
      <c r="S2074" s="2"/>
    </row>
    <row r="2075" spans="1:22" ht="12.75" customHeight="1" x14ac:dyDescent="0.2">
      <c r="A2075" s="22"/>
      <c r="B2075" s="23" t="str">
        <f>IF(A2075="","",VLOOKUP(A2075,'6.A'!$A$11:$G$180,2,FALSE))</f>
        <v/>
      </c>
      <c r="C2075" s="99"/>
      <c r="D2075" s="57" t="str">
        <f>IF(A2075="","",VLOOKUP(A2075,'6.A'!$A$11:$G$180,4,FALSE))</f>
        <v/>
      </c>
      <c r="E2075" s="100" t="str">
        <f>IF(A2075="","",VLOOKUP(A2075,'6.A'!$A$11:$G$180,5,FALSE))</f>
        <v/>
      </c>
      <c r="F2075" s="24" t="str">
        <f t="shared" si="883"/>
        <v>0,00</v>
      </c>
      <c r="G2075" s="52"/>
      <c r="H2075" s="52" t="str">
        <f>IF(A2075="","",VLOOKUP(A2075,'6.A'!$A$11:$E$7984,5,FALSE))</f>
        <v/>
      </c>
      <c r="I2075" s="52" t="str">
        <f t="shared" si="884"/>
        <v/>
      </c>
      <c r="J2075" s="52" t="str">
        <f>IF(H2075="","",VLOOKUP(A2075,'6.A'!$A$11:$E$564,4,FALSE))</f>
        <v/>
      </c>
      <c r="K2075" s="52" t="str">
        <f t="shared" si="885"/>
        <v/>
      </c>
      <c r="L2075" s="52" t="str">
        <f>IF(H2075="","",IF(C2075="","",G2040*C2075))</f>
        <v/>
      </c>
      <c r="M2075" s="117" t="str">
        <f>IF(A2075="","",VLOOKUP(A2075,'6.A'!$A$11:$C$564,2,FALSE))</f>
        <v/>
      </c>
      <c r="N2075" s="57" t="str">
        <f t="shared" si="886"/>
        <v/>
      </c>
      <c r="O2075" s="56"/>
      <c r="P2075" s="56"/>
      <c r="Q2075" s="48"/>
      <c r="R2075" s="48"/>
      <c r="S2075" s="2"/>
    </row>
    <row r="2076" spans="1:22" s="65" customFormat="1" ht="12.75" customHeight="1" x14ac:dyDescent="0.2">
      <c r="A2076" s="22"/>
      <c r="B2076" s="23" t="str">
        <f>IF(A2076="","",VLOOKUP(A2076,'6.A'!$A$11:$G$180,2,FALSE))</f>
        <v/>
      </c>
      <c r="C2076" s="99"/>
      <c r="D2076" s="57" t="str">
        <f>IF(A2076="","",VLOOKUP(A2076,'6.A'!$A$11:$G$180,4,FALSE))</f>
        <v/>
      </c>
      <c r="E2076" s="100" t="str">
        <f>IF(A2076="","",VLOOKUP(A2076,'6.A'!$A$11:$G$180,5,FALSE))</f>
        <v/>
      </c>
      <c r="F2076" s="24" t="str">
        <f t="shared" si="883"/>
        <v>0,00</v>
      </c>
      <c r="G2076" s="52"/>
      <c r="H2076" s="52" t="str">
        <f>IF(A2076="","",VLOOKUP(A2076,'6.A'!$A$11:$E$7984,5,FALSE))</f>
        <v/>
      </c>
      <c r="I2076" s="52" t="str">
        <f t="shared" si="884"/>
        <v/>
      </c>
      <c r="J2076" s="52" t="str">
        <f>IF(H2076="","",VLOOKUP(A2076,'6.A'!$A$11:$E$564,4,FALSE))</f>
        <v/>
      </c>
      <c r="K2076" s="52" t="str">
        <f t="shared" si="885"/>
        <v/>
      </c>
      <c r="L2076" s="52" t="str">
        <f>IF(H2076="","",IF(C2076="","",G2040*C2076))</f>
        <v/>
      </c>
      <c r="M2076" s="117" t="str">
        <f>IF(A2076="","",VLOOKUP(A2076,'6.A'!$A$11:$C$564,2,FALSE))</f>
        <v/>
      </c>
      <c r="N2076" s="57" t="str">
        <f t="shared" si="886"/>
        <v/>
      </c>
      <c r="O2076" s="56"/>
      <c r="P2076" s="56"/>
      <c r="Q2076" s="48"/>
      <c r="R2076" s="48"/>
      <c r="T2076" s="2"/>
      <c r="U2076" s="2"/>
      <c r="V2076" s="2"/>
    </row>
    <row r="2077" spans="1:22" s="65" customFormat="1" ht="12.75" customHeight="1" x14ac:dyDescent="0.2">
      <c r="A2077" s="22"/>
      <c r="B2077" s="23" t="str">
        <f>IF(A2077="","",VLOOKUP(A2077,'6.A'!$A$11:$G$180,2,FALSE))</f>
        <v/>
      </c>
      <c r="C2077" s="99"/>
      <c r="D2077" s="57" t="str">
        <f>IF(A2077="","",VLOOKUP(A2077,'6.A'!$A$11:$G$180,4,FALSE))</f>
        <v/>
      </c>
      <c r="E2077" s="100" t="str">
        <f>IF(A2077="","",VLOOKUP(A2077,'6.A'!$A$11:$G$180,5,FALSE))</f>
        <v/>
      </c>
      <c r="F2077" s="24" t="str">
        <f t="shared" si="883"/>
        <v>0,00</v>
      </c>
      <c r="G2077" s="52"/>
      <c r="H2077" s="52" t="str">
        <f>IF(A2077="","",VLOOKUP(A2077,'6.A'!$A$11:$E$7984,5,FALSE))</f>
        <v/>
      </c>
      <c r="I2077" s="52" t="str">
        <f t="shared" si="884"/>
        <v/>
      </c>
      <c r="J2077" s="52" t="str">
        <f>IF(H2077="","",VLOOKUP(A2077,'6.A'!$A$11:$E$564,4,FALSE))</f>
        <v/>
      </c>
      <c r="K2077" s="52" t="str">
        <f t="shared" si="885"/>
        <v/>
      </c>
      <c r="L2077" s="52" t="str">
        <f>IF(H2077="","",IF(C2077="","",G2040*C2077))</f>
        <v/>
      </c>
      <c r="M2077" s="117" t="str">
        <f>IF(A2077="","",VLOOKUP(A2077,'6.A'!$A$11:$C$564,2,FALSE))</f>
        <v/>
      </c>
      <c r="N2077" s="57" t="str">
        <f t="shared" si="886"/>
        <v/>
      </c>
      <c r="O2077" s="56"/>
      <c r="P2077" s="56"/>
      <c r="Q2077" s="48"/>
      <c r="R2077" s="48"/>
      <c r="T2077" s="2"/>
      <c r="U2077" s="2"/>
      <c r="V2077" s="2"/>
    </row>
    <row r="2078" spans="1:22" s="65" customFormat="1" ht="12.75" customHeight="1" x14ac:dyDescent="0.2">
      <c r="A2078" s="22"/>
      <c r="B2078" s="23" t="str">
        <f>IF(A2078="","",VLOOKUP(A2078,'6.A'!$A$11:$G$180,2,FALSE))</f>
        <v/>
      </c>
      <c r="C2078" s="99"/>
      <c r="D2078" s="57" t="str">
        <f>IF(A2078="","",VLOOKUP(A2078,'6.A'!$A$11:$G$180,4,FALSE))</f>
        <v/>
      </c>
      <c r="E2078" s="100" t="str">
        <f>IF(A2078="","",VLOOKUP(A2078,'6.A'!$A$11:$G$180,5,FALSE))</f>
        <v/>
      </c>
      <c r="F2078" s="24" t="str">
        <f t="shared" si="883"/>
        <v>0,00</v>
      </c>
      <c r="G2078" s="52"/>
      <c r="H2078" s="52" t="str">
        <f>IF(A2078="","",VLOOKUP(A2078,'6.A'!$A$11:$E$7984,5,FALSE))</f>
        <v/>
      </c>
      <c r="I2078" s="52" t="str">
        <f t="shared" si="884"/>
        <v/>
      </c>
      <c r="J2078" s="52" t="str">
        <f>IF(H2078="","",VLOOKUP(A2078,'6.A'!$A$11:$E$564,4,FALSE))</f>
        <v/>
      </c>
      <c r="K2078" s="52" t="str">
        <f t="shared" si="885"/>
        <v/>
      </c>
      <c r="L2078" s="52" t="str">
        <f>IF(H2078="","",IF(C2078="","",G2040*C2078))</f>
        <v/>
      </c>
      <c r="M2078" s="117" t="str">
        <f>IF(A2078="","",VLOOKUP(A2078,'6.A'!$A$11:$C$564,2,FALSE))</f>
        <v/>
      </c>
      <c r="N2078" s="57" t="str">
        <f t="shared" si="886"/>
        <v/>
      </c>
      <c r="O2078" s="56"/>
      <c r="P2078" s="56"/>
      <c r="Q2078" s="48"/>
      <c r="R2078" s="48"/>
      <c r="T2078" s="2"/>
      <c r="U2078" s="2"/>
      <c r="V2078" s="2"/>
    </row>
    <row r="2079" spans="1:22" s="65" customFormat="1" ht="12.75" customHeight="1" x14ac:dyDescent="0.2">
      <c r="A2079" s="22"/>
      <c r="B2079" s="23" t="str">
        <f>IF(A2079="","",VLOOKUP(A2079,'6.A'!$A$11:$G$180,2,FALSE))</f>
        <v/>
      </c>
      <c r="C2079" s="99"/>
      <c r="D2079" s="57" t="str">
        <f>IF(A2079="","",VLOOKUP(A2079,'6.A'!$A$11:$G$180,4,FALSE))</f>
        <v/>
      </c>
      <c r="E2079" s="100" t="str">
        <f>IF(A2079="","",VLOOKUP(A2079,'6.A'!$A$11:$G$180,5,FALSE))</f>
        <v/>
      </c>
      <c r="F2079" s="24" t="str">
        <f t="shared" si="883"/>
        <v>0,00</v>
      </c>
      <c r="G2079" s="52"/>
      <c r="H2079" s="52" t="str">
        <f>IF(A2079="","",VLOOKUP(A2079,'6.A'!$A$11:$E$7984,5,FALSE))</f>
        <v/>
      </c>
      <c r="I2079" s="52" t="str">
        <f t="shared" si="884"/>
        <v/>
      </c>
      <c r="J2079" s="52" t="str">
        <f>IF(H2079="","",VLOOKUP(A2079,'6.A'!$A$11:$E$564,4,FALSE))</f>
        <v/>
      </c>
      <c r="K2079" s="52" t="str">
        <f t="shared" si="885"/>
        <v/>
      </c>
      <c r="L2079" s="52" t="str">
        <f>IF(H2079="","",IF(C2079="","",G2040*C2079))</f>
        <v/>
      </c>
      <c r="M2079" s="117" t="str">
        <f>IF(A2079="","",VLOOKUP(A2079,'6.A'!$A$11:$C$564,2,FALSE))</f>
        <v/>
      </c>
      <c r="N2079" s="57" t="str">
        <f t="shared" si="886"/>
        <v/>
      </c>
      <c r="O2079" s="56"/>
      <c r="P2079" s="56"/>
      <c r="Q2079" s="48"/>
      <c r="R2079" s="48"/>
      <c r="T2079" s="2"/>
      <c r="U2079" s="2"/>
      <c r="V2079" s="2"/>
    </row>
    <row r="2080" spans="1:22" ht="12.75" customHeight="1" x14ac:dyDescent="0.2">
      <c r="A2080" s="22"/>
      <c r="B2080" s="23" t="str">
        <f>IF(A2080="","",VLOOKUP(A2080,'6.A'!$A$11:$G$180,2,FALSE))</f>
        <v/>
      </c>
      <c r="C2080" s="99"/>
      <c r="D2080" s="57" t="str">
        <f>IF(A2080="","",VLOOKUP(A2080,'6.A'!$A$11:$G$180,4,FALSE))</f>
        <v/>
      </c>
      <c r="E2080" s="100" t="str">
        <f>IF(A2080="","",VLOOKUP(A2080,'6.A'!$A$11:$G$180,5,FALSE))</f>
        <v/>
      </c>
      <c r="F2080" s="24" t="str">
        <f t="shared" si="883"/>
        <v>0,00</v>
      </c>
      <c r="G2080" s="52"/>
      <c r="H2080" s="52" t="str">
        <f>IF(A2080="","",VLOOKUP(A2080,'6.A'!$A$11:$E$7984,5,FALSE))</f>
        <v/>
      </c>
      <c r="I2080" s="52" t="str">
        <f t="shared" si="884"/>
        <v/>
      </c>
      <c r="J2080" s="52" t="str">
        <f>IF(H2080="","",VLOOKUP(A2080,'6.A'!$A$11:$E$564,4,FALSE))</f>
        <v/>
      </c>
      <c r="K2080" s="52" t="str">
        <f t="shared" si="885"/>
        <v/>
      </c>
      <c r="L2080" s="52" t="str">
        <f>IF(H2080="","",IF(C2080="","",G2040*C2080))</f>
        <v/>
      </c>
      <c r="M2080" s="117" t="str">
        <f>IF(A2080="","",VLOOKUP(A2080,'6.A'!$A$11:$C$564,2,FALSE))</f>
        <v/>
      </c>
      <c r="N2080" s="57" t="str">
        <f t="shared" si="886"/>
        <v/>
      </c>
      <c r="O2080" s="56"/>
      <c r="P2080" s="56"/>
      <c r="Q2080" s="48"/>
      <c r="R2080" s="48"/>
    </row>
    <row r="2081" spans="1:23" ht="12.75" customHeight="1" x14ac:dyDescent="0.2">
      <c r="A2081" s="22"/>
      <c r="B2081" s="23" t="str">
        <f>IF(A2081="","",VLOOKUP(A2081,'6.A'!$A$11:$G$180,2,FALSE))</f>
        <v/>
      </c>
      <c r="C2081" s="99"/>
      <c r="D2081" s="57" t="str">
        <f>IF(A2081="","",VLOOKUP(A2081,'6.A'!$A$11:$G$180,4,FALSE))</f>
        <v/>
      </c>
      <c r="E2081" s="100" t="str">
        <f>IF(A2081="","",VLOOKUP(A2081,'6.A'!$A$11:$G$180,5,FALSE))</f>
        <v/>
      </c>
      <c r="F2081" s="24" t="str">
        <f t="shared" si="883"/>
        <v>0,00</v>
      </c>
      <c r="G2081" s="52"/>
      <c r="H2081" s="52" t="str">
        <f>IF(A2081="","",VLOOKUP(A2081,'6.A'!$A$11:$E$7984,5,FALSE))</f>
        <v/>
      </c>
      <c r="I2081" s="52" t="str">
        <f t="shared" si="884"/>
        <v/>
      </c>
      <c r="J2081" s="52" t="str">
        <f>IF(H2081="","",VLOOKUP(A2081,'6.A'!$A$11:$E$564,4,FALSE))</f>
        <v/>
      </c>
      <c r="K2081" s="52" t="str">
        <f t="shared" si="885"/>
        <v/>
      </c>
      <c r="L2081" s="52" t="str">
        <f>IF(H2081="","",IF(C2081="","",G2040*C2081))</f>
        <v/>
      </c>
      <c r="M2081" s="117" t="str">
        <f>IF(A2081="","",VLOOKUP(A2081,'6.A'!$A$11:$C$564,2,FALSE))</f>
        <v/>
      </c>
      <c r="N2081" s="57" t="str">
        <f t="shared" si="886"/>
        <v/>
      </c>
      <c r="O2081" s="56"/>
      <c r="P2081" s="56"/>
      <c r="Q2081" s="48"/>
      <c r="R2081" s="48"/>
    </row>
    <row r="2082" spans="1:23" ht="12.75" customHeight="1" x14ac:dyDescent="0.2">
      <c r="A2082" s="22"/>
      <c r="B2082" s="23" t="str">
        <f>IF(A2082="","",VLOOKUP(A2082,'6.A'!$A$11:$G$180,2,FALSE))</f>
        <v/>
      </c>
      <c r="C2082" s="99"/>
      <c r="D2082" s="57" t="str">
        <f>IF(A2082="","",VLOOKUP(A2082,'6.A'!$A$11:$G$180,4,FALSE))</f>
        <v/>
      </c>
      <c r="E2082" s="100" t="str">
        <f>IF(A2082="","",VLOOKUP(A2082,'6.A'!$A$11:$G$180,5,FALSE))</f>
        <v/>
      </c>
      <c r="F2082" s="24" t="str">
        <f t="shared" si="883"/>
        <v>0,00</v>
      </c>
      <c r="G2082" s="52"/>
      <c r="H2082" s="52" t="str">
        <f>IF(A2082="","",VLOOKUP(A2082,'6.A'!$A$11:$E$7984,5,FALSE))</f>
        <v/>
      </c>
      <c r="I2082" s="52" t="str">
        <f t="shared" si="884"/>
        <v/>
      </c>
      <c r="J2082" s="52" t="str">
        <f>IF(H2082="","",VLOOKUP(A2082,'6.A'!$A$11:$E$564,4,FALSE))</f>
        <v/>
      </c>
      <c r="K2082" s="52" t="str">
        <f t="shared" si="885"/>
        <v/>
      </c>
      <c r="L2082" s="52" t="str">
        <f>IF(H2082="","",IF(C2082="","",G2040*C2082))</f>
        <v/>
      </c>
      <c r="M2082" s="117" t="str">
        <f>IF(A2082="","",VLOOKUP(A2082,'6.A'!$A$11:$C$564,2,FALSE))</f>
        <v/>
      </c>
      <c r="N2082" s="57" t="str">
        <f t="shared" si="886"/>
        <v/>
      </c>
      <c r="O2082" s="56"/>
      <c r="P2082" s="56"/>
      <c r="Q2082" s="48"/>
      <c r="R2082" s="48"/>
    </row>
    <row r="2083" spans="1:23" ht="12.75" customHeight="1" x14ac:dyDescent="0.2">
      <c r="A2083" s="22"/>
      <c r="B2083" s="23" t="str">
        <f>IF(A2083="","",VLOOKUP(A2083,'6.A'!$A$11:$G$180,2,FALSE))</f>
        <v/>
      </c>
      <c r="C2083" s="99"/>
      <c r="D2083" s="57" t="str">
        <f>IF(A2083="","",VLOOKUP(A2083,'6.A'!$A$11:$G$180,4,FALSE))</f>
        <v/>
      </c>
      <c r="E2083" s="100" t="str">
        <f>IF(A2083="","",VLOOKUP(A2083,'6.A'!$A$11:$G$180,5,FALSE))</f>
        <v/>
      </c>
      <c r="F2083" s="24" t="str">
        <f t="shared" si="883"/>
        <v>0,00</v>
      </c>
      <c r="G2083" s="52"/>
      <c r="H2083" s="52" t="str">
        <f>IF(A2083="","",VLOOKUP(A2083,'6.A'!$A$11:$E$7984,5,FALSE))</f>
        <v/>
      </c>
      <c r="I2083" s="52" t="str">
        <f t="shared" si="884"/>
        <v/>
      </c>
      <c r="J2083" s="52" t="str">
        <f>IF(H2083="","",VLOOKUP(A2083,'6.A'!$A$11:$E$564,4,FALSE))</f>
        <v/>
      </c>
      <c r="K2083" s="52" t="str">
        <f t="shared" si="885"/>
        <v/>
      </c>
      <c r="L2083" s="52" t="str">
        <f>IF(H2083="","",IF(C2083="","",G2040*C2083))</f>
        <v/>
      </c>
      <c r="M2083" s="117" t="str">
        <f>IF(A2083="","",VLOOKUP(A2083,'6.A'!$A$11:$C$564,2,FALSE))</f>
        <v/>
      </c>
      <c r="N2083" s="57" t="str">
        <f t="shared" si="886"/>
        <v/>
      </c>
      <c r="O2083" s="56"/>
      <c r="P2083" s="56"/>
      <c r="Q2083" s="48"/>
      <c r="R2083" s="48"/>
    </row>
    <row r="2084" spans="1:23" ht="12.75" customHeight="1" x14ac:dyDescent="0.2">
      <c r="A2084" s="22"/>
      <c r="B2084" s="23" t="str">
        <f>IF(A2084="","",VLOOKUP(A2084,'6.A'!$A$11:$G$180,2,FALSE))</f>
        <v/>
      </c>
      <c r="C2084" s="99"/>
      <c r="D2084" s="57" t="str">
        <f>IF(A2084="","",VLOOKUP(A2084,'6.A'!$A$11:$G$180,4,FALSE))</f>
        <v/>
      </c>
      <c r="E2084" s="100" t="str">
        <f>IF(A2084="","",VLOOKUP(A2084,'6.A'!$A$11:$G$180,5,FALSE))</f>
        <v/>
      </c>
      <c r="F2084" s="24" t="str">
        <f t="shared" si="883"/>
        <v>0,00</v>
      </c>
      <c r="G2084" s="52"/>
      <c r="H2084" s="52" t="str">
        <f>IF(A2084="","",VLOOKUP(A2084,'6.A'!$A$11:$E$7984,5,FALSE))</f>
        <v/>
      </c>
      <c r="I2084" s="52" t="str">
        <f t="shared" si="884"/>
        <v/>
      </c>
      <c r="J2084" s="52" t="str">
        <f>IF(H2084="","",VLOOKUP(A2084,'6.A'!$A$11:$E$564,4,FALSE))</f>
        <v/>
      </c>
      <c r="K2084" s="52" t="str">
        <f t="shared" si="885"/>
        <v/>
      </c>
      <c r="L2084" s="52" t="str">
        <f>IF(H2084="","",IF(C2084="","",G2040*C2084))</f>
        <v/>
      </c>
      <c r="M2084" s="117" t="str">
        <f>IF(A2084="","",VLOOKUP(A2084,'6.A'!$A$11:$C$564,2,FALSE))</f>
        <v/>
      </c>
      <c r="N2084" s="57" t="str">
        <f t="shared" si="886"/>
        <v/>
      </c>
      <c r="O2084" s="56"/>
      <c r="P2084" s="56"/>
      <c r="Q2084" s="48"/>
      <c r="R2084" s="48"/>
    </row>
    <row r="2085" spans="1:23" ht="12.75" customHeight="1" x14ac:dyDescent="0.2">
      <c r="A2085" s="22"/>
      <c r="B2085" s="23" t="str">
        <f>IF(A2085="","",VLOOKUP(A2085,'6.A'!$A$11:$G$180,2,FALSE))</f>
        <v/>
      </c>
      <c r="C2085" s="99"/>
      <c r="D2085" s="57" t="str">
        <f>IF(A2085="","",VLOOKUP(A2085,'6.A'!$A$11:$G$180,4,FALSE))</f>
        <v/>
      </c>
      <c r="E2085" s="100" t="str">
        <f>IF(A2085="","",VLOOKUP(A2085,'6.A'!$A$11:$G$180,5,FALSE))</f>
        <v/>
      </c>
      <c r="F2085" s="24" t="str">
        <f t="shared" si="883"/>
        <v>0,00</v>
      </c>
      <c r="G2085" s="52"/>
      <c r="H2085" s="52" t="str">
        <f>IF(A2085="","",VLOOKUP(A2085,'6.A'!$A$11:$E$7984,5,FALSE))</f>
        <v/>
      </c>
      <c r="I2085" s="52" t="str">
        <f t="shared" si="884"/>
        <v/>
      </c>
      <c r="J2085" s="52" t="str">
        <f>IF(H2085="","",VLOOKUP(A2085,'6.A'!$A$11:$E$564,4,FALSE))</f>
        <v/>
      </c>
      <c r="K2085" s="52" t="str">
        <f t="shared" si="885"/>
        <v/>
      </c>
      <c r="L2085" s="52" t="str">
        <f>IF(H2085="","",IF(C2085="","",G2040*C2085))</f>
        <v/>
      </c>
      <c r="M2085" s="117" t="str">
        <f>IF(A2085="","",VLOOKUP(A2085,'6.A'!$A$11:$C$564,2,FALSE))</f>
        <v/>
      </c>
      <c r="N2085" s="57" t="str">
        <f t="shared" si="886"/>
        <v/>
      </c>
      <c r="O2085" s="56"/>
      <c r="P2085" s="56"/>
      <c r="Q2085" s="48"/>
      <c r="R2085" s="48"/>
    </row>
    <row r="2086" spans="1:23" ht="12.75" customHeight="1" x14ac:dyDescent="0.2">
      <c r="A2086" s="22"/>
      <c r="B2086" s="39" t="str">
        <f>IF(A2086="","",VLOOKUP(A2086,'6.A'!$A$11:$G$180,2,FALSE))</f>
        <v/>
      </c>
      <c r="C2086" s="99"/>
      <c r="D2086" s="57" t="str">
        <f>IF(A2086="","",VLOOKUP(A2086,'6.A'!$A$11:$G$180,4,FALSE))</f>
        <v/>
      </c>
      <c r="E2086" s="100" t="str">
        <f>IF(A2086="","",VLOOKUP(A2086,'6.A'!$A$11:$G$180,5,FALSE))</f>
        <v/>
      </c>
      <c r="F2086" s="24" t="str">
        <f t="shared" si="883"/>
        <v>0,00</v>
      </c>
      <c r="G2086" s="52"/>
      <c r="H2086" s="52" t="str">
        <f>IF(A2086="","",VLOOKUP(A2086,'6.A'!$A$11:$E$7984,5,FALSE))</f>
        <v/>
      </c>
      <c r="I2086" s="52" t="str">
        <f t="shared" si="884"/>
        <v/>
      </c>
      <c r="J2086" s="52" t="str">
        <f>IF(H2086="","",VLOOKUP(A2086,'6.A'!$A$11:$E$564,4,FALSE))</f>
        <v/>
      </c>
      <c r="K2086" s="52" t="str">
        <f t="shared" si="885"/>
        <v/>
      </c>
      <c r="L2086" s="52" t="str">
        <f>IF(H2086="","",IF(C2086="","",G2040*C2086))</f>
        <v/>
      </c>
      <c r="M2086" s="117" t="str">
        <f>IF(A2086="","",VLOOKUP(A2086,'6.A'!$A$11:$C$564,2,FALSE))</f>
        <v/>
      </c>
      <c r="N2086" s="57" t="str">
        <f t="shared" si="886"/>
        <v/>
      </c>
      <c r="O2086" s="56"/>
      <c r="P2086" s="56"/>
      <c r="Q2086" s="48"/>
      <c r="R2086" s="48"/>
    </row>
    <row r="2087" spans="1:23" ht="12.75" customHeight="1" x14ac:dyDescent="0.2">
      <c r="A2087" s="22"/>
      <c r="B2087" s="39" t="str">
        <f>IF(A2087="","",VLOOKUP(A2087,'6.A'!$A$11:$G$180,2,FALSE))</f>
        <v/>
      </c>
      <c r="C2087" s="99"/>
      <c r="D2087" s="57" t="str">
        <f>IF(A2087="","",VLOOKUP(A2087,'6.A'!$A$11:$G$180,4,FALSE))</f>
        <v/>
      </c>
      <c r="E2087" s="100" t="str">
        <f>IF(A2087="","",VLOOKUP(A2087,'6.A'!$A$11:$G$180,5,FALSE))</f>
        <v/>
      </c>
      <c r="F2087" s="24" t="str">
        <f t="shared" si="883"/>
        <v>0,00</v>
      </c>
      <c r="G2087" s="52"/>
      <c r="H2087" s="52" t="str">
        <f>IF(A2087="","",VLOOKUP(A2087,'6.A'!$A$11:$E$7984,5,FALSE))</f>
        <v/>
      </c>
      <c r="I2087" s="52" t="str">
        <f t="shared" si="884"/>
        <v/>
      </c>
      <c r="J2087" s="52" t="str">
        <f>IF(H2087="","",VLOOKUP(A2087,'6.A'!$A$11:$E$564,4,FALSE))</f>
        <v/>
      </c>
      <c r="K2087" s="52" t="str">
        <f t="shared" si="885"/>
        <v/>
      </c>
      <c r="L2087" s="52" t="str">
        <f>IF(H2087="","",IF(C2087="","",G2040*C2087))</f>
        <v/>
      </c>
      <c r="M2087" s="117" t="str">
        <f>IF(A2087="","",VLOOKUP(A2087,'6.A'!$A$11:$C$564,2,FALSE))</f>
        <v/>
      </c>
      <c r="N2087" s="57" t="str">
        <f t="shared" si="886"/>
        <v/>
      </c>
      <c r="O2087" s="56"/>
      <c r="P2087" s="56"/>
      <c r="Q2087" s="48"/>
      <c r="R2087" s="48"/>
    </row>
    <row r="2088" spans="1:23" ht="12.75" customHeight="1" x14ac:dyDescent="0.2">
      <c r="A2088" s="22"/>
      <c r="B2088" s="39" t="str">
        <f>IF(A2088="","",VLOOKUP(A2088,'6.A'!$A$11:$G$180,2,FALSE))</f>
        <v/>
      </c>
      <c r="C2088" s="99"/>
      <c r="D2088" s="57" t="str">
        <f>IF(A2088="","",VLOOKUP(A2088,'6.A'!$A$11:$G$180,4,FALSE))</f>
        <v/>
      </c>
      <c r="E2088" s="100" t="str">
        <f>IF(A2088="","",VLOOKUP(A2088,'6.A'!$A$11:$G$180,5,FALSE))</f>
        <v/>
      </c>
      <c r="F2088" s="24" t="str">
        <f t="shared" si="883"/>
        <v>0,00</v>
      </c>
      <c r="G2088" s="52"/>
      <c r="H2088" s="52" t="str">
        <f>IF(A2088="","",VLOOKUP(A2088,'6.A'!$A$11:$E$7984,5,FALSE))</f>
        <v/>
      </c>
      <c r="I2088" s="52" t="str">
        <f t="shared" si="884"/>
        <v/>
      </c>
      <c r="J2088" s="52" t="str">
        <f>IF(H2088="","",VLOOKUP(A2088,'6.A'!$A$11:$E$564,4,FALSE))</f>
        <v/>
      </c>
      <c r="K2088" s="52" t="str">
        <f t="shared" si="885"/>
        <v/>
      </c>
      <c r="L2088" s="52" t="str">
        <f>IF(H2088="","",IF(C2088="","",G2040*C2088))</f>
        <v/>
      </c>
      <c r="M2088" s="117" t="str">
        <f>IF(A2088="","",VLOOKUP(A2088,'6.A'!$A$11:$C$564,2,FALSE))</f>
        <v/>
      </c>
      <c r="N2088" s="57" t="str">
        <f t="shared" si="886"/>
        <v/>
      </c>
      <c r="O2088" s="56"/>
      <c r="P2088" s="56"/>
      <c r="Q2088" s="48"/>
      <c r="R2088" s="48"/>
    </row>
    <row r="2089" spans="1:23" ht="12.75" customHeight="1" x14ac:dyDescent="0.2">
      <c r="A2089" s="22"/>
      <c r="B2089" s="26" t="str">
        <f>$A$9</f>
        <v>BDI</v>
      </c>
      <c r="C2089" s="40">
        <f>$C$9</f>
        <v>0</v>
      </c>
      <c r="D2089" s="57"/>
      <c r="F2089" s="28">
        <f>ROUND(SUM(F2069:F2088)*C2089,2)</f>
        <v>0</v>
      </c>
      <c r="G2089" s="63"/>
      <c r="M2089" s="57"/>
      <c r="N2089" s="57"/>
      <c r="O2089" s="56"/>
      <c r="P2089" s="56"/>
      <c r="Q2089" s="48"/>
      <c r="R2089" s="48"/>
    </row>
    <row r="2090" spans="1:23" ht="12.75" customHeight="1" thickBot="1" x14ac:dyDescent="0.25">
      <c r="A2090" s="41"/>
      <c r="B2090" s="42" t="s">
        <v>57</v>
      </c>
      <c r="C2090" s="43"/>
      <c r="D2090" s="44"/>
      <c r="E2090" s="45"/>
      <c r="F2090" s="46">
        <f>ROUND(SUM(F2069:F2089),2)</f>
        <v>0</v>
      </c>
      <c r="G2090" s="63"/>
      <c r="M2090" s="57"/>
      <c r="N2090" s="57"/>
      <c r="O2090" s="56"/>
      <c r="P2090" s="56"/>
      <c r="Q2090" s="48"/>
      <c r="R2090" s="48"/>
    </row>
    <row r="2091" spans="1:23" ht="12" customHeight="1" thickBot="1" x14ac:dyDescent="0.25">
      <c r="A2091" s="8"/>
      <c r="B2091" s="9"/>
      <c r="C2091" s="10"/>
      <c r="D2091" s="57"/>
      <c r="F2091" s="12"/>
      <c r="M2091" s="57"/>
      <c r="N2091" s="57"/>
      <c r="O2091" s="56"/>
      <c r="P2091" s="56"/>
    </row>
    <row r="2092" spans="1:23" ht="50.1" customHeight="1" x14ac:dyDescent="0.2">
      <c r="A2092" s="13" t="str">
        <f>'3.A'!$A$52</f>
        <v>3.2.16</v>
      </c>
      <c r="B2092" s="14" t="str">
        <f>IF(A2092="","",VLOOKUP(A2092,'3.A'!$A$17:$M$279,2,FALSE))</f>
        <v>TERMINAL OU CONECTOR DE PRESSAO PARA CABO 50MM</v>
      </c>
      <c r="C2092" s="413" t="s">
        <v>62</v>
      </c>
      <c r="D2092" s="413"/>
      <c r="E2092" s="15" t="str">
        <f>IF(A2092="","",VLOOKUP(A2092,'3.A'!$A$17:$M$279,3,FALSE))</f>
        <v>UN</v>
      </c>
      <c r="F2092" s="16">
        <f>ROUND(F2106+F2119+F2142,2)</f>
        <v>0</v>
      </c>
      <c r="G2092" s="118">
        <f>VLOOKUP(A2092,'3.A'!$A$19:$I$279,4,FALSE)</f>
        <v>6</v>
      </c>
      <c r="H2092" s="47">
        <f>SUM(F2094:F2105)</f>
        <v>0</v>
      </c>
      <c r="I2092" s="47">
        <f>SUM(F2108:F2118)</f>
        <v>0</v>
      </c>
      <c r="J2092" s="47">
        <f>SUM(F2121:F2141)</f>
        <v>0</v>
      </c>
      <c r="K2092" s="47">
        <f>SUM(H2092:J2092)</f>
        <v>0</v>
      </c>
      <c r="L2092" s="47" t="str">
        <f>IF(K2092=F2092,"SIM","NÃO")</f>
        <v>SIM</v>
      </c>
      <c r="M2092" s="58">
        <f>ROUND(SUM(F2094:F2103)*C2104,2)+ROUND(SUM(F2094:F2104)*C2105,2)+ROUND(SUM(F2094:F2103),2)+ROUND(SUM(F2108:F2117)*C2118,2)+ROUND(SUM(F2108:F2117),2)+ROUND(SUM(F2121:F2140)*C2141,2)+ROUND(SUM(F2121:F2140),2)</f>
        <v>0</v>
      </c>
      <c r="N2092" s="50" t="str">
        <f>IF(M2092=F2092,"SIM","NÃO")</f>
        <v>SIM</v>
      </c>
      <c r="O2092" s="51" t="str">
        <f>VLOOKUP(A2092,'3.A'!$A$8:$E$279,3,FALSE)</f>
        <v>UN</v>
      </c>
      <c r="P2092" s="51" t="str">
        <f>IF(O2092=E2092,"SIM","NÃO")</f>
        <v>SIM</v>
      </c>
      <c r="Q2092" s="53">
        <f>ROUND(G2092*F2106,2)+ROUND(G2092*F2119,2)+ROUND(G2092*F2142,2)</f>
        <v>0</v>
      </c>
      <c r="R2092" s="59">
        <f>VLOOKUP(A2092,'3.A'!$A$17:$L$279,12,FALSE)</f>
        <v>0</v>
      </c>
      <c r="S2092" s="60" t="str">
        <f>IF(Q2092=R2092,"si","no")</f>
        <v>si</v>
      </c>
      <c r="T2092" s="61">
        <f>SUM(L2094:L2103)+SUM(L2108:L2117)+SUM(L2121:L2140)</f>
        <v>10.8</v>
      </c>
      <c r="U2092" s="52">
        <f>G2092*C2100+G2092*C2102+G2092*C2095+G2092*C2096+G2092*C2098+G2092*C2101+G2092*C2099+G2092*C2094+G2092*C2097+G2092*C2103+G2092*C2114+G2092*C2108+G2092*C2116+G2092*C2115+G2092*C2113+G2092*C2110+G2092*C2109+G2092*C2111+G2092*C2117+G2092*C2112+G2092*C2121+G2092*C2122+G2092*C2123+G2092*C2131+G2092*C2132+G2092*C2133+G2092*C2134+G2092*C2135+G2092*C2136+G2092*C2137+G2092*C2138+G2092*C2139+G2092*C2140+G2092*C2129+G2092*C2130+G2092*C2124+G2092*C2125+G2092*C2126+G2092*C2127+G2092*C2128</f>
        <v>10.8</v>
      </c>
      <c r="V2092" s="54" t="str">
        <f>IF(T2092=U2092,"si","no")</f>
        <v>si</v>
      </c>
      <c r="W2092" s="137"/>
    </row>
    <row r="2093" spans="1:23" ht="12.75" customHeight="1" x14ac:dyDescent="0.2">
      <c r="A2093" s="17" t="s">
        <v>3</v>
      </c>
      <c r="B2093" s="18" t="s">
        <v>58</v>
      </c>
      <c r="C2093" s="56" t="s">
        <v>59</v>
      </c>
      <c r="D2093" s="56" t="s">
        <v>16</v>
      </c>
      <c r="E2093" s="19" t="s">
        <v>60</v>
      </c>
      <c r="F2093" s="20" t="s">
        <v>61</v>
      </c>
      <c r="G2093" s="21"/>
      <c r="M2093" s="57"/>
      <c r="N2093" s="57"/>
      <c r="O2093" s="56"/>
      <c r="P2093" s="56"/>
      <c r="Q2093" s="48"/>
      <c r="R2093" s="48"/>
    </row>
    <row r="2094" spans="1:23" ht="12.75" customHeight="1" x14ac:dyDescent="0.2">
      <c r="A2094" s="22">
        <f>'6.A'!$A$15</f>
        <v>88247</v>
      </c>
      <c r="B2094" s="23" t="str">
        <f>IF(A2094="","",VLOOKUP(A2094,'6.A'!$A$11:$G$180,2,FALSE))</f>
        <v>AUXILIAR DE ELETRICISTA COM ENCARGOS COMPLEMENTARES</v>
      </c>
      <c r="C2094" s="99">
        <v>0.4</v>
      </c>
      <c r="D2094" s="57" t="str">
        <f>IF(A2094="","",VLOOKUP(A2094,'6.A'!$A$11:$G$180,4,FALSE))</f>
        <v>H</v>
      </c>
      <c r="E2094" s="100">
        <f>IF(A2094="","",VLOOKUP(A2094,'6.A'!$A$11:$G$180,5,FALSE))</f>
        <v>0</v>
      </c>
      <c r="F2094" s="24">
        <f t="shared" ref="F2094" si="887">IF(A2094="","0,00",ROUND(C2094*E2094,2))</f>
        <v>0</v>
      </c>
      <c r="G2094" s="52"/>
      <c r="H2094" s="52">
        <f>IF(A2094="","",VLOOKUP(A2094,'6.A'!$A$11:$E$7984,5,FALSE))</f>
        <v>0</v>
      </c>
      <c r="I2094" s="52" t="str">
        <f>IF(H2094="","",IF(E2094=H2094,"SIM","NÃO"))</f>
        <v>SIM</v>
      </c>
      <c r="J2094" s="52" t="str">
        <f>IF(H2094="","",VLOOKUP(A2094,'6.A'!$A$11:$E$564,4,FALSE))</f>
        <v>H</v>
      </c>
      <c r="K2094" s="52" t="str">
        <f>IF(H2094="","",IF(J2094=D2094,"SIM","NÃO"))</f>
        <v>SIM</v>
      </c>
      <c r="L2094" s="52">
        <f>IF(H2094="","",IF(C2094="","",G2092*C2094))</f>
        <v>2.4000000000000004</v>
      </c>
      <c r="M2094" s="117" t="str">
        <f>IF(A2094="","",VLOOKUP(A2094,'6.A'!$A$11:$C$564,2,FALSE))</f>
        <v>AUXILIAR DE ELETRICISTA COM ENCARGOS COMPLEMENTARES</v>
      </c>
      <c r="N2094" s="57" t="str">
        <f>IF(A2094="","",IF(M2094=B2094,"si","no"))</f>
        <v>si</v>
      </c>
      <c r="O2094" s="56"/>
      <c r="P2094" s="56"/>
      <c r="Q2094" s="48"/>
      <c r="R2094" s="48"/>
    </row>
    <row r="2095" spans="1:23" ht="12.75" customHeight="1" x14ac:dyDescent="0.2">
      <c r="A2095" s="22">
        <f>'6.A'!$A$18</f>
        <v>88264</v>
      </c>
      <c r="B2095" s="23" t="str">
        <f>IF(A2095="","",VLOOKUP(A2095,'6.A'!$A$11:$G$180,2,FALSE))</f>
        <v>ELETRICISTA COM ENCARGOS COMPLEMENTARES</v>
      </c>
      <c r="C2095" s="99">
        <v>0.4</v>
      </c>
      <c r="D2095" s="57" t="str">
        <f>IF(A2095="","",VLOOKUP(A2095,'6.A'!$A$11:$G$180,4,FALSE))</f>
        <v>H</v>
      </c>
      <c r="E2095" s="100">
        <f>IF(A2095="","",VLOOKUP(A2095,'6.A'!$A$11:$G$180,5,FALSE))</f>
        <v>0</v>
      </c>
      <c r="F2095" s="24">
        <f>IF(A2095="","0,00",ROUND(C2095*E2095,2))</f>
        <v>0</v>
      </c>
      <c r="G2095" s="52"/>
      <c r="H2095" s="52">
        <f>IF(A2095="","",VLOOKUP(A2095,'6.A'!$A$11:$E$7984,5,FALSE))</f>
        <v>0</v>
      </c>
      <c r="I2095" s="52" t="str">
        <f>IF(H2095="","",IF(E2095=H2095,"SIM","NÃO"))</f>
        <v>SIM</v>
      </c>
      <c r="J2095" s="52" t="str">
        <f>IF(H2095="","",VLOOKUP(A2095,'6.A'!$A$11:$E$564,4,FALSE))</f>
        <v>H</v>
      </c>
      <c r="K2095" s="52" t="str">
        <f>IF(H2095="","",IF(J2095=D2095,"SIM","NÃO"))</f>
        <v>SIM</v>
      </c>
      <c r="L2095" s="52">
        <f>IF(H2095="","",IF(C2095="","",G2092*C2095))</f>
        <v>2.4000000000000004</v>
      </c>
      <c r="M2095" s="117" t="str">
        <f>IF(A2095="","",VLOOKUP(A2095,'6.A'!$A$11:$C$564,2,FALSE))</f>
        <v>ELETRICISTA COM ENCARGOS COMPLEMENTARES</v>
      </c>
      <c r="N2095" s="57" t="str">
        <f>IF(A2095="","",IF(M2095=B2095,"si","no"))</f>
        <v>si</v>
      </c>
      <c r="O2095" s="56"/>
      <c r="P2095" s="56"/>
      <c r="Q2095" s="48"/>
      <c r="R2095" s="48"/>
    </row>
    <row r="2096" spans="1:23" ht="12.75" customHeight="1" x14ac:dyDescent="0.2">
      <c r="A2096" s="22"/>
      <c r="B2096" s="23" t="str">
        <f>IF(A2096="","",VLOOKUP(A2096,'6.A'!$A$11:$G$180,2,FALSE))</f>
        <v/>
      </c>
      <c r="C2096" s="99"/>
      <c r="D2096" s="57" t="str">
        <f>IF(A2096="","",VLOOKUP(A2096,'6.A'!$A$11:$G$180,4,FALSE))</f>
        <v/>
      </c>
      <c r="E2096" s="100" t="str">
        <f>IF(A2096="","",VLOOKUP(A2096,'6.A'!$A$11:$G$180,5,FALSE))</f>
        <v/>
      </c>
      <c r="F2096" s="24" t="str">
        <f t="shared" ref="F2096:F2103" si="888">IF(A2096="","0,00",ROUND(C2096*E2096,2))</f>
        <v>0,00</v>
      </c>
      <c r="G2096" s="52"/>
      <c r="H2096" s="52" t="str">
        <f>IF(A2096="","",VLOOKUP(A2096,'6.A'!$A$11:$E$7984,5,FALSE))</f>
        <v/>
      </c>
      <c r="I2096" s="52" t="str">
        <f>IF(H2096="","",IF(E2096=H2096,"SIM","NÃO"))</f>
        <v/>
      </c>
      <c r="J2096" s="52" t="str">
        <f>IF(H2096="","",VLOOKUP(A2096,'6.A'!$A$11:$E$564,4,FALSE))</f>
        <v/>
      </c>
      <c r="K2096" s="52" t="str">
        <f t="shared" ref="K2096" si="889">IF(H2096="","",IF(J2096=D2096,"SIM","NÃO"))</f>
        <v/>
      </c>
      <c r="L2096" s="52" t="str">
        <f>IF(H2096="","",IF(C2096="","",G2092*C2096))</f>
        <v/>
      </c>
      <c r="M2096" s="117" t="str">
        <f>IF(A2096="","",VLOOKUP(A2096,'6.A'!$A$11:$C$564,2,FALSE))</f>
        <v/>
      </c>
      <c r="N2096" s="57" t="str">
        <f t="shared" ref="N2096" si="890">IF(A2096="","",IF(M2096=B2096,"si","no"))</f>
        <v/>
      </c>
      <c r="O2096" s="56"/>
      <c r="P2096" s="56"/>
      <c r="Q2096" s="48"/>
      <c r="R2096" s="48"/>
      <c r="S2096" s="2"/>
    </row>
    <row r="2097" spans="1:19" ht="12.75" customHeight="1" x14ac:dyDescent="0.2">
      <c r="A2097" s="22"/>
      <c r="B2097" s="23" t="str">
        <f>IF(A2097="","",VLOOKUP(A2097,'6.A'!$A$11:$G$180,2,FALSE))</f>
        <v/>
      </c>
      <c r="C2097" s="99"/>
      <c r="D2097" s="57" t="str">
        <f>IF(A2097="","",VLOOKUP(A2097,'6.A'!$A$11:$G$180,4,FALSE))</f>
        <v/>
      </c>
      <c r="E2097" s="100" t="str">
        <f>IF(A2097="","",VLOOKUP(A2097,'6.A'!$A$11:$G$180,5,FALSE))</f>
        <v/>
      </c>
      <c r="F2097" s="24" t="str">
        <f t="shared" si="888"/>
        <v>0,00</v>
      </c>
      <c r="G2097" s="52"/>
      <c r="H2097" s="52" t="str">
        <f>IF(A2097="","",VLOOKUP(A2097,'6.A'!$A$11:$E$7984,5,FALSE))</f>
        <v/>
      </c>
      <c r="I2097" s="52" t="str">
        <f>IF(H2097="","",IF(E2097=H2097,"SIM","NÃO"))</f>
        <v/>
      </c>
      <c r="J2097" s="52" t="str">
        <f>IF(H2097="","",VLOOKUP(A2097,'6.A'!$A$11:$E$564,4,FALSE))</f>
        <v/>
      </c>
      <c r="K2097" s="52" t="str">
        <f>IF(H2097="","",IF(J2097=D2097,"SIM","NÃO"))</f>
        <v/>
      </c>
      <c r="L2097" s="52" t="str">
        <f>IF(H2097="","",IF(C2097="","",G2092*C2097))</f>
        <v/>
      </c>
      <c r="M2097" s="117" t="str">
        <f>IF(A2097="","",VLOOKUP(A2097,'6.A'!$A$11:$C$564,2,FALSE))</f>
        <v/>
      </c>
      <c r="N2097" s="57" t="str">
        <f>IF(A2097="","",IF(M2097=B2097,"si","no"))</f>
        <v/>
      </c>
      <c r="O2097" s="56"/>
      <c r="P2097" s="56"/>
      <c r="Q2097" s="48"/>
      <c r="R2097" s="48"/>
      <c r="S2097" s="2"/>
    </row>
    <row r="2098" spans="1:19" ht="12.75" customHeight="1" x14ac:dyDescent="0.2">
      <c r="A2098" s="22"/>
      <c r="B2098" s="23" t="str">
        <f>IF(A2098="","",VLOOKUP(A2098,'6.A'!$A$11:$G$180,2,FALSE))</f>
        <v/>
      </c>
      <c r="C2098" s="99"/>
      <c r="D2098" s="57" t="str">
        <f>IF(A2098="","",VLOOKUP(A2098,'6.A'!$A$11:$G$180,4,FALSE))</f>
        <v/>
      </c>
      <c r="E2098" s="101" t="str">
        <f>IF(A2098="","",VLOOKUP(A2098,'6.A'!$A$11:$G$180,5,FALSE))</f>
        <v/>
      </c>
      <c r="F2098" s="24" t="str">
        <f t="shared" si="888"/>
        <v>0,00</v>
      </c>
      <c r="G2098" s="52"/>
      <c r="H2098" s="52" t="str">
        <f>IF(A2098="","",VLOOKUP(A2098,'6.A'!$A$11:$E$7984,5,FALSE))</f>
        <v/>
      </c>
      <c r="I2098" s="52" t="str">
        <f t="shared" ref="I2098" si="891">IF(H2098="","",IF(E2098=H2098,"SIM","NÃO"))</f>
        <v/>
      </c>
      <c r="J2098" s="52" t="str">
        <f>IF(H2098="","",VLOOKUP(A2098,'6.A'!$A$11:$E$564,4,FALSE))</f>
        <v/>
      </c>
      <c r="K2098" s="52" t="str">
        <f t="shared" ref="K2098" si="892">IF(H2098="","",IF(J2098=D2098,"SIM","NÃO"))</f>
        <v/>
      </c>
      <c r="L2098" s="52" t="str">
        <f>IF(H2098="","",IF(C2098="","",G2092*C2098))</f>
        <v/>
      </c>
      <c r="M2098" s="117" t="str">
        <f>IF(A2098="","",VLOOKUP(A2098,'6.A'!$A$11:$C$564,2,FALSE))</f>
        <v/>
      </c>
      <c r="N2098" s="57" t="str">
        <f t="shared" ref="N2098" si="893">IF(A2098="","",IF(M2098=B2098,"si","no"))</f>
        <v/>
      </c>
      <c r="O2098" s="56"/>
      <c r="P2098" s="56"/>
      <c r="Q2098" s="48"/>
      <c r="R2098" s="48"/>
      <c r="S2098" s="2"/>
    </row>
    <row r="2099" spans="1:19" ht="12.75" customHeight="1" x14ac:dyDescent="0.2">
      <c r="A2099" s="22"/>
      <c r="B2099" s="23" t="str">
        <f>IF(A2099="","",VLOOKUP(A2099,'6.A'!$A$11:$G$180,2,FALSE))</f>
        <v/>
      </c>
      <c r="C2099" s="99"/>
      <c r="D2099" s="57" t="str">
        <f>IF(A2099="","",VLOOKUP(A2099,'6.A'!$A$11:$G$180,4,FALSE))</f>
        <v/>
      </c>
      <c r="E2099" s="101" t="str">
        <f>IF(A2099="","",VLOOKUP(A2099,'6.A'!$A$11:$G$180,5,FALSE))</f>
        <v/>
      </c>
      <c r="F2099" s="24" t="str">
        <f t="shared" si="888"/>
        <v>0,00</v>
      </c>
      <c r="G2099" s="52"/>
      <c r="H2099" s="52" t="str">
        <f>IF(A2099="","",VLOOKUP(A2099,'6.A'!$A$11:$E$7984,5,FALSE))</f>
        <v/>
      </c>
      <c r="I2099" s="52" t="str">
        <f>IF(H2099="","",IF(E2099=H2099,"SIM","NÃO"))</f>
        <v/>
      </c>
      <c r="J2099" s="52" t="str">
        <f>IF(H2099="","",VLOOKUP(A2099,'6.A'!$A$11:$E$564,4,FALSE))</f>
        <v/>
      </c>
      <c r="K2099" s="52" t="str">
        <f>IF(H2099="","",IF(J2099=D2099,"SIM","NÃO"))</f>
        <v/>
      </c>
      <c r="L2099" s="52" t="str">
        <f>IF(H2099="","",IF(C2099="","",G2092*C2099))</f>
        <v/>
      </c>
      <c r="M2099" s="117" t="str">
        <f>IF(A2099="","",VLOOKUP(A2099,'6.A'!$A$11:$C$564,2,FALSE))</f>
        <v/>
      </c>
      <c r="N2099" s="57" t="str">
        <f>IF(A2099="","",IF(M2099=B2099,"si","no"))</f>
        <v/>
      </c>
      <c r="O2099" s="56"/>
      <c r="P2099" s="56"/>
      <c r="Q2099" s="48"/>
      <c r="R2099" s="48"/>
      <c r="S2099" s="2"/>
    </row>
    <row r="2100" spans="1:19" ht="12.75" customHeight="1" x14ac:dyDescent="0.2">
      <c r="A2100" s="22"/>
      <c r="B2100" s="23" t="str">
        <f>IF(A2100="","",VLOOKUP(A2100,'6.A'!$A$11:$G$180,2,FALSE))</f>
        <v/>
      </c>
      <c r="C2100" s="99"/>
      <c r="D2100" s="57" t="str">
        <f>IF(A2100="","",VLOOKUP(A2100,'6.A'!$A$11:$G$180,4,FALSE))</f>
        <v/>
      </c>
      <c r="E2100" s="100" t="str">
        <f>IF(A2100="","",VLOOKUP(A2100,'6.A'!$A$11:$G$180,5,FALSE))</f>
        <v/>
      </c>
      <c r="F2100" s="24" t="str">
        <f t="shared" si="888"/>
        <v>0,00</v>
      </c>
      <c r="G2100" s="52"/>
      <c r="H2100" s="52" t="str">
        <f>IF(A2100="","",VLOOKUP(A2100,'6.A'!$A$11:$E$7984,5,FALSE))</f>
        <v/>
      </c>
      <c r="I2100" s="52" t="str">
        <f>IF(H2100="","",IF(E2100=H2100,"SIM","NÃO"))</f>
        <v/>
      </c>
      <c r="J2100" s="52" t="str">
        <f>IF(H2100="","",VLOOKUP(A2100,'6.A'!$A$11:$E$564,4,FALSE))</f>
        <v/>
      </c>
      <c r="K2100" s="52" t="str">
        <f>IF(H2100="","",IF(J2100=D2100,"SIM","NÃO"))</f>
        <v/>
      </c>
      <c r="L2100" s="52" t="str">
        <f>IF(H2100="","",IF(C2100="","",G2092*C2100))</f>
        <v/>
      </c>
      <c r="M2100" s="117" t="str">
        <f>IF(A2100="","",VLOOKUP(A2100,'6.A'!$A$11:$C$564,2,FALSE))</f>
        <v/>
      </c>
      <c r="N2100" s="57" t="str">
        <f>IF(A2100="","",IF(M2100=B2100,"si","no"))</f>
        <v/>
      </c>
      <c r="O2100" s="56"/>
      <c r="P2100" s="56"/>
      <c r="Q2100" s="48"/>
      <c r="R2100" s="48"/>
      <c r="S2100" s="2"/>
    </row>
    <row r="2101" spans="1:19" ht="12.75" customHeight="1" x14ac:dyDescent="0.2">
      <c r="A2101" s="22"/>
      <c r="B2101" s="23" t="str">
        <f>IF(A2101="","",VLOOKUP(A2101,'6.A'!$A$11:$G$180,2,FALSE))</f>
        <v/>
      </c>
      <c r="C2101" s="99"/>
      <c r="D2101" s="57" t="str">
        <f>IF(A2101="","",VLOOKUP(A2101,'6.A'!$A$11:$G$180,4,FALSE))</f>
        <v/>
      </c>
      <c r="E2101" s="100" t="str">
        <f>IF(A2101="","",VLOOKUP(A2101,'6.A'!$A$11:$G$180,5,FALSE))</f>
        <v/>
      </c>
      <c r="F2101" s="24" t="str">
        <f t="shared" si="888"/>
        <v>0,00</v>
      </c>
      <c r="G2101" s="52"/>
      <c r="H2101" s="52" t="str">
        <f>IF(A2101="","",VLOOKUP(A2101,'6.A'!$A$11:$E$7984,5,FALSE))</f>
        <v/>
      </c>
      <c r="I2101" s="52" t="str">
        <f t="shared" ref="I2101" si="894">IF(H2101="","",IF(E2101=H2101,"SIM","NÃO"))</f>
        <v/>
      </c>
      <c r="J2101" s="52" t="str">
        <f>IF(H2101="","",VLOOKUP(A2101,'6.A'!$A$11:$E$564,4,FALSE))</f>
        <v/>
      </c>
      <c r="K2101" s="52" t="str">
        <f t="shared" ref="K2101" si="895">IF(H2101="","",IF(J2101=D2101,"SIM","NÃO"))</f>
        <v/>
      </c>
      <c r="L2101" s="52" t="str">
        <f>IF(H2101="","",IF(C2101="","",G2092*C2101))</f>
        <v/>
      </c>
      <c r="M2101" s="117" t="str">
        <f>IF(A2101="","",VLOOKUP(A2101,'6.A'!$A$11:$C$564,2,FALSE))</f>
        <v/>
      </c>
      <c r="N2101" s="57" t="str">
        <f t="shared" ref="N2101" si="896">IF(A2101="","",IF(M2101=B2101,"si","no"))</f>
        <v/>
      </c>
      <c r="O2101" s="56"/>
      <c r="P2101" s="56"/>
      <c r="Q2101" s="48"/>
      <c r="R2101" s="48"/>
      <c r="S2101" s="2"/>
    </row>
    <row r="2102" spans="1:19" ht="12.75" customHeight="1" x14ac:dyDescent="0.2">
      <c r="A2102" s="22"/>
      <c r="B2102" s="23" t="str">
        <f>IF(A2102="","",VLOOKUP(A2102,'6.A'!$A$11:$G$180,2,FALSE))</f>
        <v/>
      </c>
      <c r="C2102" s="99"/>
      <c r="D2102" s="73" t="str">
        <f>IF(A2102="","",VLOOKUP(A2102,'6.A'!$A$11:$G$180,4,FALSE))</f>
        <v/>
      </c>
      <c r="E2102" s="101" t="str">
        <f>IF(A2102="","",VLOOKUP(A2102,'6.A'!$A$11:$G$180,5,FALSE))</f>
        <v/>
      </c>
      <c r="F2102" s="24" t="str">
        <f t="shared" si="888"/>
        <v>0,00</v>
      </c>
      <c r="G2102" s="52"/>
      <c r="H2102" s="52" t="str">
        <f>IF(A2102="","",VLOOKUP(A2102,'6.A'!$A$11:$E$7984,5,FALSE))</f>
        <v/>
      </c>
      <c r="I2102" s="52" t="str">
        <f>IF(H2102="","",IF(E2102=H2102,"SIM","NÃO"))</f>
        <v/>
      </c>
      <c r="J2102" s="52" t="str">
        <f>IF(H2102="","",VLOOKUP(A2102,'6.A'!$A$11:$E$564,4,FALSE))</f>
        <v/>
      </c>
      <c r="K2102" s="52" t="str">
        <f>IF(H2102="","",IF(J2102=D2102,"SIM","NÃO"))</f>
        <v/>
      </c>
      <c r="L2102" s="52" t="str">
        <f>IF(H2102="","",IF(C2102="","",G2092*C2102))</f>
        <v/>
      </c>
      <c r="M2102" s="117" t="str">
        <f>IF(A2102="","",VLOOKUP(A2102,'6.A'!$A$11:$C$564,2,FALSE))</f>
        <v/>
      </c>
      <c r="N2102" s="57" t="str">
        <f>IF(A2102="","",IF(M2102=B2102,"si","no"))</f>
        <v/>
      </c>
      <c r="O2102" s="56"/>
      <c r="P2102" s="56"/>
      <c r="Q2102" s="48"/>
      <c r="R2102" s="48"/>
      <c r="S2102" s="2"/>
    </row>
    <row r="2103" spans="1:19" ht="12.75" customHeight="1" x14ac:dyDescent="0.2">
      <c r="A2103" s="22"/>
      <c r="B2103" s="23" t="str">
        <f>IF(A2103="","",VLOOKUP(A2103,'6.A'!$A$11:$G$180,2,FALSE))</f>
        <v/>
      </c>
      <c r="C2103" s="99"/>
      <c r="D2103" s="25" t="str">
        <f>IF(A2103="","",VLOOKUP(A2103,'6.A'!$A$11:$G$180,4,FALSE))</f>
        <v/>
      </c>
      <c r="E2103" s="101" t="str">
        <f>IF(A2103="","",VLOOKUP(A2103,'6.A'!$A$11:$G$180,5,FALSE))</f>
        <v/>
      </c>
      <c r="F2103" s="24" t="str">
        <f t="shared" si="888"/>
        <v>0,00</v>
      </c>
      <c r="G2103" s="52"/>
      <c r="H2103" s="52" t="str">
        <f>IF(A2103="","",VLOOKUP(A2103,'6.A'!$A$11:$E$7984,5,FALSE))</f>
        <v/>
      </c>
      <c r="I2103" s="52" t="str">
        <f t="shared" ref="I2103" si="897">IF(H2103="","",IF(E2103=H2103,"SIM","NÃO"))</f>
        <v/>
      </c>
      <c r="J2103" s="52" t="str">
        <f>IF(H2103="","",VLOOKUP(A2103,'6.A'!$A$11:$E$564,4,FALSE))</f>
        <v/>
      </c>
      <c r="K2103" s="52" t="str">
        <f t="shared" ref="K2103" si="898">IF(H2103="","",IF(J2103=D2103,"SIM","NÃO"))</f>
        <v/>
      </c>
      <c r="L2103" s="52" t="str">
        <f>IF(H2103="","",IF(C2103="","",G2092*C2103))</f>
        <v/>
      </c>
      <c r="M2103" s="117" t="str">
        <f>IF(A2103="","",VLOOKUP(A2103,'6.A'!$A$11:$C$564,2,FALSE))</f>
        <v/>
      </c>
      <c r="N2103" s="57" t="str">
        <f t="shared" ref="N2103" si="899">IF(A2103="","",IF(M2103=B2103,"si","no"))</f>
        <v/>
      </c>
      <c r="O2103" s="56"/>
      <c r="P2103" s="56"/>
      <c r="Q2103" s="48"/>
      <c r="R2103" s="48"/>
      <c r="S2103" s="2"/>
    </row>
    <row r="2104" spans="1:19" ht="12.75" customHeight="1" x14ac:dyDescent="0.2">
      <c r="A2104" s="17"/>
      <c r="B2104" s="26" t="str">
        <f>$A$8</f>
        <v>LEIS SOCIAIS HORISTA - JORNADA NORMAL</v>
      </c>
      <c r="C2104" s="27">
        <f>$C$8</f>
        <v>0</v>
      </c>
      <c r="D2104" s="57"/>
      <c r="F2104" s="28">
        <f>ROUND(SUM(F2094:F2103)*C2104,2)</f>
        <v>0</v>
      </c>
      <c r="G2104" s="63"/>
      <c r="M2104" s="62"/>
      <c r="N2104" s="57"/>
      <c r="O2104" s="56"/>
      <c r="P2104" s="56"/>
      <c r="Q2104" s="48"/>
      <c r="R2104" s="48"/>
      <c r="S2104" s="2"/>
    </row>
    <row r="2105" spans="1:19" ht="12.75" customHeight="1" x14ac:dyDescent="0.2">
      <c r="A2105" s="22"/>
      <c r="B2105" s="26" t="str">
        <f>$A$9</f>
        <v>BDI</v>
      </c>
      <c r="C2105" s="27">
        <f>$C$9</f>
        <v>0</v>
      </c>
      <c r="D2105" s="29"/>
      <c r="F2105" s="28">
        <f>ROUND(SUM(F2094:F2104)*C2105,2)</f>
        <v>0</v>
      </c>
      <c r="G2105" s="63"/>
      <c r="M2105" s="62"/>
      <c r="N2105" s="57"/>
      <c r="O2105" s="56"/>
      <c r="P2105" s="56"/>
      <c r="Q2105" s="48"/>
      <c r="R2105" s="48"/>
      <c r="S2105" s="2"/>
    </row>
    <row r="2106" spans="1:19" ht="12.75" customHeight="1" x14ac:dyDescent="0.2">
      <c r="A2106" s="30"/>
      <c r="B2106" s="31" t="s">
        <v>56</v>
      </c>
      <c r="C2106" s="32"/>
      <c r="D2106" s="33"/>
      <c r="E2106" s="34"/>
      <c r="F2106" s="35">
        <f>ROUND(SUM(F2094:F2105),2)</f>
        <v>0</v>
      </c>
      <c r="G2106" s="63"/>
      <c r="M2106" s="62"/>
      <c r="N2106" s="57"/>
      <c r="O2106" s="56"/>
      <c r="P2106" s="56"/>
      <c r="Q2106" s="48"/>
      <c r="R2106" s="48"/>
      <c r="S2106" s="2"/>
    </row>
    <row r="2107" spans="1:19" ht="12.75" customHeight="1" x14ac:dyDescent="0.2">
      <c r="A2107" s="17" t="s">
        <v>5</v>
      </c>
      <c r="B2107" s="153" t="s">
        <v>130</v>
      </c>
      <c r="C2107" s="56" t="s">
        <v>59</v>
      </c>
      <c r="D2107" s="56" t="s">
        <v>16</v>
      </c>
      <c r="E2107" s="19" t="s">
        <v>60</v>
      </c>
      <c r="F2107" s="20" t="s">
        <v>61</v>
      </c>
      <c r="G2107" s="21"/>
      <c r="M2107" s="62"/>
      <c r="N2107" s="57"/>
      <c r="O2107" s="56"/>
      <c r="P2107" s="56"/>
      <c r="Q2107" s="48"/>
      <c r="R2107" s="48"/>
      <c r="S2107" s="2"/>
    </row>
    <row r="2108" spans="1:19" ht="12.75" customHeight="1" x14ac:dyDescent="0.2">
      <c r="A2108" s="22"/>
      <c r="B2108" s="23" t="str">
        <f>IF(A2108="","",VLOOKUP(A2108,'6.A'!$A$11:$G$180,2,FALSE))</f>
        <v/>
      </c>
      <c r="C2108" s="99"/>
      <c r="D2108" s="57" t="str">
        <f>IF(A2108="","",VLOOKUP(A2108,'6.A'!$A$11:$G$180,4,FALSE))</f>
        <v/>
      </c>
      <c r="E2108" s="100" t="str">
        <f>IF(A2108="","",VLOOKUP(A2108,'6.A'!$A$11:$G$180,5,FALSE))</f>
        <v/>
      </c>
      <c r="F2108" s="24" t="str">
        <f t="shared" ref="F2108:F2117" si="900">IF(A2108="","0,00",ROUND(C2108*E2108,2))</f>
        <v>0,00</v>
      </c>
      <c r="G2108" s="52"/>
      <c r="H2108" s="52" t="str">
        <f>IF(A2108="","",VLOOKUP(A2108,'6.A'!$A$11:$E$7984,5,FALSE))</f>
        <v/>
      </c>
      <c r="I2108" s="52" t="str">
        <f t="shared" ref="I2108:I2117" si="901">IF(H2108="","",IF(E2108=H2108,"SIM","NÃO"))</f>
        <v/>
      </c>
      <c r="J2108" s="52" t="str">
        <f>IF(H2108="","",VLOOKUP(A2108,'6.A'!$A$11:$E$564,4,FALSE))</f>
        <v/>
      </c>
      <c r="K2108" s="52" t="str">
        <f t="shared" ref="K2108:K2117" si="902">IF(H2108="","",IF(J2108=D2108,"SIM","NÃO"))</f>
        <v/>
      </c>
      <c r="L2108" s="52" t="str">
        <f>IF(H2108="","",IF(C2108="","",G2092*C2108))</f>
        <v/>
      </c>
      <c r="M2108" s="117" t="str">
        <f>IF(A2108="","",VLOOKUP(A2108,'6.A'!$A$11:$C$564,2,FALSE))</f>
        <v/>
      </c>
      <c r="N2108" s="57" t="str">
        <f t="shared" ref="N2108:N2113" si="903">IF(A2108="","",IF(M2108=B2108,"si","no"))</f>
        <v/>
      </c>
      <c r="O2108" s="56"/>
      <c r="P2108" s="56"/>
      <c r="Q2108" s="48"/>
      <c r="R2108" s="48"/>
      <c r="S2108" s="2"/>
    </row>
    <row r="2109" spans="1:19" ht="12.75" customHeight="1" x14ac:dyDescent="0.2">
      <c r="A2109" s="22"/>
      <c r="B2109" s="23" t="str">
        <f>IF(A2109="","",VLOOKUP(A2109,'6.A'!$A$11:$G$180,2,FALSE))</f>
        <v/>
      </c>
      <c r="C2109" s="99"/>
      <c r="D2109" s="57" t="str">
        <f>IF(A2109="","",VLOOKUP(A2109,'6.A'!$A$11:$G$180,4,FALSE))</f>
        <v/>
      </c>
      <c r="E2109" s="100" t="str">
        <f>IF(A2109="","",VLOOKUP(A2109,'6.A'!$A$11:$G$180,5,FALSE))</f>
        <v/>
      </c>
      <c r="F2109" s="24" t="str">
        <f t="shared" si="900"/>
        <v>0,00</v>
      </c>
      <c r="G2109" s="52"/>
      <c r="H2109" s="52" t="str">
        <f>IF(A2109="","",VLOOKUP(A2109,'6.A'!$A$11:$E$7984,5,FALSE))</f>
        <v/>
      </c>
      <c r="I2109" s="52" t="str">
        <f t="shared" si="901"/>
        <v/>
      </c>
      <c r="J2109" s="52" t="str">
        <f>IF(H2109="","",VLOOKUP(A2109,'6.A'!$A$11:$E$564,4,FALSE))</f>
        <v/>
      </c>
      <c r="K2109" s="52" t="str">
        <f t="shared" si="902"/>
        <v/>
      </c>
      <c r="L2109" s="52" t="str">
        <f>IF(H2109="","",IF(C2109="","",G2092*C2109))</f>
        <v/>
      </c>
      <c r="M2109" s="117" t="str">
        <f>IF(A2109="","",VLOOKUP(A2109,'6.A'!$A$11:$C$564,2,FALSE))</f>
        <v/>
      </c>
      <c r="N2109" s="57" t="str">
        <f t="shared" si="903"/>
        <v/>
      </c>
      <c r="O2109" s="56"/>
      <c r="P2109" s="56"/>
      <c r="Q2109" s="48"/>
      <c r="R2109" s="48"/>
      <c r="S2109" s="2"/>
    </row>
    <row r="2110" spans="1:19" ht="12.75" customHeight="1" x14ac:dyDescent="0.2">
      <c r="A2110" s="22"/>
      <c r="B2110" s="23" t="str">
        <f>IF(A2110="","",VLOOKUP(A2110,'6.A'!$A$11:$G$180,2,FALSE))</f>
        <v/>
      </c>
      <c r="C2110" s="99"/>
      <c r="D2110" s="57" t="str">
        <f>IF(A2110="","",VLOOKUP(A2110,'6.A'!$A$11:$G$180,4,FALSE))</f>
        <v/>
      </c>
      <c r="E2110" s="100" t="str">
        <f>IF(A2110="","",VLOOKUP(A2110,'6.A'!$A$11:$G$180,5,FALSE))</f>
        <v/>
      </c>
      <c r="F2110" s="24" t="str">
        <f t="shared" si="900"/>
        <v>0,00</v>
      </c>
      <c r="G2110" s="52"/>
      <c r="H2110" s="52" t="str">
        <f>IF(A2110="","",VLOOKUP(A2110,'6.A'!$A$11:$E$7984,5,FALSE))</f>
        <v/>
      </c>
      <c r="I2110" s="52" t="str">
        <f t="shared" si="901"/>
        <v/>
      </c>
      <c r="J2110" s="52" t="str">
        <f>IF(H2110="","",VLOOKUP(A2110,'6.A'!$A$11:$E$564,4,FALSE))</f>
        <v/>
      </c>
      <c r="K2110" s="52" t="str">
        <f t="shared" si="902"/>
        <v/>
      </c>
      <c r="L2110" s="52" t="str">
        <f>IF(H2110="","",IF(C2110="","",G2092*C2110))</f>
        <v/>
      </c>
      <c r="M2110" s="117" t="str">
        <f>IF(A2110="","",VLOOKUP(A2110,'6.A'!$A$11:$C$564,2,FALSE))</f>
        <v/>
      </c>
      <c r="N2110" s="57" t="str">
        <f t="shared" si="903"/>
        <v/>
      </c>
      <c r="O2110" s="56"/>
      <c r="P2110" s="56"/>
      <c r="Q2110" s="48"/>
      <c r="R2110" s="48"/>
      <c r="S2110" s="2"/>
    </row>
    <row r="2111" spans="1:19" ht="12.75" customHeight="1" x14ac:dyDescent="0.2">
      <c r="A2111" s="22"/>
      <c r="B2111" s="55" t="str">
        <f>IF(A2111="","",VLOOKUP(A2111,'6.A'!$A$11:$G$180,2,FALSE))</f>
        <v/>
      </c>
      <c r="C2111" s="134"/>
      <c r="D2111" s="57" t="str">
        <f>IF(A2111="","",VLOOKUP(A2111,'6.A'!$A$11:$G$180,4,FALSE))</f>
        <v/>
      </c>
      <c r="E2111" s="100" t="str">
        <f>IF(A2111="","",VLOOKUP(A2111,'6.A'!$A$11:$G$180,5,FALSE))</f>
        <v/>
      </c>
      <c r="F2111" s="24" t="str">
        <f t="shared" si="900"/>
        <v>0,00</v>
      </c>
      <c r="G2111" s="52"/>
      <c r="H2111" s="52" t="str">
        <f>IF(A2111="","",VLOOKUP(A2111,'6.A'!$A$11:$E$7984,5,FALSE))</f>
        <v/>
      </c>
      <c r="I2111" s="52" t="str">
        <f t="shared" si="901"/>
        <v/>
      </c>
      <c r="J2111" s="52" t="str">
        <f>IF(H2111="","",VLOOKUP(A2111,'6.A'!$A$11:$E$564,4,FALSE))</f>
        <v/>
      </c>
      <c r="K2111" s="52" t="str">
        <f t="shared" si="902"/>
        <v/>
      </c>
      <c r="L2111" s="52" t="str">
        <f>IF(H2111="","",IF(C2111="","",G2092*C2111))</f>
        <v/>
      </c>
      <c r="M2111" s="117" t="str">
        <f>IF(A2111="","",VLOOKUP(A2111,'6.A'!$A$11:$C$564,2,FALSE))</f>
        <v/>
      </c>
      <c r="N2111" s="57" t="str">
        <f t="shared" si="903"/>
        <v/>
      </c>
      <c r="O2111" s="56"/>
      <c r="P2111" s="56"/>
      <c r="Q2111" s="48"/>
      <c r="R2111" s="48"/>
      <c r="S2111" s="2"/>
    </row>
    <row r="2112" spans="1:19" ht="12.75" customHeight="1" x14ac:dyDescent="0.2">
      <c r="A2112" s="22"/>
      <c r="B2112" s="23" t="str">
        <f>IF(A2112="","",VLOOKUP(A2112,'6.A'!$A$11:$G$180,2,FALSE))</f>
        <v/>
      </c>
      <c r="C2112" s="99"/>
      <c r="D2112" s="57" t="str">
        <f>IF(A2112="","",VLOOKUP(A2112,'6.A'!$A$11:$G$180,4,FALSE))</f>
        <v/>
      </c>
      <c r="E2112" s="100" t="str">
        <f>IF(A2112="","",VLOOKUP(A2112,'6.A'!$A$11:$G$180,5,FALSE))</f>
        <v/>
      </c>
      <c r="F2112" s="24" t="str">
        <f t="shared" si="900"/>
        <v>0,00</v>
      </c>
      <c r="G2112" s="52"/>
      <c r="H2112" s="52" t="str">
        <f>IF(A2112="","",VLOOKUP(A2112,'6.A'!$A$11:$E$7984,5,FALSE))</f>
        <v/>
      </c>
      <c r="I2112" s="52" t="str">
        <f t="shared" si="901"/>
        <v/>
      </c>
      <c r="J2112" s="52" t="str">
        <f>IF(H2112="","",VLOOKUP(A2112,'6.A'!$A$11:$E$564,4,FALSE))</f>
        <v/>
      </c>
      <c r="K2112" s="52" t="str">
        <f t="shared" si="902"/>
        <v/>
      </c>
      <c r="L2112" s="52" t="str">
        <f>IF(H2112="","",IF(C2112="","",G2092*C2112))</f>
        <v/>
      </c>
      <c r="M2112" s="117" t="str">
        <f>IF(A2112="","",VLOOKUP(A2112,'6.A'!$A$11:$C$564,2,FALSE))</f>
        <v/>
      </c>
      <c r="N2112" s="57" t="str">
        <f t="shared" si="903"/>
        <v/>
      </c>
      <c r="O2112" s="56"/>
      <c r="P2112" s="56"/>
      <c r="Q2112" s="48"/>
      <c r="R2112" s="48"/>
      <c r="S2112" s="2"/>
    </row>
    <row r="2113" spans="1:22" ht="12.75" customHeight="1" x14ac:dyDescent="0.2">
      <c r="A2113" s="22"/>
      <c r="B2113" s="23" t="str">
        <f>IF(A2113="","",VLOOKUP(A2113,'6.A'!$A$11:$G$180,2,FALSE))</f>
        <v/>
      </c>
      <c r="C2113" s="99"/>
      <c r="D2113" s="57" t="str">
        <f>IF(A2113="","",VLOOKUP(A2113,'6.A'!$A$11:$G$180,4,FALSE))</f>
        <v/>
      </c>
      <c r="E2113" s="100" t="str">
        <f>IF(A2113="","",VLOOKUP(A2113,'6.A'!$A$11:$G$180,5,FALSE))</f>
        <v/>
      </c>
      <c r="F2113" s="24" t="str">
        <f t="shared" si="900"/>
        <v>0,00</v>
      </c>
      <c r="G2113" s="52"/>
      <c r="H2113" s="52" t="str">
        <f>IF(A2113="","",VLOOKUP(A2113,'6.A'!$A$11:$E$7984,5,FALSE))</f>
        <v/>
      </c>
      <c r="I2113" s="52" t="str">
        <f t="shared" si="901"/>
        <v/>
      </c>
      <c r="J2113" s="52" t="str">
        <f>IF(H2113="","",VLOOKUP(A2113,'6.A'!$A$11:$E$564,4,FALSE))</f>
        <v/>
      </c>
      <c r="K2113" s="52" t="str">
        <f t="shared" si="902"/>
        <v/>
      </c>
      <c r="L2113" s="52" t="str">
        <f>IF(H2113="","",IF(C2113="","",G2092*C2113))</f>
        <v/>
      </c>
      <c r="M2113" s="117" t="str">
        <f>IF(A2113="","",VLOOKUP(A2113,'6.A'!$A$11:$C$564,2,FALSE))</f>
        <v/>
      </c>
      <c r="N2113" s="57" t="str">
        <f t="shared" si="903"/>
        <v/>
      </c>
      <c r="O2113" s="56"/>
      <c r="P2113" s="56"/>
      <c r="Q2113" s="48"/>
      <c r="R2113" s="48"/>
      <c r="S2113" s="2"/>
    </row>
    <row r="2114" spans="1:22" ht="12.75" customHeight="1" x14ac:dyDescent="0.2">
      <c r="A2114" s="22"/>
      <c r="B2114" s="23" t="str">
        <f>IF(A2114="","",VLOOKUP(A2114,'6.A'!$A$11:$G$180,2,FALSE))</f>
        <v/>
      </c>
      <c r="C2114" s="99"/>
      <c r="D2114" s="57" t="str">
        <f>IF(A2114="","",VLOOKUP(A2114,'6.A'!$A$11:$G$180,4,FALSE))</f>
        <v/>
      </c>
      <c r="E2114" s="100" t="str">
        <f>IF(A2114="","",VLOOKUP(A2114,'6.A'!$A$11:$G$180,5,FALSE))</f>
        <v/>
      </c>
      <c r="F2114" s="24" t="str">
        <f t="shared" si="900"/>
        <v>0,00</v>
      </c>
      <c r="G2114" s="52"/>
      <c r="H2114" s="52" t="str">
        <f>IF(A2114="","",VLOOKUP(A2114,'6.A'!$A$11:$E$7984,5,FALSE))</f>
        <v/>
      </c>
      <c r="I2114" s="52" t="str">
        <f t="shared" si="901"/>
        <v/>
      </c>
      <c r="J2114" s="52" t="str">
        <f>IF(H2114="","",VLOOKUP(A2114,'6.A'!$A$11:$E$564,4,FALSE))</f>
        <v/>
      </c>
      <c r="K2114" s="52" t="str">
        <f t="shared" si="902"/>
        <v/>
      </c>
      <c r="L2114" s="52" t="str">
        <f>IF(H2114="","",IF(C2114="","",G2092*C2114))</f>
        <v/>
      </c>
      <c r="M2114" s="117" t="str">
        <f>IF(A2114="","",VLOOKUP(A2114,'6.A'!$A$11:$C$564,2,FALSE))</f>
        <v/>
      </c>
      <c r="N2114" s="57" t="str">
        <f>IF(A2114="","",IF(M2114=B2114,"si","no"))</f>
        <v/>
      </c>
      <c r="O2114" s="56"/>
      <c r="P2114" s="56"/>
      <c r="Q2114" s="48"/>
      <c r="R2114" s="48"/>
      <c r="S2114" s="2"/>
    </row>
    <row r="2115" spans="1:22" ht="12.75" customHeight="1" x14ac:dyDescent="0.2">
      <c r="A2115" s="22"/>
      <c r="B2115" s="23" t="str">
        <f>IF(A2115="","",VLOOKUP(A2115,'6.A'!$A$11:$G$180,2,FALSE))</f>
        <v/>
      </c>
      <c r="C2115" s="99"/>
      <c r="D2115" s="57" t="str">
        <f>IF(A2115="","",VLOOKUP(A2115,'6.A'!$A$11:$G$180,4,FALSE))</f>
        <v/>
      </c>
      <c r="E2115" s="100" t="str">
        <f>IF(A2115="","",VLOOKUP(A2115,'6.A'!$A$11:$G$180,5,FALSE))</f>
        <v/>
      </c>
      <c r="F2115" s="24" t="str">
        <f t="shared" si="900"/>
        <v>0,00</v>
      </c>
      <c r="G2115" s="52"/>
      <c r="H2115" s="52" t="str">
        <f>IF(A2115="","",VLOOKUP(A2115,'6.A'!$A$11:$E$7984,5,FALSE))</f>
        <v/>
      </c>
      <c r="I2115" s="52" t="str">
        <f t="shared" si="901"/>
        <v/>
      </c>
      <c r="J2115" s="52" t="str">
        <f>IF(H2115="","",VLOOKUP(A2115,'6.A'!$A$11:$E$564,4,FALSE))</f>
        <v/>
      </c>
      <c r="K2115" s="52" t="str">
        <f t="shared" si="902"/>
        <v/>
      </c>
      <c r="L2115" s="52" t="str">
        <f>IF(H2115="","",IF(C2115="","",G2092*C2115))</f>
        <v/>
      </c>
      <c r="M2115" s="117" t="str">
        <f>IF(A2115="","",VLOOKUP(A2115,'6.A'!$A$11:$C$564,2,FALSE))</f>
        <v/>
      </c>
      <c r="N2115" s="57" t="str">
        <f>IF(A2115="","",IF(M2115=B2115,"si","no"))</f>
        <v/>
      </c>
      <c r="O2115" s="56"/>
      <c r="P2115" s="56"/>
      <c r="Q2115" s="48"/>
      <c r="R2115" s="48"/>
      <c r="S2115" s="2"/>
    </row>
    <row r="2116" spans="1:22" ht="12.75" customHeight="1" x14ac:dyDescent="0.2">
      <c r="A2116" s="22"/>
      <c r="B2116" s="23" t="str">
        <f>IF(A2116="","",VLOOKUP(A2116,'6.A'!$A$11:$G$180,2,FALSE))</f>
        <v/>
      </c>
      <c r="C2116" s="99"/>
      <c r="D2116" s="57" t="str">
        <f>IF(A2116="","",VLOOKUP(A2116,'6.A'!$A$11:$G$180,4,FALSE))</f>
        <v/>
      </c>
      <c r="E2116" s="100" t="str">
        <f>IF(A2116="","",VLOOKUP(A2116,'6.A'!$A$11:$G$180,5,FALSE))</f>
        <v/>
      </c>
      <c r="F2116" s="24" t="str">
        <f t="shared" si="900"/>
        <v>0,00</v>
      </c>
      <c r="G2116" s="52"/>
      <c r="H2116" s="52" t="str">
        <f>IF(A2116="","",VLOOKUP(A2116,'6.A'!$A$11:$E$7984,5,FALSE))</f>
        <v/>
      </c>
      <c r="I2116" s="52" t="str">
        <f t="shared" si="901"/>
        <v/>
      </c>
      <c r="J2116" s="52" t="str">
        <f>IF(H2116="","",VLOOKUP(A2116,'6.A'!$A$11:$E$564,4,FALSE))</f>
        <v/>
      </c>
      <c r="K2116" s="52" t="str">
        <f t="shared" si="902"/>
        <v/>
      </c>
      <c r="L2116" s="52" t="str">
        <f>IF(H2116="","",IF(C2116="","",G2092*C2116))</f>
        <v/>
      </c>
      <c r="M2116" s="117" t="str">
        <f>IF(A2116="","",VLOOKUP(A2116,'6.A'!$A$11:$C$564,2,FALSE))</f>
        <v/>
      </c>
      <c r="N2116" s="57" t="str">
        <f t="shared" ref="N2116:N2117" si="904">IF(A2116="","",IF(M2116=B2116,"si","no"))</f>
        <v/>
      </c>
      <c r="O2116" s="56"/>
      <c r="P2116" s="56"/>
      <c r="Q2116" s="48"/>
      <c r="R2116" s="48"/>
      <c r="S2116" s="2"/>
    </row>
    <row r="2117" spans="1:22" ht="12.75" customHeight="1" x14ac:dyDescent="0.2">
      <c r="A2117" s="22"/>
      <c r="B2117" s="23" t="str">
        <f>IF(A2117="","",VLOOKUP(A2117,'6.A'!$A$11:$G$180,2,FALSE))</f>
        <v/>
      </c>
      <c r="C2117" s="99"/>
      <c r="D2117" s="57" t="str">
        <f>IF(A2117="","",VLOOKUP(A2117,'6.A'!$A$11:$G$180,4,FALSE))</f>
        <v/>
      </c>
      <c r="E2117" s="100" t="str">
        <f>IF(A2117="","",VLOOKUP(A2117,'6.A'!$A$11:$G$180,5,FALSE))</f>
        <v/>
      </c>
      <c r="F2117" s="24" t="str">
        <f t="shared" si="900"/>
        <v>0,00</v>
      </c>
      <c r="G2117" s="52"/>
      <c r="H2117" s="52" t="str">
        <f>IF(A2117="","",VLOOKUP(A2117,'6.A'!$A$11:$E$7984,5,FALSE))</f>
        <v/>
      </c>
      <c r="I2117" s="52" t="str">
        <f t="shared" si="901"/>
        <v/>
      </c>
      <c r="J2117" s="52" t="str">
        <f>IF(H2117="","",VLOOKUP(A2117,'6.A'!$A$11:$E$564,4,FALSE))</f>
        <v/>
      </c>
      <c r="K2117" s="52" t="str">
        <f t="shared" si="902"/>
        <v/>
      </c>
      <c r="L2117" s="52" t="str">
        <f>IF(H2117="","",IF(C2117="","",G2092*C2117))</f>
        <v/>
      </c>
      <c r="M2117" s="117" t="str">
        <f>IF(A2117="","",VLOOKUP(A2117,'6.A'!$A$11:$C$564,2,FALSE))</f>
        <v/>
      </c>
      <c r="N2117" s="57" t="str">
        <f t="shared" si="904"/>
        <v/>
      </c>
      <c r="O2117" s="56"/>
      <c r="P2117" s="56"/>
      <c r="Q2117" s="48"/>
      <c r="R2117" s="48"/>
      <c r="S2117" s="2"/>
    </row>
    <row r="2118" spans="1:22" ht="12.75" customHeight="1" x14ac:dyDescent="0.2">
      <c r="A2118" s="22"/>
      <c r="B2118" s="26" t="str">
        <f>$A$9</f>
        <v>BDI</v>
      </c>
      <c r="C2118" s="27">
        <f>$C$9</f>
        <v>0</v>
      </c>
      <c r="D2118" s="57"/>
      <c r="F2118" s="28">
        <f>ROUND(SUM(F2108:F2117)*C2118,2)</f>
        <v>0</v>
      </c>
      <c r="G2118" s="63"/>
      <c r="M2118" s="62"/>
      <c r="N2118" s="57"/>
      <c r="O2118" s="56"/>
      <c r="P2118" s="56"/>
      <c r="Q2118" s="48"/>
      <c r="R2118" s="48"/>
      <c r="S2118" s="2"/>
    </row>
    <row r="2119" spans="1:22" ht="12.75" customHeight="1" x14ac:dyDescent="0.2">
      <c r="A2119" s="30"/>
      <c r="B2119" s="31" t="s">
        <v>117</v>
      </c>
      <c r="C2119" s="36"/>
      <c r="D2119" s="37"/>
      <c r="E2119" s="38"/>
      <c r="F2119" s="35">
        <f>ROUND(SUM(F2108:F2118),2)</f>
        <v>0</v>
      </c>
      <c r="G2119" s="63"/>
      <c r="M2119" s="62"/>
      <c r="N2119" s="57"/>
      <c r="O2119" s="56"/>
      <c r="P2119" s="56"/>
      <c r="Q2119" s="48"/>
      <c r="R2119" s="48"/>
      <c r="S2119" s="2"/>
    </row>
    <row r="2120" spans="1:22" ht="12.75" customHeight="1" x14ac:dyDescent="0.2">
      <c r="A2120" s="17" t="s">
        <v>6</v>
      </c>
      <c r="B2120" s="18" t="s">
        <v>17</v>
      </c>
      <c r="C2120" s="56" t="s">
        <v>59</v>
      </c>
      <c r="D2120" s="56" t="s">
        <v>16</v>
      </c>
      <c r="E2120" s="19" t="s">
        <v>60</v>
      </c>
      <c r="F2120" s="20" t="s">
        <v>61</v>
      </c>
      <c r="G2120" s="21"/>
      <c r="M2120" s="62"/>
      <c r="N2120" s="57"/>
      <c r="O2120" s="56"/>
      <c r="P2120" s="56"/>
      <c r="Q2120" s="48"/>
      <c r="R2120" s="48"/>
      <c r="S2120" s="2"/>
    </row>
    <row r="2121" spans="1:22" ht="12.75" customHeight="1" x14ac:dyDescent="0.2">
      <c r="A2121" s="22">
        <f>'6.A'!$A$91</f>
        <v>1588</v>
      </c>
      <c r="B2121" s="23" t="str">
        <f>IF(A2121="","",VLOOKUP(A2121,'6.A'!$A$11:$G$180,2,FALSE))</f>
        <v>TERMINAL METALICO A PRESSAO PARA 1 CABO DE 50 MM2, COM 1 FURO DE FIXACAO</v>
      </c>
      <c r="C2121" s="99">
        <v>1</v>
      </c>
      <c r="D2121" s="57" t="str">
        <f>IF(A2121="","",VLOOKUP(A2121,'6.A'!$A$11:$G$180,4,FALSE))</f>
        <v>UN</v>
      </c>
      <c r="E2121" s="100">
        <f>IF(A2121="","",VLOOKUP(A2121,'6.A'!$A$11:$G$180,5,FALSE))</f>
        <v>0</v>
      </c>
      <c r="F2121" s="24">
        <f t="shared" ref="F2121:F2140" si="905">IF(A2121="","0,00",ROUND(C2121*E2121,2))</f>
        <v>0</v>
      </c>
      <c r="G2121" s="52"/>
      <c r="H2121" s="52">
        <f>IF(A2121="","",VLOOKUP(A2121,'6.A'!$A$11:$E$7984,5,FALSE))</f>
        <v>0</v>
      </c>
      <c r="I2121" s="52" t="str">
        <f t="shared" ref="I2121:I2140" si="906">IF(H2121="","",IF(E2121=H2121,"SIM","NÃO"))</f>
        <v>SIM</v>
      </c>
      <c r="J2121" s="52" t="str">
        <f>IF(H2121="","",VLOOKUP(A2121,'6.A'!$A$11:$E$564,4,FALSE))</f>
        <v>UN</v>
      </c>
      <c r="K2121" s="52" t="str">
        <f t="shared" ref="K2121:K2140" si="907">IF(H2121="","",IF(J2121=D2121,"SIM","NÃO"))</f>
        <v>SIM</v>
      </c>
      <c r="L2121" s="52">
        <f>IF(H2121="","",IF(C2121="","",G2092*C2121))</f>
        <v>6</v>
      </c>
      <c r="M2121" s="117" t="str">
        <f>IF(A2121="","",VLOOKUP(A2121,'6.A'!$A$11:$C$564,2,FALSE))</f>
        <v>TERMINAL METALICO A PRESSAO PARA 1 CABO DE 50 MM2, COM 1 FURO DE FIXACAO</v>
      </c>
      <c r="N2121" s="57" t="str">
        <f t="shared" ref="N2121:N2140" si="908">IF(A2121="","",IF(M2121=B2121,"si","no"))</f>
        <v>si</v>
      </c>
      <c r="O2121" s="56"/>
      <c r="P2121" s="56"/>
      <c r="Q2121" s="48"/>
      <c r="R2121" s="48"/>
      <c r="S2121" s="2"/>
    </row>
    <row r="2122" spans="1:22" ht="12.75" customHeight="1" x14ac:dyDescent="0.2">
      <c r="A2122" s="22"/>
      <c r="B2122" s="23" t="str">
        <f>IF(A2122="","",VLOOKUP(A2122,'6.A'!$A$11:$G$180,2,FALSE))</f>
        <v/>
      </c>
      <c r="C2122" s="99"/>
      <c r="D2122" s="57" t="str">
        <f>IF(A2122="","",VLOOKUP(A2122,'6.A'!$A$11:$G$180,4,FALSE))</f>
        <v/>
      </c>
      <c r="E2122" s="100" t="str">
        <f>IF(A2122="","",VLOOKUP(A2122,'6.A'!$A$11:$G$180,5,FALSE))</f>
        <v/>
      </c>
      <c r="F2122" s="24" t="str">
        <f t="shared" si="905"/>
        <v>0,00</v>
      </c>
      <c r="G2122" s="52"/>
      <c r="H2122" s="52" t="str">
        <f>IF(A2122="","",VLOOKUP(A2122,'6.A'!$A$11:$E$7984,5,FALSE))</f>
        <v/>
      </c>
      <c r="I2122" s="52" t="str">
        <f t="shared" si="906"/>
        <v/>
      </c>
      <c r="J2122" s="52" t="str">
        <f>IF(H2122="","",VLOOKUP(A2122,'6.A'!$A$11:$E$564,4,FALSE))</f>
        <v/>
      </c>
      <c r="K2122" s="52" t="str">
        <f t="shared" si="907"/>
        <v/>
      </c>
      <c r="L2122" s="52" t="str">
        <f>IF(H2122="","",IF(C2122="","",G2092*C2122))</f>
        <v/>
      </c>
      <c r="M2122" s="117" t="str">
        <f>IF(A2122="","",VLOOKUP(A2122,'6.A'!$A$11:$C$564,2,FALSE))</f>
        <v/>
      </c>
      <c r="N2122" s="57" t="str">
        <f t="shared" si="908"/>
        <v/>
      </c>
      <c r="O2122" s="56"/>
      <c r="P2122" s="56"/>
      <c r="Q2122" s="48"/>
      <c r="R2122" s="48"/>
      <c r="S2122" s="2"/>
    </row>
    <row r="2123" spans="1:22" ht="12.75" customHeight="1" x14ac:dyDescent="0.2">
      <c r="A2123" s="22"/>
      <c r="B2123" s="23" t="str">
        <f>IF(A2123="","",VLOOKUP(A2123,'6.A'!$A$11:$G$180,2,FALSE))</f>
        <v/>
      </c>
      <c r="C2123" s="99"/>
      <c r="D2123" s="57" t="str">
        <f>IF(A2123="","",VLOOKUP(A2123,'6.A'!$A$11:$G$180,4,FALSE))</f>
        <v/>
      </c>
      <c r="E2123" s="100" t="str">
        <f>IF(A2123="","",VLOOKUP(A2123,'6.A'!$A$11:$G$180,5,FALSE))</f>
        <v/>
      </c>
      <c r="F2123" s="24" t="str">
        <f t="shared" si="905"/>
        <v>0,00</v>
      </c>
      <c r="G2123" s="52"/>
      <c r="H2123" s="52" t="str">
        <f>IF(A2123="","",VLOOKUP(A2123,'6.A'!$A$11:$E$7984,5,FALSE))</f>
        <v/>
      </c>
      <c r="I2123" s="52" t="str">
        <f t="shared" si="906"/>
        <v/>
      </c>
      <c r="J2123" s="52" t="str">
        <f>IF(H2123="","",VLOOKUP(A2123,'6.A'!$A$11:$E$564,4,FALSE))</f>
        <v/>
      </c>
      <c r="K2123" s="52" t="str">
        <f t="shared" si="907"/>
        <v/>
      </c>
      <c r="L2123" s="52" t="str">
        <f>IF(H2123="","",IF(C2123="","",G2092*C2123))</f>
        <v/>
      </c>
      <c r="M2123" s="117" t="str">
        <f>IF(A2123="","",VLOOKUP(A2123,'6.A'!$A$11:$C$564,2,FALSE))</f>
        <v/>
      </c>
      <c r="N2123" s="57" t="str">
        <f t="shared" si="908"/>
        <v/>
      </c>
      <c r="O2123" s="56"/>
      <c r="P2123" s="56"/>
      <c r="Q2123" s="48"/>
      <c r="R2123" s="48"/>
      <c r="S2123" s="2"/>
    </row>
    <row r="2124" spans="1:22" ht="12.75" customHeight="1" x14ac:dyDescent="0.2">
      <c r="A2124" s="22"/>
      <c r="B2124" s="23" t="str">
        <f>IF(A2124="","",VLOOKUP(A2124,'6.A'!$A$11:$G$180,2,FALSE))</f>
        <v/>
      </c>
      <c r="C2124" s="99"/>
      <c r="D2124" s="57" t="str">
        <f>IF(A2124="","",VLOOKUP(A2124,'6.A'!$A$11:$G$180,4,FALSE))</f>
        <v/>
      </c>
      <c r="E2124" s="100" t="str">
        <f>IF(A2124="","",VLOOKUP(A2124,'6.A'!$A$11:$G$180,5,FALSE))</f>
        <v/>
      </c>
      <c r="F2124" s="24" t="str">
        <f t="shared" si="905"/>
        <v>0,00</v>
      </c>
      <c r="G2124" s="52"/>
      <c r="H2124" s="52" t="str">
        <f>IF(A2124="","",VLOOKUP(A2124,'6.A'!$A$11:$E$7984,5,FALSE))</f>
        <v/>
      </c>
      <c r="I2124" s="52" t="str">
        <f t="shared" si="906"/>
        <v/>
      </c>
      <c r="J2124" s="52" t="str">
        <f>IF(H2124="","",VLOOKUP(A2124,'6.A'!$A$11:$E$564,4,FALSE))</f>
        <v/>
      </c>
      <c r="K2124" s="52" t="str">
        <f t="shared" si="907"/>
        <v/>
      </c>
      <c r="L2124" s="52" t="str">
        <f>IF(H2124="","",IF(C2124="","",G2092*C2124))</f>
        <v/>
      </c>
      <c r="M2124" s="117" t="str">
        <f>IF(A2124="","",VLOOKUP(A2124,'6.A'!$A$11:$C$564,2,FALSE))</f>
        <v/>
      </c>
      <c r="N2124" s="57" t="str">
        <f t="shared" si="908"/>
        <v/>
      </c>
      <c r="O2124" s="56"/>
      <c r="P2124" s="56"/>
      <c r="Q2124" s="48"/>
      <c r="R2124" s="48"/>
      <c r="S2124" s="2"/>
    </row>
    <row r="2125" spans="1:22" ht="12.75" customHeight="1" x14ac:dyDescent="0.2">
      <c r="A2125" s="22"/>
      <c r="B2125" s="23" t="str">
        <f>IF(A2125="","",VLOOKUP(A2125,'6.A'!$A$11:$G$180,2,FALSE))</f>
        <v/>
      </c>
      <c r="C2125" s="99"/>
      <c r="D2125" s="57" t="str">
        <f>IF(A2125="","",VLOOKUP(A2125,'6.A'!$A$11:$G$180,4,FALSE))</f>
        <v/>
      </c>
      <c r="E2125" s="100" t="str">
        <f>IF(A2125="","",VLOOKUP(A2125,'6.A'!$A$11:$G$180,5,FALSE))</f>
        <v/>
      </c>
      <c r="F2125" s="24" t="str">
        <f t="shared" si="905"/>
        <v>0,00</v>
      </c>
      <c r="G2125" s="52"/>
      <c r="H2125" s="52" t="str">
        <f>IF(A2125="","",VLOOKUP(A2125,'6.A'!$A$11:$E$7984,5,FALSE))</f>
        <v/>
      </c>
      <c r="I2125" s="52" t="str">
        <f t="shared" si="906"/>
        <v/>
      </c>
      <c r="J2125" s="52" t="str">
        <f>IF(H2125="","",VLOOKUP(A2125,'6.A'!$A$11:$E$564,4,FALSE))</f>
        <v/>
      </c>
      <c r="K2125" s="52" t="str">
        <f t="shared" si="907"/>
        <v/>
      </c>
      <c r="L2125" s="52" t="str">
        <f>IF(H2125="","",IF(C2125="","",G2092*C2125))</f>
        <v/>
      </c>
      <c r="M2125" s="117" t="str">
        <f>IF(A2125="","",VLOOKUP(A2125,'6.A'!$A$11:$C$564,2,FALSE))</f>
        <v/>
      </c>
      <c r="N2125" s="57" t="str">
        <f t="shared" si="908"/>
        <v/>
      </c>
      <c r="O2125" s="56"/>
      <c r="P2125" s="56"/>
      <c r="Q2125" s="48"/>
      <c r="R2125" s="48"/>
      <c r="S2125" s="2"/>
    </row>
    <row r="2126" spans="1:22" ht="12.75" customHeight="1" x14ac:dyDescent="0.2">
      <c r="A2126" s="22"/>
      <c r="B2126" s="23" t="str">
        <f>IF(A2126="","",VLOOKUP(A2126,'6.A'!$A$11:$G$180,2,FALSE))</f>
        <v/>
      </c>
      <c r="C2126" s="99"/>
      <c r="D2126" s="57" t="str">
        <f>IF(A2126="","",VLOOKUP(A2126,'6.A'!$A$11:$G$180,4,FALSE))</f>
        <v/>
      </c>
      <c r="E2126" s="100" t="str">
        <f>IF(A2126="","",VLOOKUP(A2126,'6.A'!$A$11:$G$180,5,FALSE))</f>
        <v/>
      </c>
      <c r="F2126" s="24" t="str">
        <f t="shared" si="905"/>
        <v>0,00</v>
      </c>
      <c r="G2126" s="52"/>
      <c r="H2126" s="52" t="str">
        <f>IF(A2126="","",VLOOKUP(A2126,'6.A'!$A$11:$E$7984,5,FALSE))</f>
        <v/>
      </c>
      <c r="I2126" s="52" t="str">
        <f t="shared" si="906"/>
        <v/>
      </c>
      <c r="J2126" s="52" t="str">
        <f>IF(H2126="","",VLOOKUP(A2126,'6.A'!$A$11:$E$564,4,FALSE))</f>
        <v/>
      </c>
      <c r="K2126" s="52" t="str">
        <f t="shared" si="907"/>
        <v/>
      </c>
      <c r="L2126" s="52" t="str">
        <f>IF(H2126="","",IF(C2126="","",G2092*C2126))</f>
        <v/>
      </c>
      <c r="M2126" s="117" t="str">
        <f>IF(A2126="","",VLOOKUP(A2126,'6.A'!$A$11:$C$564,2,FALSE))</f>
        <v/>
      </c>
      <c r="N2126" s="57" t="str">
        <f t="shared" si="908"/>
        <v/>
      </c>
      <c r="O2126" s="56"/>
      <c r="P2126" s="56"/>
      <c r="Q2126" s="48"/>
      <c r="R2126" s="48"/>
      <c r="S2126" s="2"/>
    </row>
    <row r="2127" spans="1:22" ht="12.75" customHeight="1" x14ac:dyDescent="0.2">
      <c r="A2127" s="22"/>
      <c r="B2127" s="23" t="str">
        <f>IF(A2127="","",VLOOKUP(A2127,'6.A'!$A$11:$G$180,2,FALSE))</f>
        <v/>
      </c>
      <c r="C2127" s="99"/>
      <c r="D2127" s="57" t="str">
        <f>IF(A2127="","",VLOOKUP(A2127,'6.A'!$A$11:$G$180,4,FALSE))</f>
        <v/>
      </c>
      <c r="E2127" s="100" t="str">
        <f>IF(A2127="","",VLOOKUP(A2127,'6.A'!$A$11:$G$180,5,FALSE))</f>
        <v/>
      </c>
      <c r="F2127" s="24" t="str">
        <f t="shared" si="905"/>
        <v>0,00</v>
      </c>
      <c r="G2127" s="52"/>
      <c r="H2127" s="52" t="str">
        <f>IF(A2127="","",VLOOKUP(A2127,'6.A'!$A$11:$E$7984,5,FALSE))</f>
        <v/>
      </c>
      <c r="I2127" s="52" t="str">
        <f t="shared" si="906"/>
        <v/>
      </c>
      <c r="J2127" s="52" t="str">
        <f>IF(H2127="","",VLOOKUP(A2127,'6.A'!$A$11:$E$564,4,FALSE))</f>
        <v/>
      </c>
      <c r="K2127" s="52" t="str">
        <f t="shared" si="907"/>
        <v/>
      </c>
      <c r="L2127" s="52" t="str">
        <f>IF(H2127="","",IF(C2127="","",G2092*C2127))</f>
        <v/>
      </c>
      <c r="M2127" s="117" t="str">
        <f>IF(A2127="","",VLOOKUP(A2127,'6.A'!$A$11:$C$564,2,FALSE))</f>
        <v/>
      </c>
      <c r="N2127" s="57" t="str">
        <f t="shared" si="908"/>
        <v/>
      </c>
      <c r="O2127" s="56"/>
      <c r="P2127" s="56"/>
      <c r="Q2127" s="48"/>
      <c r="R2127" s="48"/>
      <c r="S2127" s="2"/>
    </row>
    <row r="2128" spans="1:22" s="65" customFormat="1" ht="12.75" customHeight="1" x14ac:dyDescent="0.2">
      <c r="A2128" s="22"/>
      <c r="B2128" s="23" t="str">
        <f>IF(A2128="","",VLOOKUP(A2128,'6.A'!$A$11:$G$180,2,FALSE))</f>
        <v/>
      </c>
      <c r="C2128" s="99"/>
      <c r="D2128" s="57" t="str">
        <f>IF(A2128="","",VLOOKUP(A2128,'6.A'!$A$11:$G$180,4,FALSE))</f>
        <v/>
      </c>
      <c r="E2128" s="100" t="str">
        <f>IF(A2128="","",VLOOKUP(A2128,'6.A'!$A$11:$G$180,5,FALSE))</f>
        <v/>
      </c>
      <c r="F2128" s="24" t="str">
        <f t="shared" si="905"/>
        <v>0,00</v>
      </c>
      <c r="G2128" s="52"/>
      <c r="H2128" s="52" t="str">
        <f>IF(A2128="","",VLOOKUP(A2128,'6.A'!$A$11:$E$7984,5,FALSE))</f>
        <v/>
      </c>
      <c r="I2128" s="52" t="str">
        <f t="shared" si="906"/>
        <v/>
      </c>
      <c r="J2128" s="52" t="str">
        <f>IF(H2128="","",VLOOKUP(A2128,'6.A'!$A$11:$E$564,4,FALSE))</f>
        <v/>
      </c>
      <c r="K2128" s="52" t="str">
        <f t="shared" si="907"/>
        <v/>
      </c>
      <c r="L2128" s="52" t="str">
        <f>IF(H2128="","",IF(C2128="","",G2092*C2128))</f>
        <v/>
      </c>
      <c r="M2128" s="117" t="str">
        <f>IF(A2128="","",VLOOKUP(A2128,'6.A'!$A$11:$C$564,2,FALSE))</f>
        <v/>
      </c>
      <c r="N2128" s="57" t="str">
        <f t="shared" si="908"/>
        <v/>
      </c>
      <c r="O2128" s="56"/>
      <c r="P2128" s="56"/>
      <c r="Q2128" s="48"/>
      <c r="R2128" s="48"/>
      <c r="T2128" s="2"/>
      <c r="U2128" s="2"/>
      <c r="V2128" s="2"/>
    </row>
    <row r="2129" spans="1:23" s="65" customFormat="1" ht="12.75" customHeight="1" x14ac:dyDescent="0.2">
      <c r="A2129" s="22"/>
      <c r="B2129" s="23" t="str">
        <f>IF(A2129="","",VLOOKUP(A2129,'6.A'!$A$11:$G$180,2,FALSE))</f>
        <v/>
      </c>
      <c r="C2129" s="99"/>
      <c r="D2129" s="57" t="str">
        <f>IF(A2129="","",VLOOKUP(A2129,'6.A'!$A$11:$G$180,4,FALSE))</f>
        <v/>
      </c>
      <c r="E2129" s="100" t="str">
        <f>IF(A2129="","",VLOOKUP(A2129,'6.A'!$A$11:$G$180,5,FALSE))</f>
        <v/>
      </c>
      <c r="F2129" s="24" t="str">
        <f t="shared" si="905"/>
        <v>0,00</v>
      </c>
      <c r="G2129" s="52"/>
      <c r="H2129" s="52" t="str">
        <f>IF(A2129="","",VLOOKUP(A2129,'6.A'!$A$11:$E$7984,5,FALSE))</f>
        <v/>
      </c>
      <c r="I2129" s="52" t="str">
        <f t="shared" si="906"/>
        <v/>
      </c>
      <c r="J2129" s="52" t="str">
        <f>IF(H2129="","",VLOOKUP(A2129,'6.A'!$A$11:$E$564,4,FALSE))</f>
        <v/>
      </c>
      <c r="K2129" s="52" t="str">
        <f t="shared" si="907"/>
        <v/>
      </c>
      <c r="L2129" s="52" t="str">
        <f>IF(H2129="","",IF(C2129="","",G2092*C2129))</f>
        <v/>
      </c>
      <c r="M2129" s="117" t="str">
        <f>IF(A2129="","",VLOOKUP(A2129,'6.A'!$A$11:$C$564,2,FALSE))</f>
        <v/>
      </c>
      <c r="N2129" s="57" t="str">
        <f t="shared" si="908"/>
        <v/>
      </c>
      <c r="O2129" s="56"/>
      <c r="P2129" s="56"/>
      <c r="Q2129" s="48"/>
      <c r="R2129" s="48"/>
      <c r="T2129" s="2"/>
      <c r="U2129" s="2"/>
      <c r="V2129" s="2"/>
    </row>
    <row r="2130" spans="1:23" s="65" customFormat="1" ht="12.75" customHeight="1" x14ac:dyDescent="0.2">
      <c r="A2130" s="22"/>
      <c r="B2130" s="23" t="str">
        <f>IF(A2130="","",VLOOKUP(A2130,'6.A'!$A$11:$G$180,2,FALSE))</f>
        <v/>
      </c>
      <c r="C2130" s="99"/>
      <c r="D2130" s="57" t="str">
        <f>IF(A2130="","",VLOOKUP(A2130,'6.A'!$A$11:$G$180,4,FALSE))</f>
        <v/>
      </c>
      <c r="E2130" s="100" t="str">
        <f>IF(A2130="","",VLOOKUP(A2130,'6.A'!$A$11:$G$180,5,FALSE))</f>
        <v/>
      </c>
      <c r="F2130" s="24" t="str">
        <f t="shared" si="905"/>
        <v>0,00</v>
      </c>
      <c r="G2130" s="52"/>
      <c r="H2130" s="52" t="str">
        <f>IF(A2130="","",VLOOKUP(A2130,'6.A'!$A$11:$E$7984,5,FALSE))</f>
        <v/>
      </c>
      <c r="I2130" s="52" t="str">
        <f t="shared" si="906"/>
        <v/>
      </c>
      <c r="J2130" s="52" t="str">
        <f>IF(H2130="","",VLOOKUP(A2130,'6.A'!$A$11:$E$564,4,FALSE))</f>
        <v/>
      </c>
      <c r="K2130" s="52" t="str">
        <f t="shared" si="907"/>
        <v/>
      </c>
      <c r="L2130" s="52" t="str">
        <f>IF(H2130="","",IF(C2130="","",G2092*C2130))</f>
        <v/>
      </c>
      <c r="M2130" s="117" t="str">
        <f>IF(A2130="","",VLOOKUP(A2130,'6.A'!$A$11:$C$564,2,FALSE))</f>
        <v/>
      </c>
      <c r="N2130" s="57" t="str">
        <f t="shared" si="908"/>
        <v/>
      </c>
      <c r="O2130" s="56"/>
      <c r="P2130" s="56"/>
      <c r="Q2130" s="48"/>
      <c r="R2130" s="48"/>
      <c r="T2130" s="2"/>
      <c r="U2130" s="2"/>
      <c r="V2130" s="2"/>
    </row>
    <row r="2131" spans="1:23" s="65" customFormat="1" ht="12.75" customHeight="1" x14ac:dyDescent="0.2">
      <c r="A2131" s="22"/>
      <c r="B2131" s="23" t="str">
        <f>IF(A2131="","",VLOOKUP(A2131,'6.A'!$A$11:$G$180,2,FALSE))</f>
        <v/>
      </c>
      <c r="C2131" s="99"/>
      <c r="D2131" s="57" t="str">
        <f>IF(A2131="","",VLOOKUP(A2131,'6.A'!$A$11:$G$180,4,FALSE))</f>
        <v/>
      </c>
      <c r="E2131" s="100" t="str">
        <f>IF(A2131="","",VLOOKUP(A2131,'6.A'!$A$11:$G$180,5,FALSE))</f>
        <v/>
      </c>
      <c r="F2131" s="24" t="str">
        <f t="shared" si="905"/>
        <v>0,00</v>
      </c>
      <c r="G2131" s="52"/>
      <c r="H2131" s="52" t="str">
        <f>IF(A2131="","",VLOOKUP(A2131,'6.A'!$A$11:$E$7984,5,FALSE))</f>
        <v/>
      </c>
      <c r="I2131" s="52" t="str">
        <f t="shared" si="906"/>
        <v/>
      </c>
      <c r="J2131" s="52" t="str">
        <f>IF(H2131="","",VLOOKUP(A2131,'6.A'!$A$11:$E$564,4,FALSE))</f>
        <v/>
      </c>
      <c r="K2131" s="52" t="str">
        <f t="shared" si="907"/>
        <v/>
      </c>
      <c r="L2131" s="52" t="str">
        <f>IF(H2131="","",IF(C2131="","",G2092*C2131))</f>
        <v/>
      </c>
      <c r="M2131" s="117" t="str">
        <f>IF(A2131="","",VLOOKUP(A2131,'6.A'!$A$11:$C$564,2,FALSE))</f>
        <v/>
      </c>
      <c r="N2131" s="57" t="str">
        <f t="shared" si="908"/>
        <v/>
      </c>
      <c r="O2131" s="56"/>
      <c r="P2131" s="56"/>
      <c r="Q2131" s="48"/>
      <c r="R2131" s="48"/>
      <c r="T2131" s="2"/>
      <c r="U2131" s="2"/>
      <c r="V2131" s="2"/>
    </row>
    <row r="2132" spans="1:23" ht="12.75" customHeight="1" x14ac:dyDescent="0.2">
      <c r="A2132" s="22"/>
      <c r="B2132" s="23" t="str">
        <f>IF(A2132="","",VLOOKUP(A2132,'6.A'!$A$11:$G$180,2,FALSE))</f>
        <v/>
      </c>
      <c r="C2132" s="99"/>
      <c r="D2132" s="57" t="str">
        <f>IF(A2132="","",VLOOKUP(A2132,'6.A'!$A$11:$G$180,4,FALSE))</f>
        <v/>
      </c>
      <c r="E2132" s="100" t="str">
        <f>IF(A2132="","",VLOOKUP(A2132,'6.A'!$A$11:$G$180,5,FALSE))</f>
        <v/>
      </c>
      <c r="F2132" s="24" t="str">
        <f t="shared" si="905"/>
        <v>0,00</v>
      </c>
      <c r="G2132" s="52"/>
      <c r="H2132" s="52" t="str">
        <f>IF(A2132="","",VLOOKUP(A2132,'6.A'!$A$11:$E$7984,5,FALSE))</f>
        <v/>
      </c>
      <c r="I2132" s="52" t="str">
        <f t="shared" si="906"/>
        <v/>
      </c>
      <c r="J2132" s="52" t="str">
        <f>IF(H2132="","",VLOOKUP(A2132,'6.A'!$A$11:$E$564,4,FALSE))</f>
        <v/>
      </c>
      <c r="K2132" s="52" t="str">
        <f t="shared" si="907"/>
        <v/>
      </c>
      <c r="L2132" s="52" t="str">
        <f>IF(H2132="","",IF(C2132="","",G2092*C2132))</f>
        <v/>
      </c>
      <c r="M2132" s="117" t="str">
        <f>IF(A2132="","",VLOOKUP(A2132,'6.A'!$A$11:$C$564,2,FALSE))</f>
        <v/>
      </c>
      <c r="N2132" s="57" t="str">
        <f t="shared" si="908"/>
        <v/>
      </c>
      <c r="O2132" s="56"/>
      <c r="P2132" s="56"/>
      <c r="Q2132" s="48"/>
      <c r="R2132" s="48"/>
    </row>
    <row r="2133" spans="1:23" ht="12.75" customHeight="1" x14ac:dyDescent="0.2">
      <c r="A2133" s="22"/>
      <c r="B2133" s="23" t="str">
        <f>IF(A2133="","",VLOOKUP(A2133,'6.A'!$A$11:$G$180,2,FALSE))</f>
        <v/>
      </c>
      <c r="C2133" s="99"/>
      <c r="D2133" s="57" t="str">
        <f>IF(A2133="","",VLOOKUP(A2133,'6.A'!$A$11:$G$180,4,FALSE))</f>
        <v/>
      </c>
      <c r="E2133" s="100" t="str">
        <f>IF(A2133="","",VLOOKUP(A2133,'6.A'!$A$11:$G$180,5,FALSE))</f>
        <v/>
      </c>
      <c r="F2133" s="24" t="str">
        <f t="shared" si="905"/>
        <v>0,00</v>
      </c>
      <c r="G2133" s="52"/>
      <c r="H2133" s="52" t="str">
        <f>IF(A2133="","",VLOOKUP(A2133,'6.A'!$A$11:$E$7984,5,FALSE))</f>
        <v/>
      </c>
      <c r="I2133" s="52" t="str">
        <f t="shared" si="906"/>
        <v/>
      </c>
      <c r="J2133" s="52" t="str">
        <f>IF(H2133="","",VLOOKUP(A2133,'6.A'!$A$11:$E$564,4,FALSE))</f>
        <v/>
      </c>
      <c r="K2133" s="52" t="str">
        <f t="shared" si="907"/>
        <v/>
      </c>
      <c r="L2133" s="52" t="str">
        <f>IF(H2133="","",IF(C2133="","",G2092*C2133))</f>
        <v/>
      </c>
      <c r="M2133" s="117" t="str">
        <f>IF(A2133="","",VLOOKUP(A2133,'6.A'!$A$11:$C$564,2,FALSE))</f>
        <v/>
      </c>
      <c r="N2133" s="57" t="str">
        <f t="shared" si="908"/>
        <v/>
      </c>
      <c r="O2133" s="56"/>
      <c r="P2133" s="56"/>
      <c r="Q2133" s="48"/>
      <c r="R2133" s="48"/>
    </row>
    <row r="2134" spans="1:23" ht="12.75" customHeight="1" x14ac:dyDescent="0.2">
      <c r="A2134" s="22"/>
      <c r="B2134" s="23" t="str">
        <f>IF(A2134="","",VLOOKUP(A2134,'6.A'!$A$11:$G$180,2,FALSE))</f>
        <v/>
      </c>
      <c r="C2134" s="99"/>
      <c r="D2134" s="57" t="str">
        <f>IF(A2134="","",VLOOKUP(A2134,'6.A'!$A$11:$G$180,4,FALSE))</f>
        <v/>
      </c>
      <c r="E2134" s="100" t="str">
        <f>IF(A2134="","",VLOOKUP(A2134,'6.A'!$A$11:$G$180,5,FALSE))</f>
        <v/>
      </c>
      <c r="F2134" s="24" t="str">
        <f t="shared" si="905"/>
        <v>0,00</v>
      </c>
      <c r="G2134" s="52"/>
      <c r="H2134" s="52" t="str">
        <f>IF(A2134="","",VLOOKUP(A2134,'6.A'!$A$11:$E$7984,5,FALSE))</f>
        <v/>
      </c>
      <c r="I2134" s="52" t="str">
        <f t="shared" si="906"/>
        <v/>
      </c>
      <c r="J2134" s="52" t="str">
        <f>IF(H2134="","",VLOOKUP(A2134,'6.A'!$A$11:$E$564,4,FALSE))</f>
        <v/>
      </c>
      <c r="K2134" s="52" t="str">
        <f t="shared" si="907"/>
        <v/>
      </c>
      <c r="L2134" s="52" t="str">
        <f>IF(H2134="","",IF(C2134="","",G2092*C2134))</f>
        <v/>
      </c>
      <c r="M2134" s="117" t="str">
        <f>IF(A2134="","",VLOOKUP(A2134,'6.A'!$A$11:$C$564,2,FALSE))</f>
        <v/>
      </c>
      <c r="N2134" s="57" t="str">
        <f t="shared" si="908"/>
        <v/>
      </c>
      <c r="O2134" s="56"/>
      <c r="P2134" s="56"/>
      <c r="Q2134" s="48"/>
      <c r="R2134" s="48"/>
    </row>
    <row r="2135" spans="1:23" ht="12.75" customHeight="1" x14ac:dyDescent="0.2">
      <c r="A2135" s="22"/>
      <c r="B2135" s="23" t="str">
        <f>IF(A2135="","",VLOOKUP(A2135,'6.A'!$A$11:$G$180,2,FALSE))</f>
        <v/>
      </c>
      <c r="C2135" s="99"/>
      <c r="D2135" s="57" t="str">
        <f>IF(A2135="","",VLOOKUP(A2135,'6.A'!$A$11:$G$180,4,FALSE))</f>
        <v/>
      </c>
      <c r="E2135" s="100" t="str">
        <f>IF(A2135="","",VLOOKUP(A2135,'6.A'!$A$11:$G$180,5,FALSE))</f>
        <v/>
      </c>
      <c r="F2135" s="24" t="str">
        <f t="shared" si="905"/>
        <v>0,00</v>
      </c>
      <c r="G2135" s="52"/>
      <c r="H2135" s="52" t="str">
        <f>IF(A2135="","",VLOOKUP(A2135,'6.A'!$A$11:$E$7984,5,FALSE))</f>
        <v/>
      </c>
      <c r="I2135" s="52" t="str">
        <f t="shared" si="906"/>
        <v/>
      </c>
      <c r="J2135" s="52" t="str">
        <f>IF(H2135="","",VLOOKUP(A2135,'6.A'!$A$11:$E$564,4,FALSE))</f>
        <v/>
      </c>
      <c r="K2135" s="52" t="str">
        <f t="shared" si="907"/>
        <v/>
      </c>
      <c r="L2135" s="52" t="str">
        <f>IF(H2135="","",IF(C2135="","",G2092*C2135))</f>
        <v/>
      </c>
      <c r="M2135" s="117" t="str">
        <f>IF(A2135="","",VLOOKUP(A2135,'6.A'!$A$11:$C$564,2,FALSE))</f>
        <v/>
      </c>
      <c r="N2135" s="57" t="str">
        <f t="shared" si="908"/>
        <v/>
      </c>
      <c r="O2135" s="56"/>
      <c r="P2135" s="56"/>
      <c r="Q2135" s="48"/>
      <c r="R2135" s="48"/>
    </row>
    <row r="2136" spans="1:23" ht="12.75" customHeight="1" x14ac:dyDescent="0.2">
      <c r="A2136" s="22"/>
      <c r="B2136" s="23" t="str">
        <f>IF(A2136="","",VLOOKUP(A2136,'6.A'!$A$11:$G$180,2,FALSE))</f>
        <v/>
      </c>
      <c r="C2136" s="99"/>
      <c r="D2136" s="57" t="str">
        <f>IF(A2136="","",VLOOKUP(A2136,'6.A'!$A$11:$G$180,4,FALSE))</f>
        <v/>
      </c>
      <c r="E2136" s="100" t="str">
        <f>IF(A2136="","",VLOOKUP(A2136,'6.A'!$A$11:$G$180,5,FALSE))</f>
        <v/>
      </c>
      <c r="F2136" s="24" t="str">
        <f t="shared" si="905"/>
        <v>0,00</v>
      </c>
      <c r="G2136" s="52"/>
      <c r="H2136" s="52" t="str">
        <f>IF(A2136="","",VLOOKUP(A2136,'6.A'!$A$11:$E$7984,5,FALSE))</f>
        <v/>
      </c>
      <c r="I2136" s="52" t="str">
        <f t="shared" si="906"/>
        <v/>
      </c>
      <c r="J2136" s="52" t="str">
        <f>IF(H2136="","",VLOOKUP(A2136,'6.A'!$A$11:$E$564,4,FALSE))</f>
        <v/>
      </c>
      <c r="K2136" s="52" t="str">
        <f t="shared" si="907"/>
        <v/>
      </c>
      <c r="L2136" s="52" t="str">
        <f>IF(H2136="","",IF(C2136="","",G2092*C2136))</f>
        <v/>
      </c>
      <c r="M2136" s="117" t="str">
        <f>IF(A2136="","",VLOOKUP(A2136,'6.A'!$A$11:$C$564,2,FALSE))</f>
        <v/>
      </c>
      <c r="N2136" s="57" t="str">
        <f t="shared" si="908"/>
        <v/>
      </c>
      <c r="O2136" s="56"/>
      <c r="P2136" s="56"/>
      <c r="Q2136" s="48"/>
      <c r="R2136" s="48"/>
    </row>
    <row r="2137" spans="1:23" ht="12.75" customHeight="1" x14ac:dyDescent="0.2">
      <c r="A2137" s="22"/>
      <c r="B2137" s="23" t="str">
        <f>IF(A2137="","",VLOOKUP(A2137,'6.A'!$A$11:$G$180,2,FALSE))</f>
        <v/>
      </c>
      <c r="C2137" s="99"/>
      <c r="D2137" s="57" t="str">
        <f>IF(A2137="","",VLOOKUP(A2137,'6.A'!$A$11:$G$180,4,FALSE))</f>
        <v/>
      </c>
      <c r="E2137" s="100" t="str">
        <f>IF(A2137="","",VLOOKUP(A2137,'6.A'!$A$11:$G$180,5,FALSE))</f>
        <v/>
      </c>
      <c r="F2137" s="24" t="str">
        <f t="shared" si="905"/>
        <v>0,00</v>
      </c>
      <c r="G2137" s="52"/>
      <c r="H2137" s="52" t="str">
        <f>IF(A2137="","",VLOOKUP(A2137,'6.A'!$A$11:$E$7984,5,FALSE))</f>
        <v/>
      </c>
      <c r="I2137" s="52" t="str">
        <f t="shared" si="906"/>
        <v/>
      </c>
      <c r="J2137" s="52" t="str">
        <f>IF(H2137="","",VLOOKUP(A2137,'6.A'!$A$11:$E$564,4,FALSE))</f>
        <v/>
      </c>
      <c r="K2137" s="52" t="str">
        <f t="shared" si="907"/>
        <v/>
      </c>
      <c r="L2137" s="52" t="str">
        <f>IF(H2137="","",IF(C2137="","",G2092*C2137))</f>
        <v/>
      </c>
      <c r="M2137" s="117" t="str">
        <f>IF(A2137="","",VLOOKUP(A2137,'6.A'!$A$11:$C$564,2,FALSE))</f>
        <v/>
      </c>
      <c r="N2137" s="57" t="str">
        <f t="shared" si="908"/>
        <v/>
      </c>
      <c r="O2137" s="56"/>
      <c r="P2137" s="56"/>
      <c r="Q2137" s="48"/>
      <c r="R2137" s="48"/>
    </row>
    <row r="2138" spans="1:23" ht="12.75" customHeight="1" x14ac:dyDescent="0.2">
      <c r="A2138" s="22"/>
      <c r="B2138" s="39" t="str">
        <f>IF(A2138="","",VLOOKUP(A2138,'6.A'!$A$11:$G$180,2,FALSE))</f>
        <v/>
      </c>
      <c r="C2138" s="99"/>
      <c r="D2138" s="57" t="str">
        <f>IF(A2138="","",VLOOKUP(A2138,'6.A'!$A$11:$G$180,4,FALSE))</f>
        <v/>
      </c>
      <c r="E2138" s="100" t="str">
        <f>IF(A2138="","",VLOOKUP(A2138,'6.A'!$A$11:$G$180,5,FALSE))</f>
        <v/>
      </c>
      <c r="F2138" s="24" t="str">
        <f t="shared" si="905"/>
        <v>0,00</v>
      </c>
      <c r="G2138" s="52"/>
      <c r="H2138" s="52" t="str">
        <f>IF(A2138="","",VLOOKUP(A2138,'6.A'!$A$11:$E$7984,5,FALSE))</f>
        <v/>
      </c>
      <c r="I2138" s="52" t="str">
        <f t="shared" si="906"/>
        <v/>
      </c>
      <c r="J2138" s="52" t="str">
        <f>IF(H2138="","",VLOOKUP(A2138,'6.A'!$A$11:$E$564,4,FALSE))</f>
        <v/>
      </c>
      <c r="K2138" s="52" t="str">
        <f t="shared" si="907"/>
        <v/>
      </c>
      <c r="L2138" s="52" t="str">
        <f>IF(H2138="","",IF(C2138="","",G2092*C2138))</f>
        <v/>
      </c>
      <c r="M2138" s="117" t="str">
        <f>IF(A2138="","",VLOOKUP(A2138,'6.A'!$A$11:$C$564,2,FALSE))</f>
        <v/>
      </c>
      <c r="N2138" s="57" t="str">
        <f t="shared" si="908"/>
        <v/>
      </c>
      <c r="O2138" s="56"/>
      <c r="P2138" s="56"/>
      <c r="Q2138" s="48"/>
      <c r="R2138" s="48"/>
    </row>
    <row r="2139" spans="1:23" ht="12.75" customHeight="1" x14ac:dyDescent="0.2">
      <c r="A2139" s="22"/>
      <c r="B2139" s="39" t="str">
        <f>IF(A2139="","",VLOOKUP(A2139,'6.A'!$A$11:$G$180,2,FALSE))</f>
        <v/>
      </c>
      <c r="C2139" s="99"/>
      <c r="D2139" s="57" t="str">
        <f>IF(A2139="","",VLOOKUP(A2139,'6.A'!$A$11:$G$180,4,FALSE))</f>
        <v/>
      </c>
      <c r="E2139" s="100" t="str">
        <f>IF(A2139="","",VLOOKUP(A2139,'6.A'!$A$11:$G$180,5,FALSE))</f>
        <v/>
      </c>
      <c r="F2139" s="24" t="str">
        <f t="shared" si="905"/>
        <v>0,00</v>
      </c>
      <c r="G2139" s="52"/>
      <c r="H2139" s="52" t="str">
        <f>IF(A2139="","",VLOOKUP(A2139,'6.A'!$A$11:$E$7984,5,FALSE))</f>
        <v/>
      </c>
      <c r="I2139" s="52" t="str">
        <f t="shared" si="906"/>
        <v/>
      </c>
      <c r="J2139" s="52" t="str">
        <f>IF(H2139="","",VLOOKUP(A2139,'6.A'!$A$11:$E$564,4,FALSE))</f>
        <v/>
      </c>
      <c r="K2139" s="52" t="str">
        <f t="shared" si="907"/>
        <v/>
      </c>
      <c r="L2139" s="52" t="str">
        <f>IF(H2139="","",IF(C2139="","",G2092*C2139))</f>
        <v/>
      </c>
      <c r="M2139" s="117" t="str">
        <f>IF(A2139="","",VLOOKUP(A2139,'6.A'!$A$11:$C$564,2,FALSE))</f>
        <v/>
      </c>
      <c r="N2139" s="57" t="str">
        <f t="shared" si="908"/>
        <v/>
      </c>
      <c r="O2139" s="56"/>
      <c r="P2139" s="56"/>
      <c r="Q2139" s="48"/>
      <c r="R2139" s="48"/>
    </row>
    <row r="2140" spans="1:23" ht="12.75" customHeight="1" x14ac:dyDescent="0.2">
      <c r="A2140" s="22"/>
      <c r="B2140" s="39" t="str">
        <f>IF(A2140="","",VLOOKUP(A2140,'6.A'!$A$11:$G$180,2,FALSE))</f>
        <v/>
      </c>
      <c r="C2140" s="99"/>
      <c r="D2140" s="57" t="str">
        <f>IF(A2140="","",VLOOKUP(A2140,'6.A'!$A$11:$G$180,4,FALSE))</f>
        <v/>
      </c>
      <c r="E2140" s="100" t="str">
        <f>IF(A2140="","",VLOOKUP(A2140,'6.A'!$A$11:$G$180,5,FALSE))</f>
        <v/>
      </c>
      <c r="F2140" s="24" t="str">
        <f t="shared" si="905"/>
        <v>0,00</v>
      </c>
      <c r="G2140" s="52"/>
      <c r="H2140" s="52" t="str">
        <f>IF(A2140="","",VLOOKUP(A2140,'6.A'!$A$11:$E$7984,5,FALSE))</f>
        <v/>
      </c>
      <c r="I2140" s="52" t="str">
        <f t="shared" si="906"/>
        <v/>
      </c>
      <c r="J2140" s="52" t="str">
        <f>IF(H2140="","",VLOOKUP(A2140,'6.A'!$A$11:$E$564,4,FALSE))</f>
        <v/>
      </c>
      <c r="K2140" s="52" t="str">
        <f t="shared" si="907"/>
        <v/>
      </c>
      <c r="L2140" s="52" t="str">
        <f>IF(H2140="","",IF(C2140="","",G2092*C2140))</f>
        <v/>
      </c>
      <c r="M2140" s="117" t="str">
        <f>IF(A2140="","",VLOOKUP(A2140,'6.A'!$A$11:$C$564,2,FALSE))</f>
        <v/>
      </c>
      <c r="N2140" s="57" t="str">
        <f t="shared" si="908"/>
        <v/>
      </c>
      <c r="O2140" s="56"/>
      <c r="P2140" s="56"/>
      <c r="Q2140" s="48"/>
      <c r="R2140" s="48"/>
    </row>
    <row r="2141" spans="1:23" ht="12.75" customHeight="1" x14ac:dyDescent="0.2">
      <c r="A2141" s="22"/>
      <c r="B2141" s="26" t="str">
        <f>$A$9</f>
        <v>BDI</v>
      </c>
      <c r="C2141" s="40">
        <f>$C$9</f>
        <v>0</v>
      </c>
      <c r="D2141" s="57"/>
      <c r="F2141" s="28">
        <f>ROUND(SUM(F2121:F2140)*C2141,2)</f>
        <v>0</v>
      </c>
      <c r="G2141" s="63"/>
      <c r="M2141" s="57"/>
      <c r="N2141" s="57"/>
      <c r="O2141" s="56"/>
      <c r="P2141" s="56"/>
      <c r="Q2141" s="48"/>
      <c r="R2141" s="48"/>
    </row>
    <row r="2142" spans="1:23" ht="12.75" customHeight="1" thickBot="1" x14ac:dyDescent="0.25">
      <c r="A2142" s="41"/>
      <c r="B2142" s="42" t="s">
        <v>57</v>
      </c>
      <c r="C2142" s="43"/>
      <c r="D2142" s="44"/>
      <c r="E2142" s="45"/>
      <c r="F2142" s="46">
        <f>ROUND(SUM(F2121:F2141),2)</f>
        <v>0</v>
      </c>
      <c r="G2142" s="63"/>
      <c r="M2142" s="57"/>
      <c r="N2142" s="57"/>
      <c r="O2142" s="56"/>
      <c r="P2142" s="56"/>
      <c r="Q2142" s="48"/>
      <c r="R2142" s="48"/>
    </row>
    <row r="2143" spans="1:23" ht="12" customHeight="1" thickBot="1" x14ac:dyDescent="0.25">
      <c r="A2143" s="8"/>
      <c r="B2143" s="9"/>
      <c r="C2143" s="10"/>
      <c r="D2143" s="57"/>
      <c r="F2143" s="12"/>
      <c r="M2143" s="57"/>
      <c r="N2143" s="57"/>
      <c r="O2143" s="56"/>
      <c r="P2143" s="56"/>
    </row>
    <row r="2144" spans="1:23" ht="50.1" customHeight="1" x14ac:dyDescent="0.2">
      <c r="A2144" s="13" t="str">
        <f>'3.A'!$A$142</f>
        <v>3.2.17</v>
      </c>
      <c r="B2144" s="14" t="str">
        <f>IF(A2144="","",VLOOKUP(A2144,'3.A'!$A$17:$M$279,2,FALSE))</f>
        <v>TERMINAL OU CONECTOR DE PRESSAO PARA CABO 95MM</v>
      </c>
      <c r="C2144" s="413" t="s">
        <v>62</v>
      </c>
      <c r="D2144" s="413"/>
      <c r="E2144" s="15" t="str">
        <f>IF(A2144="","",VLOOKUP(A2144,'3.A'!$A$17:$M$279,3,FALSE))</f>
        <v>UN</v>
      </c>
      <c r="F2144" s="16">
        <f>ROUND(F2158+F2171+F2194,2)</f>
        <v>0</v>
      </c>
      <c r="G2144" s="118">
        <f>VLOOKUP(A2144,'3.A'!$A$19:$I$279,4,FALSE)</f>
        <v>2</v>
      </c>
      <c r="H2144" s="47">
        <f>SUM(F2146:F2157)</f>
        <v>0</v>
      </c>
      <c r="I2144" s="47">
        <f>SUM(F2160:F2170)</f>
        <v>0</v>
      </c>
      <c r="J2144" s="47">
        <f>SUM(F2173:F2193)</f>
        <v>0</v>
      </c>
      <c r="K2144" s="47">
        <f>SUM(H2144:J2144)</f>
        <v>0</v>
      </c>
      <c r="L2144" s="47" t="str">
        <f>IF(K2144=F2144,"SIM","NÃO")</f>
        <v>SIM</v>
      </c>
      <c r="M2144" s="58">
        <f>ROUND(SUM(F2146:F2155)*C2156,2)+ROUND(SUM(F2146:F2156)*C2157,2)+ROUND(SUM(F2146:F2155),2)+ROUND(SUM(F2160:F2169)*C2170,2)+ROUND(SUM(F2160:F2169),2)+ROUND(SUM(F2173:F2192)*C2193,2)+ROUND(SUM(F2173:F2192),2)</f>
        <v>0</v>
      </c>
      <c r="N2144" s="50" t="str">
        <f>IF(M2144=F2144,"SIM","NÃO")</f>
        <v>SIM</v>
      </c>
      <c r="O2144" s="51" t="str">
        <f>VLOOKUP(A2144,'3.A'!$A$8:$E$279,3,FALSE)</f>
        <v>UN</v>
      </c>
      <c r="P2144" s="51" t="str">
        <f>IF(O2144=E2144,"SIM","NÃO")</f>
        <v>SIM</v>
      </c>
      <c r="Q2144" s="53">
        <f>ROUND(G2144*F2158,2)+ROUND(G2144*F2171,2)+ROUND(G2144*F2194,2)</f>
        <v>0</v>
      </c>
      <c r="R2144" s="59">
        <f>VLOOKUP(A2144,'3.A'!$A$17:$L$279,12,FALSE)</f>
        <v>0</v>
      </c>
      <c r="S2144" s="60" t="str">
        <f>IF(Q2144=R2144,"si","no")</f>
        <v>si</v>
      </c>
      <c r="T2144" s="61">
        <f>SUM(L2146:L2155)+SUM(L2160:L2169)+SUM(L2173:L2192)</f>
        <v>3.6</v>
      </c>
      <c r="U2144" s="52">
        <f>G2144*C2152+G2144*C2154+G2144*C2147+G2144*C2148+G2144*C2150+G2144*C2153+G2144*C2151+G2144*C2146+G2144*C2149+G2144*C2155+G2144*C2166+G2144*C2160+G2144*C2168+G2144*C2167+G2144*C2165+G2144*C2162+G2144*C2161+G2144*C2163+G2144*C2169+G2144*C2164+G2144*C2173+G2144*C2174+G2144*C2175+G2144*C2183+G2144*C2184+G2144*C2185+G2144*C2186+G2144*C2187+G2144*C2188+G2144*C2189+G2144*C2190+G2144*C2191+G2144*C2192+G2144*C2181+G2144*C2182+G2144*C2176+G2144*C2177+G2144*C2178+G2144*C2179+G2144*C2180</f>
        <v>3.6</v>
      </c>
      <c r="V2144" s="54" t="str">
        <f>IF(T2144=U2144,"si","no")</f>
        <v>si</v>
      </c>
      <c r="W2144" s="137"/>
    </row>
    <row r="2145" spans="1:19" ht="12.75" customHeight="1" x14ac:dyDescent="0.2">
      <c r="A2145" s="17" t="s">
        <v>3</v>
      </c>
      <c r="B2145" s="18" t="s">
        <v>58</v>
      </c>
      <c r="C2145" s="56" t="s">
        <v>59</v>
      </c>
      <c r="D2145" s="56" t="s">
        <v>16</v>
      </c>
      <c r="E2145" s="19" t="s">
        <v>60</v>
      </c>
      <c r="F2145" s="20" t="s">
        <v>61</v>
      </c>
      <c r="G2145" s="21"/>
      <c r="M2145" s="57"/>
      <c r="N2145" s="57"/>
      <c r="O2145" s="56"/>
      <c r="P2145" s="56"/>
      <c r="Q2145" s="48"/>
      <c r="R2145" s="48"/>
    </row>
    <row r="2146" spans="1:19" ht="12.75" customHeight="1" x14ac:dyDescent="0.2">
      <c r="A2146" s="22">
        <f>'6.A'!$A$15</f>
        <v>88247</v>
      </c>
      <c r="B2146" s="23" t="str">
        <f>IF(A2146="","",VLOOKUP(A2146,'6.A'!$A$11:$G$180,2,FALSE))</f>
        <v>AUXILIAR DE ELETRICISTA COM ENCARGOS COMPLEMENTARES</v>
      </c>
      <c r="C2146" s="99">
        <v>0.4</v>
      </c>
      <c r="D2146" s="57" t="str">
        <f>IF(A2146="","",VLOOKUP(A2146,'6.A'!$A$11:$G$180,4,FALSE))</f>
        <v>H</v>
      </c>
      <c r="E2146" s="100">
        <f>IF(A2146="","",VLOOKUP(A2146,'6.A'!$A$11:$G$180,5,FALSE))</f>
        <v>0</v>
      </c>
      <c r="F2146" s="24">
        <f t="shared" ref="F2146" si="909">IF(A2146="","0,00",ROUND(C2146*E2146,2))</f>
        <v>0</v>
      </c>
      <c r="G2146" s="52"/>
      <c r="H2146" s="52">
        <f>IF(A2146="","",VLOOKUP(A2146,'6.A'!$A$11:$E$7984,5,FALSE))</f>
        <v>0</v>
      </c>
      <c r="I2146" s="52" t="str">
        <f>IF(H2146="","",IF(E2146=H2146,"SIM","NÃO"))</f>
        <v>SIM</v>
      </c>
      <c r="J2146" s="52" t="str">
        <f>IF(H2146="","",VLOOKUP(A2146,'6.A'!$A$11:$E$564,4,FALSE))</f>
        <v>H</v>
      </c>
      <c r="K2146" s="52" t="str">
        <f>IF(H2146="","",IF(J2146=D2146,"SIM","NÃO"))</f>
        <v>SIM</v>
      </c>
      <c r="L2146" s="52">
        <f>IF(H2146="","",IF(C2146="","",G2144*C2146))</f>
        <v>0.8</v>
      </c>
      <c r="M2146" s="117" t="str">
        <f>IF(A2146="","",VLOOKUP(A2146,'6.A'!$A$11:$C$564,2,FALSE))</f>
        <v>AUXILIAR DE ELETRICISTA COM ENCARGOS COMPLEMENTARES</v>
      </c>
      <c r="N2146" s="57" t="str">
        <f>IF(A2146="","",IF(M2146=B2146,"si","no"))</f>
        <v>si</v>
      </c>
      <c r="O2146" s="56"/>
      <c r="P2146" s="56"/>
      <c r="Q2146" s="48"/>
      <c r="R2146" s="48"/>
    </row>
    <row r="2147" spans="1:19" ht="12.75" customHeight="1" x14ac:dyDescent="0.2">
      <c r="A2147" s="22">
        <f>'6.A'!$A$18</f>
        <v>88264</v>
      </c>
      <c r="B2147" s="23" t="str">
        <f>IF(A2147="","",VLOOKUP(A2147,'6.A'!$A$11:$G$180,2,FALSE))</f>
        <v>ELETRICISTA COM ENCARGOS COMPLEMENTARES</v>
      </c>
      <c r="C2147" s="99">
        <v>0.4</v>
      </c>
      <c r="D2147" s="57" t="str">
        <f>IF(A2147="","",VLOOKUP(A2147,'6.A'!$A$11:$G$180,4,FALSE))</f>
        <v>H</v>
      </c>
      <c r="E2147" s="100">
        <f>IF(A2147="","",VLOOKUP(A2147,'6.A'!$A$11:$G$180,5,FALSE))</f>
        <v>0</v>
      </c>
      <c r="F2147" s="24">
        <f>IF(A2147="","0,00",ROUND(C2147*E2147,2))</f>
        <v>0</v>
      </c>
      <c r="G2147" s="52"/>
      <c r="H2147" s="52">
        <f>IF(A2147="","",VLOOKUP(A2147,'6.A'!$A$11:$E$7984,5,FALSE))</f>
        <v>0</v>
      </c>
      <c r="I2147" s="52" t="str">
        <f>IF(H2147="","",IF(E2147=H2147,"SIM","NÃO"))</f>
        <v>SIM</v>
      </c>
      <c r="J2147" s="52" t="str">
        <f>IF(H2147="","",VLOOKUP(A2147,'6.A'!$A$11:$E$564,4,FALSE))</f>
        <v>H</v>
      </c>
      <c r="K2147" s="52" t="str">
        <f>IF(H2147="","",IF(J2147=D2147,"SIM","NÃO"))</f>
        <v>SIM</v>
      </c>
      <c r="L2147" s="52">
        <f>IF(H2147="","",IF(C2147="","",G2144*C2147))</f>
        <v>0.8</v>
      </c>
      <c r="M2147" s="117" t="str">
        <f>IF(A2147="","",VLOOKUP(A2147,'6.A'!$A$11:$C$564,2,FALSE))</f>
        <v>ELETRICISTA COM ENCARGOS COMPLEMENTARES</v>
      </c>
      <c r="N2147" s="57" t="str">
        <f>IF(A2147="","",IF(M2147=B2147,"si","no"))</f>
        <v>si</v>
      </c>
      <c r="O2147" s="56"/>
      <c r="P2147" s="56"/>
      <c r="Q2147" s="48"/>
      <c r="R2147" s="48"/>
    </row>
    <row r="2148" spans="1:19" ht="12.75" customHeight="1" x14ac:dyDescent="0.2">
      <c r="A2148" s="22"/>
      <c r="B2148" s="23" t="str">
        <f>IF(A2148="","",VLOOKUP(A2148,'6.A'!$A$11:$G$180,2,FALSE))</f>
        <v/>
      </c>
      <c r="C2148" s="99"/>
      <c r="D2148" s="57" t="str">
        <f>IF(A2148="","",VLOOKUP(A2148,'6.A'!$A$11:$G$180,4,FALSE))</f>
        <v/>
      </c>
      <c r="E2148" s="100" t="str">
        <f>IF(A2148="","",VLOOKUP(A2148,'6.A'!$A$11:$G$180,5,FALSE))</f>
        <v/>
      </c>
      <c r="F2148" s="24" t="str">
        <f t="shared" ref="F2148:F2155" si="910">IF(A2148="","0,00",ROUND(C2148*E2148,2))</f>
        <v>0,00</v>
      </c>
      <c r="G2148" s="52"/>
      <c r="H2148" s="52" t="str">
        <f>IF(A2148="","",VLOOKUP(A2148,'6.A'!$A$11:$E$7984,5,FALSE))</f>
        <v/>
      </c>
      <c r="I2148" s="52" t="str">
        <f>IF(H2148="","",IF(E2148=H2148,"SIM","NÃO"))</f>
        <v/>
      </c>
      <c r="J2148" s="52" t="str">
        <f>IF(H2148="","",VLOOKUP(A2148,'6.A'!$A$11:$E$564,4,FALSE))</f>
        <v/>
      </c>
      <c r="K2148" s="52" t="str">
        <f t="shared" ref="K2148" si="911">IF(H2148="","",IF(J2148=D2148,"SIM","NÃO"))</f>
        <v/>
      </c>
      <c r="L2148" s="52" t="str">
        <f>IF(H2148="","",IF(C2148="","",G2144*C2148))</f>
        <v/>
      </c>
      <c r="M2148" s="117" t="str">
        <f>IF(A2148="","",VLOOKUP(A2148,'6.A'!$A$11:$C$564,2,FALSE))</f>
        <v/>
      </c>
      <c r="N2148" s="57" t="str">
        <f t="shared" ref="N2148" si="912">IF(A2148="","",IF(M2148=B2148,"si","no"))</f>
        <v/>
      </c>
      <c r="O2148" s="56"/>
      <c r="P2148" s="56"/>
      <c r="Q2148" s="48"/>
      <c r="R2148" s="48"/>
      <c r="S2148" s="2"/>
    </row>
    <row r="2149" spans="1:19" ht="12.75" customHeight="1" x14ac:dyDescent="0.2">
      <c r="A2149" s="22"/>
      <c r="B2149" s="23" t="str">
        <f>IF(A2149="","",VLOOKUP(A2149,'6.A'!$A$11:$G$180,2,FALSE))</f>
        <v/>
      </c>
      <c r="C2149" s="99"/>
      <c r="D2149" s="57" t="str">
        <f>IF(A2149="","",VLOOKUP(A2149,'6.A'!$A$11:$G$180,4,FALSE))</f>
        <v/>
      </c>
      <c r="E2149" s="100" t="str">
        <f>IF(A2149="","",VLOOKUP(A2149,'6.A'!$A$11:$G$180,5,FALSE))</f>
        <v/>
      </c>
      <c r="F2149" s="24" t="str">
        <f t="shared" si="910"/>
        <v>0,00</v>
      </c>
      <c r="G2149" s="52"/>
      <c r="H2149" s="52" t="str">
        <f>IF(A2149="","",VLOOKUP(A2149,'6.A'!$A$11:$E$7984,5,FALSE))</f>
        <v/>
      </c>
      <c r="I2149" s="52" t="str">
        <f>IF(H2149="","",IF(E2149=H2149,"SIM","NÃO"))</f>
        <v/>
      </c>
      <c r="J2149" s="52" t="str">
        <f>IF(H2149="","",VLOOKUP(A2149,'6.A'!$A$11:$E$564,4,FALSE))</f>
        <v/>
      </c>
      <c r="K2149" s="52" t="str">
        <f>IF(H2149="","",IF(J2149=D2149,"SIM","NÃO"))</f>
        <v/>
      </c>
      <c r="L2149" s="52" t="str">
        <f>IF(H2149="","",IF(C2149="","",G2144*C2149))</f>
        <v/>
      </c>
      <c r="M2149" s="117" t="str">
        <f>IF(A2149="","",VLOOKUP(A2149,'6.A'!$A$11:$C$564,2,FALSE))</f>
        <v/>
      </c>
      <c r="N2149" s="57" t="str">
        <f>IF(A2149="","",IF(M2149=B2149,"si","no"))</f>
        <v/>
      </c>
      <c r="O2149" s="56"/>
      <c r="P2149" s="56"/>
      <c r="Q2149" s="48"/>
      <c r="R2149" s="48"/>
      <c r="S2149" s="2"/>
    </row>
    <row r="2150" spans="1:19" ht="12.75" customHeight="1" x14ac:dyDescent="0.2">
      <c r="A2150" s="22"/>
      <c r="B2150" s="23" t="str">
        <f>IF(A2150="","",VLOOKUP(A2150,'6.A'!$A$11:$G$180,2,FALSE))</f>
        <v/>
      </c>
      <c r="C2150" s="99"/>
      <c r="D2150" s="57" t="str">
        <f>IF(A2150="","",VLOOKUP(A2150,'6.A'!$A$11:$G$180,4,FALSE))</f>
        <v/>
      </c>
      <c r="E2150" s="101" t="str">
        <f>IF(A2150="","",VLOOKUP(A2150,'6.A'!$A$11:$G$180,5,FALSE))</f>
        <v/>
      </c>
      <c r="F2150" s="24" t="str">
        <f t="shared" si="910"/>
        <v>0,00</v>
      </c>
      <c r="G2150" s="52"/>
      <c r="H2150" s="52" t="str">
        <f>IF(A2150="","",VLOOKUP(A2150,'6.A'!$A$11:$E$7984,5,FALSE))</f>
        <v/>
      </c>
      <c r="I2150" s="52" t="str">
        <f t="shared" ref="I2150" si="913">IF(H2150="","",IF(E2150=H2150,"SIM","NÃO"))</f>
        <v/>
      </c>
      <c r="J2150" s="52" t="str">
        <f>IF(H2150="","",VLOOKUP(A2150,'6.A'!$A$11:$E$564,4,FALSE))</f>
        <v/>
      </c>
      <c r="K2150" s="52" t="str">
        <f t="shared" ref="K2150" si="914">IF(H2150="","",IF(J2150=D2150,"SIM","NÃO"))</f>
        <v/>
      </c>
      <c r="L2150" s="52" t="str">
        <f>IF(H2150="","",IF(C2150="","",G2144*C2150))</f>
        <v/>
      </c>
      <c r="M2150" s="117" t="str">
        <f>IF(A2150="","",VLOOKUP(A2150,'6.A'!$A$11:$C$564,2,FALSE))</f>
        <v/>
      </c>
      <c r="N2150" s="57" t="str">
        <f t="shared" ref="N2150" si="915">IF(A2150="","",IF(M2150=B2150,"si","no"))</f>
        <v/>
      </c>
      <c r="O2150" s="56"/>
      <c r="P2150" s="56"/>
      <c r="Q2150" s="48"/>
      <c r="R2150" s="48"/>
      <c r="S2150" s="2"/>
    </row>
    <row r="2151" spans="1:19" ht="12.75" customHeight="1" x14ac:dyDescent="0.2">
      <c r="A2151" s="22"/>
      <c r="B2151" s="23" t="str">
        <f>IF(A2151="","",VLOOKUP(A2151,'6.A'!$A$11:$G$180,2,FALSE))</f>
        <v/>
      </c>
      <c r="C2151" s="99"/>
      <c r="D2151" s="57" t="str">
        <f>IF(A2151="","",VLOOKUP(A2151,'6.A'!$A$11:$G$180,4,FALSE))</f>
        <v/>
      </c>
      <c r="E2151" s="101" t="str">
        <f>IF(A2151="","",VLOOKUP(A2151,'6.A'!$A$11:$G$180,5,FALSE))</f>
        <v/>
      </c>
      <c r="F2151" s="24" t="str">
        <f t="shared" si="910"/>
        <v>0,00</v>
      </c>
      <c r="G2151" s="52"/>
      <c r="H2151" s="52" t="str">
        <f>IF(A2151="","",VLOOKUP(A2151,'6.A'!$A$11:$E$7984,5,FALSE))</f>
        <v/>
      </c>
      <c r="I2151" s="52" t="str">
        <f>IF(H2151="","",IF(E2151=H2151,"SIM","NÃO"))</f>
        <v/>
      </c>
      <c r="J2151" s="52" t="str">
        <f>IF(H2151="","",VLOOKUP(A2151,'6.A'!$A$11:$E$564,4,FALSE))</f>
        <v/>
      </c>
      <c r="K2151" s="52" t="str">
        <f>IF(H2151="","",IF(J2151=D2151,"SIM","NÃO"))</f>
        <v/>
      </c>
      <c r="L2151" s="52" t="str">
        <f>IF(H2151="","",IF(C2151="","",G2144*C2151))</f>
        <v/>
      </c>
      <c r="M2151" s="117" t="str">
        <f>IF(A2151="","",VLOOKUP(A2151,'6.A'!$A$11:$C$564,2,FALSE))</f>
        <v/>
      </c>
      <c r="N2151" s="57" t="str">
        <f>IF(A2151="","",IF(M2151=B2151,"si","no"))</f>
        <v/>
      </c>
      <c r="O2151" s="56"/>
      <c r="P2151" s="56"/>
      <c r="Q2151" s="48"/>
      <c r="R2151" s="48"/>
      <c r="S2151" s="2"/>
    </row>
    <row r="2152" spans="1:19" ht="12.75" customHeight="1" x14ac:dyDescent="0.2">
      <c r="A2152" s="22"/>
      <c r="B2152" s="23" t="str">
        <f>IF(A2152="","",VLOOKUP(A2152,'6.A'!$A$11:$G$180,2,FALSE))</f>
        <v/>
      </c>
      <c r="C2152" s="99"/>
      <c r="D2152" s="57" t="str">
        <f>IF(A2152="","",VLOOKUP(A2152,'6.A'!$A$11:$G$180,4,FALSE))</f>
        <v/>
      </c>
      <c r="E2152" s="100" t="str">
        <f>IF(A2152="","",VLOOKUP(A2152,'6.A'!$A$11:$G$180,5,FALSE))</f>
        <v/>
      </c>
      <c r="F2152" s="24" t="str">
        <f t="shared" si="910"/>
        <v>0,00</v>
      </c>
      <c r="G2152" s="52"/>
      <c r="H2152" s="52" t="str">
        <f>IF(A2152="","",VLOOKUP(A2152,'6.A'!$A$11:$E$7984,5,FALSE))</f>
        <v/>
      </c>
      <c r="I2152" s="52" t="str">
        <f>IF(H2152="","",IF(E2152=H2152,"SIM","NÃO"))</f>
        <v/>
      </c>
      <c r="J2152" s="52" t="str">
        <f>IF(H2152="","",VLOOKUP(A2152,'6.A'!$A$11:$E$564,4,FALSE))</f>
        <v/>
      </c>
      <c r="K2152" s="52" t="str">
        <f>IF(H2152="","",IF(J2152=D2152,"SIM","NÃO"))</f>
        <v/>
      </c>
      <c r="L2152" s="52" t="str">
        <f>IF(H2152="","",IF(C2152="","",G2144*C2152))</f>
        <v/>
      </c>
      <c r="M2152" s="117" t="str">
        <f>IF(A2152="","",VLOOKUP(A2152,'6.A'!$A$11:$C$564,2,FALSE))</f>
        <v/>
      </c>
      <c r="N2152" s="57" t="str">
        <f>IF(A2152="","",IF(M2152=B2152,"si","no"))</f>
        <v/>
      </c>
      <c r="O2152" s="56"/>
      <c r="P2152" s="56"/>
      <c r="Q2152" s="48"/>
      <c r="R2152" s="48"/>
      <c r="S2152" s="2"/>
    </row>
    <row r="2153" spans="1:19" ht="12.75" customHeight="1" x14ac:dyDescent="0.2">
      <c r="A2153" s="22"/>
      <c r="B2153" s="23" t="str">
        <f>IF(A2153="","",VLOOKUP(A2153,'6.A'!$A$11:$G$180,2,FALSE))</f>
        <v/>
      </c>
      <c r="C2153" s="99"/>
      <c r="D2153" s="57" t="str">
        <f>IF(A2153="","",VLOOKUP(A2153,'6.A'!$A$11:$G$180,4,FALSE))</f>
        <v/>
      </c>
      <c r="E2153" s="100" t="str">
        <f>IF(A2153="","",VLOOKUP(A2153,'6.A'!$A$11:$G$180,5,FALSE))</f>
        <v/>
      </c>
      <c r="F2153" s="24" t="str">
        <f t="shared" si="910"/>
        <v>0,00</v>
      </c>
      <c r="G2153" s="52"/>
      <c r="H2153" s="52" t="str">
        <f>IF(A2153="","",VLOOKUP(A2153,'6.A'!$A$11:$E$7984,5,FALSE))</f>
        <v/>
      </c>
      <c r="I2153" s="52" t="str">
        <f t="shared" ref="I2153" si="916">IF(H2153="","",IF(E2153=H2153,"SIM","NÃO"))</f>
        <v/>
      </c>
      <c r="J2153" s="52" t="str">
        <f>IF(H2153="","",VLOOKUP(A2153,'6.A'!$A$11:$E$564,4,FALSE))</f>
        <v/>
      </c>
      <c r="K2153" s="52" t="str">
        <f t="shared" ref="K2153" si="917">IF(H2153="","",IF(J2153=D2153,"SIM","NÃO"))</f>
        <v/>
      </c>
      <c r="L2153" s="52" t="str">
        <f>IF(H2153="","",IF(C2153="","",G2144*C2153))</f>
        <v/>
      </c>
      <c r="M2153" s="117" t="str">
        <f>IF(A2153="","",VLOOKUP(A2153,'6.A'!$A$11:$C$564,2,FALSE))</f>
        <v/>
      </c>
      <c r="N2153" s="57" t="str">
        <f t="shared" ref="N2153" si="918">IF(A2153="","",IF(M2153=B2153,"si","no"))</f>
        <v/>
      </c>
      <c r="O2153" s="56"/>
      <c r="P2153" s="56"/>
      <c r="Q2153" s="48"/>
      <c r="R2153" s="48"/>
      <c r="S2153" s="2"/>
    </row>
    <row r="2154" spans="1:19" ht="12.75" customHeight="1" x14ac:dyDescent="0.2">
      <c r="A2154" s="22"/>
      <c r="B2154" s="23" t="str">
        <f>IF(A2154="","",VLOOKUP(A2154,'6.A'!$A$11:$G$180,2,FALSE))</f>
        <v/>
      </c>
      <c r="C2154" s="99"/>
      <c r="D2154" s="73" t="str">
        <f>IF(A2154="","",VLOOKUP(A2154,'6.A'!$A$11:$G$180,4,FALSE))</f>
        <v/>
      </c>
      <c r="E2154" s="101" t="str">
        <f>IF(A2154="","",VLOOKUP(A2154,'6.A'!$A$11:$G$180,5,FALSE))</f>
        <v/>
      </c>
      <c r="F2154" s="24" t="str">
        <f t="shared" si="910"/>
        <v>0,00</v>
      </c>
      <c r="G2154" s="52"/>
      <c r="H2154" s="52" t="str">
        <f>IF(A2154="","",VLOOKUP(A2154,'6.A'!$A$11:$E$7984,5,FALSE))</f>
        <v/>
      </c>
      <c r="I2154" s="52" t="str">
        <f>IF(H2154="","",IF(E2154=H2154,"SIM","NÃO"))</f>
        <v/>
      </c>
      <c r="J2154" s="52" t="str">
        <f>IF(H2154="","",VLOOKUP(A2154,'6.A'!$A$11:$E$564,4,FALSE))</f>
        <v/>
      </c>
      <c r="K2154" s="52" t="str">
        <f>IF(H2154="","",IF(J2154=D2154,"SIM","NÃO"))</f>
        <v/>
      </c>
      <c r="L2154" s="52" t="str">
        <f>IF(H2154="","",IF(C2154="","",G2144*C2154))</f>
        <v/>
      </c>
      <c r="M2154" s="117" t="str">
        <f>IF(A2154="","",VLOOKUP(A2154,'6.A'!$A$11:$C$564,2,FALSE))</f>
        <v/>
      </c>
      <c r="N2154" s="57" t="str">
        <f>IF(A2154="","",IF(M2154=B2154,"si","no"))</f>
        <v/>
      </c>
      <c r="O2154" s="56"/>
      <c r="P2154" s="56"/>
      <c r="Q2154" s="48"/>
      <c r="R2154" s="48"/>
      <c r="S2154" s="2"/>
    </row>
    <row r="2155" spans="1:19" ht="12.75" customHeight="1" x14ac:dyDescent="0.2">
      <c r="A2155" s="22"/>
      <c r="B2155" s="23" t="str">
        <f>IF(A2155="","",VLOOKUP(A2155,'6.A'!$A$11:$G$180,2,FALSE))</f>
        <v/>
      </c>
      <c r="C2155" s="99"/>
      <c r="D2155" s="25" t="str">
        <f>IF(A2155="","",VLOOKUP(A2155,'6.A'!$A$11:$G$180,4,FALSE))</f>
        <v/>
      </c>
      <c r="E2155" s="101" t="str">
        <f>IF(A2155="","",VLOOKUP(A2155,'6.A'!$A$11:$G$180,5,FALSE))</f>
        <v/>
      </c>
      <c r="F2155" s="24" t="str">
        <f t="shared" si="910"/>
        <v>0,00</v>
      </c>
      <c r="G2155" s="52"/>
      <c r="H2155" s="52" t="str">
        <f>IF(A2155="","",VLOOKUP(A2155,'6.A'!$A$11:$E$7984,5,FALSE))</f>
        <v/>
      </c>
      <c r="I2155" s="52" t="str">
        <f t="shared" ref="I2155" si="919">IF(H2155="","",IF(E2155=H2155,"SIM","NÃO"))</f>
        <v/>
      </c>
      <c r="J2155" s="52" t="str">
        <f>IF(H2155="","",VLOOKUP(A2155,'6.A'!$A$11:$E$564,4,FALSE))</f>
        <v/>
      </c>
      <c r="K2155" s="52" t="str">
        <f t="shared" ref="K2155" si="920">IF(H2155="","",IF(J2155=D2155,"SIM","NÃO"))</f>
        <v/>
      </c>
      <c r="L2155" s="52" t="str">
        <f>IF(H2155="","",IF(C2155="","",G2144*C2155))</f>
        <v/>
      </c>
      <c r="M2155" s="117" t="str">
        <f>IF(A2155="","",VLOOKUP(A2155,'6.A'!$A$11:$C$564,2,FALSE))</f>
        <v/>
      </c>
      <c r="N2155" s="57" t="str">
        <f t="shared" ref="N2155" si="921">IF(A2155="","",IF(M2155=B2155,"si","no"))</f>
        <v/>
      </c>
      <c r="O2155" s="56"/>
      <c r="P2155" s="56"/>
      <c r="Q2155" s="48"/>
      <c r="R2155" s="48"/>
      <c r="S2155" s="2"/>
    </row>
    <row r="2156" spans="1:19" ht="12.75" customHeight="1" x14ac:dyDescent="0.2">
      <c r="A2156" s="17"/>
      <c r="B2156" s="26" t="str">
        <f>$A$8</f>
        <v>LEIS SOCIAIS HORISTA - JORNADA NORMAL</v>
      </c>
      <c r="C2156" s="27">
        <f>$C$8</f>
        <v>0</v>
      </c>
      <c r="D2156" s="57"/>
      <c r="F2156" s="28">
        <f>ROUND(SUM(F2146:F2155)*C2156,2)</f>
        <v>0</v>
      </c>
      <c r="G2156" s="63"/>
      <c r="M2156" s="62"/>
      <c r="N2156" s="57"/>
      <c r="O2156" s="56"/>
      <c r="P2156" s="56"/>
      <c r="Q2156" s="48"/>
      <c r="R2156" s="48"/>
      <c r="S2156" s="2"/>
    </row>
    <row r="2157" spans="1:19" ht="12.75" customHeight="1" x14ac:dyDescent="0.2">
      <c r="A2157" s="22"/>
      <c r="B2157" s="26" t="str">
        <f>$A$9</f>
        <v>BDI</v>
      </c>
      <c r="C2157" s="27">
        <f>$C$9</f>
        <v>0</v>
      </c>
      <c r="D2157" s="29"/>
      <c r="F2157" s="28">
        <f>ROUND(SUM(F2146:F2156)*C2157,2)</f>
        <v>0</v>
      </c>
      <c r="G2157" s="63"/>
      <c r="M2157" s="62"/>
      <c r="N2157" s="57"/>
      <c r="O2157" s="56"/>
      <c r="P2157" s="56"/>
      <c r="Q2157" s="48"/>
      <c r="R2157" s="48"/>
      <c r="S2157" s="2"/>
    </row>
    <row r="2158" spans="1:19" ht="12.75" customHeight="1" x14ac:dyDescent="0.2">
      <c r="A2158" s="30"/>
      <c r="B2158" s="31" t="s">
        <v>56</v>
      </c>
      <c r="C2158" s="32"/>
      <c r="D2158" s="33"/>
      <c r="E2158" s="34"/>
      <c r="F2158" s="35">
        <f>ROUND(SUM(F2146:F2157),2)</f>
        <v>0</v>
      </c>
      <c r="G2158" s="63"/>
      <c r="M2158" s="62"/>
      <c r="N2158" s="57"/>
      <c r="O2158" s="56"/>
      <c r="P2158" s="56"/>
      <c r="Q2158" s="48"/>
      <c r="R2158" s="48"/>
      <c r="S2158" s="2"/>
    </row>
    <row r="2159" spans="1:19" ht="12.75" customHeight="1" x14ac:dyDescent="0.2">
      <c r="A2159" s="17" t="s">
        <v>5</v>
      </c>
      <c r="B2159" s="153" t="s">
        <v>130</v>
      </c>
      <c r="C2159" s="56" t="s">
        <v>59</v>
      </c>
      <c r="D2159" s="56" t="s">
        <v>16</v>
      </c>
      <c r="E2159" s="19" t="s">
        <v>60</v>
      </c>
      <c r="F2159" s="20" t="s">
        <v>61</v>
      </c>
      <c r="G2159" s="21"/>
      <c r="M2159" s="62"/>
      <c r="N2159" s="57"/>
      <c r="O2159" s="56"/>
      <c r="P2159" s="56"/>
      <c r="Q2159" s="48"/>
      <c r="R2159" s="48"/>
      <c r="S2159" s="2"/>
    </row>
    <row r="2160" spans="1:19" ht="12.75" customHeight="1" x14ac:dyDescent="0.2">
      <c r="A2160" s="22"/>
      <c r="B2160" s="23" t="str">
        <f>IF(A2160="","",VLOOKUP(A2160,'6.A'!$A$11:$G$180,2,FALSE))</f>
        <v/>
      </c>
      <c r="C2160" s="99"/>
      <c r="D2160" s="57" t="str">
        <f>IF(A2160="","",VLOOKUP(A2160,'6.A'!$A$11:$G$180,4,FALSE))</f>
        <v/>
      </c>
      <c r="E2160" s="100" t="str">
        <f>IF(A2160="","",VLOOKUP(A2160,'6.A'!$A$11:$G$180,5,FALSE))</f>
        <v/>
      </c>
      <c r="F2160" s="24" t="str">
        <f t="shared" ref="F2160:F2169" si="922">IF(A2160="","0,00",ROUND(C2160*E2160,2))</f>
        <v>0,00</v>
      </c>
      <c r="G2160" s="52"/>
      <c r="H2160" s="52" t="str">
        <f>IF(A2160="","",VLOOKUP(A2160,'6.A'!$A$11:$E$7984,5,FALSE))</f>
        <v/>
      </c>
      <c r="I2160" s="52" t="str">
        <f t="shared" ref="I2160:I2169" si="923">IF(H2160="","",IF(E2160=H2160,"SIM","NÃO"))</f>
        <v/>
      </c>
      <c r="J2160" s="52" t="str">
        <f>IF(H2160="","",VLOOKUP(A2160,'6.A'!$A$11:$E$564,4,FALSE))</f>
        <v/>
      </c>
      <c r="K2160" s="52" t="str">
        <f t="shared" ref="K2160:K2169" si="924">IF(H2160="","",IF(J2160=D2160,"SIM","NÃO"))</f>
        <v/>
      </c>
      <c r="L2160" s="52" t="str">
        <f>IF(H2160="","",IF(C2160="","",G2144*C2160))</f>
        <v/>
      </c>
      <c r="M2160" s="117" t="str">
        <f>IF(A2160="","",VLOOKUP(A2160,'6.A'!$A$11:$C$564,2,FALSE))</f>
        <v/>
      </c>
      <c r="N2160" s="57" t="str">
        <f t="shared" ref="N2160:N2165" si="925">IF(A2160="","",IF(M2160=B2160,"si","no"))</f>
        <v/>
      </c>
      <c r="O2160" s="56"/>
      <c r="P2160" s="56"/>
      <c r="Q2160" s="48"/>
      <c r="R2160" s="48"/>
      <c r="S2160" s="2"/>
    </row>
    <row r="2161" spans="1:19" ht="12.75" customHeight="1" x14ac:dyDescent="0.2">
      <c r="A2161" s="22"/>
      <c r="B2161" s="23" t="str">
        <f>IF(A2161="","",VLOOKUP(A2161,'6.A'!$A$11:$G$180,2,FALSE))</f>
        <v/>
      </c>
      <c r="C2161" s="99"/>
      <c r="D2161" s="57" t="str">
        <f>IF(A2161="","",VLOOKUP(A2161,'6.A'!$A$11:$G$180,4,FALSE))</f>
        <v/>
      </c>
      <c r="E2161" s="100" t="str">
        <f>IF(A2161="","",VLOOKUP(A2161,'6.A'!$A$11:$G$180,5,FALSE))</f>
        <v/>
      </c>
      <c r="F2161" s="24" t="str">
        <f t="shared" si="922"/>
        <v>0,00</v>
      </c>
      <c r="G2161" s="52"/>
      <c r="H2161" s="52" t="str">
        <f>IF(A2161="","",VLOOKUP(A2161,'6.A'!$A$11:$E$7984,5,FALSE))</f>
        <v/>
      </c>
      <c r="I2161" s="52" t="str">
        <f t="shared" si="923"/>
        <v/>
      </c>
      <c r="J2161" s="52" t="str">
        <f>IF(H2161="","",VLOOKUP(A2161,'6.A'!$A$11:$E$564,4,FALSE))</f>
        <v/>
      </c>
      <c r="K2161" s="52" t="str">
        <f t="shared" si="924"/>
        <v/>
      </c>
      <c r="L2161" s="52" t="str">
        <f>IF(H2161="","",IF(C2161="","",G2144*C2161))</f>
        <v/>
      </c>
      <c r="M2161" s="117" t="str">
        <f>IF(A2161="","",VLOOKUP(A2161,'6.A'!$A$11:$C$564,2,FALSE))</f>
        <v/>
      </c>
      <c r="N2161" s="57" t="str">
        <f t="shared" si="925"/>
        <v/>
      </c>
      <c r="O2161" s="56"/>
      <c r="P2161" s="56"/>
      <c r="Q2161" s="48"/>
      <c r="R2161" s="48"/>
      <c r="S2161" s="2"/>
    </row>
    <row r="2162" spans="1:19" ht="12.75" customHeight="1" x14ac:dyDescent="0.2">
      <c r="A2162" s="22"/>
      <c r="B2162" s="23" t="str">
        <f>IF(A2162="","",VLOOKUP(A2162,'6.A'!$A$11:$G$180,2,FALSE))</f>
        <v/>
      </c>
      <c r="C2162" s="99"/>
      <c r="D2162" s="57" t="str">
        <f>IF(A2162="","",VLOOKUP(A2162,'6.A'!$A$11:$G$180,4,FALSE))</f>
        <v/>
      </c>
      <c r="E2162" s="100" t="str">
        <f>IF(A2162="","",VLOOKUP(A2162,'6.A'!$A$11:$G$180,5,FALSE))</f>
        <v/>
      </c>
      <c r="F2162" s="24" t="str">
        <f t="shared" si="922"/>
        <v>0,00</v>
      </c>
      <c r="G2162" s="52"/>
      <c r="H2162" s="52" t="str">
        <f>IF(A2162="","",VLOOKUP(A2162,'6.A'!$A$11:$E$7984,5,FALSE))</f>
        <v/>
      </c>
      <c r="I2162" s="52" t="str">
        <f t="shared" si="923"/>
        <v/>
      </c>
      <c r="J2162" s="52" t="str">
        <f>IF(H2162="","",VLOOKUP(A2162,'6.A'!$A$11:$E$564,4,FALSE))</f>
        <v/>
      </c>
      <c r="K2162" s="52" t="str">
        <f t="shared" si="924"/>
        <v/>
      </c>
      <c r="L2162" s="52" t="str">
        <f>IF(H2162="","",IF(C2162="","",G2144*C2162))</f>
        <v/>
      </c>
      <c r="M2162" s="117" t="str">
        <f>IF(A2162="","",VLOOKUP(A2162,'6.A'!$A$11:$C$564,2,FALSE))</f>
        <v/>
      </c>
      <c r="N2162" s="57" t="str">
        <f t="shared" si="925"/>
        <v/>
      </c>
      <c r="O2162" s="56"/>
      <c r="P2162" s="56"/>
      <c r="Q2162" s="48"/>
      <c r="R2162" s="48"/>
      <c r="S2162" s="2"/>
    </row>
    <row r="2163" spans="1:19" ht="12.75" customHeight="1" x14ac:dyDescent="0.2">
      <c r="A2163" s="22"/>
      <c r="B2163" s="55" t="str">
        <f>IF(A2163="","",VLOOKUP(A2163,'6.A'!$A$11:$G$180,2,FALSE))</f>
        <v/>
      </c>
      <c r="C2163" s="134"/>
      <c r="D2163" s="57" t="str">
        <f>IF(A2163="","",VLOOKUP(A2163,'6.A'!$A$11:$G$180,4,FALSE))</f>
        <v/>
      </c>
      <c r="E2163" s="100" t="str">
        <f>IF(A2163="","",VLOOKUP(A2163,'6.A'!$A$11:$G$180,5,FALSE))</f>
        <v/>
      </c>
      <c r="F2163" s="24" t="str">
        <f t="shared" si="922"/>
        <v>0,00</v>
      </c>
      <c r="G2163" s="52"/>
      <c r="H2163" s="52" t="str">
        <f>IF(A2163="","",VLOOKUP(A2163,'6.A'!$A$11:$E$7984,5,FALSE))</f>
        <v/>
      </c>
      <c r="I2163" s="52" t="str">
        <f t="shared" si="923"/>
        <v/>
      </c>
      <c r="J2163" s="52" t="str">
        <f>IF(H2163="","",VLOOKUP(A2163,'6.A'!$A$11:$E$564,4,FALSE))</f>
        <v/>
      </c>
      <c r="K2163" s="52" t="str">
        <f t="shared" si="924"/>
        <v/>
      </c>
      <c r="L2163" s="52" t="str">
        <f>IF(H2163="","",IF(C2163="","",G2144*C2163))</f>
        <v/>
      </c>
      <c r="M2163" s="117" t="str">
        <f>IF(A2163="","",VLOOKUP(A2163,'6.A'!$A$11:$C$564,2,FALSE))</f>
        <v/>
      </c>
      <c r="N2163" s="57" t="str">
        <f t="shared" si="925"/>
        <v/>
      </c>
      <c r="O2163" s="56"/>
      <c r="P2163" s="56"/>
      <c r="Q2163" s="48"/>
      <c r="R2163" s="48"/>
      <c r="S2163" s="2"/>
    </row>
    <row r="2164" spans="1:19" ht="12.75" customHeight="1" x14ac:dyDescent="0.2">
      <c r="A2164" s="22"/>
      <c r="B2164" s="23" t="str">
        <f>IF(A2164="","",VLOOKUP(A2164,'6.A'!$A$11:$G$180,2,FALSE))</f>
        <v/>
      </c>
      <c r="C2164" s="99"/>
      <c r="D2164" s="57" t="str">
        <f>IF(A2164="","",VLOOKUP(A2164,'6.A'!$A$11:$G$180,4,FALSE))</f>
        <v/>
      </c>
      <c r="E2164" s="100" t="str">
        <f>IF(A2164="","",VLOOKUP(A2164,'6.A'!$A$11:$G$180,5,FALSE))</f>
        <v/>
      </c>
      <c r="F2164" s="24" t="str">
        <f t="shared" si="922"/>
        <v>0,00</v>
      </c>
      <c r="G2164" s="52"/>
      <c r="H2164" s="52" t="str">
        <f>IF(A2164="","",VLOOKUP(A2164,'6.A'!$A$11:$E$7984,5,FALSE))</f>
        <v/>
      </c>
      <c r="I2164" s="52" t="str">
        <f t="shared" si="923"/>
        <v/>
      </c>
      <c r="J2164" s="52" t="str">
        <f>IF(H2164="","",VLOOKUP(A2164,'6.A'!$A$11:$E$564,4,FALSE))</f>
        <v/>
      </c>
      <c r="K2164" s="52" t="str">
        <f t="shared" si="924"/>
        <v/>
      </c>
      <c r="L2164" s="52" t="str">
        <f>IF(H2164="","",IF(C2164="","",G2144*C2164))</f>
        <v/>
      </c>
      <c r="M2164" s="117" t="str">
        <f>IF(A2164="","",VLOOKUP(A2164,'6.A'!$A$11:$C$564,2,FALSE))</f>
        <v/>
      </c>
      <c r="N2164" s="57" t="str">
        <f t="shared" si="925"/>
        <v/>
      </c>
      <c r="O2164" s="56"/>
      <c r="P2164" s="56"/>
      <c r="Q2164" s="48"/>
      <c r="R2164" s="48"/>
      <c r="S2164" s="2"/>
    </row>
    <row r="2165" spans="1:19" ht="12.75" customHeight="1" x14ac:dyDescent="0.2">
      <c r="A2165" s="22"/>
      <c r="B2165" s="23" t="str">
        <f>IF(A2165="","",VLOOKUP(A2165,'6.A'!$A$11:$G$180,2,FALSE))</f>
        <v/>
      </c>
      <c r="C2165" s="99"/>
      <c r="D2165" s="57" t="str">
        <f>IF(A2165="","",VLOOKUP(A2165,'6.A'!$A$11:$G$180,4,FALSE))</f>
        <v/>
      </c>
      <c r="E2165" s="100" t="str">
        <f>IF(A2165="","",VLOOKUP(A2165,'6.A'!$A$11:$G$180,5,FALSE))</f>
        <v/>
      </c>
      <c r="F2165" s="24" t="str">
        <f t="shared" si="922"/>
        <v>0,00</v>
      </c>
      <c r="G2165" s="52"/>
      <c r="H2165" s="52" t="str">
        <f>IF(A2165="","",VLOOKUP(A2165,'6.A'!$A$11:$E$7984,5,FALSE))</f>
        <v/>
      </c>
      <c r="I2165" s="52" t="str">
        <f t="shared" si="923"/>
        <v/>
      </c>
      <c r="J2165" s="52" t="str">
        <f>IF(H2165="","",VLOOKUP(A2165,'6.A'!$A$11:$E$564,4,FALSE))</f>
        <v/>
      </c>
      <c r="K2165" s="52" t="str">
        <f t="shared" si="924"/>
        <v/>
      </c>
      <c r="L2165" s="52" t="str">
        <f>IF(H2165="","",IF(C2165="","",G2144*C2165))</f>
        <v/>
      </c>
      <c r="M2165" s="117" t="str">
        <f>IF(A2165="","",VLOOKUP(A2165,'6.A'!$A$11:$C$564,2,FALSE))</f>
        <v/>
      </c>
      <c r="N2165" s="57" t="str">
        <f t="shared" si="925"/>
        <v/>
      </c>
      <c r="O2165" s="56"/>
      <c r="P2165" s="56"/>
      <c r="Q2165" s="48"/>
      <c r="R2165" s="48"/>
      <c r="S2165" s="2"/>
    </row>
    <row r="2166" spans="1:19" ht="12.75" customHeight="1" x14ac:dyDescent="0.2">
      <c r="A2166" s="22"/>
      <c r="B2166" s="23" t="str">
        <f>IF(A2166="","",VLOOKUP(A2166,'6.A'!$A$11:$G$180,2,FALSE))</f>
        <v/>
      </c>
      <c r="C2166" s="99"/>
      <c r="D2166" s="57" t="str">
        <f>IF(A2166="","",VLOOKUP(A2166,'6.A'!$A$11:$G$180,4,FALSE))</f>
        <v/>
      </c>
      <c r="E2166" s="100" t="str">
        <f>IF(A2166="","",VLOOKUP(A2166,'6.A'!$A$11:$G$180,5,FALSE))</f>
        <v/>
      </c>
      <c r="F2166" s="24" t="str">
        <f t="shared" si="922"/>
        <v>0,00</v>
      </c>
      <c r="G2166" s="52"/>
      <c r="H2166" s="52" t="str">
        <f>IF(A2166="","",VLOOKUP(A2166,'6.A'!$A$11:$E$7984,5,FALSE))</f>
        <v/>
      </c>
      <c r="I2166" s="52" t="str">
        <f t="shared" si="923"/>
        <v/>
      </c>
      <c r="J2166" s="52" t="str">
        <f>IF(H2166="","",VLOOKUP(A2166,'6.A'!$A$11:$E$564,4,FALSE))</f>
        <v/>
      </c>
      <c r="K2166" s="52" t="str">
        <f t="shared" si="924"/>
        <v/>
      </c>
      <c r="L2166" s="52" t="str">
        <f>IF(H2166="","",IF(C2166="","",G2144*C2166))</f>
        <v/>
      </c>
      <c r="M2166" s="117" t="str">
        <f>IF(A2166="","",VLOOKUP(A2166,'6.A'!$A$11:$C$564,2,FALSE))</f>
        <v/>
      </c>
      <c r="N2166" s="57" t="str">
        <f>IF(A2166="","",IF(M2166=B2166,"si","no"))</f>
        <v/>
      </c>
      <c r="O2166" s="56"/>
      <c r="P2166" s="56"/>
      <c r="Q2166" s="48"/>
      <c r="R2166" s="48"/>
      <c r="S2166" s="2"/>
    </row>
    <row r="2167" spans="1:19" ht="12.75" customHeight="1" x14ac:dyDescent="0.2">
      <c r="A2167" s="22"/>
      <c r="B2167" s="23" t="str">
        <f>IF(A2167="","",VLOOKUP(A2167,'6.A'!$A$11:$G$180,2,FALSE))</f>
        <v/>
      </c>
      <c r="C2167" s="99"/>
      <c r="D2167" s="57" t="str">
        <f>IF(A2167="","",VLOOKUP(A2167,'6.A'!$A$11:$G$180,4,FALSE))</f>
        <v/>
      </c>
      <c r="E2167" s="100" t="str">
        <f>IF(A2167="","",VLOOKUP(A2167,'6.A'!$A$11:$G$180,5,FALSE))</f>
        <v/>
      </c>
      <c r="F2167" s="24" t="str">
        <f t="shared" si="922"/>
        <v>0,00</v>
      </c>
      <c r="G2167" s="52"/>
      <c r="H2167" s="52" t="str">
        <f>IF(A2167="","",VLOOKUP(A2167,'6.A'!$A$11:$E$7984,5,FALSE))</f>
        <v/>
      </c>
      <c r="I2167" s="52" t="str">
        <f t="shared" si="923"/>
        <v/>
      </c>
      <c r="J2167" s="52" t="str">
        <f>IF(H2167="","",VLOOKUP(A2167,'6.A'!$A$11:$E$564,4,FALSE))</f>
        <v/>
      </c>
      <c r="K2167" s="52" t="str">
        <f t="shared" si="924"/>
        <v/>
      </c>
      <c r="L2167" s="52" t="str">
        <f>IF(H2167="","",IF(C2167="","",G2144*C2167))</f>
        <v/>
      </c>
      <c r="M2167" s="117" t="str">
        <f>IF(A2167="","",VLOOKUP(A2167,'6.A'!$A$11:$C$564,2,FALSE))</f>
        <v/>
      </c>
      <c r="N2167" s="57" t="str">
        <f>IF(A2167="","",IF(M2167=B2167,"si","no"))</f>
        <v/>
      </c>
      <c r="O2167" s="56"/>
      <c r="P2167" s="56"/>
      <c r="Q2167" s="48"/>
      <c r="R2167" s="48"/>
      <c r="S2167" s="2"/>
    </row>
    <row r="2168" spans="1:19" ht="12.75" customHeight="1" x14ac:dyDescent="0.2">
      <c r="A2168" s="22"/>
      <c r="B2168" s="23" t="str">
        <f>IF(A2168="","",VLOOKUP(A2168,'6.A'!$A$11:$G$180,2,FALSE))</f>
        <v/>
      </c>
      <c r="C2168" s="99"/>
      <c r="D2168" s="57" t="str">
        <f>IF(A2168="","",VLOOKUP(A2168,'6.A'!$A$11:$G$180,4,FALSE))</f>
        <v/>
      </c>
      <c r="E2168" s="100" t="str">
        <f>IF(A2168="","",VLOOKUP(A2168,'6.A'!$A$11:$G$180,5,FALSE))</f>
        <v/>
      </c>
      <c r="F2168" s="24" t="str">
        <f t="shared" si="922"/>
        <v>0,00</v>
      </c>
      <c r="G2168" s="52"/>
      <c r="H2168" s="52" t="str">
        <f>IF(A2168="","",VLOOKUP(A2168,'6.A'!$A$11:$E$7984,5,FALSE))</f>
        <v/>
      </c>
      <c r="I2168" s="52" t="str">
        <f t="shared" si="923"/>
        <v/>
      </c>
      <c r="J2168" s="52" t="str">
        <f>IF(H2168="","",VLOOKUP(A2168,'6.A'!$A$11:$E$564,4,FALSE))</f>
        <v/>
      </c>
      <c r="K2168" s="52" t="str">
        <f t="shared" si="924"/>
        <v/>
      </c>
      <c r="L2168" s="52" t="str">
        <f>IF(H2168="","",IF(C2168="","",G2144*C2168))</f>
        <v/>
      </c>
      <c r="M2168" s="117" t="str">
        <f>IF(A2168="","",VLOOKUP(A2168,'6.A'!$A$11:$C$564,2,FALSE))</f>
        <v/>
      </c>
      <c r="N2168" s="57" t="str">
        <f t="shared" ref="N2168:N2169" si="926">IF(A2168="","",IF(M2168=B2168,"si","no"))</f>
        <v/>
      </c>
      <c r="O2168" s="56"/>
      <c r="P2168" s="56"/>
      <c r="Q2168" s="48"/>
      <c r="R2168" s="48"/>
      <c r="S2168" s="2"/>
    </row>
    <row r="2169" spans="1:19" ht="12.75" customHeight="1" x14ac:dyDescent="0.2">
      <c r="A2169" s="22"/>
      <c r="B2169" s="23" t="str">
        <f>IF(A2169="","",VLOOKUP(A2169,'6.A'!$A$11:$G$180,2,FALSE))</f>
        <v/>
      </c>
      <c r="C2169" s="99"/>
      <c r="D2169" s="57" t="str">
        <f>IF(A2169="","",VLOOKUP(A2169,'6.A'!$A$11:$G$180,4,FALSE))</f>
        <v/>
      </c>
      <c r="E2169" s="100" t="str">
        <f>IF(A2169="","",VLOOKUP(A2169,'6.A'!$A$11:$G$180,5,FALSE))</f>
        <v/>
      </c>
      <c r="F2169" s="24" t="str">
        <f t="shared" si="922"/>
        <v>0,00</v>
      </c>
      <c r="G2169" s="52"/>
      <c r="H2169" s="52" t="str">
        <f>IF(A2169="","",VLOOKUP(A2169,'6.A'!$A$11:$E$7984,5,FALSE))</f>
        <v/>
      </c>
      <c r="I2169" s="52" t="str">
        <f t="shared" si="923"/>
        <v/>
      </c>
      <c r="J2169" s="52" t="str">
        <f>IF(H2169="","",VLOOKUP(A2169,'6.A'!$A$11:$E$564,4,FALSE))</f>
        <v/>
      </c>
      <c r="K2169" s="52" t="str">
        <f t="shared" si="924"/>
        <v/>
      </c>
      <c r="L2169" s="52" t="str">
        <f>IF(H2169="","",IF(C2169="","",G2144*C2169))</f>
        <v/>
      </c>
      <c r="M2169" s="117" t="str">
        <f>IF(A2169="","",VLOOKUP(A2169,'6.A'!$A$11:$C$564,2,FALSE))</f>
        <v/>
      </c>
      <c r="N2169" s="57" t="str">
        <f t="shared" si="926"/>
        <v/>
      </c>
      <c r="O2169" s="56"/>
      <c r="P2169" s="56"/>
      <c r="Q2169" s="48"/>
      <c r="R2169" s="48"/>
      <c r="S2169" s="2"/>
    </row>
    <row r="2170" spans="1:19" ht="12.75" customHeight="1" x14ac:dyDescent="0.2">
      <c r="A2170" s="22"/>
      <c r="B2170" s="26" t="str">
        <f>$A$9</f>
        <v>BDI</v>
      </c>
      <c r="C2170" s="27">
        <f>$C$9</f>
        <v>0</v>
      </c>
      <c r="D2170" s="57"/>
      <c r="F2170" s="28">
        <f>ROUND(SUM(F2160:F2169)*C2170,2)</f>
        <v>0</v>
      </c>
      <c r="G2170" s="63"/>
      <c r="M2170" s="62"/>
      <c r="N2170" s="57"/>
      <c r="O2170" s="56"/>
      <c r="P2170" s="56"/>
      <c r="Q2170" s="48"/>
      <c r="R2170" s="48"/>
      <c r="S2170" s="2"/>
    </row>
    <row r="2171" spans="1:19" ht="12.75" customHeight="1" x14ac:dyDescent="0.2">
      <c r="A2171" s="30"/>
      <c r="B2171" s="31" t="s">
        <v>117</v>
      </c>
      <c r="C2171" s="36"/>
      <c r="D2171" s="37"/>
      <c r="E2171" s="38"/>
      <c r="F2171" s="35">
        <f>ROUND(SUM(F2160:F2170),2)</f>
        <v>0</v>
      </c>
      <c r="G2171" s="63"/>
      <c r="M2171" s="62"/>
      <c r="N2171" s="57"/>
      <c r="O2171" s="56"/>
      <c r="P2171" s="56"/>
      <c r="Q2171" s="48"/>
      <c r="R2171" s="48"/>
      <c r="S2171" s="2"/>
    </row>
    <row r="2172" spans="1:19" ht="12.75" customHeight="1" x14ac:dyDescent="0.2">
      <c r="A2172" s="17" t="s">
        <v>6</v>
      </c>
      <c r="B2172" s="18" t="s">
        <v>17</v>
      </c>
      <c r="C2172" s="56" t="s">
        <v>59</v>
      </c>
      <c r="D2172" s="56" t="s">
        <v>16</v>
      </c>
      <c r="E2172" s="19" t="s">
        <v>60</v>
      </c>
      <c r="F2172" s="20" t="s">
        <v>61</v>
      </c>
      <c r="G2172" s="21"/>
      <c r="M2172" s="62"/>
      <c r="N2172" s="57"/>
      <c r="O2172" s="56"/>
      <c r="P2172" s="56"/>
      <c r="Q2172" s="48"/>
      <c r="R2172" s="48"/>
      <c r="S2172" s="2"/>
    </row>
    <row r="2173" spans="1:19" ht="12.75" customHeight="1" x14ac:dyDescent="0.2">
      <c r="A2173" s="22">
        <f>'6.A'!$A$92</f>
        <v>1590</v>
      </c>
      <c r="B2173" s="23" t="str">
        <f>IF(A2173="","",VLOOKUP(A2173,'6.A'!$A$11:$G$180,2,FALSE))</f>
        <v>TERMINAL METALICO A PRESSAO PARA 1 CABO DE 95 MM2, COM 1 FURO DE FIXACAO</v>
      </c>
      <c r="C2173" s="99">
        <v>1</v>
      </c>
      <c r="D2173" s="57" t="str">
        <f>IF(A2173="","",VLOOKUP(A2173,'6.A'!$A$11:$G$180,4,FALSE))</f>
        <v>UN</v>
      </c>
      <c r="E2173" s="100">
        <f>IF(A2173="","",VLOOKUP(A2173,'6.A'!$A$11:$G$180,5,FALSE))</f>
        <v>0</v>
      </c>
      <c r="F2173" s="24">
        <f t="shared" ref="F2173:F2192" si="927">IF(A2173="","0,00",ROUND(C2173*E2173,2))</f>
        <v>0</v>
      </c>
      <c r="G2173" s="52"/>
      <c r="H2173" s="52">
        <f>IF(A2173="","",VLOOKUP(A2173,'6.A'!$A$11:$E$7984,5,FALSE))</f>
        <v>0</v>
      </c>
      <c r="I2173" s="52" t="str">
        <f t="shared" ref="I2173:I2192" si="928">IF(H2173="","",IF(E2173=H2173,"SIM","NÃO"))</f>
        <v>SIM</v>
      </c>
      <c r="J2173" s="52" t="str">
        <f>IF(H2173="","",VLOOKUP(A2173,'6.A'!$A$11:$E$564,4,FALSE))</f>
        <v>UN</v>
      </c>
      <c r="K2173" s="52" t="str">
        <f t="shared" ref="K2173:K2192" si="929">IF(H2173="","",IF(J2173=D2173,"SIM","NÃO"))</f>
        <v>SIM</v>
      </c>
      <c r="L2173" s="52">
        <f>IF(H2173="","",IF(C2173="","",G2144*C2173))</f>
        <v>2</v>
      </c>
      <c r="M2173" s="117" t="str">
        <f>IF(A2173="","",VLOOKUP(A2173,'6.A'!$A$11:$C$564,2,FALSE))</f>
        <v>TERMINAL METALICO A PRESSAO PARA 1 CABO DE 95 MM2, COM 1 FURO DE FIXACAO</v>
      </c>
      <c r="N2173" s="57" t="str">
        <f t="shared" ref="N2173:N2192" si="930">IF(A2173="","",IF(M2173=B2173,"si","no"))</f>
        <v>si</v>
      </c>
      <c r="O2173" s="56"/>
      <c r="P2173" s="56"/>
      <c r="Q2173" s="48"/>
      <c r="R2173" s="48"/>
      <c r="S2173" s="2"/>
    </row>
    <row r="2174" spans="1:19" ht="12.75" customHeight="1" x14ac:dyDescent="0.2">
      <c r="A2174" s="22"/>
      <c r="B2174" s="23" t="str">
        <f>IF(A2174="","",VLOOKUP(A2174,'6.A'!$A$11:$G$180,2,FALSE))</f>
        <v/>
      </c>
      <c r="C2174" s="99"/>
      <c r="D2174" s="57" t="str">
        <f>IF(A2174="","",VLOOKUP(A2174,'6.A'!$A$11:$G$180,4,FALSE))</f>
        <v/>
      </c>
      <c r="E2174" s="100" t="str">
        <f>IF(A2174="","",VLOOKUP(A2174,'6.A'!$A$11:$G$180,5,FALSE))</f>
        <v/>
      </c>
      <c r="F2174" s="24" t="str">
        <f t="shared" si="927"/>
        <v>0,00</v>
      </c>
      <c r="G2174" s="52"/>
      <c r="H2174" s="52" t="str">
        <f>IF(A2174="","",VLOOKUP(A2174,'6.A'!$A$11:$E$7984,5,FALSE))</f>
        <v/>
      </c>
      <c r="I2174" s="52" t="str">
        <f t="shared" si="928"/>
        <v/>
      </c>
      <c r="J2174" s="52" t="str">
        <f>IF(H2174="","",VLOOKUP(A2174,'6.A'!$A$11:$E$564,4,FALSE))</f>
        <v/>
      </c>
      <c r="K2174" s="52" t="str">
        <f t="shared" si="929"/>
        <v/>
      </c>
      <c r="L2174" s="52" t="str">
        <f>IF(H2174="","",IF(C2174="","",G2144*C2174))</f>
        <v/>
      </c>
      <c r="M2174" s="117" t="str">
        <f>IF(A2174="","",VLOOKUP(A2174,'6.A'!$A$11:$C$564,2,FALSE))</f>
        <v/>
      </c>
      <c r="N2174" s="57" t="str">
        <f t="shared" si="930"/>
        <v/>
      </c>
      <c r="O2174" s="56"/>
      <c r="P2174" s="56"/>
      <c r="Q2174" s="48"/>
      <c r="R2174" s="48"/>
      <c r="S2174" s="2"/>
    </row>
    <row r="2175" spans="1:19" ht="12.75" customHeight="1" x14ac:dyDescent="0.2">
      <c r="A2175" s="22"/>
      <c r="B2175" s="23" t="str">
        <f>IF(A2175="","",VLOOKUP(A2175,'6.A'!$A$11:$G$180,2,FALSE))</f>
        <v/>
      </c>
      <c r="C2175" s="99"/>
      <c r="D2175" s="57" t="str">
        <f>IF(A2175="","",VLOOKUP(A2175,'6.A'!$A$11:$G$180,4,FALSE))</f>
        <v/>
      </c>
      <c r="E2175" s="100" t="str">
        <f>IF(A2175="","",VLOOKUP(A2175,'6.A'!$A$11:$G$180,5,FALSE))</f>
        <v/>
      </c>
      <c r="F2175" s="24" t="str">
        <f t="shared" si="927"/>
        <v>0,00</v>
      </c>
      <c r="G2175" s="52"/>
      <c r="H2175" s="52" t="str">
        <f>IF(A2175="","",VLOOKUP(A2175,'6.A'!$A$11:$E$7984,5,FALSE))</f>
        <v/>
      </c>
      <c r="I2175" s="52" t="str">
        <f t="shared" si="928"/>
        <v/>
      </c>
      <c r="J2175" s="52" t="str">
        <f>IF(H2175="","",VLOOKUP(A2175,'6.A'!$A$11:$E$564,4,FALSE))</f>
        <v/>
      </c>
      <c r="K2175" s="52" t="str">
        <f t="shared" si="929"/>
        <v/>
      </c>
      <c r="L2175" s="52" t="str">
        <f>IF(H2175="","",IF(C2175="","",G2144*C2175))</f>
        <v/>
      </c>
      <c r="M2175" s="117" t="str">
        <f>IF(A2175="","",VLOOKUP(A2175,'6.A'!$A$11:$C$564,2,FALSE))</f>
        <v/>
      </c>
      <c r="N2175" s="57" t="str">
        <f t="shared" si="930"/>
        <v/>
      </c>
      <c r="O2175" s="56"/>
      <c r="P2175" s="56"/>
      <c r="Q2175" s="48"/>
      <c r="R2175" s="48"/>
      <c r="S2175" s="2"/>
    </row>
    <row r="2176" spans="1:19" ht="12.75" customHeight="1" x14ac:dyDescent="0.2">
      <c r="A2176" s="22"/>
      <c r="B2176" s="23" t="str">
        <f>IF(A2176="","",VLOOKUP(A2176,'6.A'!$A$11:$G$180,2,FALSE))</f>
        <v/>
      </c>
      <c r="C2176" s="99"/>
      <c r="D2176" s="57" t="str">
        <f>IF(A2176="","",VLOOKUP(A2176,'6.A'!$A$11:$G$180,4,FALSE))</f>
        <v/>
      </c>
      <c r="E2176" s="100" t="str">
        <f>IF(A2176="","",VLOOKUP(A2176,'6.A'!$A$11:$G$180,5,FALSE))</f>
        <v/>
      </c>
      <c r="F2176" s="24" t="str">
        <f t="shared" si="927"/>
        <v>0,00</v>
      </c>
      <c r="G2176" s="52"/>
      <c r="H2176" s="52" t="str">
        <f>IF(A2176="","",VLOOKUP(A2176,'6.A'!$A$11:$E$7984,5,FALSE))</f>
        <v/>
      </c>
      <c r="I2176" s="52" t="str">
        <f t="shared" si="928"/>
        <v/>
      </c>
      <c r="J2176" s="52" t="str">
        <f>IF(H2176="","",VLOOKUP(A2176,'6.A'!$A$11:$E$564,4,FALSE))</f>
        <v/>
      </c>
      <c r="K2176" s="52" t="str">
        <f t="shared" si="929"/>
        <v/>
      </c>
      <c r="L2176" s="52" t="str">
        <f>IF(H2176="","",IF(C2176="","",G2144*C2176))</f>
        <v/>
      </c>
      <c r="M2176" s="117" t="str">
        <f>IF(A2176="","",VLOOKUP(A2176,'6.A'!$A$11:$C$564,2,FALSE))</f>
        <v/>
      </c>
      <c r="N2176" s="57" t="str">
        <f t="shared" si="930"/>
        <v/>
      </c>
      <c r="O2176" s="56"/>
      <c r="P2176" s="56"/>
      <c r="Q2176" s="48"/>
      <c r="R2176" s="48"/>
      <c r="S2176" s="2"/>
    </row>
    <row r="2177" spans="1:22" ht="12.75" customHeight="1" x14ac:dyDescent="0.2">
      <c r="A2177" s="22"/>
      <c r="B2177" s="23" t="str">
        <f>IF(A2177="","",VLOOKUP(A2177,'6.A'!$A$11:$G$180,2,FALSE))</f>
        <v/>
      </c>
      <c r="C2177" s="99"/>
      <c r="D2177" s="57" t="str">
        <f>IF(A2177="","",VLOOKUP(A2177,'6.A'!$A$11:$G$180,4,FALSE))</f>
        <v/>
      </c>
      <c r="E2177" s="100" t="str">
        <f>IF(A2177="","",VLOOKUP(A2177,'6.A'!$A$11:$G$180,5,FALSE))</f>
        <v/>
      </c>
      <c r="F2177" s="24" t="str">
        <f t="shared" si="927"/>
        <v>0,00</v>
      </c>
      <c r="G2177" s="52"/>
      <c r="H2177" s="52" t="str">
        <f>IF(A2177="","",VLOOKUP(A2177,'6.A'!$A$11:$E$7984,5,FALSE))</f>
        <v/>
      </c>
      <c r="I2177" s="52" t="str">
        <f t="shared" si="928"/>
        <v/>
      </c>
      <c r="J2177" s="52" t="str">
        <f>IF(H2177="","",VLOOKUP(A2177,'6.A'!$A$11:$E$564,4,FALSE))</f>
        <v/>
      </c>
      <c r="K2177" s="52" t="str">
        <f t="shared" si="929"/>
        <v/>
      </c>
      <c r="L2177" s="52" t="str">
        <f>IF(H2177="","",IF(C2177="","",G2144*C2177))</f>
        <v/>
      </c>
      <c r="M2177" s="117" t="str">
        <f>IF(A2177="","",VLOOKUP(A2177,'6.A'!$A$11:$C$564,2,FALSE))</f>
        <v/>
      </c>
      <c r="N2177" s="57" t="str">
        <f t="shared" si="930"/>
        <v/>
      </c>
      <c r="O2177" s="56"/>
      <c r="P2177" s="56"/>
      <c r="Q2177" s="48"/>
      <c r="R2177" s="48"/>
      <c r="S2177" s="2"/>
    </row>
    <row r="2178" spans="1:22" ht="12.75" customHeight="1" x14ac:dyDescent="0.2">
      <c r="A2178" s="22"/>
      <c r="B2178" s="23" t="str">
        <f>IF(A2178="","",VLOOKUP(A2178,'6.A'!$A$11:$G$180,2,FALSE))</f>
        <v/>
      </c>
      <c r="C2178" s="99"/>
      <c r="D2178" s="57" t="str">
        <f>IF(A2178="","",VLOOKUP(A2178,'6.A'!$A$11:$G$180,4,FALSE))</f>
        <v/>
      </c>
      <c r="E2178" s="100" t="str">
        <f>IF(A2178="","",VLOOKUP(A2178,'6.A'!$A$11:$G$180,5,FALSE))</f>
        <v/>
      </c>
      <c r="F2178" s="24" t="str">
        <f t="shared" si="927"/>
        <v>0,00</v>
      </c>
      <c r="G2178" s="52"/>
      <c r="H2178" s="52" t="str">
        <f>IF(A2178="","",VLOOKUP(A2178,'6.A'!$A$11:$E$7984,5,FALSE))</f>
        <v/>
      </c>
      <c r="I2178" s="52" t="str">
        <f t="shared" si="928"/>
        <v/>
      </c>
      <c r="J2178" s="52" t="str">
        <f>IF(H2178="","",VLOOKUP(A2178,'6.A'!$A$11:$E$564,4,FALSE))</f>
        <v/>
      </c>
      <c r="K2178" s="52" t="str">
        <f t="shared" si="929"/>
        <v/>
      </c>
      <c r="L2178" s="52" t="str">
        <f>IF(H2178="","",IF(C2178="","",G2144*C2178))</f>
        <v/>
      </c>
      <c r="M2178" s="117" t="str">
        <f>IF(A2178="","",VLOOKUP(A2178,'6.A'!$A$11:$C$564,2,FALSE))</f>
        <v/>
      </c>
      <c r="N2178" s="57" t="str">
        <f t="shared" si="930"/>
        <v/>
      </c>
      <c r="O2178" s="56"/>
      <c r="P2178" s="56"/>
      <c r="Q2178" s="48"/>
      <c r="R2178" s="48"/>
      <c r="S2178" s="2"/>
    </row>
    <row r="2179" spans="1:22" ht="12.75" customHeight="1" x14ac:dyDescent="0.2">
      <c r="A2179" s="22"/>
      <c r="B2179" s="23" t="str">
        <f>IF(A2179="","",VLOOKUP(A2179,'6.A'!$A$11:$G$180,2,FALSE))</f>
        <v/>
      </c>
      <c r="C2179" s="99"/>
      <c r="D2179" s="57" t="str">
        <f>IF(A2179="","",VLOOKUP(A2179,'6.A'!$A$11:$G$180,4,FALSE))</f>
        <v/>
      </c>
      <c r="E2179" s="100" t="str">
        <f>IF(A2179="","",VLOOKUP(A2179,'6.A'!$A$11:$G$180,5,FALSE))</f>
        <v/>
      </c>
      <c r="F2179" s="24" t="str">
        <f t="shared" si="927"/>
        <v>0,00</v>
      </c>
      <c r="G2179" s="52"/>
      <c r="H2179" s="52" t="str">
        <f>IF(A2179="","",VLOOKUP(A2179,'6.A'!$A$11:$E$7984,5,FALSE))</f>
        <v/>
      </c>
      <c r="I2179" s="52" t="str">
        <f t="shared" si="928"/>
        <v/>
      </c>
      <c r="J2179" s="52" t="str">
        <f>IF(H2179="","",VLOOKUP(A2179,'6.A'!$A$11:$E$564,4,FALSE))</f>
        <v/>
      </c>
      <c r="K2179" s="52" t="str">
        <f t="shared" si="929"/>
        <v/>
      </c>
      <c r="L2179" s="52" t="str">
        <f>IF(H2179="","",IF(C2179="","",G2144*C2179))</f>
        <v/>
      </c>
      <c r="M2179" s="117" t="str">
        <f>IF(A2179="","",VLOOKUP(A2179,'6.A'!$A$11:$C$564,2,FALSE))</f>
        <v/>
      </c>
      <c r="N2179" s="57" t="str">
        <f t="shared" si="930"/>
        <v/>
      </c>
      <c r="O2179" s="56"/>
      <c r="P2179" s="56"/>
      <c r="Q2179" s="48"/>
      <c r="R2179" s="48"/>
      <c r="S2179" s="2"/>
    </row>
    <row r="2180" spans="1:22" s="65" customFormat="1" ht="12.75" customHeight="1" x14ac:dyDescent="0.2">
      <c r="A2180" s="22"/>
      <c r="B2180" s="23" t="str">
        <f>IF(A2180="","",VLOOKUP(A2180,'6.A'!$A$11:$G$180,2,FALSE))</f>
        <v/>
      </c>
      <c r="C2180" s="99"/>
      <c r="D2180" s="57" t="str">
        <f>IF(A2180="","",VLOOKUP(A2180,'6.A'!$A$11:$G$180,4,FALSE))</f>
        <v/>
      </c>
      <c r="E2180" s="100" t="str">
        <f>IF(A2180="","",VLOOKUP(A2180,'6.A'!$A$11:$G$180,5,FALSE))</f>
        <v/>
      </c>
      <c r="F2180" s="24" t="str">
        <f t="shared" si="927"/>
        <v>0,00</v>
      </c>
      <c r="G2180" s="52"/>
      <c r="H2180" s="52" t="str">
        <f>IF(A2180="","",VLOOKUP(A2180,'6.A'!$A$11:$E$7984,5,FALSE))</f>
        <v/>
      </c>
      <c r="I2180" s="52" t="str">
        <f t="shared" si="928"/>
        <v/>
      </c>
      <c r="J2180" s="52" t="str">
        <f>IF(H2180="","",VLOOKUP(A2180,'6.A'!$A$11:$E$564,4,FALSE))</f>
        <v/>
      </c>
      <c r="K2180" s="52" t="str">
        <f t="shared" si="929"/>
        <v/>
      </c>
      <c r="L2180" s="52" t="str">
        <f>IF(H2180="","",IF(C2180="","",G2144*C2180))</f>
        <v/>
      </c>
      <c r="M2180" s="117" t="str">
        <f>IF(A2180="","",VLOOKUP(A2180,'6.A'!$A$11:$C$564,2,FALSE))</f>
        <v/>
      </c>
      <c r="N2180" s="57" t="str">
        <f t="shared" si="930"/>
        <v/>
      </c>
      <c r="O2180" s="56"/>
      <c r="P2180" s="56"/>
      <c r="Q2180" s="48"/>
      <c r="R2180" s="48"/>
      <c r="T2180" s="2"/>
      <c r="U2180" s="2"/>
      <c r="V2180" s="2"/>
    </row>
    <row r="2181" spans="1:22" s="65" customFormat="1" ht="12.75" customHeight="1" x14ac:dyDescent="0.2">
      <c r="A2181" s="22"/>
      <c r="B2181" s="23" t="str">
        <f>IF(A2181="","",VLOOKUP(A2181,'6.A'!$A$11:$G$180,2,FALSE))</f>
        <v/>
      </c>
      <c r="C2181" s="99"/>
      <c r="D2181" s="57" t="str">
        <f>IF(A2181="","",VLOOKUP(A2181,'6.A'!$A$11:$G$180,4,FALSE))</f>
        <v/>
      </c>
      <c r="E2181" s="100" t="str">
        <f>IF(A2181="","",VLOOKUP(A2181,'6.A'!$A$11:$G$180,5,FALSE))</f>
        <v/>
      </c>
      <c r="F2181" s="24" t="str">
        <f t="shared" si="927"/>
        <v>0,00</v>
      </c>
      <c r="G2181" s="52"/>
      <c r="H2181" s="52" t="str">
        <f>IF(A2181="","",VLOOKUP(A2181,'6.A'!$A$11:$E$7984,5,FALSE))</f>
        <v/>
      </c>
      <c r="I2181" s="52" t="str">
        <f t="shared" si="928"/>
        <v/>
      </c>
      <c r="J2181" s="52" t="str">
        <f>IF(H2181="","",VLOOKUP(A2181,'6.A'!$A$11:$E$564,4,FALSE))</f>
        <v/>
      </c>
      <c r="K2181" s="52" t="str">
        <f t="shared" si="929"/>
        <v/>
      </c>
      <c r="L2181" s="52" t="str">
        <f>IF(H2181="","",IF(C2181="","",G2144*C2181))</f>
        <v/>
      </c>
      <c r="M2181" s="117" t="str">
        <f>IF(A2181="","",VLOOKUP(A2181,'6.A'!$A$11:$C$564,2,FALSE))</f>
        <v/>
      </c>
      <c r="N2181" s="57" t="str">
        <f t="shared" si="930"/>
        <v/>
      </c>
      <c r="O2181" s="56"/>
      <c r="P2181" s="56"/>
      <c r="Q2181" s="48"/>
      <c r="R2181" s="48"/>
      <c r="T2181" s="2"/>
      <c r="U2181" s="2"/>
      <c r="V2181" s="2"/>
    </row>
    <row r="2182" spans="1:22" s="65" customFormat="1" ht="12.75" customHeight="1" x14ac:dyDescent="0.2">
      <c r="A2182" s="22"/>
      <c r="B2182" s="23" t="str">
        <f>IF(A2182="","",VLOOKUP(A2182,'6.A'!$A$11:$G$180,2,FALSE))</f>
        <v/>
      </c>
      <c r="C2182" s="99"/>
      <c r="D2182" s="57" t="str">
        <f>IF(A2182="","",VLOOKUP(A2182,'6.A'!$A$11:$G$180,4,FALSE))</f>
        <v/>
      </c>
      <c r="E2182" s="100" t="str">
        <f>IF(A2182="","",VLOOKUP(A2182,'6.A'!$A$11:$G$180,5,FALSE))</f>
        <v/>
      </c>
      <c r="F2182" s="24" t="str">
        <f t="shared" si="927"/>
        <v>0,00</v>
      </c>
      <c r="G2182" s="52"/>
      <c r="H2182" s="52" t="str">
        <f>IF(A2182="","",VLOOKUP(A2182,'6.A'!$A$11:$E$7984,5,FALSE))</f>
        <v/>
      </c>
      <c r="I2182" s="52" t="str">
        <f t="shared" si="928"/>
        <v/>
      </c>
      <c r="J2182" s="52" t="str">
        <f>IF(H2182="","",VLOOKUP(A2182,'6.A'!$A$11:$E$564,4,FALSE))</f>
        <v/>
      </c>
      <c r="K2182" s="52" t="str">
        <f t="shared" si="929"/>
        <v/>
      </c>
      <c r="L2182" s="52" t="str">
        <f>IF(H2182="","",IF(C2182="","",G2144*C2182))</f>
        <v/>
      </c>
      <c r="M2182" s="117" t="str">
        <f>IF(A2182="","",VLOOKUP(A2182,'6.A'!$A$11:$C$564,2,FALSE))</f>
        <v/>
      </c>
      <c r="N2182" s="57" t="str">
        <f t="shared" si="930"/>
        <v/>
      </c>
      <c r="O2182" s="56"/>
      <c r="P2182" s="56"/>
      <c r="Q2182" s="48"/>
      <c r="R2182" s="48"/>
      <c r="T2182" s="2"/>
      <c r="U2182" s="2"/>
      <c r="V2182" s="2"/>
    </row>
    <row r="2183" spans="1:22" s="65" customFormat="1" ht="12.75" customHeight="1" x14ac:dyDescent="0.2">
      <c r="A2183" s="22"/>
      <c r="B2183" s="23" t="str">
        <f>IF(A2183="","",VLOOKUP(A2183,'6.A'!$A$11:$G$180,2,FALSE))</f>
        <v/>
      </c>
      <c r="C2183" s="99"/>
      <c r="D2183" s="57" t="str">
        <f>IF(A2183="","",VLOOKUP(A2183,'6.A'!$A$11:$G$180,4,FALSE))</f>
        <v/>
      </c>
      <c r="E2183" s="100" t="str">
        <f>IF(A2183="","",VLOOKUP(A2183,'6.A'!$A$11:$G$180,5,FALSE))</f>
        <v/>
      </c>
      <c r="F2183" s="24" t="str">
        <f t="shared" si="927"/>
        <v>0,00</v>
      </c>
      <c r="G2183" s="52"/>
      <c r="H2183" s="52" t="str">
        <f>IF(A2183="","",VLOOKUP(A2183,'6.A'!$A$11:$E$7984,5,FALSE))</f>
        <v/>
      </c>
      <c r="I2183" s="52" t="str">
        <f t="shared" si="928"/>
        <v/>
      </c>
      <c r="J2183" s="52" t="str">
        <f>IF(H2183="","",VLOOKUP(A2183,'6.A'!$A$11:$E$564,4,FALSE))</f>
        <v/>
      </c>
      <c r="K2183" s="52" t="str">
        <f t="shared" si="929"/>
        <v/>
      </c>
      <c r="L2183" s="52" t="str">
        <f>IF(H2183="","",IF(C2183="","",G2144*C2183))</f>
        <v/>
      </c>
      <c r="M2183" s="117" t="str">
        <f>IF(A2183="","",VLOOKUP(A2183,'6.A'!$A$11:$C$564,2,FALSE))</f>
        <v/>
      </c>
      <c r="N2183" s="57" t="str">
        <f t="shared" si="930"/>
        <v/>
      </c>
      <c r="O2183" s="56"/>
      <c r="P2183" s="56"/>
      <c r="Q2183" s="48"/>
      <c r="R2183" s="48"/>
      <c r="T2183" s="2"/>
      <c r="U2183" s="2"/>
      <c r="V2183" s="2"/>
    </row>
    <row r="2184" spans="1:22" ht="12.75" customHeight="1" x14ac:dyDescent="0.2">
      <c r="A2184" s="22"/>
      <c r="B2184" s="23" t="str">
        <f>IF(A2184="","",VLOOKUP(A2184,'6.A'!$A$11:$G$180,2,FALSE))</f>
        <v/>
      </c>
      <c r="C2184" s="99"/>
      <c r="D2184" s="57" t="str">
        <f>IF(A2184="","",VLOOKUP(A2184,'6.A'!$A$11:$G$180,4,FALSE))</f>
        <v/>
      </c>
      <c r="E2184" s="100" t="str">
        <f>IF(A2184="","",VLOOKUP(A2184,'6.A'!$A$11:$G$180,5,FALSE))</f>
        <v/>
      </c>
      <c r="F2184" s="24" t="str">
        <f t="shared" si="927"/>
        <v>0,00</v>
      </c>
      <c r="G2184" s="52"/>
      <c r="H2184" s="52" t="str">
        <f>IF(A2184="","",VLOOKUP(A2184,'6.A'!$A$11:$E$7984,5,FALSE))</f>
        <v/>
      </c>
      <c r="I2184" s="52" t="str">
        <f t="shared" si="928"/>
        <v/>
      </c>
      <c r="J2184" s="52" t="str">
        <f>IF(H2184="","",VLOOKUP(A2184,'6.A'!$A$11:$E$564,4,FALSE))</f>
        <v/>
      </c>
      <c r="K2184" s="52" t="str">
        <f t="shared" si="929"/>
        <v/>
      </c>
      <c r="L2184" s="52" t="str">
        <f>IF(H2184="","",IF(C2184="","",G2144*C2184))</f>
        <v/>
      </c>
      <c r="M2184" s="117" t="str">
        <f>IF(A2184="","",VLOOKUP(A2184,'6.A'!$A$11:$C$564,2,FALSE))</f>
        <v/>
      </c>
      <c r="N2184" s="57" t="str">
        <f t="shared" si="930"/>
        <v/>
      </c>
      <c r="O2184" s="56"/>
      <c r="P2184" s="56"/>
      <c r="Q2184" s="48"/>
      <c r="R2184" s="48"/>
    </row>
    <row r="2185" spans="1:22" ht="12.75" customHeight="1" x14ac:dyDescent="0.2">
      <c r="A2185" s="22"/>
      <c r="B2185" s="23" t="str">
        <f>IF(A2185="","",VLOOKUP(A2185,'6.A'!$A$11:$G$180,2,FALSE))</f>
        <v/>
      </c>
      <c r="C2185" s="99"/>
      <c r="D2185" s="57" t="str">
        <f>IF(A2185="","",VLOOKUP(A2185,'6.A'!$A$11:$G$180,4,FALSE))</f>
        <v/>
      </c>
      <c r="E2185" s="100" t="str">
        <f>IF(A2185="","",VLOOKUP(A2185,'6.A'!$A$11:$G$180,5,FALSE))</f>
        <v/>
      </c>
      <c r="F2185" s="24" t="str">
        <f t="shared" si="927"/>
        <v>0,00</v>
      </c>
      <c r="G2185" s="52"/>
      <c r="H2185" s="52" t="str">
        <f>IF(A2185="","",VLOOKUP(A2185,'6.A'!$A$11:$E$7984,5,FALSE))</f>
        <v/>
      </c>
      <c r="I2185" s="52" t="str">
        <f t="shared" si="928"/>
        <v/>
      </c>
      <c r="J2185" s="52" t="str">
        <f>IF(H2185="","",VLOOKUP(A2185,'6.A'!$A$11:$E$564,4,FALSE))</f>
        <v/>
      </c>
      <c r="K2185" s="52" t="str">
        <f t="shared" si="929"/>
        <v/>
      </c>
      <c r="L2185" s="52" t="str">
        <f>IF(H2185="","",IF(C2185="","",G2144*C2185))</f>
        <v/>
      </c>
      <c r="M2185" s="117" t="str">
        <f>IF(A2185="","",VLOOKUP(A2185,'6.A'!$A$11:$C$564,2,FALSE))</f>
        <v/>
      </c>
      <c r="N2185" s="57" t="str">
        <f t="shared" si="930"/>
        <v/>
      </c>
      <c r="O2185" s="56"/>
      <c r="P2185" s="56"/>
      <c r="Q2185" s="48"/>
      <c r="R2185" s="48"/>
    </row>
    <row r="2186" spans="1:22" ht="12.75" customHeight="1" x14ac:dyDescent="0.2">
      <c r="A2186" s="22"/>
      <c r="B2186" s="23" t="str">
        <f>IF(A2186="","",VLOOKUP(A2186,'6.A'!$A$11:$G$180,2,FALSE))</f>
        <v/>
      </c>
      <c r="C2186" s="99"/>
      <c r="D2186" s="57" t="str">
        <f>IF(A2186="","",VLOOKUP(A2186,'6.A'!$A$11:$G$180,4,FALSE))</f>
        <v/>
      </c>
      <c r="E2186" s="100" t="str">
        <f>IF(A2186="","",VLOOKUP(A2186,'6.A'!$A$11:$G$180,5,FALSE))</f>
        <v/>
      </c>
      <c r="F2186" s="24" t="str">
        <f t="shared" si="927"/>
        <v>0,00</v>
      </c>
      <c r="G2186" s="52"/>
      <c r="H2186" s="52" t="str">
        <f>IF(A2186="","",VLOOKUP(A2186,'6.A'!$A$11:$E$7984,5,FALSE))</f>
        <v/>
      </c>
      <c r="I2186" s="52" t="str">
        <f t="shared" si="928"/>
        <v/>
      </c>
      <c r="J2186" s="52" t="str">
        <f>IF(H2186="","",VLOOKUP(A2186,'6.A'!$A$11:$E$564,4,FALSE))</f>
        <v/>
      </c>
      <c r="K2186" s="52" t="str">
        <f t="shared" si="929"/>
        <v/>
      </c>
      <c r="L2186" s="52" t="str">
        <f>IF(H2186="","",IF(C2186="","",G2144*C2186))</f>
        <v/>
      </c>
      <c r="M2186" s="117" t="str">
        <f>IF(A2186="","",VLOOKUP(A2186,'6.A'!$A$11:$C$564,2,FALSE))</f>
        <v/>
      </c>
      <c r="N2186" s="57" t="str">
        <f t="shared" si="930"/>
        <v/>
      </c>
      <c r="O2186" s="56"/>
      <c r="P2186" s="56"/>
      <c r="Q2186" s="48"/>
      <c r="R2186" s="48"/>
    </row>
    <row r="2187" spans="1:22" ht="12.75" customHeight="1" x14ac:dyDescent="0.2">
      <c r="A2187" s="22"/>
      <c r="B2187" s="23" t="str">
        <f>IF(A2187="","",VLOOKUP(A2187,'6.A'!$A$11:$G$180,2,FALSE))</f>
        <v/>
      </c>
      <c r="C2187" s="99"/>
      <c r="D2187" s="57" t="str">
        <f>IF(A2187="","",VLOOKUP(A2187,'6.A'!$A$11:$G$180,4,FALSE))</f>
        <v/>
      </c>
      <c r="E2187" s="100" t="str">
        <f>IF(A2187="","",VLOOKUP(A2187,'6.A'!$A$11:$G$180,5,FALSE))</f>
        <v/>
      </c>
      <c r="F2187" s="24" t="str">
        <f t="shared" si="927"/>
        <v>0,00</v>
      </c>
      <c r="G2187" s="52"/>
      <c r="H2187" s="52" t="str">
        <f>IF(A2187="","",VLOOKUP(A2187,'6.A'!$A$11:$E$7984,5,FALSE))</f>
        <v/>
      </c>
      <c r="I2187" s="52" t="str">
        <f t="shared" si="928"/>
        <v/>
      </c>
      <c r="J2187" s="52" t="str">
        <f>IF(H2187="","",VLOOKUP(A2187,'6.A'!$A$11:$E$564,4,FALSE))</f>
        <v/>
      </c>
      <c r="K2187" s="52" t="str">
        <f t="shared" si="929"/>
        <v/>
      </c>
      <c r="L2187" s="52" t="str">
        <f>IF(H2187="","",IF(C2187="","",G2144*C2187))</f>
        <v/>
      </c>
      <c r="M2187" s="117" t="str">
        <f>IF(A2187="","",VLOOKUP(A2187,'6.A'!$A$11:$C$564,2,FALSE))</f>
        <v/>
      </c>
      <c r="N2187" s="57" t="str">
        <f t="shared" si="930"/>
        <v/>
      </c>
      <c r="O2187" s="56"/>
      <c r="P2187" s="56"/>
      <c r="Q2187" s="48"/>
      <c r="R2187" s="48"/>
    </row>
    <row r="2188" spans="1:22" ht="12.75" customHeight="1" x14ac:dyDescent="0.2">
      <c r="A2188" s="22"/>
      <c r="B2188" s="23" t="str">
        <f>IF(A2188="","",VLOOKUP(A2188,'6.A'!$A$11:$G$180,2,FALSE))</f>
        <v/>
      </c>
      <c r="C2188" s="99"/>
      <c r="D2188" s="57" t="str">
        <f>IF(A2188="","",VLOOKUP(A2188,'6.A'!$A$11:$G$180,4,FALSE))</f>
        <v/>
      </c>
      <c r="E2188" s="100" t="str">
        <f>IF(A2188="","",VLOOKUP(A2188,'6.A'!$A$11:$G$180,5,FALSE))</f>
        <v/>
      </c>
      <c r="F2188" s="24" t="str">
        <f t="shared" si="927"/>
        <v>0,00</v>
      </c>
      <c r="G2188" s="52"/>
      <c r="H2188" s="52" t="str">
        <f>IF(A2188="","",VLOOKUP(A2188,'6.A'!$A$11:$E$7984,5,FALSE))</f>
        <v/>
      </c>
      <c r="I2188" s="52" t="str">
        <f t="shared" si="928"/>
        <v/>
      </c>
      <c r="J2188" s="52" t="str">
        <f>IF(H2188="","",VLOOKUP(A2188,'6.A'!$A$11:$E$564,4,FALSE))</f>
        <v/>
      </c>
      <c r="K2188" s="52" t="str">
        <f t="shared" si="929"/>
        <v/>
      </c>
      <c r="L2188" s="52" t="str">
        <f>IF(H2188="","",IF(C2188="","",G2144*C2188))</f>
        <v/>
      </c>
      <c r="M2188" s="117" t="str">
        <f>IF(A2188="","",VLOOKUP(A2188,'6.A'!$A$11:$C$564,2,FALSE))</f>
        <v/>
      </c>
      <c r="N2188" s="57" t="str">
        <f t="shared" si="930"/>
        <v/>
      </c>
      <c r="O2188" s="56"/>
      <c r="P2188" s="56"/>
      <c r="Q2188" s="48"/>
      <c r="R2188" s="48"/>
    </row>
    <row r="2189" spans="1:22" ht="12.75" customHeight="1" x14ac:dyDescent="0.2">
      <c r="A2189" s="22"/>
      <c r="B2189" s="23" t="str">
        <f>IF(A2189="","",VLOOKUP(A2189,'6.A'!$A$11:$G$180,2,FALSE))</f>
        <v/>
      </c>
      <c r="C2189" s="99"/>
      <c r="D2189" s="57" t="str">
        <f>IF(A2189="","",VLOOKUP(A2189,'6.A'!$A$11:$G$180,4,FALSE))</f>
        <v/>
      </c>
      <c r="E2189" s="100" t="str">
        <f>IF(A2189="","",VLOOKUP(A2189,'6.A'!$A$11:$G$180,5,FALSE))</f>
        <v/>
      </c>
      <c r="F2189" s="24" t="str">
        <f t="shared" si="927"/>
        <v>0,00</v>
      </c>
      <c r="G2189" s="52"/>
      <c r="H2189" s="52" t="str">
        <f>IF(A2189="","",VLOOKUP(A2189,'6.A'!$A$11:$E$7984,5,FALSE))</f>
        <v/>
      </c>
      <c r="I2189" s="52" t="str">
        <f t="shared" si="928"/>
        <v/>
      </c>
      <c r="J2189" s="52" t="str">
        <f>IF(H2189="","",VLOOKUP(A2189,'6.A'!$A$11:$E$564,4,FALSE))</f>
        <v/>
      </c>
      <c r="K2189" s="52" t="str">
        <f t="shared" si="929"/>
        <v/>
      </c>
      <c r="L2189" s="52" t="str">
        <f>IF(H2189="","",IF(C2189="","",G2144*C2189))</f>
        <v/>
      </c>
      <c r="M2189" s="117" t="str">
        <f>IF(A2189="","",VLOOKUP(A2189,'6.A'!$A$11:$C$564,2,FALSE))</f>
        <v/>
      </c>
      <c r="N2189" s="57" t="str">
        <f t="shared" si="930"/>
        <v/>
      </c>
      <c r="O2189" s="56"/>
      <c r="P2189" s="56"/>
      <c r="Q2189" s="48"/>
      <c r="R2189" s="48"/>
    </row>
    <row r="2190" spans="1:22" ht="12.75" customHeight="1" x14ac:dyDescent="0.2">
      <c r="A2190" s="22"/>
      <c r="B2190" s="39" t="str">
        <f>IF(A2190="","",VLOOKUP(A2190,'6.A'!$A$11:$G$180,2,FALSE))</f>
        <v/>
      </c>
      <c r="C2190" s="99"/>
      <c r="D2190" s="57" t="str">
        <f>IF(A2190="","",VLOOKUP(A2190,'6.A'!$A$11:$G$180,4,FALSE))</f>
        <v/>
      </c>
      <c r="E2190" s="100" t="str">
        <f>IF(A2190="","",VLOOKUP(A2190,'6.A'!$A$11:$G$180,5,FALSE))</f>
        <v/>
      </c>
      <c r="F2190" s="24" t="str">
        <f t="shared" si="927"/>
        <v>0,00</v>
      </c>
      <c r="G2190" s="52"/>
      <c r="H2190" s="52" t="str">
        <f>IF(A2190="","",VLOOKUP(A2190,'6.A'!$A$11:$E$7984,5,FALSE))</f>
        <v/>
      </c>
      <c r="I2190" s="52" t="str">
        <f t="shared" si="928"/>
        <v/>
      </c>
      <c r="J2190" s="52" t="str">
        <f>IF(H2190="","",VLOOKUP(A2190,'6.A'!$A$11:$E$564,4,FALSE))</f>
        <v/>
      </c>
      <c r="K2190" s="52" t="str">
        <f t="shared" si="929"/>
        <v/>
      </c>
      <c r="L2190" s="52" t="str">
        <f>IF(H2190="","",IF(C2190="","",G2144*C2190))</f>
        <v/>
      </c>
      <c r="M2190" s="117" t="str">
        <f>IF(A2190="","",VLOOKUP(A2190,'6.A'!$A$11:$C$564,2,FALSE))</f>
        <v/>
      </c>
      <c r="N2190" s="57" t="str">
        <f t="shared" si="930"/>
        <v/>
      </c>
      <c r="O2190" s="56"/>
      <c r="P2190" s="56"/>
      <c r="Q2190" s="48"/>
      <c r="R2190" s="48"/>
    </row>
    <row r="2191" spans="1:22" ht="12.75" customHeight="1" x14ac:dyDescent="0.2">
      <c r="A2191" s="22"/>
      <c r="B2191" s="39" t="str">
        <f>IF(A2191="","",VLOOKUP(A2191,'6.A'!$A$11:$G$180,2,FALSE))</f>
        <v/>
      </c>
      <c r="C2191" s="99"/>
      <c r="D2191" s="57" t="str">
        <f>IF(A2191="","",VLOOKUP(A2191,'6.A'!$A$11:$G$180,4,FALSE))</f>
        <v/>
      </c>
      <c r="E2191" s="100" t="str">
        <f>IF(A2191="","",VLOOKUP(A2191,'6.A'!$A$11:$G$180,5,FALSE))</f>
        <v/>
      </c>
      <c r="F2191" s="24" t="str">
        <f t="shared" si="927"/>
        <v>0,00</v>
      </c>
      <c r="G2191" s="52"/>
      <c r="H2191" s="52" t="str">
        <f>IF(A2191="","",VLOOKUP(A2191,'6.A'!$A$11:$E$7984,5,FALSE))</f>
        <v/>
      </c>
      <c r="I2191" s="52" t="str">
        <f t="shared" si="928"/>
        <v/>
      </c>
      <c r="J2191" s="52" t="str">
        <f>IF(H2191="","",VLOOKUP(A2191,'6.A'!$A$11:$E$564,4,FALSE))</f>
        <v/>
      </c>
      <c r="K2191" s="52" t="str">
        <f t="shared" si="929"/>
        <v/>
      </c>
      <c r="L2191" s="52" t="str">
        <f>IF(H2191="","",IF(C2191="","",G2144*C2191))</f>
        <v/>
      </c>
      <c r="M2191" s="117" t="str">
        <f>IF(A2191="","",VLOOKUP(A2191,'6.A'!$A$11:$C$564,2,FALSE))</f>
        <v/>
      </c>
      <c r="N2191" s="57" t="str">
        <f t="shared" si="930"/>
        <v/>
      </c>
      <c r="O2191" s="56"/>
      <c r="P2191" s="56"/>
      <c r="Q2191" s="48"/>
      <c r="R2191" s="48"/>
    </row>
    <row r="2192" spans="1:22" ht="12.75" customHeight="1" x14ac:dyDescent="0.2">
      <c r="A2192" s="22"/>
      <c r="B2192" s="39" t="str">
        <f>IF(A2192="","",VLOOKUP(A2192,'6.A'!$A$11:$G$180,2,FALSE))</f>
        <v/>
      </c>
      <c r="C2192" s="99"/>
      <c r="D2192" s="57" t="str">
        <f>IF(A2192="","",VLOOKUP(A2192,'6.A'!$A$11:$G$180,4,FALSE))</f>
        <v/>
      </c>
      <c r="E2192" s="100" t="str">
        <f>IF(A2192="","",VLOOKUP(A2192,'6.A'!$A$11:$G$180,5,FALSE))</f>
        <v/>
      </c>
      <c r="F2192" s="24" t="str">
        <f t="shared" si="927"/>
        <v>0,00</v>
      </c>
      <c r="G2192" s="52"/>
      <c r="H2192" s="52" t="str">
        <f>IF(A2192="","",VLOOKUP(A2192,'6.A'!$A$11:$E$7984,5,FALSE))</f>
        <v/>
      </c>
      <c r="I2192" s="52" t="str">
        <f t="shared" si="928"/>
        <v/>
      </c>
      <c r="J2192" s="52" t="str">
        <f>IF(H2192="","",VLOOKUP(A2192,'6.A'!$A$11:$E$564,4,FALSE))</f>
        <v/>
      </c>
      <c r="K2192" s="52" t="str">
        <f t="shared" si="929"/>
        <v/>
      </c>
      <c r="L2192" s="52" t="str">
        <f>IF(H2192="","",IF(C2192="","",G2144*C2192))</f>
        <v/>
      </c>
      <c r="M2192" s="117" t="str">
        <f>IF(A2192="","",VLOOKUP(A2192,'6.A'!$A$11:$C$564,2,FALSE))</f>
        <v/>
      </c>
      <c r="N2192" s="57" t="str">
        <f t="shared" si="930"/>
        <v/>
      </c>
      <c r="O2192" s="56"/>
      <c r="P2192" s="56"/>
      <c r="Q2192" s="48"/>
      <c r="R2192" s="48"/>
    </row>
    <row r="2193" spans="1:23" ht="12.75" customHeight="1" x14ac:dyDescent="0.2">
      <c r="A2193" s="22"/>
      <c r="B2193" s="26" t="str">
        <f>$A$9</f>
        <v>BDI</v>
      </c>
      <c r="C2193" s="40">
        <f>$C$9</f>
        <v>0</v>
      </c>
      <c r="D2193" s="57"/>
      <c r="F2193" s="28">
        <f>ROUND(SUM(F2173:F2192)*C2193,2)</f>
        <v>0</v>
      </c>
      <c r="G2193" s="63"/>
      <c r="M2193" s="57"/>
      <c r="N2193" s="57"/>
      <c r="O2193" s="56"/>
      <c r="P2193" s="56"/>
      <c r="Q2193" s="48"/>
      <c r="R2193" s="48"/>
    </row>
    <row r="2194" spans="1:23" ht="12.75" customHeight="1" thickBot="1" x14ac:dyDescent="0.25">
      <c r="A2194" s="41"/>
      <c r="B2194" s="42" t="s">
        <v>57</v>
      </c>
      <c r="C2194" s="43"/>
      <c r="D2194" s="44"/>
      <c r="E2194" s="45"/>
      <c r="F2194" s="46">
        <f>ROUND(SUM(F2173:F2193),2)</f>
        <v>0</v>
      </c>
      <c r="G2194" s="63"/>
      <c r="M2194" s="57"/>
      <c r="N2194" s="57"/>
      <c r="O2194" s="56"/>
      <c r="P2194" s="56"/>
      <c r="Q2194" s="48"/>
      <c r="R2194" s="48"/>
    </row>
    <row r="2195" spans="1:23" ht="12" customHeight="1" thickBot="1" x14ac:dyDescent="0.25">
      <c r="A2195" s="8"/>
      <c r="B2195" s="9"/>
      <c r="C2195" s="10"/>
      <c r="D2195" s="57"/>
      <c r="F2195" s="12"/>
      <c r="M2195" s="57"/>
      <c r="N2195" s="57"/>
      <c r="O2195" s="56"/>
      <c r="P2195" s="56"/>
    </row>
    <row r="2196" spans="1:23" ht="50.1" customHeight="1" x14ac:dyDescent="0.2">
      <c r="A2196" s="13" t="str">
        <f>'3.A'!$A$53</f>
        <v>3.2.18</v>
      </c>
      <c r="B2196" s="14" t="str">
        <f>IF(A2196="","",VLOOKUP(A2196,'3.A'!$A$17:$M$279,2,FALSE))</f>
        <v>TERMINAL OU CONECTOR DE PRESSAO PARA CABO 185MM</v>
      </c>
      <c r="C2196" s="413" t="s">
        <v>62</v>
      </c>
      <c r="D2196" s="413"/>
      <c r="E2196" s="15" t="str">
        <f>IF(A2196="","",VLOOKUP(A2196,'3.A'!$A$17:$M$279,3,FALSE))</f>
        <v>UN</v>
      </c>
      <c r="F2196" s="16">
        <f>ROUND(F2210+F2223+F2246,2)</f>
        <v>0</v>
      </c>
      <c r="G2196" s="118">
        <f>VLOOKUP(A2196,'3.A'!$A$19:$I$279,4,FALSE)</f>
        <v>16</v>
      </c>
      <c r="H2196" s="47">
        <f>SUM(F2198:F2209)</f>
        <v>0</v>
      </c>
      <c r="I2196" s="47">
        <f>SUM(F2212:F2222)</f>
        <v>0</v>
      </c>
      <c r="J2196" s="47">
        <f>SUM(F2225:F2245)</f>
        <v>0</v>
      </c>
      <c r="K2196" s="47">
        <f>SUM(H2196:J2196)</f>
        <v>0</v>
      </c>
      <c r="L2196" s="47" t="str">
        <f>IF(K2196=F2196,"SIM","NÃO")</f>
        <v>SIM</v>
      </c>
      <c r="M2196" s="58">
        <f>ROUND(SUM(F2198:F2207)*C2208,2)+ROUND(SUM(F2198:F2208)*C2209,2)+ROUND(SUM(F2198:F2207),2)+ROUND(SUM(F2212:F2221)*C2222,2)+ROUND(SUM(F2212:F2221),2)+ROUND(SUM(F2225:F2244)*C2245,2)+ROUND(SUM(F2225:F2244),2)</f>
        <v>0</v>
      </c>
      <c r="N2196" s="50" t="str">
        <f>IF(M2196=F2196,"SIM","NÃO")</f>
        <v>SIM</v>
      </c>
      <c r="O2196" s="51" t="str">
        <f>VLOOKUP(A2196,'3.A'!$A$8:$E$279,3,FALSE)</f>
        <v>UN</v>
      </c>
      <c r="P2196" s="51" t="str">
        <f>IF(O2196=E2196,"SIM","NÃO")</f>
        <v>SIM</v>
      </c>
      <c r="Q2196" s="53">
        <f>ROUND(G2196*F2210,2)+ROUND(G2196*F2223,2)+ROUND(G2196*F2246,2)</f>
        <v>0</v>
      </c>
      <c r="R2196" s="59">
        <f>VLOOKUP(A2196,'3.A'!$A$17:$L$279,12,FALSE)</f>
        <v>0</v>
      </c>
      <c r="S2196" s="60" t="str">
        <f>IF(Q2196=R2196,"si","no")</f>
        <v>si</v>
      </c>
      <c r="T2196" s="61">
        <f>SUM(L2198:L2207)+SUM(L2212:L2221)+SUM(L2225:L2244)</f>
        <v>32</v>
      </c>
      <c r="U2196" s="52">
        <f>G2196*C2204+G2196*C2206+G2196*C2199+G2196*C2200+G2196*C2202+G2196*C2205+G2196*C2203+G2196*C2198+G2196*C2201+G2196*C2207+G2196*C2218+G2196*C2212+G2196*C2220+G2196*C2219+G2196*C2217+G2196*C2214+G2196*C2213+G2196*C2215+G2196*C2221+G2196*C2216+G2196*C2225+G2196*C2226+G2196*C2227+G2196*C2235+G2196*C2236+G2196*C2237+G2196*C2238+G2196*C2239+G2196*C2240+G2196*C2241+G2196*C2242+G2196*C2243+G2196*C2244+G2196*C2233+G2196*C2234+G2196*C2228+G2196*C2229+G2196*C2230+G2196*C2231+G2196*C2232</f>
        <v>32</v>
      </c>
      <c r="V2196" s="54" t="str">
        <f>IF(T2196=U2196,"si","no")</f>
        <v>si</v>
      </c>
      <c r="W2196" s="137"/>
    </row>
    <row r="2197" spans="1:23" ht="12.75" customHeight="1" x14ac:dyDescent="0.2">
      <c r="A2197" s="17" t="s">
        <v>3</v>
      </c>
      <c r="B2197" s="18" t="s">
        <v>58</v>
      </c>
      <c r="C2197" s="56" t="s">
        <v>59</v>
      </c>
      <c r="D2197" s="56" t="s">
        <v>16</v>
      </c>
      <c r="E2197" s="19" t="s">
        <v>60</v>
      </c>
      <c r="F2197" s="20" t="s">
        <v>61</v>
      </c>
      <c r="G2197" s="21"/>
      <c r="M2197" s="57"/>
      <c r="N2197" s="57"/>
      <c r="O2197" s="56"/>
      <c r="P2197" s="56"/>
      <c r="Q2197" s="48"/>
      <c r="R2197" s="48"/>
    </row>
    <row r="2198" spans="1:23" ht="12.75" customHeight="1" x14ac:dyDescent="0.2">
      <c r="A2198" s="22">
        <f>'6.A'!$A$15</f>
        <v>88247</v>
      </c>
      <c r="B2198" s="23" t="str">
        <f>IF(A2198="","",VLOOKUP(A2198,'6.A'!$A$11:$G$180,2,FALSE))</f>
        <v>AUXILIAR DE ELETRICISTA COM ENCARGOS COMPLEMENTARES</v>
      </c>
      <c r="C2198" s="99">
        <v>0.5</v>
      </c>
      <c r="D2198" s="57" t="str">
        <f>IF(A2198="","",VLOOKUP(A2198,'6.A'!$A$11:$G$180,4,FALSE))</f>
        <v>H</v>
      </c>
      <c r="E2198" s="100">
        <f>IF(A2198="","",VLOOKUP(A2198,'6.A'!$A$11:$G$180,5,FALSE))</f>
        <v>0</v>
      </c>
      <c r="F2198" s="24">
        <f t="shared" ref="F2198" si="931">IF(A2198="","0,00",ROUND(C2198*E2198,2))</f>
        <v>0</v>
      </c>
      <c r="G2198" s="52"/>
      <c r="H2198" s="52">
        <f>IF(A2198="","",VLOOKUP(A2198,'6.A'!$A$11:$E$7984,5,FALSE))</f>
        <v>0</v>
      </c>
      <c r="I2198" s="52" t="str">
        <f>IF(H2198="","",IF(E2198=H2198,"SIM","NÃO"))</f>
        <v>SIM</v>
      </c>
      <c r="J2198" s="52" t="str">
        <f>IF(H2198="","",VLOOKUP(A2198,'6.A'!$A$11:$E$564,4,FALSE))</f>
        <v>H</v>
      </c>
      <c r="K2198" s="52" t="str">
        <f>IF(H2198="","",IF(J2198=D2198,"SIM","NÃO"))</f>
        <v>SIM</v>
      </c>
      <c r="L2198" s="52">
        <f>IF(H2198="","",IF(C2198="","",G2196*C2198))</f>
        <v>8</v>
      </c>
      <c r="M2198" s="117" t="str">
        <f>IF(A2198="","",VLOOKUP(A2198,'6.A'!$A$11:$C$564,2,FALSE))</f>
        <v>AUXILIAR DE ELETRICISTA COM ENCARGOS COMPLEMENTARES</v>
      </c>
      <c r="N2198" s="57" t="str">
        <f>IF(A2198="","",IF(M2198=B2198,"si","no"))</f>
        <v>si</v>
      </c>
      <c r="O2198" s="56"/>
      <c r="P2198" s="56"/>
      <c r="Q2198" s="48"/>
      <c r="R2198" s="48"/>
    </row>
    <row r="2199" spans="1:23" ht="12.75" customHeight="1" x14ac:dyDescent="0.2">
      <c r="A2199" s="22">
        <f>'6.A'!$A$18</f>
        <v>88264</v>
      </c>
      <c r="B2199" s="23" t="str">
        <f>IF(A2199="","",VLOOKUP(A2199,'6.A'!$A$11:$G$180,2,FALSE))</f>
        <v>ELETRICISTA COM ENCARGOS COMPLEMENTARES</v>
      </c>
      <c r="C2199" s="99">
        <v>0.5</v>
      </c>
      <c r="D2199" s="57" t="str">
        <f>IF(A2199="","",VLOOKUP(A2199,'6.A'!$A$11:$G$180,4,FALSE))</f>
        <v>H</v>
      </c>
      <c r="E2199" s="100">
        <f>IF(A2199="","",VLOOKUP(A2199,'6.A'!$A$11:$G$180,5,FALSE))</f>
        <v>0</v>
      </c>
      <c r="F2199" s="24">
        <f>IF(A2199="","0,00",ROUND(C2199*E2199,2))</f>
        <v>0</v>
      </c>
      <c r="G2199" s="52"/>
      <c r="H2199" s="52">
        <f>IF(A2199="","",VLOOKUP(A2199,'6.A'!$A$11:$E$7984,5,FALSE))</f>
        <v>0</v>
      </c>
      <c r="I2199" s="52" t="str">
        <f>IF(H2199="","",IF(E2199=H2199,"SIM","NÃO"))</f>
        <v>SIM</v>
      </c>
      <c r="J2199" s="52" t="str">
        <f>IF(H2199="","",VLOOKUP(A2199,'6.A'!$A$11:$E$564,4,FALSE))</f>
        <v>H</v>
      </c>
      <c r="K2199" s="52" t="str">
        <f>IF(H2199="","",IF(J2199=D2199,"SIM","NÃO"))</f>
        <v>SIM</v>
      </c>
      <c r="L2199" s="52">
        <f>IF(H2199="","",IF(C2199="","",G2196*C2199))</f>
        <v>8</v>
      </c>
      <c r="M2199" s="117" t="str">
        <f>IF(A2199="","",VLOOKUP(A2199,'6.A'!$A$11:$C$564,2,FALSE))</f>
        <v>ELETRICISTA COM ENCARGOS COMPLEMENTARES</v>
      </c>
      <c r="N2199" s="57" t="str">
        <f>IF(A2199="","",IF(M2199=B2199,"si","no"))</f>
        <v>si</v>
      </c>
      <c r="O2199" s="56"/>
      <c r="P2199" s="56"/>
      <c r="Q2199" s="48"/>
      <c r="R2199" s="48"/>
    </row>
    <row r="2200" spans="1:23" ht="12.75" customHeight="1" x14ac:dyDescent="0.2">
      <c r="A2200" s="22"/>
      <c r="B2200" s="23" t="str">
        <f>IF(A2200="","",VLOOKUP(A2200,'6.A'!$A$11:$G$180,2,FALSE))</f>
        <v/>
      </c>
      <c r="C2200" s="99"/>
      <c r="D2200" s="57" t="str">
        <f>IF(A2200="","",VLOOKUP(A2200,'6.A'!$A$11:$G$180,4,FALSE))</f>
        <v/>
      </c>
      <c r="E2200" s="100" t="str">
        <f>IF(A2200="","",VLOOKUP(A2200,'6.A'!$A$11:$G$180,5,FALSE))</f>
        <v/>
      </c>
      <c r="F2200" s="24" t="str">
        <f t="shared" ref="F2200:F2207" si="932">IF(A2200="","0,00",ROUND(C2200*E2200,2))</f>
        <v>0,00</v>
      </c>
      <c r="G2200" s="52"/>
      <c r="H2200" s="52" t="str">
        <f>IF(A2200="","",VLOOKUP(A2200,'6.A'!$A$11:$E$7984,5,FALSE))</f>
        <v/>
      </c>
      <c r="I2200" s="52" t="str">
        <f>IF(H2200="","",IF(E2200=H2200,"SIM","NÃO"))</f>
        <v/>
      </c>
      <c r="J2200" s="52" t="str">
        <f>IF(H2200="","",VLOOKUP(A2200,'6.A'!$A$11:$E$564,4,FALSE))</f>
        <v/>
      </c>
      <c r="K2200" s="52" t="str">
        <f t="shared" ref="K2200" si="933">IF(H2200="","",IF(J2200=D2200,"SIM","NÃO"))</f>
        <v/>
      </c>
      <c r="L2200" s="52" t="str">
        <f>IF(H2200="","",IF(C2200="","",G2196*C2200))</f>
        <v/>
      </c>
      <c r="M2200" s="117" t="str">
        <f>IF(A2200="","",VLOOKUP(A2200,'6.A'!$A$11:$C$564,2,FALSE))</f>
        <v/>
      </c>
      <c r="N2200" s="57" t="str">
        <f t="shared" ref="N2200" si="934">IF(A2200="","",IF(M2200=B2200,"si","no"))</f>
        <v/>
      </c>
      <c r="O2200" s="56"/>
      <c r="P2200" s="56"/>
      <c r="Q2200" s="48"/>
      <c r="R2200" s="48"/>
      <c r="S2200" s="2"/>
    </row>
    <row r="2201" spans="1:23" ht="12.75" customHeight="1" x14ac:dyDescent="0.2">
      <c r="A2201" s="22"/>
      <c r="B2201" s="23" t="str">
        <f>IF(A2201="","",VLOOKUP(A2201,'6.A'!$A$11:$G$180,2,FALSE))</f>
        <v/>
      </c>
      <c r="C2201" s="99"/>
      <c r="D2201" s="57" t="str">
        <f>IF(A2201="","",VLOOKUP(A2201,'6.A'!$A$11:$G$180,4,FALSE))</f>
        <v/>
      </c>
      <c r="E2201" s="100" t="str">
        <f>IF(A2201="","",VLOOKUP(A2201,'6.A'!$A$11:$G$180,5,FALSE))</f>
        <v/>
      </c>
      <c r="F2201" s="24" t="str">
        <f t="shared" si="932"/>
        <v>0,00</v>
      </c>
      <c r="G2201" s="52"/>
      <c r="H2201" s="52" t="str">
        <f>IF(A2201="","",VLOOKUP(A2201,'6.A'!$A$11:$E$7984,5,FALSE))</f>
        <v/>
      </c>
      <c r="I2201" s="52" t="str">
        <f>IF(H2201="","",IF(E2201=H2201,"SIM","NÃO"))</f>
        <v/>
      </c>
      <c r="J2201" s="52" t="str">
        <f>IF(H2201="","",VLOOKUP(A2201,'6.A'!$A$11:$E$564,4,FALSE))</f>
        <v/>
      </c>
      <c r="K2201" s="52" t="str">
        <f>IF(H2201="","",IF(J2201=D2201,"SIM","NÃO"))</f>
        <v/>
      </c>
      <c r="L2201" s="52" t="str">
        <f>IF(H2201="","",IF(C2201="","",G2196*C2201))</f>
        <v/>
      </c>
      <c r="M2201" s="117" t="str">
        <f>IF(A2201="","",VLOOKUP(A2201,'6.A'!$A$11:$C$564,2,FALSE))</f>
        <v/>
      </c>
      <c r="N2201" s="57" t="str">
        <f>IF(A2201="","",IF(M2201=B2201,"si","no"))</f>
        <v/>
      </c>
      <c r="O2201" s="56"/>
      <c r="P2201" s="56"/>
      <c r="Q2201" s="48"/>
      <c r="R2201" s="48"/>
      <c r="S2201" s="2"/>
    </row>
    <row r="2202" spans="1:23" ht="12.75" customHeight="1" x14ac:dyDescent="0.2">
      <c r="A2202" s="22"/>
      <c r="B2202" s="23" t="str">
        <f>IF(A2202="","",VLOOKUP(A2202,'6.A'!$A$11:$G$180,2,FALSE))</f>
        <v/>
      </c>
      <c r="C2202" s="99"/>
      <c r="D2202" s="57" t="str">
        <f>IF(A2202="","",VLOOKUP(A2202,'6.A'!$A$11:$G$180,4,FALSE))</f>
        <v/>
      </c>
      <c r="E2202" s="101" t="str">
        <f>IF(A2202="","",VLOOKUP(A2202,'6.A'!$A$11:$G$180,5,FALSE))</f>
        <v/>
      </c>
      <c r="F2202" s="24" t="str">
        <f t="shared" si="932"/>
        <v>0,00</v>
      </c>
      <c r="G2202" s="52"/>
      <c r="H2202" s="52" t="str">
        <f>IF(A2202="","",VLOOKUP(A2202,'6.A'!$A$11:$E$7984,5,FALSE))</f>
        <v/>
      </c>
      <c r="I2202" s="52" t="str">
        <f t="shared" ref="I2202" si="935">IF(H2202="","",IF(E2202=H2202,"SIM","NÃO"))</f>
        <v/>
      </c>
      <c r="J2202" s="52" t="str">
        <f>IF(H2202="","",VLOOKUP(A2202,'6.A'!$A$11:$E$564,4,FALSE))</f>
        <v/>
      </c>
      <c r="K2202" s="52" t="str">
        <f t="shared" ref="K2202" si="936">IF(H2202="","",IF(J2202=D2202,"SIM","NÃO"))</f>
        <v/>
      </c>
      <c r="L2202" s="52" t="str">
        <f>IF(H2202="","",IF(C2202="","",G2196*C2202))</f>
        <v/>
      </c>
      <c r="M2202" s="117" t="str">
        <f>IF(A2202="","",VLOOKUP(A2202,'6.A'!$A$11:$C$564,2,FALSE))</f>
        <v/>
      </c>
      <c r="N2202" s="57" t="str">
        <f t="shared" ref="N2202" si="937">IF(A2202="","",IF(M2202=B2202,"si","no"))</f>
        <v/>
      </c>
      <c r="O2202" s="56"/>
      <c r="P2202" s="56"/>
      <c r="Q2202" s="48"/>
      <c r="R2202" s="48"/>
      <c r="S2202" s="2"/>
    </row>
    <row r="2203" spans="1:23" ht="12.75" customHeight="1" x14ac:dyDescent="0.2">
      <c r="A2203" s="22"/>
      <c r="B2203" s="23" t="str">
        <f>IF(A2203="","",VLOOKUP(A2203,'6.A'!$A$11:$G$180,2,FALSE))</f>
        <v/>
      </c>
      <c r="C2203" s="99"/>
      <c r="D2203" s="57" t="str">
        <f>IF(A2203="","",VLOOKUP(A2203,'6.A'!$A$11:$G$180,4,FALSE))</f>
        <v/>
      </c>
      <c r="E2203" s="101" t="str">
        <f>IF(A2203="","",VLOOKUP(A2203,'6.A'!$A$11:$G$180,5,FALSE))</f>
        <v/>
      </c>
      <c r="F2203" s="24" t="str">
        <f t="shared" si="932"/>
        <v>0,00</v>
      </c>
      <c r="G2203" s="52"/>
      <c r="H2203" s="52" t="str">
        <f>IF(A2203="","",VLOOKUP(A2203,'6.A'!$A$11:$E$7984,5,FALSE))</f>
        <v/>
      </c>
      <c r="I2203" s="52" t="str">
        <f>IF(H2203="","",IF(E2203=H2203,"SIM","NÃO"))</f>
        <v/>
      </c>
      <c r="J2203" s="52" t="str">
        <f>IF(H2203="","",VLOOKUP(A2203,'6.A'!$A$11:$E$564,4,FALSE))</f>
        <v/>
      </c>
      <c r="K2203" s="52" t="str">
        <f>IF(H2203="","",IF(J2203=D2203,"SIM","NÃO"))</f>
        <v/>
      </c>
      <c r="L2203" s="52" t="str">
        <f>IF(H2203="","",IF(C2203="","",G2196*C2203))</f>
        <v/>
      </c>
      <c r="M2203" s="117" t="str">
        <f>IF(A2203="","",VLOOKUP(A2203,'6.A'!$A$11:$C$564,2,FALSE))</f>
        <v/>
      </c>
      <c r="N2203" s="57" t="str">
        <f>IF(A2203="","",IF(M2203=B2203,"si","no"))</f>
        <v/>
      </c>
      <c r="O2203" s="56"/>
      <c r="P2203" s="56"/>
      <c r="Q2203" s="48"/>
      <c r="R2203" s="48"/>
      <c r="S2203" s="2"/>
    </row>
    <row r="2204" spans="1:23" ht="12.75" customHeight="1" x14ac:dyDescent="0.2">
      <c r="A2204" s="22"/>
      <c r="B2204" s="23" t="str">
        <f>IF(A2204="","",VLOOKUP(A2204,'6.A'!$A$11:$G$180,2,FALSE))</f>
        <v/>
      </c>
      <c r="C2204" s="99"/>
      <c r="D2204" s="57" t="str">
        <f>IF(A2204="","",VLOOKUP(A2204,'6.A'!$A$11:$G$180,4,FALSE))</f>
        <v/>
      </c>
      <c r="E2204" s="100" t="str">
        <f>IF(A2204="","",VLOOKUP(A2204,'6.A'!$A$11:$G$180,5,FALSE))</f>
        <v/>
      </c>
      <c r="F2204" s="24" t="str">
        <f t="shared" si="932"/>
        <v>0,00</v>
      </c>
      <c r="G2204" s="52"/>
      <c r="H2204" s="52" t="str">
        <f>IF(A2204="","",VLOOKUP(A2204,'6.A'!$A$11:$E$7984,5,FALSE))</f>
        <v/>
      </c>
      <c r="I2204" s="52" t="str">
        <f>IF(H2204="","",IF(E2204=H2204,"SIM","NÃO"))</f>
        <v/>
      </c>
      <c r="J2204" s="52" t="str">
        <f>IF(H2204="","",VLOOKUP(A2204,'6.A'!$A$11:$E$564,4,FALSE))</f>
        <v/>
      </c>
      <c r="K2204" s="52" t="str">
        <f>IF(H2204="","",IF(J2204=D2204,"SIM","NÃO"))</f>
        <v/>
      </c>
      <c r="L2204" s="52" t="str">
        <f>IF(H2204="","",IF(C2204="","",G2196*C2204))</f>
        <v/>
      </c>
      <c r="M2204" s="117" t="str">
        <f>IF(A2204="","",VLOOKUP(A2204,'6.A'!$A$11:$C$564,2,FALSE))</f>
        <v/>
      </c>
      <c r="N2204" s="57" t="str">
        <f>IF(A2204="","",IF(M2204=B2204,"si","no"))</f>
        <v/>
      </c>
      <c r="O2204" s="56"/>
      <c r="P2204" s="56"/>
      <c r="Q2204" s="48"/>
      <c r="R2204" s="48"/>
      <c r="S2204" s="2"/>
    </row>
    <row r="2205" spans="1:23" ht="12.75" customHeight="1" x14ac:dyDescent="0.2">
      <c r="A2205" s="22"/>
      <c r="B2205" s="23" t="str">
        <f>IF(A2205="","",VLOOKUP(A2205,'6.A'!$A$11:$G$180,2,FALSE))</f>
        <v/>
      </c>
      <c r="C2205" s="99"/>
      <c r="D2205" s="57" t="str">
        <f>IF(A2205="","",VLOOKUP(A2205,'6.A'!$A$11:$G$180,4,FALSE))</f>
        <v/>
      </c>
      <c r="E2205" s="100" t="str">
        <f>IF(A2205="","",VLOOKUP(A2205,'6.A'!$A$11:$G$180,5,FALSE))</f>
        <v/>
      </c>
      <c r="F2205" s="24" t="str">
        <f t="shared" si="932"/>
        <v>0,00</v>
      </c>
      <c r="G2205" s="52"/>
      <c r="H2205" s="52" t="str">
        <f>IF(A2205="","",VLOOKUP(A2205,'6.A'!$A$11:$E$7984,5,FALSE))</f>
        <v/>
      </c>
      <c r="I2205" s="52" t="str">
        <f t="shared" ref="I2205" si="938">IF(H2205="","",IF(E2205=H2205,"SIM","NÃO"))</f>
        <v/>
      </c>
      <c r="J2205" s="52" t="str">
        <f>IF(H2205="","",VLOOKUP(A2205,'6.A'!$A$11:$E$564,4,FALSE))</f>
        <v/>
      </c>
      <c r="K2205" s="52" t="str">
        <f t="shared" ref="K2205" si="939">IF(H2205="","",IF(J2205=D2205,"SIM","NÃO"))</f>
        <v/>
      </c>
      <c r="L2205" s="52" t="str">
        <f>IF(H2205="","",IF(C2205="","",G2196*C2205))</f>
        <v/>
      </c>
      <c r="M2205" s="117" t="str">
        <f>IF(A2205="","",VLOOKUP(A2205,'6.A'!$A$11:$C$564,2,FALSE))</f>
        <v/>
      </c>
      <c r="N2205" s="57" t="str">
        <f t="shared" ref="N2205" si="940">IF(A2205="","",IF(M2205=B2205,"si","no"))</f>
        <v/>
      </c>
      <c r="O2205" s="56"/>
      <c r="P2205" s="56"/>
      <c r="Q2205" s="48"/>
      <c r="R2205" s="48"/>
      <c r="S2205" s="2"/>
    </row>
    <row r="2206" spans="1:23" ht="12.75" customHeight="1" x14ac:dyDescent="0.2">
      <c r="A2206" s="22"/>
      <c r="B2206" s="23" t="str">
        <f>IF(A2206="","",VLOOKUP(A2206,'6.A'!$A$11:$G$180,2,FALSE))</f>
        <v/>
      </c>
      <c r="C2206" s="99"/>
      <c r="D2206" s="73" t="str">
        <f>IF(A2206="","",VLOOKUP(A2206,'6.A'!$A$11:$G$180,4,FALSE))</f>
        <v/>
      </c>
      <c r="E2206" s="101" t="str">
        <f>IF(A2206="","",VLOOKUP(A2206,'6.A'!$A$11:$G$180,5,FALSE))</f>
        <v/>
      </c>
      <c r="F2206" s="24" t="str">
        <f t="shared" si="932"/>
        <v>0,00</v>
      </c>
      <c r="G2206" s="52"/>
      <c r="H2206" s="52" t="str">
        <f>IF(A2206="","",VLOOKUP(A2206,'6.A'!$A$11:$E$7984,5,FALSE))</f>
        <v/>
      </c>
      <c r="I2206" s="52" t="str">
        <f>IF(H2206="","",IF(E2206=H2206,"SIM","NÃO"))</f>
        <v/>
      </c>
      <c r="J2206" s="52" t="str">
        <f>IF(H2206="","",VLOOKUP(A2206,'6.A'!$A$11:$E$564,4,FALSE))</f>
        <v/>
      </c>
      <c r="K2206" s="52" t="str">
        <f>IF(H2206="","",IF(J2206=D2206,"SIM","NÃO"))</f>
        <v/>
      </c>
      <c r="L2206" s="52" t="str">
        <f>IF(H2206="","",IF(C2206="","",G2196*C2206))</f>
        <v/>
      </c>
      <c r="M2206" s="117" t="str">
        <f>IF(A2206="","",VLOOKUP(A2206,'6.A'!$A$11:$C$564,2,FALSE))</f>
        <v/>
      </c>
      <c r="N2206" s="57" t="str">
        <f>IF(A2206="","",IF(M2206=B2206,"si","no"))</f>
        <v/>
      </c>
      <c r="O2206" s="56"/>
      <c r="P2206" s="56"/>
      <c r="Q2206" s="48"/>
      <c r="R2206" s="48"/>
      <c r="S2206" s="2"/>
    </row>
    <row r="2207" spans="1:23" ht="12.75" customHeight="1" x14ac:dyDescent="0.2">
      <c r="A2207" s="22"/>
      <c r="B2207" s="23" t="str">
        <f>IF(A2207="","",VLOOKUP(A2207,'6.A'!$A$11:$G$180,2,FALSE))</f>
        <v/>
      </c>
      <c r="C2207" s="99"/>
      <c r="D2207" s="25" t="str">
        <f>IF(A2207="","",VLOOKUP(A2207,'6.A'!$A$11:$G$180,4,FALSE))</f>
        <v/>
      </c>
      <c r="E2207" s="101" t="str">
        <f>IF(A2207="","",VLOOKUP(A2207,'6.A'!$A$11:$G$180,5,FALSE))</f>
        <v/>
      </c>
      <c r="F2207" s="24" t="str">
        <f t="shared" si="932"/>
        <v>0,00</v>
      </c>
      <c r="G2207" s="52"/>
      <c r="H2207" s="52" t="str">
        <f>IF(A2207="","",VLOOKUP(A2207,'6.A'!$A$11:$E$7984,5,FALSE))</f>
        <v/>
      </c>
      <c r="I2207" s="52" t="str">
        <f t="shared" ref="I2207" si="941">IF(H2207="","",IF(E2207=H2207,"SIM","NÃO"))</f>
        <v/>
      </c>
      <c r="J2207" s="52" t="str">
        <f>IF(H2207="","",VLOOKUP(A2207,'6.A'!$A$11:$E$564,4,FALSE))</f>
        <v/>
      </c>
      <c r="K2207" s="52" t="str">
        <f t="shared" ref="K2207" si="942">IF(H2207="","",IF(J2207=D2207,"SIM","NÃO"))</f>
        <v/>
      </c>
      <c r="L2207" s="52" t="str">
        <f>IF(H2207="","",IF(C2207="","",G2196*C2207))</f>
        <v/>
      </c>
      <c r="M2207" s="117" t="str">
        <f>IF(A2207="","",VLOOKUP(A2207,'6.A'!$A$11:$C$564,2,FALSE))</f>
        <v/>
      </c>
      <c r="N2207" s="57" t="str">
        <f t="shared" ref="N2207" si="943">IF(A2207="","",IF(M2207=B2207,"si","no"))</f>
        <v/>
      </c>
      <c r="O2207" s="56"/>
      <c r="P2207" s="56"/>
      <c r="Q2207" s="48"/>
      <c r="R2207" s="48"/>
      <c r="S2207" s="2"/>
    </row>
    <row r="2208" spans="1:23" ht="12.75" customHeight="1" x14ac:dyDescent="0.2">
      <c r="A2208" s="17"/>
      <c r="B2208" s="26" t="str">
        <f>$A$8</f>
        <v>LEIS SOCIAIS HORISTA - JORNADA NORMAL</v>
      </c>
      <c r="C2208" s="27">
        <f>$C$8</f>
        <v>0</v>
      </c>
      <c r="D2208" s="57"/>
      <c r="F2208" s="28">
        <f>ROUND(SUM(F2198:F2207)*C2208,2)</f>
        <v>0</v>
      </c>
      <c r="G2208" s="63"/>
      <c r="M2208" s="62"/>
      <c r="N2208" s="57"/>
      <c r="O2208" s="56"/>
      <c r="P2208" s="56"/>
      <c r="Q2208" s="48"/>
      <c r="R2208" s="48"/>
      <c r="S2208" s="2"/>
    </row>
    <row r="2209" spans="1:19" ht="12.75" customHeight="1" x14ac:dyDescent="0.2">
      <c r="A2209" s="22"/>
      <c r="B2209" s="26" t="str">
        <f>$A$9</f>
        <v>BDI</v>
      </c>
      <c r="C2209" s="27">
        <f>$C$9</f>
        <v>0</v>
      </c>
      <c r="D2209" s="29"/>
      <c r="F2209" s="28">
        <f>ROUND(SUM(F2198:F2208)*C2209,2)</f>
        <v>0</v>
      </c>
      <c r="G2209" s="63"/>
      <c r="M2209" s="62"/>
      <c r="N2209" s="57"/>
      <c r="O2209" s="56"/>
      <c r="P2209" s="56"/>
      <c r="Q2209" s="48"/>
      <c r="R2209" s="48"/>
      <c r="S2209" s="2"/>
    </row>
    <row r="2210" spans="1:19" ht="12.75" customHeight="1" x14ac:dyDescent="0.2">
      <c r="A2210" s="30"/>
      <c r="B2210" s="31" t="s">
        <v>56</v>
      </c>
      <c r="C2210" s="32"/>
      <c r="D2210" s="33"/>
      <c r="E2210" s="34"/>
      <c r="F2210" s="35">
        <f>ROUND(SUM(F2198:F2209),2)</f>
        <v>0</v>
      </c>
      <c r="G2210" s="63"/>
      <c r="M2210" s="62"/>
      <c r="N2210" s="57"/>
      <c r="O2210" s="56"/>
      <c r="P2210" s="56"/>
      <c r="Q2210" s="48"/>
      <c r="R2210" s="48"/>
      <c r="S2210" s="2"/>
    </row>
    <row r="2211" spans="1:19" ht="12.75" customHeight="1" x14ac:dyDescent="0.2">
      <c r="A2211" s="17" t="s">
        <v>5</v>
      </c>
      <c r="B2211" s="153" t="s">
        <v>130</v>
      </c>
      <c r="C2211" s="56" t="s">
        <v>59</v>
      </c>
      <c r="D2211" s="56" t="s">
        <v>16</v>
      </c>
      <c r="E2211" s="19" t="s">
        <v>60</v>
      </c>
      <c r="F2211" s="20" t="s">
        <v>61</v>
      </c>
      <c r="G2211" s="21"/>
      <c r="M2211" s="62"/>
      <c r="N2211" s="57"/>
      <c r="O2211" s="56"/>
      <c r="P2211" s="56"/>
      <c r="Q2211" s="48"/>
      <c r="R2211" s="48"/>
      <c r="S2211" s="2"/>
    </row>
    <row r="2212" spans="1:19" ht="12.75" customHeight="1" x14ac:dyDescent="0.2">
      <c r="A2212" s="22"/>
      <c r="B2212" s="23" t="str">
        <f>IF(A2212="","",VLOOKUP(A2212,'6.A'!$A$11:$G$180,2,FALSE))</f>
        <v/>
      </c>
      <c r="C2212" s="99"/>
      <c r="D2212" s="57" t="str">
        <f>IF(A2212="","",VLOOKUP(A2212,'6.A'!$A$11:$G$180,4,FALSE))</f>
        <v/>
      </c>
      <c r="E2212" s="100" t="str">
        <f>IF(A2212="","",VLOOKUP(A2212,'6.A'!$A$11:$G$180,5,FALSE))</f>
        <v/>
      </c>
      <c r="F2212" s="24" t="str">
        <f t="shared" ref="F2212:F2221" si="944">IF(A2212="","0,00",ROUND(C2212*E2212,2))</f>
        <v>0,00</v>
      </c>
      <c r="G2212" s="52"/>
      <c r="H2212" s="52" t="str">
        <f>IF(A2212="","",VLOOKUP(A2212,'6.A'!$A$11:$E$7984,5,FALSE))</f>
        <v/>
      </c>
      <c r="I2212" s="52" t="str">
        <f t="shared" ref="I2212:I2221" si="945">IF(H2212="","",IF(E2212=H2212,"SIM","NÃO"))</f>
        <v/>
      </c>
      <c r="J2212" s="52" t="str">
        <f>IF(H2212="","",VLOOKUP(A2212,'6.A'!$A$11:$E$564,4,FALSE))</f>
        <v/>
      </c>
      <c r="K2212" s="52" t="str">
        <f t="shared" ref="K2212:K2221" si="946">IF(H2212="","",IF(J2212=D2212,"SIM","NÃO"))</f>
        <v/>
      </c>
      <c r="L2212" s="52" t="str">
        <f>IF(H2212="","",IF(C2212="","",G2196*C2212))</f>
        <v/>
      </c>
      <c r="M2212" s="117" t="str">
        <f>IF(A2212="","",VLOOKUP(A2212,'6.A'!$A$11:$C$564,2,FALSE))</f>
        <v/>
      </c>
      <c r="N2212" s="57" t="str">
        <f t="shared" ref="N2212:N2217" si="947">IF(A2212="","",IF(M2212=B2212,"si","no"))</f>
        <v/>
      </c>
      <c r="O2212" s="56"/>
      <c r="P2212" s="56"/>
      <c r="Q2212" s="48"/>
      <c r="R2212" s="48"/>
      <c r="S2212" s="2"/>
    </row>
    <row r="2213" spans="1:19" ht="12.75" customHeight="1" x14ac:dyDescent="0.2">
      <c r="A2213" s="22"/>
      <c r="B2213" s="23" t="str">
        <f>IF(A2213="","",VLOOKUP(A2213,'6.A'!$A$11:$G$180,2,FALSE))</f>
        <v/>
      </c>
      <c r="C2213" s="99"/>
      <c r="D2213" s="57" t="str">
        <f>IF(A2213="","",VLOOKUP(A2213,'6.A'!$A$11:$G$180,4,FALSE))</f>
        <v/>
      </c>
      <c r="E2213" s="100" t="str">
        <f>IF(A2213="","",VLOOKUP(A2213,'6.A'!$A$11:$G$180,5,FALSE))</f>
        <v/>
      </c>
      <c r="F2213" s="24" t="str">
        <f t="shared" si="944"/>
        <v>0,00</v>
      </c>
      <c r="G2213" s="52"/>
      <c r="H2213" s="52" t="str">
        <f>IF(A2213="","",VLOOKUP(A2213,'6.A'!$A$11:$E$7984,5,FALSE))</f>
        <v/>
      </c>
      <c r="I2213" s="52" t="str">
        <f t="shared" si="945"/>
        <v/>
      </c>
      <c r="J2213" s="52" t="str">
        <f>IF(H2213="","",VLOOKUP(A2213,'6.A'!$A$11:$E$564,4,FALSE))</f>
        <v/>
      </c>
      <c r="K2213" s="52" t="str">
        <f t="shared" si="946"/>
        <v/>
      </c>
      <c r="L2213" s="52" t="str">
        <f>IF(H2213="","",IF(C2213="","",G2196*C2213))</f>
        <v/>
      </c>
      <c r="M2213" s="117" t="str">
        <f>IF(A2213="","",VLOOKUP(A2213,'6.A'!$A$11:$C$564,2,FALSE))</f>
        <v/>
      </c>
      <c r="N2213" s="57" t="str">
        <f t="shared" si="947"/>
        <v/>
      </c>
      <c r="O2213" s="56"/>
      <c r="P2213" s="56"/>
      <c r="Q2213" s="48"/>
      <c r="R2213" s="48"/>
      <c r="S2213" s="2"/>
    </row>
    <row r="2214" spans="1:19" ht="12.75" customHeight="1" x14ac:dyDescent="0.2">
      <c r="A2214" s="22"/>
      <c r="B2214" s="23" t="str">
        <f>IF(A2214="","",VLOOKUP(A2214,'6.A'!$A$11:$G$180,2,FALSE))</f>
        <v/>
      </c>
      <c r="C2214" s="99"/>
      <c r="D2214" s="57" t="str">
        <f>IF(A2214="","",VLOOKUP(A2214,'6.A'!$A$11:$G$180,4,FALSE))</f>
        <v/>
      </c>
      <c r="E2214" s="100" t="str">
        <f>IF(A2214="","",VLOOKUP(A2214,'6.A'!$A$11:$G$180,5,FALSE))</f>
        <v/>
      </c>
      <c r="F2214" s="24" t="str">
        <f t="shared" si="944"/>
        <v>0,00</v>
      </c>
      <c r="G2214" s="52"/>
      <c r="H2214" s="52" t="str">
        <f>IF(A2214="","",VLOOKUP(A2214,'6.A'!$A$11:$E$7984,5,FALSE))</f>
        <v/>
      </c>
      <c r="I2214" s="52" t="str">
        <f t="shared" si="945"/>
        <v/>
      </c>
      <c r="J2214" s="52" t="str">
        <f>IF(H2214="","",VLOOKUP(A2214,'6.A'!$A$11:$E$564,4,FALSE))</f>
        <v/>
      </c>
      <c r="K2214" s="52" t="str">
        <f t="shared" si="946"/>
        <v/>
      </c>
      <c r="L2214" s="52" t="str">
        <f>IF(H2214="","",IF(C2214="","",G2196*C2214))</f>
        <v/>
      </c>
      <c r="M2214" s="117" t="str">
        <f>IF(A2214="","",VLOOKUP(A2214,'6.A'!$A$11:$C$564,2,FALSE))</f>
        <v/>
      </c>
      <c r="N2214" s="57" t="str">
        <f t="shared" si="947"/>
        <v/>
      </c>
      <c r="O2214" s="56"/>
      <c r="P2214" s="56"/>
      <c r="Q2214" s="48"/>
      <c r="R2214" s="48"/>
      <c r="S2214" s="2"/>
    </row>
    <row r="2215" spans="1:19" ht="12.75" customHeight="1" x14ac:dyDescent="0.2">
      <c r="A2215" s="22"/>
      <c r="B2215" s="55" t="str">
        <f>IF(A2215="","",VLOOKUP(A2215,'6.A'!$A$11:$G$180,2,FALSE))</f>
        <v/>
      </c>
      <c r="C2215" s="134"/>
      <c r="D2215" s="57" t="str">
        <f>IF(A2215="","",VLOOKUP(A2215,'6.A'!$A$11:$G$180,4,FALSE))</f>
        <v/>
      </c>
      <c r="E2215" s="100" t="str">
        <f>IF(A2215="","",VLOOKUP(A2215,'6.A'!$A$11:$G$180,5,FALSE))</f>
        <v/>
      </c>
      <c r="F2215" s="24" t="str">
        <f t="shared" si="944"/>
        <v>0,00</v>
      </c>
      <c r="G2215" s="52"/>
      <c r="H2215" s="52" t="str">
        <f>IF(A2215="","",VLOOKUP(A2215,'6.A'!$A$11:$E$7984,5,FALSE))</f>
        <v/>
      </c>
      <c r="I2215" s="52" t="str">
        <f t="shared" si="945"/>
        <v/>
      </c>
      <c r="J2215" s="52" t="str">
        <f>IF(H2215="","",VLOOKUP(A2215,'6.A'!$A$11:$E$564,4,FALSE))</f>
        <v/>
      </c>
      <c r="K2215" s="52" t="str">
        <f t="shared" si="946"/>
        <v/>
      </c>
      <c r="L2215" s="52" t="str">
        <f>IF(H2215="","",IF(C2215="","",G2196*C2215))</f>
        <v/>
      </c>
      <c r="M2215" s="117" t="str">
        <f>IF(A2215="","",VLOOKUP(A2215,'6.A'!$A$11:$C$564,2,FALSE))</f>
        <v/>
      </c>
      <c r="N2215" s="57" t="str">
        <f t="shared" si="947"/>
        <v/>
      </c>
      <c r="O2215" s="56"/>
      <c r="P2215" s="56"/>
      <c r="Q2215" s="48"/>
      <c r="R2215" s="48"/>
      <c r="S2215" s="2"/>
    </row>
    <row r="2216" spans="1:19" ht="12.75" customHeight="1" x14ac:dyDescent="0.2">
      <c r="A2216" s="22"/>
      <c r="B2216" s="23" t="str">
        <f>IF(A2216="","",VLOOKUP(A2216,'6.A'!$A$11:$G$180,2,FALSE))</f>
        <v/>
      </c>
      <c r="C2216" s="99"/>
      <c r="D2216" s="57" t="str">
        <f>IF(A2216="","",VLOOKUP(A2216,'6.A'!$A$11:$G$180,4,FALSE))</f>
        <v/>
      </c>
      <c r="E2216" s="100" t="str">
        <f>IF(A2216="","",VLOOKUP(A2216,'6.A'!$A$11:$G$180,5,FALSE))</f>
        <v/>
      </c>
      <c r="F2216" s="24" t="str">
        <f t="shared" si="944"/>
        <v>0,00</v>
      </c>
      <c r="G2216" s="52"/>
      <c r="H2216" s="52" t="str">
        <f>IF(A2216="","",VLOOKUP(A2216,'6.A'!$A$11:$E$7984,5,FALSE))</f>
        <v/>
      </c>
      <c r="I2216" s="52" t="str">
        <f t="shared" si="945"/>
        <v/>
      </c>
      <c r="J2216" s="52" t="str">
        <f>IF(H2216="","",VLOOKUP(A2216,'6.A'!$A$11:$E$564,4,FALSE))</f>
        <v/>
      </c>
      <c r="K2216" s="52" t="str">
        <f t="shared" si="946"/>
        <v/>
      </c>
      <c r="L2216" s="52" t="str">
        <f>IF(H2216="","",IF(C2216="","",G2196*C2216))</f>
        <v/>
      </c>
      <c r="M2216" s="117" t="str">
        <f>IF(A2216="","",VLOOKUP(A2216,'6.A'!$A$11:$C$564,2,FALSE))</f>
        <v/>
      </c>
      <c r="N2216" s="57" t="str">
        <f t="shared" si="947"/>
        <v/>
      </c>
      <c r="O2216" s="56"/>
      <c r="P2216" s="56"/>
      <c r="Q2216" s="48"/>
      <c r="R2216" s="48"/>
      <c r="S2216" s="2"/>
    </row>
    <row r="2217" spans="1:19" ht="12.75" customHeight="1" x14ac:dyDescent="0.2">
      <c r="A2217" s="22"/>
      <c r="B2217" s="23" t="str">
        <f>IF(A2217="","",VLOOKUP(A2217,'6.A'!$A$11:$G$180,2,FALSE))</f>
        <v/>
      </c>
      <c r="C2217" s="99"/>
      <c r="D2217" s="57" t="str">
        <f>IF(A2217="","",VLOOKUP(A2217,'6.A'!$A$11:$G$180,4,FALSE))</f>
        <v/>
      </c>
      <c r="E2217" s="100" t="str">
        <f>IF(A2217="","",VLOOKUP(A2217,'6.A'!$A$11:$G$180,5,FALSE))</f>
        <v/>
      </c>
      <c r="F2217" s="24" t="str">
        <f t="shared" si="944"/>
        <v>0,00</v>
      </c>
      <c r="G2217" s="52"/>
      <c r="H2217" s="52" t="str">
        <f>IF(A2217="","",VLOOKUP(A2217,'6.A'!$A$11:$E$7984,5,FALSE))</f>
        <v/>
      </c>
      <c r="I2217" s="52" t="str">
        <f t="shared" si="945"/>
        <v/>
      </c>
      <c r="J2217" s="52" t="str">
        <f>IF(H2217="","",VLOOKUP(A2217,'6.A'!$A$11:$E$564,4,FALSE))</f>
        <v/>
      </c>
      <c r="K2217" s="52" t="str">
        <f t="shared" si="946"/>
        <v/>
      </c>
      <c r="L2217" s="52" t="str">
        <f>IF(H2217="","",IF(C2217="","",G2196*C2217))</f>
        <v/>
      </c>
      <c r="M2217" s="117" t="str">
        <f>IF(A2217="","",VLOOKUP(A2217,'6.A'!$A$11:$C$564,2,FALSE))</f>
        <v/>
      </c>
      <c r="N2217" s="57" t="str">
        <f t="shared" si="947"/>
        <v/>
      </c>
      <c r="O2217" s="56"/>
      <c r="P2217" s="56"/>
      <c r="Q2217" s="48"/>
      <c r="R2217" s="48"/>
      <c r="S2217" s="2"/>
    </row>
    <row r="2218" spans="1:19" ht="12.75" customHeight="1" x14ac:dyDescent="0.2">
      <c r="A2218" s="22"/>
      <c r="B2218" s="23" t="str">
        <f>IF(A2218="","",VLOOKUP(A2218,'6.A'!$A$11:$G$180,2,FALSE))</f>
        <v/>
      </c>
      <c r="C2218" s="99"/>
      <c r="D2218" s="57" t="str">
        <f>IF(A2218="","",VLOOKUP(A2218,'6.A'!$A$11:$G$180,4,FALSE))</f>
        <v/>
      </c>
      <c r="E2218" s="100" t="str">
        <f>IF(A2218="","",VLOOKUP(A2218,'6.A'!$A$11:$G$180,5,FALSE))</f>
        <v/>
      </c>
      <c r="F2218" s="24" t="str">
        <f t="shared" si="944"/>
        <v>0,00</v>
      </c>
      <c r="G2218" s="52"/>
      <c r="H2218" s="52" t="str">
        <f>IF(A2218="","",VLOOKUP(A2218,'6.A'!$A$11:$E$7984,5,FALSE))</f>
        <v/>
      </c>
      <c r="I2218" s="52" t="str">
        <f t="shared" si="945"/>
        <v/>
      </c>
      <c r="J2218" s="52" t="str">
        <f>IF(H2218="","",VLOOKUP(A2218,'6.A'!$A$11:$E$564,4,FALSE))</f>
        <v/>
      </c>
      <c r="K2218" s="52" t="str">
        <f t="shared" si="946"/>
        <v/>
      </c>
      <c r="L2218" s="52" t="str">
        <f>IF(H2218="","",IF(C2218="","",G2196*C2218))</f>
        <v/>
      </c>
      <c r="M2218" s="117" t="str">
        <f>IF(A2218="","",VLOOKUP(A2218,'6.A'!$A$11:$C$564,2,FALSE))</f>
        <v/>
      </c>
      <c r="N2218" s="57" t="str">
        <f>IF(A2218="","",IF(M2218=B2218,"si","no"))</f>
        <v/>
      </c>
      <c r="O2218" s="56"/>
      <c r="P2218" s="56"/>
      <c r="Q2218" s="48"/>
      <c r="R2218" s="48"/>
      <c r="S2218" s="2"/>
    </row>
    <row r="2219" spans="1:19" ht="12.75" customHeight="1" x14ac:dyDescent="0.2">
      <c r="A2219" s="22"/>
      <c r="B2219" s="23" t="str">
        <f>IF(A2219="","",VLOOKUP(A2219,'6.A'!$A$11:$G$180,2,FALSE))</f>
        <v/>
      </c>
      <c r="C2219" s="99"/>
      <c r="D2219" s="57" t="str">
        <f>IF(A2219="","",VLOOKUP(A2219,'6.A'!$A$11:$G$180,4,FALSE))</f>
        <v/>
      </c>
      <c r="E2219" s="100" t="str">
        <f>IF(A2219="","",VLOOKUP(A2219,'6.A'!$A$11:$G$180,5,FALSE))</f>
        <v/>
      </c>
      <c r="F2219" s="24" t="str">
        <f t="shared" si="944"/>
        <v>0,00</v>
      </c>
      <c r="G2219" s="52"/>
      <c r="H2219" s="52" t="str">
        <f>IF(A2219="","",VLOOKUP(A2219,'6.A'!$A$11:$E$7984,5,FALSE))</f>
        <v/>
      </c>
      <c r="I2219" s="52" t="str">
        <f t="shared" si="945"/>
        <v/>
      </c>
      <c r="J2219" s="52" t="str">
        <f>IF(H2219="","",VLOOKUP(A2219,'6.A'!$A$11:$E$564,4,FALSE))</f>
        <v/>
      </c>
      <c r="K2219" s="52" t="str">
        <f t="shared" si="946"/>
        <v/>
      </c>
      <c r="L2219" s="52" t="str">
        <f>IF(H2219="","",IF(C2219="","",G2196*C2219))</f>
        <v/>
      </c>
      <c r="M2219" s="117" t="str">
        <f>IF(A2219="","",VLOOKUP(A2219,'6.A'!$A$11:$C$564,2,FALSE))</f>
        <v/>
      </c>
      <c r="N2219" s="57" t="str">
        <f>IF(A2219="","",IF(M2219=B2219,"si","no"))</f>
        <v/>
      </c>
      <c r="O2219" s="56"/>
      <c r="P2219" s="56"/>
      <c r="Q2219" s="48"/>
      <c r="R2219" s="48"/>
      <c r="S2219" s="2"/>
    </row>
    <row r="2220" spans="1:19" ht="12.75" customHeight="1" x14ac:dyDescent="0.2">
      <c r="A2220" s="22"/>
      <c r="B2220" s="23" t="str">
        <f>IF(A2220="","",VLOOKUP(A2220,'6.A'!$A$11:$G$180,2,FALSE))</f>
        <v/>
      </c>
      <c r="C2220" s="99"/>
      <c r="D2220" s="57" t="str">
        <f>IF(A2220="","",VLOOKUP(A2220,'6.A'!$A$11:$G$180,4,FALSE))</f>
        <v/>
      </c>
      <c r="E2220" s="100" t="str">
        <f>IF(A2220="","",VLOOKUP(A2220,'6.A'!$A$11:$G$180,5,FALSE))</f>
        <v/>
      </c>
      <c r="F2220" s="24" t="str">
        <f t="shared" si="944"/>
        <v>0,00</v>
      </c>
      <c r="G2220" s="52"/>
      <c r="H2220" s="52" t="str">
        <f>IF(A2220="","",VLOOKUP(A2220,'6.A'!$A$11:$E$7984,5,FALSE))</f>
        <v/>
      </c>
      <c r="I2220" s="52" t="str">
        <f t="shared" si="945"/>
        <v/>
      </c>
      <c r="J2220" s="52" t="str">
        <f>IF(H2220="","",VLOOKUP(A2220,'6.A'!$A$11:$E$564,4,FALSE))</f>
        <v/>
      </c>
      <c r="K2220" s="52" t="str">
        <f t="shared" si="946"/>
        <v/>
      </c>
      <c r="L2220" s="52" t="str">
        <f>IF(H2220="","",IF(C2220="","",G2196*C2220))</f>
        <v/>
      </c>
      <c r="M2220" s="117" t="str">
        <f>IF(A2220="","",VLOOKUP(A2220,'6.A'!$A$11:$C$564,2,FALSE))</f>
        <v/>
      </c>
      <c r="N2220" s="57" t="str">
        <f t="shared" ref="N2220:N2221" si="948">IF(A2220="","",IF(M2220=B2220,"si","no"))</f>
        <v/>
      </c>
      <c r="O2220" s="56"/>
      <c r="P2220" s="56"/>
      <c r="Q2220" s="48"/>
      <c r="R2220" s="48"/>
      <c r="S2220" s="2"/>
    </row>
    <row r="2221" spans="1:19" ht="12.75" customHeight="1" x14ac:dyDescent="0.2">
      <c r="A2221" s="22"/>
      <c r="B2221" s="23" t="str">
        <f>IF(A2221="","",VLOOKUP(A2221,'6.A'!$A$11:$G$180,2,FALSE))</f>
        <v/>
      </c>
      <c r="C2221" s="99"/>
      <c r="D2221" s="57" t="str">
        <f>IF(A2221="","",VLOOKUP(A2221,'6.A'!$A$11:$G$180,4,FALSE))</f>
        <v/>
      </c>
      <c r="E2221" s="100" t="str">
        <f>IF(A2221="","",VLOOKUP(A2221,'6.A'!$A$11:$G$180,5,FALSE))</f>
        <v/>
      </c>
      <c r="F2221" s="24" t="str">
        <f t="shared" si="944"/>
        <v>0,00</v>
      </c>
      <c r="G2221" s="52"/>
      <c r="H2221" s="52" t="str">
        <f>IF(A2221="","",VLOOKUP(A2221,'6.A'!$A$11:$E$7984,5,FALSE))</f>
        <v/>
      </c>
      <c r="I2221" s="52" t="str">
        <f t="shared" si="945"/>
        <v/>
      </c>
      <c r="J2221" s="52" t="str">
        <f>IF(H2221="","",VLOOKUP(A2221,'6.A'!$A$11:$E$564,4,FALSE))</f>
        <v/>
      </c>
      <c r="K2221" s="52" t="str">
        <f t="shared" si="946"/>
        <v/>
      </c>
      <c r="L2221" s="52" t="str">
        <f>IF(H2221="","",IF(C2221="","",G2196*C2221))</f>
        <v/>
      </c>
      <c r="M2221" s="117" t="str">
        <f>IF(A2221="","",VLOOKUP(A2221,'6.A'!$A$11:$C$564,2,FALSE))</f>
        <v/>
      </c>
      <c r="N2221" s="57" t="str">
        <f t="shared" si="948"/>
        <v/>
      </c>
      <c r="O2221" s="56"/>
      <c r="P2221" s="56"/>
      <c r="Q2221" s="48"/>
      <c r="R2221" s="48"/>
      <c r="S2221" s="2"/>
    </row>
    <row r="2222" spans="1:19" ht="12.75" customHeight="1" x14ac:dyDescent="0.2">
      <c r="A2222" s="22"/>
      <c r="B2222" s="26" t="str">
        <f>$A$9</f>
        <v>BDI</v>
      </c>
      <c r="C2222" s="27">
        <f>$C$9</f>
        <v>0</v>
      </c>
      <c r="D2222" s="57"/>
      <c r="F2222" s="28">
        <f>ROUND(SUM(F2212:F2221)*C2222,2)</f>
        <v>0</v>
      </c>
      <c r="G2222" s="63"/>
      <c r="M2222" s="62"/>
      <c r="N2222" s="57"/>
      <c r="O2222" s="56"/>
      <c r="P2222" s="56"/>
      <c r="Q2222" s="48"/>
      <c r="R2222" s="48"/>
      <c r="S2222" s="2"/>
    </row>
    <row r="2223" spans="1:19" ht="12.75" customHeight="1" x14ac:dyDescent="0.2">
      <c r="A2223" s="30"/>
      <c r="B2223" s="31" t="s">
        <v>117</v>
      </c>
      <c r="C2223" s="36"/>
      <c r="D2223" s="37"/>
      <c r="E2223" s="38"/>
      <c r="F2223" s="35">
        <f>ROUND(SUM(F2212:F2222),2)</f>
        <v>0</v>
      </c>
      <c r="G2223" s="63"/>
      <c r="M2223" s="62"/>
      <c r="N2223" s="57"/>
      <c r="O2223" s="56"/>
      <c r="P2223" s="56"/>
      <c r="Q2223" s="48"/>
      <c r="R2223" s="48"/>
      <c r="S2223" s="2"/>
    </row>
    <row r="2224" spans="1:19" ht="12.75" customHeight="1" x14ac:dyDescent="0.2">
      <c r="A2224" s="17" t="s">
        <v>6</v>
      </c>
      <c r="B2224" s="18" t="s">
        <v>17</v>
      </c>
      <c r="C2224" s="56" t="s">
        <v>59</v>
      </c>
      <c r="D2224" s="56" t="s">
        <v>16</v>
      </c>
      <c r="E2224" s="19" t="s">
        <v>60</v>
      </c>
      <c r="F2224" s="20" t="s">
        <v>61</v>
      </c>
      <c r="G2224" s="21"/>
      <c r="M2224" s="62"/>
      <c r="N2224" s="57"/>
      <c r="O2224" s="56"/>
      <c r="P2224" s="56"/>
      <c r="Q2224" s="48"/>
      <c r="R2224" s="48"/>
      <c r="S2224" s="2"/>
    </row>
    <row r="2225" spans="1:22" ht="12.75" customHeight="1" x14ac:dyDescent="0.2">
      <c r="A2225" s="22">
        <f>'6.A'!$A$93</f>
        <v>1593</v>
      </c>
      <c r="B2225" s="23" t="str">
        <f>IF(A2225="","",VLOOKUP(A2225,'6.A'!$A$11:$G$180,2,FALSE))</f>
        <v>TERMINAL METALICO A PRESSAO PARA 1 CABO DE 185 MM2, COM 1 FURO DE FIXACAO</v>
      </c>
      <c r="C2225" s="99">
        <v>1</v>
      </c>
      <c r="D2225" s="57" t="str">
        <f>IF(A2225="","",VLOOKUP(A2225,'6.A'!$A$11:$G$180,4,FALSE))</f>
        <v>UN</v>
      </c>
      <c r="E2225" s="100">
        <f>IF(A2225="","",VLOOKUP(A2225,'6.A'!$A$11:$G$180,5,FALSE))</f>
        <v>0</v>
      </c>
      <c r="F2225" s="24">
        <f t="shared" ref="F2225:F2244" si="949">IF(A2225="","0,00",ROUND(C2225*E2225,2))</f>
        <v>0</v>
      </c>
      <c r="G2225" s="52"/>
      <c r="H2225" s="52">
        <f>IF(A2225="","",VLOOKUP(A2225,'6.A'!$A$11:$E$7984,5,FALSE))</f>
        <v>0</v>
      </c>
      <c r="I2225" s="52" t="str">
        <f t="shared" ref="I2225:I2244" si="950">IF(H2225="","",IF(E2225=H2225,"SIM","NÃO"))</f>
        <v>SIM</v>
      </c>
      <c r="J2225" s="52" t="str">
        <f>IF(H2225="","",VLOOKUP(A2225,'6.A'!$A$11:$E$564,4,FALSE))</f>
        <v>UN</v>
      </c>
      <c r="K2225" s="52" t="str">
        <f t="shared" ref="K2225:K2244" si="951">IF(H2225="","",IF(J2225=D2225,"SIM","NÃO"))</f>
        <v>SIM</v>
      </c>
      <c r="L2225" s="52">
        <f>IF(H2225="","",IF(C2225="","",G2196*C2225))</f>
        <v>16</v>
      </c>
      <c r="M2225" s="117" t="str">
        <f>IF(A2225="","",VLOOKUP(A2225,'6.A'!$A$11:$C$564,2,FALSE))</f>
        <v>TERMINAL METALICO A PRESSAO PARA 1 CABO DE 185 MM2, COM 1 FURO DE FIXACAO</v>
      </c>
      <c r="N2225" s="57" t="str">
        <f t="shared" ref="N2225:N2244" si="952">IF(A2225="","",IF(M2225=B2225,"si","no"))</f>
        <v>si</v>
      </c>
      <c r="O2225" s="56"/>
      <c r="P2225" s="56"/>
      <c r="Q2225" s="48"/>
      <c r="R2225" s="48"/>
      <c r="S2225" s="2"/>
    </row>
    <row r="2226" spans="1:22" ht="12.75" customHeight="1" x14ac:dyDescent="0.2">
      <c r="A2226" s="22"/>
      <c r="B2226" s="23" t="str">
        <f>IF(A2226="","",VLOOKUP(A2226,'6.A'!$A$11:$G$180,2,FALSE))</f>
        <v/>
      </c>
      <c r="C2226" s="99"/>
      <c r="D2226" s="57" t="str">
        <f>IF(A2226="","",VLOOKUP(A2226,'6.A'!$A$11:$G$180,4,FALSE))</f>
        <v/>
      </c>
      <c r="E2226" s="100" t="str">
        <f>IF(A2226="","",VLOOKUP(A2226,'6.A'!$A$11:$G$180,5,FALSE))</f>
        <v/>
      </c>
      <c r="F2226" s="24" t="str">
        <f t="shared" si="949"/>
        <v>0,00</v>
      </c>
      <c r="G2226" s="52"/>
      <c r="H2226" s="52" t="str">
        <f>IF(A2226="","",VLOOKUP(A2226,'6.A'!$A$11:$E$7984,5,FALSE))</f>
        <v/>
      </c>
      <c r="I2226" s="52" t="str">
        <f t="shared" si="950"/>
        <v/>
      </c>
      <c r="J2226" s="52" t="str">
        <f>IF(H2226="","",VLOOKUP(A2226,'6.A'!$A$11:$E$564,4,FALSE))</f>
        <v/>
      </c>
      <c r="K2226" s="52" t="str">
        <f t="shared" si="951"/>
        <v/>
      </c>
      <c r="L2226" s="52" t="str">
        <f>IF(H2226="","",IF(C2226="","",G2196*C2226))</f>
        <v/>
      </c>
      <c r="M2226" s="117" t="str">
        <f>IF(A2226="","",VLOOKUP(A2226,'6.A'!$A$11:$C$564,2,FALSE))</f>
        <v/>
      </c>
      <c r="N2226" s="57" t="str">
        <f t="shared" si="952"/>
        <v/>
      </c>
      <c r="O2226" s="56"/>
      <c r="P2226" s="56"/>
      <c r="Q2226" s="48"/>
      <c r="R2226" s="48"/>
      <c r="S2226" s="2"/>
    </row>
    <row r="2227" spans="1:22" ht="12.75" customHeight="1" x14ac:dyDescent="0.2">
      <c r="A2227" s="22"/>
      <c r="B2227" s="23" t="str">
        <f>IF(A2227="","",VLOOKUP(A2227,'6.A'!$A$11:$G$180,2,FALSE))</f>
        <v/>
      </c>
      <c r="C2227" s="99"/>
      <c r="D2227" s="57" t="str">
        <f>IF(A2227="","",VLOOKUP(A2227,'6.A'!$A$11:$G$180,4,FALSE))</f>
        <v/>
      </c>
      <c r="E2227" s="100" t="str">
        <f>IF(A2227="","",VLOOKUP(A2227,'6.A'!$A$11:$G$180,5,FALSE))</f>
        <v/>
      </c>
      <c r="F2227" s="24" t="str">
        <f t="shared" si="949"/>
        <v>0,00</v>
      </c>
      <c r="G2227" s="52"/>
      <c r="H2227" s="52" t="str">
        <f>IF(A2227="","",VLOOKUP(A2227,'6.A'!$A$11:$E$7984,5,FALSE))</f>
        <v/>
      </c>
      <c r="I2227" s="52" t="str">
        <f t="shared" si="950"/>
        <v/>
      </c>
      <c r="J2227" s="52" t="str">
        <f>IF(H2227="","",VLOOKUP(A2227,'6.A'!$A$11:$E$564,4,FALSE))</f>
        <v/>
      </c>
      <c r="K2227" s="52" t="str">
        <f t="shared" si="951"/>
        <v/>
      </c>
      <c r="L2227" s="52" t="str">
        <f>IF(H2227="","",IF(C2227="","",G2196*C2227))</f>
        <v/>
      </c>
      <c r="M2227" s="117" t="str">
        <f>IF(A2227="","",VLOOKUP(A2227,'6.A'!$A$11:$C$564,2,FALSE))</f>
        <v/>
      </c>
      <c r="N2227" s="57" t="str">
        <f t="shared" si="952"/>
        <v/>
      </c>
      <c r="O2227" s="56"/>
      <c r="P2227" s="56"/>
      <c r="Q2227" s="48"/>
      <c r="R2227" s="48"/>
      <c r="S2227" s="2"/>
    </row>
    <row r="2228" spans="1:22" ht="12.75" customHeight="1" x14ac:dyDescent="0.2">
      <c r="A2228" s="22"/>
      <c r="B2228" s="23" t="str">
        <f>IF(A2228="","",VLOOKUP(A2228,'6.A'!$A$11:$G$180,2,FALSE))</f>
        <v/>
      </c>
      <c r="C2228" s="99"/>
      <c r="D2228" s="57" t="str">
        <f>IF(A2228="","",VLOOKUP(A2228,'6.A'!$A$11:$G$180,4,FALSE))</f>
        <v/>
      </c>
      <c r="E2228" s="100" t="str">
        <f>IF(A2228="","",VLOOKUP(A2228,'6.A'!$A$11:$G$180,5,FALSE))</f>
        <v/>
      </c>
      <c r="F2228" s="24" t="str">
        <f t="shared" si="949"/>
        <v>0,00</v>
      </c>
      <c r="G2228" s="52"/>
      <c r="H2228" s="52" t="str">
        <f>IF(A2228="","",VLOOKUP(A2228,'6.A'!$A$11:$E$7984,5,FALSE))</f>
        <v/>
      </c>
      <c r="I2228" s="52" t="str">
        <f t="shared" si="950"/>
        <v/>
      </c>
      <c r="J2228" s="52" t="str">
        <f>IF(H2228="","",VLOOKUP(A2228,'6.A'!$A$11:$E$564,4,FALSE))</f>
        <v/>
      </c>
      <c r="K2228" s="52" t="str">
        <f t="shared" si="951"/>
        <v/>
      </c>
      <c r="L2228" s="52" t="str">
        <f>IF(H2228="","",IF(C2228="","",G2196*C2228))</f>
        <v/>
      </c>
      <c r="M2228" s="117" t="str">
        <f>IF(A2228="","",VLOOKUP(A2228,'6.A'!$A$11:$C$564,2,FALSE))</f>
        <v/>
      </c>
      <c r="N2228" s="57" t="str">
        <f t="shared" si="952"/>
        <v/>
      </c>
      <c r="O2228" s="56"/>
      <c r="P2228" s="56"/>
      <c r="Q2228" s="48"/>
      <c r="R2228" s="48"/>
      <c r="S2228" s="2"/>
    </row>
    <row r="2229" spans="1:22" ht="12.75" customHeight="1" x14ac:dyDescent="0.2">
      <c r="A2229" s="22"/>
      <c r="B2229" s="23" t="str">
        <f>IF(A2229="","",VLOOKUP(A2229,'6.A'!$A$11:$G$180,2,FALSE))</f>
        <v/>
      </c>
      <c r="C2229" s="99"/>
      <c r="D2229" s="57" t="str">
        <f>IF(A2229="","",VLOOKUP(A2229,'6.A'!$A$11:$G$180,4,FALSE))</f>
        <v/>
      </c>
      <c r="E2229" s="100" t="str">
        <f>IF(A2229="","",VLOOKUP(A2229,'6.A'!$A$11:$G$180,5,FALSE))</f>
        <v/>
      </c>
      <c r="F2229" s="24" t="str">
        <f t="shared" si="949"/>
        <v>0,00</v>
      </c>
      <c r="G2229" s="52"/>
      <c r="H2229" s="52" t="str">
        <f>IF(A2229="","",VLOOKUP(A2229,'6.A'!$A$11:$E$7984,5,FALSE))</f>
        <v/>
      </c>
      <c r="I2229" s="52" t="str">
        <f t="shared" si="950"/>
        <v/>
      </c>
      <c r="J2229" s="52" t="str">
        <f>IF(H2229="","",VLOOKUP(A2229,'6.A'!$A$11:$E$564,4,FALSE))</f>
        <v/>
      </c>
      <c r="K2229" s="52" t="str">
        <f t="shared" si="951"/>
        <v/>
      </c>
      <c r="L2229" s="52" t="str">
        <f>IF(H2229="","",IF(C2229="","",G2196*C2229))</f>
        <v/>
      </c>
      <c r="M2229" s="117" t="str">
        <f>IF(A2229="","",VLOOKUP(A2229,'6.A'!$A$11:$C$564,2,FALSE))</f>
        <v/>
      </c>
      <c r="N2229" s="57" t="str">
        <f t="shared" si="952"/>
        <v/>
      </c>
      <c r="O2229" s="56"/>
      <c r="P2229" s="56"/>
      <c r="Q2229" s="48"/>
      <c r="R2229" s="48"/>
      <c r="S2229" s="2"/>
    </row>
    <row r="2230" spans="1:22" ht="12.75" customHeight="1" x14ac:dyDescent="0.2">
      <c r="A2230" s="22"/>
      <c r="B2230" s="23" t="str">
        <f>IF(A2230="","",VLOOKUP(A2230,'6.A'!$A$11:$G$180,2,FALSE))</f>
        <v/>
      </c>
      <c r="C2230" s="99"/>
      <c r="D2230" s="57" t="str">
        <f>IF(A2230="","",VLOOKUP(A2230,'6.A'!$A$11:$G$180,4,FALSE))</f>
        <v/>
      </c>
      <c r="E2230" s="100" t="str">
        <f>IF(A2230="","",VLOOKUP(A2230,'6.A'!$A$11:$G$180,5,FALSE))</f>
        <v/>
      </c>
      <c r="F2230" s="24" t="str">
        <f t="shared" si="949"/>
        <v>0,00</v>
      </c>
      <c r="G2230" s="52"/>
      <c r="H2230" s="52" t="str">
        <f>IF(A2230="","",VLOOKUP(A2230,'6.A'!$A$11:$E$7984,5,FALSE))</f>
        <v/>
      </c>
      <c r="I2230" s="52" t="str">
        <f t="shared" si="950"/>
        <v/>
      </c>
      <c r="J2230" s="52" t="str">
        <f>IF(H2230="","",VLOOKUP(A2230,'6.A'!$A$11:$E$564,4,FALSE))</f>
        <v/>
      </c>
      <c r="K2230" s="52" t="str">
        <f t="shared" si="951"/>
        <v/>
      </c>
      <c r="L2230" s="52" t="str">
        <f>IF(H2230="","",IF(C2230="","",G2196*C2230))</f>
        <v/>
      </c>
      <c r="M2230" s="117" t="str">
        <f>IF(A2230="","",VLOOKUP(A2230,'6.A'!$A$11:$C$564,2,FALSE))</f>
        <v/>
      </c>
      <c r="N2230" s="57" t="str">
        <f t="shared" si="952"/>
        <v/>
      </c>
      <c r="O2230" s="56"/>
      <c r="P2230" s="56"/>
      <c r="Q2230" s="48"/>
      <c r="R2230" s="48"/>
      <c r="S2230" s="2"/>
    </row>
    <row r="2231" spans="1:22" ht="12.75" customHeight="1" x14ac:dyDescent="0.2">
      <c r="A2231" s="22"/>
      <c r="B2231" s="23" t="str">
        <f>IF(A2231="","",VLOOKUP(A2231,'6.A'!$A$11:$G$180,2,FALSE))</f>
        <v/>
      </c>
      <c r="C2231" s="99"/>
      <c r="D2231" s="57" t="str">
        <f>IF(A2231="","",VLOOKUP(A2231,'6.A'!$A$11:$G$180,4,FALSE))</f>
        <v/>
      </c>
      <c r="E2231" s="100" t="str">
        <f>IF(A2231="","",VLOOKUP(A2231,'6.A'!$A$11:$G$180,5,FALSE))</f>
        <v/>
      </c>
      <c r="F2231" s="24" t="str">
        <f t="shared" si="949"/>
        <v>0,00</v>
      </c>
      <c r="G2231" s="52"/>
      <c r="H2231" s="52" t="str">
        <f>IF(A2231="","",VLOOKUP(A2231,'6.A'!$A$11:$E$7984,5,FALSE))</f>
        <v/>
      </c>
      <c r="I2231" s="52" t="str">
        <f t="shared" si="950"/>
        <v/>
      </c>
      <c r="J2231" s="52" t="str">
        <f>IF(H2231="","",VLOOKUP(A2231,'6.A'!$A$11:$E$564,4,FALSE))</f>
        <v/>
      </c>
      <c r="K2231" s="52" t="str">
        <f t="shared" si="951"/>
        <v/>
      </c>
      <c r="L2231" s="52" t="str">
        <f>IF(H2231="","",IF(C2231="","",G2196*C2231))</f>
        <v/>
      </c>
      <c r="M2231" s="117" t="str">
        <f>IF(A2231="","",VLOOKUP(A2231,'6.A'!$A$11:$C$564,2,FALSE))</f>
        <v/>
      </c>
      <c r="N2231" s="57" t="str">
        <f t="shared" si="952"/>
        <v/>
      </c>
      <c r="O2231" s="56"/>
      <c r="P2231" s="56"/>
      <c r="Q2231" s="48"/>
      <c r="R2231" s="48"/>
      <c r="S2231" s="2"/>
    </row>
    <row r="2232" spans="1:22" s="65" customFormat="1" ht="12.75" customHeight="1" x14ac:dyDescent="0.2">
      <c r="A2232" s="22"/>
      <c r="B2232" s="23" t="str">
        <f>IF(A2232="","",VLOOKUP(A2232,'6.A'!$A$11:$G$180,2,FALSE))</f>
        <v/>
      </c>
      <c r="C2232" s="99"/>
      <c r="D2232" s="57" t="str">
        <f>IF(A2232="","",VLOOKUP(A2232,'6.A'!$A$11:$G$180,4,FALSE))</f>
        <v/>
      </c>
      <c r="E2232" s="100" t="str">
        <f>IF(A2232="","",VLOOKUP(A2232,'6.A'!$A$11:$G$180,5,FALSE))</f>
        <v/>
      </c>
      <c r="F2232" s="24" t="str">
        <f t="shared" si="949"/>
        <v>0,00</v>
      </c>
      <c r="G2232" s="52"/>
      <c r="H2232" s="52" t="str">
        <f>IF(A2232="","",VLOOKUP(A2232,'6.A'!$A$11:$E$7984,5,FALSE))</f>
        <v/>
      </c>
      <c r="I2232" s="52" t="str">
        <f t="shared" si="950"/>
        <v/>
      </c>
      <c r="J2232" s="52" t="str">
        <f>IF(H2232="","",VLOOKUP(A2232,'6.A'!$A$11:$E$564,4,FALSE))</f>
        <v/>
      </c>
      <c r="K2232" s="52" t="str">
        <f t="shared" si="951"/>
        <v/>
      </c>
      <c r="L2232" s="52" t="str">
        <f>IF(H2232="","",IF(C2232="","",G2196*C2232))</f>
        <v/>
      </c>
      <c r="M2232" s="117" t="str">
        <f>IF(A2232="","",VLOOKUP(A2232,'6.A'!$A$11:$C$564,2,FALSE))</f>
        <v/>
      </c>
      <c r="N2232" s="57" t="str">
        <f t="shared" si="952"/>
        <v/>
      </c>
      <c r="O2232" s="56"/>
      <c r="P2232" s="56"/>
      <c r="Q2232" s="48"/>
      <c r="R2232" s="48"/>
      <c r="T2232" s="2"/>
      <c r="U2232" s="2"/>
      <c r="V2232" s="2"/>
    </row>
    <row r="2233" spans="1:22" s="65" customFormat="1" ht="12.75" customHeight="1" x14ac:dyDescent="0.2">
      <c r="A2233" s="22"/>
      <c r="B2233" s="23" t="str">
        <f>IF(A2233="","",VLOOKUP(A2233,'6.A'!$A$11:$G$180,2,FALSE))</f>
        <v/>
      </c>
      <c r="C2233" s="99"/>
      <c r="D2233" s="57" t="str">
        <f>IF(A2233="","",VLOOKUP(A2233,'6.A'!$A$11:$G$180,4,FALSE))</f>
        <v/>
      </c>
      <c r="E2233" s="100" t="str">
        <f>IF(A2233="","",VLOOKUP(A2233,'6.A'!$A$11:$G$180,5,FALSE))</f>
        <v/>
      </c>
      <c r="F2233" s="24" t="str">
        <f t="shared" si="949"/>
        <v>0,00</v>
      </c>
      <c r="G2233" s="52"/>
      <c r="H2233" s="52" t="str">
        <f>IF(A2233="","",VLOOKUP(A2233,'6.A'!$A$11:$E$7984,5,FALSE))</f>
        <v/>
      </c>
      <c r="I2233" s="52" t="str">
        <f t="shared" si="950"/>
        <v/>
      </c>
      <c r="J2233" s="52" t="str">
        <f>IF(H2233="","",VLOOKUP(A2233,'6.A'!$A$11:$E$564,4,FALSE))</f>
        <v/>
      </c>
      <c r="K2233" s="52" t="str">
        <f t="shared" si="951"/>
        <v/>
      </c>
      <c r="L2233" s="52" t="str">
        <f>IF(H2233="","",IF(C2233="","",G2196*C2233))</f>
        <v/>
      </c>
      <c r="M2233" s="117" t="str">
        <f>IF(A2233="","",VLOOKUP(A2233,'6.A'!$A$11:$C$564,2,FALSE))</f>
        <v/>
      </c>
      <c r="N2233" s="57" t="str">
        <f t="shared" si="952"/>
        <v/>
      </c>
      <c r="O2233" s="56"/>
      <c r="P2233" s="56"/>
      <c r="Q2233" s="48"/>
      <c r="R2233" s="48"/>
      <c r="T2233" s="2"/>
      <c r="U2233" s="2"/>
      <c r="V2233" s="2"/>
    </row>
    <row r="2234" spans="1:22" s="65" customFormat="1" ht="12.75" customHeight="1" x14ac:dyDescent="0.2">
      <c r="A2234" s="22"/>
      <c r="B2234" s="23" t="str">
        <f>IF(A2234="","",VLOOKUP(A2234,'6.A'!$A$11:$G$180,2,FALSE))</f>
        <v/>
      </c>
      <c r="C2234" s="99"/>
      <c r="D2234" s="57" t="str">
        <f>IF(A2234="","",VLOOKUP(A2234,'6.A'!$A$11:$G$180,4,FALSE))</f>
        <v/>
      </c>
      <c r="E2234" s="100" t="str">
        <f>IF(A2234="","",VLOOKUP(A2234,'6.A'!$A$11:$G$180,5,FALSE))</f>
        <v/>
      </c>
      <c r="F2234" s="24" t="str">
        <f t="shared" si="949"/>
        <v>0,00</v>
      </c>
      <c r="G2234" s="52"/>
      <c r="H2234" s="52" t="str">
        <f>IF(A2234="","",VLOOKUP(A2234,'6.A'!$A$11:$E$7984,5,FALSE))</f>
        <v/>
      </c>
      <c r="I2234" s="52" t="str">
        <f t="shared" si="950"/>
        <v/>
      </c>
      <c r="J2234" s="52" t="str">
        <f>IF(H2234="","",VLOOKUP(A2234,'6.A'!$A$11:$E$564,4,FALSE))</f>
        <v/>
      </c>
      <c r="K2234" s="52" t="str">
        <f t="shared" si="951"/>
        <v/>
      </c>
      <c r="L2234" s="52" t="str">
        <f>IF(H2234="","",IF(C2234="","",G2196*C2234))</f>
        <v/>
      </c>
      <c r="M2234" s="117" t="str">
        <f>IF(A2234="","",VLOOKUP(A2234,'6.A'!$A$11:$C$564,2,FALSE))</f>
        <v/>
      </c>
      <c r="N2234" s="57" t="str">
        <f t="shared" si="952"/>
        <v/>
      </c>
      <c r="O2234" s="56"/>
      <c r="P2234" s="56"/>
      <c r="Q2234" s="48"/>
      <c r="R2234" s="48"/>
      <c r="T2234" s="2"/>
      <c r="U2234" s="2"/>
      <c r="V2234" s="2"/>
    </row>
    <row r="2235" spans="1:22" s="65" customFormat="1" ht="12.75" customHeight="1" x14ac:dyDescent="0.2">
      <c r="A2235" s="22"/>
      <c r="B2235" s="23" t="str">
        <f>IF(A2235="","",VLOOKUP(A2235,'6.A'!$A$11:$G$180,2,FALSE))</f>
        <v/>
      </c>
      <c r="C2235" s="99"/>
      <c r="D2235" s="57" t="str">
        <f>IF(A2235="","",VLOOKUP(A2235,'6.A'!$A$11:$G$180,4,FALSE))</f>
        <v/>
      </c>
      <c r="E2235" s="100" t="str">
        <f>IF(A2235="","",VLOOKUP(A2235,'6.A'!$A$11:$G$180,5,FALSE))</f>
        <v/>
      </c>
      <c r="F2235" s="24" t="str">
        <f t="shared" si="949"/>
        <v>0,00</v>
      </c>
      <c r="G2235" s="52"/>
      <c r="H2235" s="52" t="str">
        <f>IF(A2235="","",VLOOKUP(A2235,'6.A'!$A$11:$E$7984,5,FALSE))</f>
        <v/>
      </c>
      <c r="I2235" s="52" t="str">
        <f t="shared" si="950"/>
        <v/>
      </c>
      <c r="J2235" s="52" t="str">
        <f>IF(H2235="","",VLOOKUP(A2235,'6.A'!$A$11:$E$564,4,FALSE))</f>
        <v/>
      </c>
      <c r="K2235" s="52" t="str">
        <f t="shared" si="951"/>
        <v/>
      </c>
      <c r="L2235" s="52" t="str">
        <f>IF(H2235="","",IF(C2235="","",G2196*C2235))</f>
        <v/>
      </c>
      <c r="M2235" s="117" t="str">
        <f>IF(A2235="","",VLOOKUP(A2235,'6.A'!$A$11:$C$564,2,FALSE))</f>
        <v/>
      </c>
      <c r="N2235" s="57" t="str">
        <f t="shared" si="952"/>
        <v/>
      </c>
      <c r="O2235" s="56"/>
      <c r="P2235" s="56"/>
      <c r="Q2235" s="48"/>
      <c r="R2235" s="48"/>
      <c r="T2235" s="2"/>
      <c r="U2235" s="2"/>
      <c r="V2235" s="2"/>
    </row>
    <row r="2236" spans="1:22" ht="12.75" customHeight="1" x14ac:dyDescent="0.2">
      <c r="A2236" s="22"/>
      <c r="B2236" s="23" t="str">
        <f>IF(A2236="","",VLOOKUP(A2236,'6.A'!$A$11:$G$180,2,FALSE))</f>
        <v/>
      </c>
      <c r="C2236" s="99"/>
      <c r="D2236" s="57" t="str">
        <f>IF(A2236="","",VLOOKUP(A2236,'6.A'!$A$11:$G$180,4,FALSE))</f>
        <v/>
      </c>
      <c r="E2236" s="100" t="str">
        <f>IF(A2236="","",VLOOKUP(A2236,'6.A'!$A$11:$G$180,5,FALSE))</f>
        <v/>
      </c>
      <c r="F2236" s="24" t="str">
        <f t="shared" si="949"/>
        <v>0,00</v>
      </c>
      <c r="G2236" s="52"/>
      <c r="H2236" s="52" t="str">
        <f>IF(A2236="","",VLOOKUP(A2236,'6.A'!$A$11:$E$7984,5,FALSE))</f>
        <v/>
      </c>
      <c r="I2236" s="52" t="str">
        <f t="shared" si="950"/>
        <v/>
      </c>
      <c r="J2236" s="52" t="str">
        <f>IF(H2236="","",VLOOKUP(A2236,'6.A'!$A$11:$E$564,4,FALSE))</f>
        <v/>
      </c>
      <c r="K2236" s="52" t="str">
        <f t="shared" si="951"/>
        <v/>
      </c>
      <c r="L2236" s="52" t="str">
        <f>IF(H2236="","",IF(C2236="","",G2196*C2236))</f>
        <v/>
      </c>
      <c r="M2236" s="117" t="str">
        <f>IF(A2236="","",VLOOKUP(A2236,'6.A'!$A$11:$C$564,2,FALSE))</f>
        <v/>
      </c>
      <c r="N2236" s="57" t="str">
        <f t="shared" si="952"/>
        <v/>
      </c>
      <c r="O2236" s="56"/>
      <c r="P2236" s="56"/>
      <c r="Q2236" s="48"/>
      <c r="R2236" s="48"/>
    </row>
    <row r="2237" spans="1:22" ht="12.75" customHeight="1" x14ac:dyDescent="0.2">
      <c r="A2237" s="22"/>
      <c r="B2237" s="23" t="str">
        <f>IF(A2237="","",VLOOKUP(A2237,'6.A'!$A$11:$G$180,2,FALSE))</f>
        <v/>
      </c>
      <c r="C2237" s="99"/>
      <c r="D2237" s="57" t="str">
        <f>IF(A2237="","",VLOOKUP(A2237,'6.A'!$A$11:$G$180,4,FALSE))</f>
        <v/>
      </c>
      <c r="E2237" s="100" t="str">
        <f>IF(A2237="","",VLOOKUP(A2237,'6.A'!$A$11:$G$180,5,FALSE))</f>
        <v/>
      </c>
      <c r="F2237" s="24" t="str">
        <f t="shared" si="949"/>
        <v>0,00</v>
      </c>
      <c r="G2237" s="52"/>
      <c r="H2237" s="52" t="str">
        <f>IF(A2237="","",VLOOKUP(A2237,'6.A'!$A$11:$E$7984,5,FALSE))</f>
        <v/>
      </c>
      <c r="I2237" s="52" t="str">
        <f t="shared" si="950"/>
        <v/>
      </c>
      <c r="J2237" s="52" t="str">
        <f>IF(H2237="","",VLOOKUP(A2237,'6.A'!$A$11:$E$564,4,FALSE))</f>
        <v/>
      </c>
      <c r="K2237" s="52" t="str">
        <f t="shared" si="951"/>
        <v/>
      </c>
      <c r="L2237" s="52" t="str">
        <f>IF(H2237="","",IF(C2237="","",G2196*C2237))</f>
        <v/>
      </c>
      <c r="M2237" s="117" t="str">
        <f>IF(A2237="","",VLOOKUP(A2237,'6.A'!$A$11:$C$564,2,FALSE))</f>
        <v/>
      </c>
      <c r="N2237" s="57" t="str">
        <f t="shared" si="952"/>
        <v/>
      </c>
      <c r="O2237" s="56"/>
      <c r="P2237" s="56"/>
      <c r="Q2237" s="48"/>
      <c r="R2237" s="48"/>
    </row>
    <row r="2238" spans="1:22" ht="12.75" customHeight="1" x14ac:dyDescent="0.2">
      <c r="A2238" s="22"/>
      <c r="B2238" s="23" t="str">
        <f>IF(A2238="","",VLOOKUP(A2238,'6.A'!$A$11:$G$180,2,FALSE))</f>
        <v/>
      </c>
      <c r="C2238" s="99"/>
      <c r="D2238" s="57" t="str">
        <f>IF(A2238="","",VLOOKUP(A2238,'6.A'!$A$11:$G$180,4,FALSE))</f>
        <v/>
      </c>
      <c r="E2238" s="100" t="str">
        <f>IF(A2238="","",VLOOKUP(A2238,'6.A'!$A$11:$G$180,5,FALSE))</f>
        <v/>
      </c>
      <c r="F2238" s="24" t="str">
        <f t="shared" si="949"/>
        <v>0,00</v>
      </c>
      <c r="G2238" s="52"/>
      <c r="H2238" s="52" t="str">
        <f>IF(A2238="","",VLOOKUP(A2238,'6.A'!$A$11:$E$7984,5,FALSE))</f>
        <v/>
      </c>
      <c r="I2238" s="52" t="str">
        <f t="shared" si="950"/>
        <v/>
      </c>
      <c r="J2238" s="52" t="str">
        <f>IF(H2238="","",VLOOKUP(A2238,'6.A'!$A$11:$E$564,4,FALSE))</f>
        <v/>
      </c>
      <c r="K2238" s="52" t="str">
        <f t="shared" si="951"/>
        <v/>
      </c>
      <c r="L2238" s="52" t="str">
        <f>IF(H2238="","",IF(C2238="","",G2196*C2238))</f>
        <v/>
      </c>
      <c r="M2238" s="117" t="str">
        <f>IF(A2238="","",VLOOKUP(A2238,'6.A'!$A$11:$C$564,2,FALSE))</f>
        <v/>
      </c>
      <c r="N2238" s="57" t="str">
        <f t="shared" si="952"/>
        <v/>
      </c>
      <c r="O2238" s="56"/>
      <c r="P2238" s="56"/>
      <c r="Q2238" s="48"/>
      <c r="R2238" s="48"/>
    </row>
    <row r="2239" spans="1:22" ht="12.75" customHeight="1" x14ac:dyDescent="0.2">
      <c r="A2239" s="22"/>
      <c r="B2239" s="23" t="str">
        <f>IF(A2239="","",VLOOKUP(A2239,'6.A'!$A$11:$G$180,2,FALSE))</f>
        <v/>
      </c>
      <c r="C2239" s="99"/>
      <c r="D2239" s="57" t="str">
        <f>IF(A2239="","",VLOOKUP(A2239,'6.A'!$A$11:$G$180,4,FALSE))</f>
        <v/>
      </c>
      <c r="E2239" s="100" t="str">
        <f>IF(A2239="","",VLOOKUP(A2239,'6.A'!$A$11:$G$180,5,FALSE))</f>
        <v/>
      </c>
      <c r="F2239" s="24" t="str">
        <f t="shared" si="949"/>
        <v>0,00</v>
      </c>
      <c r="G2239" s="52"/>
      <c r="H2239" s="52" t="str">
        <f>IF(A2239="","",VLOOKUP(A2239,'6.A'!$A$11:$E$7984,5,FALSE))</f>
        <v/>
      </c>
      <c r="I2239" s="52" t="str">
        <f t="shared" si="950"/>
        <v/>
      </c>
      <c r="J2239" s="52" t="str">
        <f>IF(H2239="","",VLOOKUP(A2239,'6.A'!$A$11:$E$564,4,FALSE))</f>
        <v/>
      </c>
      <c r="K2239" s="52" t="str">
        <f t="shared" si="951"/>
        <v/>
      </c>
      <c r="L2239" s="52" t="str">
        <f>IF(H2239="","",IF(C2239="","",G2196*C2239))</f>
        <v/>
      </c>
      <c r="M2239" s="117" t="str">
        <f>IF(A2239="","",VLOOKUP(A2239,'6.A'!$A$11:$C$564,2,FALSE))</f>
        <v/>
      </c>
      <c r="N2239" s="57" t="str">
        <f t="shared" si="952"/>
        <v/>
      </c>
      <c r="O2239" s="56"/>
      <c r="P2239" s="56"/>
      <c r="Q2239" s="48"/>
      <c r="R2239" s="48"/>
    </row>
    <row r="2240" spans="1:22" ht="12.75" customHeight="1" x14ac:dyDescent="0.2">
      <c r="A2240" s="22"/>
      <c r="B2240" s="23" t="str">
        <f>IF(A2240="","",VLOOKUP(A2240,'6.A'!$A$11:$G$180,2,FALSE))</f>
        <v/>
      </c>
      <c r="C2240" s="99"/>
      <c r="D2240" s="57" t="str">
        <f>IF(A2240="","",VLOOKUP(A2240,'6.A'!$A$11:$G$180,4,FALSE))</f>
        <v/>
      </c>
      <c r="E2240" s="100" t="str">
        <f>IF(A2240="","",VLOOKUP(A2240,'6.A'!$A$11:$G$180,5,FALSE))</f>
        <v/>
      </c>
      <c r="F2240" s="24" t="str">
        <f t="shared" si="949"/>
        <v>0,00</v>
      </c>
      <c r="G2240" s="52"/>
      <c r="H2240" s="52" t="str">
        <f>IF(A2240="","",VLOOKUP(A2240,'6.A'!$A$11:$E$7984,5,FALSE))</f>
        <v/>
      </c>
      <c r="I2240" s="52" t="str">
        <f t="shared" si="950"/>
        <v/>
      </c>
      <c r="J2240" s="52" t="str">
        <f>IF(H2240="","",VLOOKUP(A2240,'6.A'!$A$11:$E$564,4,FALSE))</f>
        <v/>
      </c>
      <c r="K2240" s="52" t="str">
        <f t="shared" si="951"/>
        <v/>
      </c>
      <c r="L2240" s="52" t="str">
        <f>IF(H2240="","",IF(C2240="","",G2196*C2240))</f>
        <v/>
      </c>
      <c r="M2240" s="117" t="str">
        <f>IF(A2240="","",VLOOKUP(A2240,'6.A'!$A$11:$C$564,2,FALSE))</f>
        <v/>
      </c>
      <c r="N2240" s="57" t="str">
        <f t="shared" si="952"/>
        <v/>
      </c>
      <c r="O2240" s="56"/>
      <c r="P2240" s="56"/>
      <c r="Q2240" s="48"/>
      <c r="R2240" s="48"/>
    </row>
    <row r="2241" spans="1:22" ht="12.75" customHeight="1" x14ac:dyDescent="0.2">
      <c r="A2241" s="22"/>
      <c r="B2241" s="23" t="str">
        <f>IF(A2241="","",VLOOKUP(A2241,'6.A'!$A$11:$G$180,2,FALSE))</f>
        <v/>
      </c>
      <c r="C2241" s="99"/>
      <c r="D2241" s="57" t="str">
        <f>IF(A2241="","",VLOOKUP(A2241,'6.A'!$A$11:$G$180,4,FALSE))</f>
        <v/>
      </c>
      <c r="E2241" s="100" t="str">
        <f>IF(A2241="","",VLOOKUP(A2241,'6.A'!$A$11:$G$180,5,FALSE))</f>
        <v/>
      </c>
      <c r="F2241" s="24" t="str">
        <f t="shared" si="949"/>
        <v>0,00</v>
      </c>
      <c r="G2241" s="52"/>
      <c r="H2241" s="52" t="str">
        <f>IF(A2241="","",VLOOKUP(A2241,'6.A'!$A$11:$E$7984,5,FALSE))</f>
        <v/>
      </c>
      <c r="I2241" s="52" t="str">
        <f t="shared" si="950"/>
        <v/>
      </c>
      <c r="J2241" s="52" t="str">
        <f>IF(H2241="","",VLOOKUP(A2241,'6.A'!$A$11:$E$564,4,FALSE))</f>
        <v/>
      </c>
      <c r="K2241" s="52" t="str">
        <f t="shared" si="951"/>
        <v/>
      </c>
      <c r="L2241" s="52" t="str">
        <f>IF(H2241="","",IF(C2241="","",G2196*C2241))</f>
        <v/>
      </c>
      <c r="M2241" s="117" t="str">
        <f>IF(A2241="","",VLOOKUP(A2241,'6.A'!$A$11:$C$564,2,FALSE))</f>
        <v/>
      </c>
      <c r="N2241" s="57" t="str">
        <f t="shared" si="952"/>
        <v/>
      </c>
      <c r="O2241" s="56"/>
      <c r="P2241" s="56"/>
      <c r="Q2241" s="48"/>
      <c r="R2241" s="48"/>
    </row>
    <row r="2242" spans="1:22" ht="12.75" customHeight="1" x14ac:dyDescent="0.2">
      <c r="A2242" s="22"/>
      <c r="B2242" s="39" t="str">
        <f>IF(A2242="","",VLOOKUP(A2242,'6.A'!$A$11:$G$180,2,FALSE))</f>
        <v/>
      </c>
      <c r="C2242" s="99"/>
      <c r="D2242" s="57" t="str">
        <f>IF(A2242="","",VLOOKUP(A2242,'6.A'!$A$11:$G$180,4,FALSE))</f>
        <v/>
      </c>
      <c r="E2242" s="100" t="str">
        <f>IF(A2242="","",VLOOKUP(A2242,'6.A'!$A$11:$G$180,5,FALSE))</f>
        <v/>
      </c>
      <c r="F2242" s="24" t="str">
        <f t="shared" si="949"/>
        <v>0,00</v>
      </c>
      <c r="G2242" s="52"/>
      <c r="H2242" s="52" t="str">
        <f>IF(A2242="","",VLOOKUP(A2242,'6.A'!$A$11:$E$7984,5,FALSE))</f>
        <v/>
      </c>
      <c r="I2242" s="52" t="str">
        <f t="shared" si="950"/>
        <v/>
      </c>
      <c r="J2242" s="52" t="str">
        <f>IF(H2242="","",VLOOKUP(A2242,'6.A'!$A$11:$E$564,4,FALSE))</f>
        <v/>
      </c>
      <c r="K2242" s="52" t="str">
        <f t="shared" si="951"/>
        <v/>
      </c>
      <c r="L2242" s="52" t="str">
        <f>IF(H2242="","",IF(C2242="","",G2196*C2242))</f>
        <v/>
      </c>
      <c r="M2242" s="117" t="str">
        <f>IF(A2242="","",VLOOKUP(A2242,'6.A'!$A$11:$C$564,2,FALSE))</f>
        <v/>
      </c>
      <c r="N2242" s="57" t="str">
        <f t="shared" si="952"/>
        <v/>
      </c>
      <c r="O2242" s="56"/>
      <c r="P2242" s="56"/>
      <c r="Q2242" s="48"/>
      <c r="R2242" s="48"/>
    </row>
    <row r="2243" spans="1:22" ht="12.75" customHeight="1" x14ac:dyDescent="0.2">
      <c r="A2243" s="22"/>
      <c r="B2243" s="39" t="str">
        <f>IF(A2243="","",VLOOKUP(A2243,'6.A'!$A$11:$G$180,2,FALSE))</f>
        <v/>
      </c>
      <c r="C2243" s="99"/>
      <c r="D2243" s="57" t="str">
        <f>IF(A2243="","",VLOOKUP(A2243,'6.A'!$A$11:$G$180,4,FALSE))</f>
        <v/>
      </c>
      <c r="E2243" s="100" t="str">
        <f>IF(A2243="","",VLOOKUP(A2243,'6.A'!$A$11:$G$180,5,FALSE))</f>
        <v/>
      </c>
      <c r="F2243" s="24" t="str">
        <f t="shared" si="949"/>
        <v>0,00</v>
      </c>
      <c r="G2243" s="52"/>
      <c r="H2243" s="52" t="str">
        <f>IF(A2243="","",VLOOKUP(A2243,'6.A'!$A$11:$E$7984,5,FALSE))</f>
        <v/>
      </c>
      <c r="I2243" s="52" t="str">
        <f t="shared" si="950"/>
        <v/>
      </c>
      <c r="J2243" s="52" t="str">
        <f>IF(H2243="","",VLOOKUP(A2243,'6.A'!$A$11:$E$564,4,FALSE))</f>
        <v/>
      </c>
      <c r="K2243" s="52" t="str">
        <f t="shared" si="951"/>
        <v/>
      </c>
      <c r="L2243" s="52" t="str">
        <f>IF(H2243="","",IF(C2243="","",G2196*C2243))</f>
        <v/>
      </c>
      <c r="M2243" s="117" t="str">
        <f>IF(A2243="","",VLOOKUP(A2243,'6.A'!$A$11:$C$564,2,FALSE))</f>
        <v/>
      </c>
      <c r="N2243" s="57" t="str">
        <f t="shared" si="952"/>
        <v/>
      </c>
      <c r="O2243" s="56"/>
      <c r="P2243" s="56"/>
      <c r="Q2243" s="48"/>
      <c r="R2243" s="48"/>
    </row>
    <row r="2244" spans="1:22" ht="12.75" customHeight="1" x14ac:dyDescent="0.2">
      <c r="A2244" s="22"/>
      <c r="B2244" s="39" t="str">
        <f>IF(A2244="","",VLOOKUP(A2244,'6.A'!$A$11:$G$180,2,FALSE))</f>
        <v/>
      </c>
      <c r="C2244" s="99"/>
      <c r="D2244" s="57" t="str">
        <f>IF(A2244="","",VLOOKUP(A2244,'6.A'!$A$11:$G$180,4,FALSE))</f>
        <v/>
      </c>
      <c r="E2244" s="100" t="str">
        <f>IF(A2244="","",VLOOKUP(A2244,'6.A'!$A$11:$G$180,5,FALSE))</f>
        <v/>
      </c>
      <c r="F2244" s="24" t="str">
        <f t="shared" si="949"/>
        <v>0,00</v>
      </c>
      <c r="G2244" s="52"/>
      <c r="H2244" s="52" t="str">
        <f>IF(A2244="","",VLOOKUP(A2244,'6.A'!$A$11:$E$7984,5,FALSE))</f>
        <v/>
      </c>
      <c r="I2244" s="52" t="str">
        <f t="shared" si="950"/>
        <v/>
      </c>
      <c r="J2244" s="52" t="str">
        <f>IF(H2244="","",VLOOKUP(A2244,'6.A'!$A$11:$E$564,4,FALSE))</f>
        <v/>
      </c>
      <c r="K2244" s="52" t="str">
        <f t="shared" si="951"/>
        <v/>
      </c>
      <c r="L2244" s="52" t="str">
        <f>IF(H2244="","",IF(C2244="","",G2196*C2244))</f>
        <v/>
      </c>
      <c r="M2244" s="117" t="str">
        <f>IF(A2244="","",VLOOKUP(A2244,'6.A'!$A$11:$C$564,2,FALSE))</f>
        <v/>
      </c>
      <c r="N2244" s="57" t="str">
        <f t="shared" si="952"/>
        <v/>
      </c>
      <c r="O2244" s="56"/>
      <c r="P2244" s="56"/>
      <c r="Q2244" s="48"/>
      <c r="R2244" s="48"/>
    </row>
    <row r="2245" spans="1:22" ht="12.75" customHeight="1" x14ac:dyDescent="0.2">
      <c r="A2245" s="22"/>
      <c r="B2245" s="26" t="str">
        <f>$A$9</f>
        <v>BDI</v>
      </c>
      <c r="C2245" s="40">
        <f>$C$9</f>
        <v>0</v>
      </c>
      <c r="D2245" s="57"/>
      <c r="F2245" s="28">
        <f>ROUND(SUM(F2225:F2244)*C2245,2)</f>
        <v>0</v>
      </c>
      <c r="G2245" s="63"/>
      <c r="M2245" s="57"/>
      <c r="N2245" s="57"/>
      <c r="O2245" s="56"/>
      <c r="P2245" s="56"/>
      <c r="Q2245" s="48"/>
      <c r="R2245" s="48"/>
    </row>
    <row r="2246" spans="1:22" ht="12.75" customHeight="1" thickBot="1" x14ac:dyDescent="0.25">
      <c r="A2246" s="41"/>
      <c r="B2246" s="42" t="s">
        <v>57</v>
      </c>
      <c r="C2246" s="43"/>
      <c r="D2246" s="44"/>
      <c r="E2246" s="45"/>
      <c r="F2246" s="46">
        <f>ROUND(SUM(F2225:F2245),2)</f>
        <v>0</v>
      </c>
      <c r="G2246" s="63"/>
      <c r="M2246" s="57"/>
      <c r="N2246" s="57"/>
      <c r="O2246" s="56"/>
      <c r="P2246" s="56"/>
      <c r="Q2246" s="48"/>
      <c r="R2246" s="48"/>
    </row>
    <row r="2247" spans="1:22" s="149" customFormat="1" ht="12" customHeight="1" thickBot="1" x14ac:dyDescent="0.25">
      <c r="A2247" s="150"/>
      <c r="B2247" s="145"/>
      <c r="C2247" s="146"/>
      <c r="D2247" s="141"/>
      <c r="E2247" s="147"/>
      <c r="F2247" s="142"/>
      <c r="G2247" s="142"/>
      <c r="H2247" s="139"/>
      <c r="I2247" s="141"/>
      <c r="J2247" s="141"/>
      <c r="K2247" s="141"/>
      <c r="L2247" s="139"/>
      <c r="M2247" s="143"/>
      <c r="N2247" s="143"/>
      <c r="O2247" s="144"/>
      <c r="P2247" s="144"/>
      <c r="Q2247" s="135"/>
      <c r="R2247" s="135"/>
      <c r="T2247" s="137"/>
      <c r="U2247" s="137"/>
      <c r="V2247" s="137"/>
    </row>
    <row r="2248" spans="1:22" s="137" customFormat="1" ht="50.1" customHeight="1" x14ac:dyDescent="0.2">
      <c r="A2248" s="151" t="str">
        <f>'3.A'!$A$54</f>
        <v>3.2.19</v>
      </c>
      <c r="B2248" s="14" t="str">
        <f>IF(A2248="","",VLOOKUP(A2248,'3.A'!$A$17:$M$279,2,FALSE))</f>
        <v>CORDAO DE COBRE, FLEXIVEL, TORCIDO, CLASSE 4 OU 5, ISOLACAO EM PVC/D, 300 V, 2 CONDUTORES DE 1,0 MM2</v>
      </c>
      <c r="C2248" s="413" t="s">
        <v>62</v>
      </c>
      <c r="D2248" s="413"/>
      <c r="E2248" s="15" t="str">
        <f>IF(A2248="","",VLOOKUP(A2248,'3.A'!$A$17:$M$279,3,FALSE))</f>
        <v>M</v>
      </c>
      <c r="F2248" s="16">
        <f>ROUND(F2262+F2275+F2298,2)</f>
        <v>0</v>
      </c>
      <c r="G2248" s="118">
        <f>VLOOKUP(A2248,'3.A'!$A$19:$I$279,4,FALSE)</f>
        <v>35</v>
      </c>
      <c r="H2248" s="47">
        <f>SUM(F2250:F2261)</f>
        <v>0</v>
      </c>
      <c r="I2248" s="47">
        <f>SUM(F2264:F2274)</f>
        <v>0</v>
      </c>
      <c r="J2248" s="47">
        <f>SUM(F2277:F2297)</f>
        <v>0</v>
      </c>
      <c r="K2248" s="47">
        <f>SUM(H2248:J2248)</f>
        <v>0</v>
      </c>
      <c r="L2248" s="47" t="str">
        <f>IF(K2248=F2248,"SIM","NÃO")</f>
        <v>SIM</v>
      </c>
      <c r="M2248" s="58">
        <f>ROUND(SUM(F2250:F2259)*C2260,2)+ROUND(SUM(F2250:F2260)*C2261,2)+ROUND(SUM(F2250:F2259),2)+ROUND(SUM(F2264:F2273)*C2274,2)+ROUND(SUM(F2264:F2273),2)+ROUND(SUM(F2277:F2296)*C2297,2)+ROUND(SUM(F2277:F2296),2)</f>
        <v>0</v>
      </c>
      <c r="N2248" s="50" t="str">
        <f>IF(M2248=F2248,"SIM","NÃO")</f>
        <v>SIM</v>
      </c>
      <c r="O2248" s="51" t="str">
        <f>VLOOKUP(A2248,'3.A'!$A$8:$E$279,3,FALSE)</f>
        <v>M</v>
      </c>
      <c r="P2248" s="51" t="str">
        <f>IF(O2248=E2248,"SIM","NÃO")</f>
        <v>SIM</v>
      </c>
      <c r="Q2248" s="53">
        <f>ROUND(G2248*F2262,2)+ROUND(G2248*F2275,2)+ROUND(G2248*F2298,2)</f>
        <v>0</v>
      </c>
      <c r="R2248" s="59">
        <f>VLOOKUP(A2248,'3.A'!$A$17:$L$279,12,FALSE)</f>
        <v>0</v>
      </c>
      <c r="S2248" s="60" t="str">
        <f>IF(Q2248=R2248,"si","no")</f>
        <v>si</v>
      </c>
      <c r="T2248" s="61">
        <f>SUM(L2250:L2259)+SUM(L2264:L2273)+SUM(L2277:L2296)</f>
        <v>36.939</v>
      </c>
      <c r="U2248" s="52">
        <f>G2248*C2256+G2248*C2258+G2248*C2251+G2248*C2252+G2248*C2254+G2248*C2257+G2248*C2255+G2248*C2250+G2248*C2253+G2248*C2259+G2248*C2270+G2248*C2264+G2248*C2272+G2248*C2271+G2248*C2269+G2248*C2266+G2248*C2265+G2248*C2267+G2248*C2273+G2248*C2268+G2248*C2277+G2248*C2278+G2248*C2279+G2248*C2287+G2248*C2288+G2248*C2289+G2248*C2290+G2248*C2291+G2248*C2292+G2248*C2293+G2248*C2294+G2248*C2295+G2248*C2296+G2248*C2285+G2248*C2286+G2248*C2280+G2248*C2281+G2248*C2282+G2248*C2283+G2248*C2284</f>
        <v>36.939</v>
      </c>
      <c r="V2248" s="54" t="str">
        <f>IF(T2248=U2248,"si","no")</f>
        <v>si</v>
      </c>
    </row>
    <row r="2249" spans="1:22" s="137" customFormat="1" ht="12.75" customHeight="1" x14ac:dyDescent="0.2">
      <c r="A2249" s="152" t="s">
        <v>3</v>
      </c>
      <c r="B2249" s="153" t="s">
        <v>58</v>
      </c>
      <c r="C2249" s="140" t="s">
        <v>59</v>
      </c>
      <c r="D2249" s="140" t="s">
        <v>16</v>
      </c>
      <c r="E2249" s="154" t="s">
        <v>60</v>
      </c>
      <c r="F2249" s="148" t="s">
        <v>61</v>
      </c>
      <c r="G2249" s="21"/>
      <c r="H2249" s="52"/>
      <c r="I2249" s="57"/>
      <c r="J2249" s="57"/>
      <c r="K2249" s="57"/>
      <c r="L2249" s="52"/>
      <c r="M2249" s="57"/>
      <c r="N2249" s="57"/>
      <c r="O2249" s="56"/>
      <c r="P2249" s="56"/>
      <c r="Q2249" s="48"/>
      <c r="R2249" s="48"/>
      <c r="S2249" s="65"/>
      <c r="T2249" s="2"/>
      <c r="U2249" s="2"/>
      <c r="V2249" s="2"/>
    </row>
    <row r="2250" spans="1:22" s="137" customFormat="1" ht="12.75" customHeight="1" x14ac:dyDescent="0.2">
      <c r="A2250" s="155">
        <f>'6.A'!$A$18</f>
        <v>88264</v>
      </c>
      <c r="B2250" s="138" t="str">
        <f>IF(A2250="","",VLOOKUP(A2250,'6.A'!$A$11:$G$180,2,FALSE))</f>
        <v>ELETRICISTA COM ENCARGOS COMPLEMENTARES</v>
      </c>
      <c r="C2250" s="156">
        <v>2.3E-2</v>
      </c>
      <c r="D2250" s="157" t="str">
        <f>IF(A2250="","",VLOOKUP(A2250,'6.A'!$A$11:$G$180,4,FALSE))</f>
        <v>H</v>
      </c>
      <c r="E2250" s="158">
        <f>IF(A2250="","",VLOOKUP(A2250,'6.A'!$A$11:$G$180,5,FALSE))</f>
        <v>0</v>
      </c>
      <c r="F2250" s="159">
        <f t="shared" ref="F2250" si="953">IF(A2250="","0,00",ROUND(C2250*E2250,2))</f>
        <v>0</v>
      </c>
      <c r="G2250" s="52"/>
      <c r="H2250" s="52">
        <f>IF(A2250="","",VLOOKUP(A2250,'6.A'!$A$11:$E$7984,5,FALSE))</f>
        <v>0</v>
      </c>
      <c r="I2250" s="52" t="str">
        <f>IF(H2250="","",IF(E2250=H2250,"SIM","NÃO"))</f>
        <v>SIM</v>
      </c>
      <c r="J2250" s="52" t="str">
        <f>IF(H2250="","",VLOOKUP(A2250,'6.A'!$A$11:$E$564,4,FALSE))</f>
        <v>H</v>
      </c>
      <c r="K2250" s="52" t="str">
        <f>IF(H2250="","",IF(J2250=D2250,"SIM","NÃO"))</f>
        <v>SIM</v>
      </c>
      <c r="L2250" s="52">
        <f>IF(H2250="","",IF(C2250="","",G2248*C2250))</f>
        <v>0.80499999999999994</v>
      </c>
      <c r="M2250" s="117" t="str">
        <f>IF(A2250="","",VLOOKUP(A2250,'6.A'!$A$11:$C$564,2,FALSE))</f>
        <v>ELETRICISTA COM ENCARGOS COMPLEMENTARES</v>
      </c>
      <c r="N2250" s="57" t="str">
        <f>IF(A2250="","",IF(M2250=B2250,"si","no"))</f>
        <v>si</v>
      </c>
      <c r="O2250" s="56"/>
      <c r="P2250" s="56"/>
      <c r="Q2250" s="48"/>
      <c r="R2250" s="48"/>
      <c r="S2250" s="65"/>
      <c r="T2250" s="2"/>
      <c r="U2250" s="2"/>
      <c r="V2250" s="2"/>
    </row>
    <row r="2251" spans="1:22" s="137" customFormat="1" ht="12.75" customHeight="1" x14ac:dyDescent="0.2">
      <c r="A2251" s="155">
        <f>'6.A'!$A$15</f>
        <v>88247</v>
      </c>
      <c r="B2251" s="138" t="str">
        <f>IF(A2251="","",VLOOKUP(A2251,'6.A'!$A$11:$G$180,2,FALSE))</f>
        <v>AUXILIAR DE ELETRICISTA COM ENCARGOS COMPLEMENTARES</v>
      </c>
      <c r="C2251" s="156">
        <v>2.3E-2</v>
      </c>
      <c r="D2251" s="157" t="str">
        <f>IF(A2251="","",VLOOKUP(A2251,'6.A'!$A$11:$G$180,4,FALSE))</f>
        <v>H</v>
      </c>
      <c r="E2251" s="158">
        <f>IF(A2251="","",VLOOKUP(A2251,'6.A'!$A$11:$G$180,5,FALSE))</f>
        <v>0</v>
      </c>
      <c r="F2251" s="159">
        <f>IF(A2251="","0,00",ROUND(C2251*E2251,2))</f>
        <v>0</v>
      </c>
      <c r="G2251" s="52"/>
      <c r="H2251" s="52">
        <f>IF(A2251="","",VLOOKUP(A2251,'6.A'!$A$11:$E$7984,5,FALSE))</f>
        <v>0</v>
      </c>
      <c r="I2251" s="52" t="str">
        <f>IF(H2251="","",IF(E2251=H2251,"SIM","NÃO"))</f>
        <v>SIM</v>
      </c>
      <c r="J2251" s="52" t="str">
        <f>IF(H2251="","",VLOOKUP(A2251,'6.A'!$A$11:$E$564,4,FALSE))</f>
        <v>H</v>
      </c>
      <c r="K2251" s="52" t="str">
        <f>IF(H2251="","",IF(J2251=D2251,"SIM","NÃO"))</f>
        <v>SIM</v>
      </c>
      <c r="L2251" s="52">
        <f>IF(H2251="","",IF(C2251="","",G2248*C2251))</f>
        <v>0.80499999999999994</v>
      </c>
      <c r="M2251" s="117" t="str">
        <f>IF(A2251="","",VLOOKUP(A2251,'6.A'!$A$11:$C$564,2,FALSE))</f>
        <v>AUXILIAR DE ELETRICISTA COM ENCARGOS COMPLEMENTARES</v>
      </c>
      <c r="N2251" s="57" t="str">
        <f>IF(A2251="","",IF(M2251=B2251,"si","no"))</f>
        <v>si</v>
      </c>
      <c r="O2251" s="56"/>
      <c r="P2251" s="56"/>
      <c r="Q2251" s="48"/>
      <c r="R2251" s="48"/>
      <c r="S2251" s="65"/>
      <c r="T2251" s="2"/>
      <c r="U2251" s="2"/>
      <c r="V2251" s="2"/>
    </row>
    <row r="2252" spans="1:22" s="137" customFormat="1" ht="12.75" customHeight="1" x14ac:dyDescent="0.2">
      <c r="A2252" s="155"/>
      <c r="B2252" s="138" t="str">
        <f>IF(A2252="","",VLOOKUP(A2252,'6.A'!$A$11:$G$180,2,FALSE))</f>
        <v/>
      </c>
      <c r="C2252" s="156"/>
      <c r="D2252" s="157" t="str">
        <f>IF(A2252="","",VLOOKUP(A2252,'6.A'!$A$11:$G$180,4,FALSE))</f>
        <v/>
      </c>
      <c r="E2252" s="158" t="str">
        <f>IF(A2252="","",VLOOKUP(A2252,'6.A'!$A$11:$G$180,5,FALSE))</f>
        <v/>
      </c>
      <c r="F2252" s="159" t="str">
        <f t="shared" ref="F2252:F2259" si="954">IF(A2252="","0,00",ROUND(C2252*E2252,2))</f>
        <v>0,00</v>
      </c>
      <c r="G2252" s="52"/>
      <c r="H2252" s="52" t="str">
        <f>IF(A2252="","",VLOOKUP(A2252,'6.A'!$A$11:$E$7984,5,FALSE))</f>
        <v/>
      </c>
      <c r="I2252" s="52" t="str">
        <f>IF(H2252="","",IF(E2252=H2252,"SIM","NÃO"))</f>
        <v/>
      </c>
      <c r="J2252" s="52" t="str">
        <f>IF(H2252="","",VLOOKUP(A2252,'6.A'!$A$11:$E$564,4,FALSE))</f>
        <v/>
      </c>
      <c r="K2252" s="52" t="str">
        <f t="shared" ref="K2252" si="955">IF(H2252="","",IF(J2252=D2252,"SIM","NÃO"))</f>
        <v/>
      </c>
      <c r="L2252" s="52" t="str">
        <f>IF(H2252="","",IF(C2252="","",G2248*C2252))</f>
        <v/>
      </c>
      <c r="M2252" s="117" t="str">
        <f>IF(A2252="","",VLOOKUP(A2252,'6.A'!$A$11:$C$564,2,FALSE))</f>
        <v/>
      </c>
      <c r="N2252" s="57" t="str">
        <f t="shared" ref="N2252" si="956">IF(A2252="","",IF(M2252=B2252,"si","no"))</f>
        <v/>
      </c>
      <c r="O2252" s="56"/>
      <c r="P2252" s="56"/>
      <c r="Q2252" s="48"/>
      <c r="R2252" s="48"/>
      <c r="S2252" s="65"/>
      <c r="T2252" s="2"/>
      <c r="U2252" s="2"/>
      <c r="V2252" s="2"/>
    </row>
    <row r="2253" spans="1:22" s="137" customFormat="1" ht="12.75" customHeight="1" x14ac:dyDescent="0.2">
      <c r="A2253" s="155"/>
      <c r="B2253" s="138" t="str">
        <f>IF(A2253="","",VLOOKUP(A2253,'6.A'!$A$11:$G$180,2,FALSE))</f>
        <v/>
      </c>
      <c r="C2253" s="156"/>
      <c r="D2253" s="157" t="str">
        <f>IF(A2253="","",VLOOKUP(A2253,'6.A'!$A$11:$G$180,4,FALSE))</f>
        <v/>
      </c>
      <c r="E2253" s="158" t="str">
        <f>IF(A2253="","",VLOOKUP(A2253,'6.A'!$A$11:$G$180,5,FALSE))</f>
        <v/>
      </c>
      <c r="F2253" s="159" t="str">
        <f t="shared" si="954"/>
        <v>0,00</v>
      </c>
      <c r="G2253" s="52"/>
      <c r="H2253" s="52" t="str">
        <f>IF(A2253="","",VLOOKUP(A2253,'6.A'!$A$11:$E$7984,5,FALSE))</f>
        <v/>
      </c>
      <c r="I2253" s="52" t="str">
        <f>IF(H2253="","",IF(E2253=H2253,"SIM","NÃO"))</f>
        <v/>
      </c>
      <c r="J2253" s="52" t="str">
        <f>IF(H2253="","",VLOOKUP(A2253,'6.A'!$A$11:$E$564,4,FALSE))</f>
        <v/>
      </c>
      <c r="K2253" s="52" t="str">
        <f>IF(H2253="","",IF(J2253=D2253,"SIM","NÃO"))</f>
        <v/>
      </c>
      <c r="L2253" s="52" t="str">
        <f>IF(H2253="","",IF(C2253="","",G2248*C2253))</f>
        <v/>
      </c>
      <c r="M2253" s="117" t="str">
        <f>IF(A2253="","",VLOOKUP(A2253,'6.A'!$A$11:$C$564,2,FALSE))</f>
        <v/>
      </c>
      <c r="N2253" s="57" t="str">
        <f>IF(A2253="","",IF(M2253=B2253,"si","no"))</f>
        <v/>
      </c>
      <c r="O2253" s="56"/>
      <c r="P2253" s="56"/>
      <c r="Q2253" s="48"/>
      <c r="R2253" s="48"/>
      <c r="S2253" s="65"/>
      <c r="T2253" s="2"/>
      <c r="U2253" s="2"/>
      <c r="V2253" s="2"/>
    </row>
    <row r="2254" spans="1:22" s="137" customFormat="1" ht="12.75" customHeight="1" x14ac:dyDescent="0.2">
      <c r="A2254" s="155"/>
      <c r="B2254" s="138" t="str">
        <f>IF(A2254="","",VLOOKUP(A2254,'6.A'!$A$11:$G$180,2,FALSE))</f>
        <v/>
      </c>
      <c r="C2254" s="156"/>
      <c r="D2254" s="157" t="str">
        <f>IF(A2254="","",VLOOKUP(A2254,'6.A'!$A$11:$G$180,4,FALSE))</f>
        <v/>
      </c>
      <c r="E2254" s="158" t="str">
        <f>IF(A2254="","",VLOOKUP(A2254,'6.A'!$A$11:$G$180,5,FALSE))</f>
        <v/>
      </c>
      <c r="F2254" s="159" t="str">
        <f t="shared" si="954"/>
        <v>0,00</v>
      </c>
      <c r="G2254" s="52"/>
      <c r="H2254" s="52" t="str">
        <f>IF(A2254="","",VLOOKUP(A2254,'6.A'!$A$11:$E$7984,5,FALSE))</f>
        <v/>
      </c>
      <c r="I2254" s="52" t="str">
        <f t="shared" ref="I2254" si="957">IF(H2254="","",IF(E2254=H2254,"SIM","NÃO"))</f>
        <v/>
      </c>
      <c r="J2254" s="52" t="str">
        <f>IF(H2254="","",VLOOKUP(A2254,'6.A'!$A$11:$E$564,4,FALSE))</f>
        <v/>
      </c>
      <c r="K2254" s="52" t="str">
        <f t="shared" ref="K2254" si="958">IF(H2254="","",IF(J2254=D2254,"SIM","NÃO"))</f>
        <v/>
      </c>
      <c r="L2254" s="52" t="str">
        <f>IF(H2254="","",IF(C2254="","",G2248*C2254))</f>
        <v/>
      </c>
      <c r="M2254" s="117" t="str">
        <f>IF(A2254="","",VLOOKUP(A2254,'6.A'!$A$11:$C$564,2,FALSE))</f>
        <v/>
      </c>
      <c r="N2254" s="57" t="str">
        <f t="shared" ref="N2254" si="959">IF(A2254="","",IF(M2254=B2254,"si","no"))</f>
        <v/>
      </c>
      <c r="O2254" s="56"/>
      <c r="P2254" s="56"/>
      <c r="Q2254" s="48"/>
      <c r="R2254" s="48"/>
      <c r="S2254" s="65"/>
      <c r="T2254" s="2"/>
      <c r="U2254" s="2"/>
      <c r="V2254" s="2"/>
    </row>
    <row r="2255" spans="1:22" s="137" customFormat="1" ht="12.75" customHeight="1" x14ac:dyDescent="0.2">
      <c r="A2255" s="155"/>
      <c r="B2255" s="138" t="str">
        <f>IF(A2255="","",VLOOKUP(A2255,'6.A'!$A$11:$G$180,2,FALSE))</f>
        <v/>
      </c>
      <c r="C2255" s="156"/>
      <c r="D2255" s="157" t="str">
        <f>IF(A2255="","",VLOOKUP(A2255,'6.A'!$A$11:$G$180,4,FALSE))</f>
        <v/>
      </c>
      <c r="E2255" s="158" t="str">
        <f>IF(A2255="","",VLOOKUP(A2255,'6.A'!$A$11:$G$180,5,FALSE))</f>
        <v/>
      </c>
      <c r="F2255" s="159" t="str">
        <f t="shared" si="954"/>
        <v>0,00</v>
      </c>
      <c r="G2255" s="52"/>
      <c r="H2255" s="52" t="str">
        <f>IF(A2255="","",VLOOKUP(A2255,'6.A'!$A$11:$E$7984,5,FALSE))</f>
        <v/>
      </c>
      <c r="I2255" s="52" t="str">
        <f>IF(H2255="","",IF(E2255=H2255,"SIM","NÃO"))</f>
        <v/>
      </c>
      <c r="J2255" s="52" t="str">
        <f>IF(H2255="","",VLOOKUP(A2255,'6.A'!$A$11:$E$564,4,FALSE))</f>
        <v/>
      </c>
      <c r="K2255" s="52" t="str">
        <f>IF(H2255="","",IF(J2255=D2255,"SIM","NÃO"))</f>
        <v/>
      </c>
      <c r="L2255" s="52" t="str">
        <f>IF(H2255="","",IF(C2255="","",G2248*C2255))</f>
        <v/>
      </c>
      <c r="M2255" s="117" t="str">
        <f>IF(A2255="","",VLOOKUP(A2255,'6.A'!$A$11:$C$564,2,FALSE))</f>
        <v/>
      </c>
      <c r="N2255" s="57" t="str">
        <f>IF(A2255="","",IF(M2255=B2255,"si","no"))</f>
        <v/>
      </c>
      <c r="O2255" s="56"/>
      <c r="P2255" s="56"/>
      <c r="Q2255" s="48"/>
      <c r="R2255" s="48"/>
      <c r="S2255" s="65"/>
      <c r="T2255" s="2"/>
      <c r="U2255" s="2"/>
      <c r="V2255" s="2"/>
    </row>
    <row r="2256" spans="1:22" s="137" customFormat="1" ht="12.75" customHeight="1" x14ac:dyDescent="0.2">
      <c r="A2256" s="155"/>
      <c r="B2256" s="138" t="str">
        <f>IF(A2256="","",VLOOKUP(A2256,'6.A'!$A$11:$G$180,2,FALSE))</f>
        <v/>
      </c>
      <c r="C2256" s="156"/>
      <c r="D2256" s="141" t="str">
        <f>IF(A2256="","",VLOOKUP(A2256,'6.A'!$A$11:$G$180,4,FALSE))</f>
        <v/>
      </c>
      <c r="E2256" s="160" t="str">
        <f>IF(A2256="","",VLOOKUP(A2256,'6.A'!$A$11:$G$180,5,FALSE))</f>
        <v/>
      </c>
      <c r="F2256" s="159" t="str">
        <f t="shared" si="954"/>
        <v>0,00</v>
      </c>
      <c r="G2256" s="52"/>
      <c r="H2256" s="52" t="str">
        <f>IF(A2256="","",VLOOKUP(A2256,'6.A'!$A$11:$E$7984,5,FALSE))</f>
        <v/>
      </c>
      <c r="I2256" s="52" t="str">
        <f>IF(H2256="","",IF(E2256=H2256,"SIM","NÃO"))</f>
        <v/>
      </c>
      <c r="J2256" s="52" t="str">
        <f>IF(H2256="","",VLOOKUP(A2256,'6.A'!$A$11:$E$564,4,FALSE))</f>
        <v/>
      </c>
      <c r="K2256" s="52" t="str">
        <f>IF(H2256="","",IF(J2256=D2256,"SIM","NÃO"))</f>
        <v/>
      </c>
      <c r="L2256" s="52" t="str">
        <f>IF(H2256="","",IF(C2256="","",G2248*C2256))</f>
        <v/>
      </c>
      <c r="M2256" s="117" t="str">
        <f>IF(A2256="","",VLOOKUP(A2256,'6.A'!$A$11:$C$564,2,FALSE))</f>
        <v/>
      </c>
      <c r="N2256" s="57" t="str">
        <f>IF(A2256="","",IF(M2256=B2256,"si","no"))</f>
        <v/>
      </c>
      <c r="O2256" s="56"/>
      <c r="P2256" s="56"/>
      <c r="Q2256" s="48"/>
      <c r="R2256" s="48"/>
      <c r="S2256" s="65"/>
      <c r="T2256" s="2"/>
      <c r="U2256" s="2"/>
      <c r="V2256" s="2"/>
    </row>
    <row r="2257" spans="1:22" s="137" customFormat="1" ht="12.75" customHeight="1" x14ac:dyDescent="0.2">
      <c r="A2257" s="155"/>
      <c r="B2257" s="138" t="str">
        <f>IF(A2257="","",VLOOKUP(A2257,'6.A'!$A$11:$G$180,2,FALSE))</f>
        <v/>
      </c>
      <c r="C2257" s="156"/>
      <c r="D2257" s="141" t="str">
        <f>IF(A2257="","",VLOOKUP(A2257,'6.A'!$A$11:$G$180,4,FALSE))</f>
        <v/>
      </c>
      <c r="E2257" s="158" t="str">
        <f>IF(A2257="","",VLOOKUP(A2257,'6.A'!$A$11:$G$180,5,FALSE))</f>
        <v/>
      </c>
      <c r="F2257" s="159" t="str">
        <f t="shared" si="954"/>
        <v>0,00</v>
      </c>
      <c r="G2257" s="52"/>
      <c r="H2257" s="52" t="str">
        <f>IF(A2257="","",VLOOKUP(A2257,'6.A'!$A$11:$E$7984,5,FALSE))</f>
        <v/>
      </c>
      <c r="I2257" s="52" t="str">
        <f t="shared" ref="I2257" si="960">IF(H2257="","",IF(E2257=H2257,"SIM","NÃO"))</f>
        <v/>
      </c>
      <c r="J2257" s="52" t="str">
        <f>IF(H2257="","",VLOOKUP(A2257,'6.A'!$A$11:$E$564,4,FALSE))</f>
        <v/>
      </c>
      <c r="K2257" s="52" t="str">
        <f t="shared" ref="K2257" si="961">IF(H2257="","",IF(J2257=D2257,"SIM","NÃO"))</f>
        <v/>
      </c>
      <c r="L2257" s="52" t="str">
        <f>IF(H2257="","",IF(C2257="","",G2248*C2257))</f>
        <v/>
      </c>
      <c r="M2257" s="117" t="str">
        <f>IF(A2257="","",VLOOKUP(A2257,'6.A'!$A$11:$C$564,2,FALSE))</f>
        <v/>
      </c>
      <c r="N2257" s="57" t="str">
        <f t="shared" ref="N2257" si="962">IF(A2257="","",IF(M2257=B2257,"si","no"))</f>
        <v/>
      </c>
      <c r="O2257" s="56"/>
      <c r="P2257" s="56"/>
      <c r="Q2257" s="48"/>
      <c r="R2257" s="48"/>
      <c r="S2257" s="65"/>
      <c r="T2257" s="2"/>
      <c r="U2257" s="2"/>
      <c r="V2257" s="2"/>
    </row>
    <row r="2258" spans="1:22" s="137" customFormat="1" ht="12.75" customHeight="1" x14ac:dyDescent="0.2">
      <c r="A2258" s="155"/>
      <c r="B2258" s="138" t="str">
        <f>IF(A2258="","",VLOOKUP(A2258,'6.A'!$A$11:$G$180,2,FALSE))</f>
        <v/>
      </c>
      <c r="C2258" s="156"/>
      <c r="D2258" s="141" t="str">
        <f>IF(A2258="","",VLOOKUP(A2258,'6.A'!$A$11:$G$180,4,FALSE))</f>
        <v/>
      </c>
      <c r="E2258" s="158" t="str">
        <f>IF(A2258="","",VLOOKUP(A2258,'6.A'!$A$11:$G$180,5,FALSE))</f>
        <v/>
      </c>
      <c r="F2258" s="159" t="str">
        <f t="shared" si="954"/>
        <v>0,00</v>
      </c>
      <c r="G2258" s="52"/>
      <c r="H2258" s="52" t="str">
        <f>IF(A2258="","",VLOOKUP(A2258,'6.A'!$A$11:$E$7984,5,FALSE))</f>
        <v/>
      </c>
      <c r="I2258" s="52" t="str">
        <f>IF(H2258="","",IF(E2258=H2258,"SIM","NÃO"))</f>
        <v/>
      </c>
      <c r="J2258" s="52" t="str">
        <f>IF(H2258="","",VLOOKUP(A2258,'6.A'!$A$11:$E$564,4,FALSE))</f>
        <v/>
      </c>
      <c r="K2258" s="52" t="str">
        <f>IF(H2258="","",IF(J2258=D2258,"SIM","NÃO"))</f>
        <v/>
      </c>
      <c r="L2258" s="52" t="str">
        <f>IF(H2258="","",IF(C2258="","",G2248*C2258))</f>
        <v/>
      </c>
      <c r="M2258" s="117" t="str">
        <f>IF(A2258="","",VLOOKUP(A2258,'6.A'!$A$11:$C$564,2,FALSE))</f>
        <v/>
      </c>
      <c r="N2258" s="57" t="str">
        <f>IF(A2258="","",IF(M2258=B2258,"si","no"))</f>
        <v/>
      </c>
      <c r="O2258" s="56"/>
      <c r="P2258" s="56"/>
      <c r="Q2258" s="48"/>
      <c r="R2258" s="48"/>
      <c r="S2258" s="65"/>
      <c r="T2258" s="2"/>
      <c r="U2258" s="2"/>
      <c r="V2258" s="2"/>
    </row>
    <row r="2259" spans="1:22" s="137" customFormat="1" ht="12.75" customHeight="1" x14ac:dyDescent="0.2">
      <c r="A2259" s="155"/>
      <c r="B2259" s="138" t="str">
        <f>IF(A2259="","",VLOOKUP(A2259,'6.A'!$A$11:$G$180,2,FALSE))</f>
        <v/>
      </c>
      <c r="C2259" s="156"/>
      <c r="D2259" s="161" t="str">
        <f>IF(A2259="","",VLOOKUP(A2259,'6.A'!$A$11:$G$180,4,FALSE))</f>
        <v/>
      </c>
      <c r="E2259" s="158" t="str">
        <f>IF(A2259="","",VLOOKUP(A2259,'6.A'!$A$11:$G$180,5,FALSE))</f>
        <v/>
      </c>
      <c r="F2259" s="159" t="str">
        <f t="shared" si="954"/>
        <v>0,00</v>
      </c>
      <c r="G2259" s="52"/>
      <c r="H2259" s="52" t="str">
        <f>IF(A2259="","",VLOOKUP(A2259,'6.A'!$A$11:$E$7984,5,FALSE))</f>
        <v/>
      </c>
      <c r="I2259" s="52" t="str">
        <f t="shared" ref="I2259" si="963">IF(H2259="","",IF(E2259=H2259,"SIM","NÃO"))</f>
        <v/>
      </c>
      <c r="J2259" s="52" t="str">
        <f>IF(H2259="","",VLOOKUP(A2259,'6.A'!$A$11:$E$564,4,FALSE))</f>
        <v/>
      </c>
      <c r="K2259" s="52" t="str">
        <f t="shared" ref="K2259" si="964">IF(H2259="","",IF(J2259=D2259,"SIM","NÃO"))</f>
        <v/>
      </c>
      <c r="L2259" s="52" t="str">
        <f>IF(H2259="","",IF(C2259="","",G2248*C2259))</f>
        <v/>
      </c>
      <c r="M2259" s="117" t="str">
        <f>IF(A2259="","",VLOOKUP(A2259,'6.A'!$A$11:$C$564,2,FALSE))</f>
        <v/>
      </c>
      <c r="N2259" s="57" t="str">
        <f t="shared" ref="N2259" si="965">IF(A2259="","",IF(M2259=B2259,"si","no"))</f>
        <v/>
      </c>
      <c r="O2259" s="56"/>
      <c r="P2259" s="56"/>
      <c r="Q2259" s="48"/>
      <c r="R2259" s="48"/>
      <c r="S2259" s="65"/>
      <c r="T2259" s="2"/>
      <c r="U2259" s="2"/>
      <c r="V2259" s="2"/>
    </row>
    <row r="2260" spans="1:22" s="137" customFormat="1" ht="12.75" customHeight="1" x14ac:dyDescent="0.2">
      <c r="A2260" s="152"/>
      <c r="B2260" s="26" t="str">
        <f>$A$8</f>
        <v>LEIS SOCIAIS HORISTA - JORNADA NORMAL</v>
      </c>
      <c r="C2260" s="27">
        <f>$C$8</f>
        <v>0</v>
      </c>
      <c r="D2260" s="141"/>
      <c r="E2260" s="147"/>
      <c r="F2260" s="162">
        <f>ROUND(SUM(F2250:F2259)*C2260,2)</f>
        <v>0</v>
      </c>
      <c r="G2260" s="63"/>
      <c r="H2260" s="52"/>
      <c r="I2260" s="57"/>
      <c r="J2260" s="57"/>
      <c r="K2260" s="57"/>
      <c r="L2260" s="52"/>
      <c r="M2260" s="62"/>
      <c r="N2260" s="57"/>
      <c r="O2260" s="56"/>
      <c r="P2260" s="56"/>
      <c r="Q2260" s="48"/>
      <c r="R2260" s="48"/>
      <c r="S2260" s="65"/>
      <c r="T2260" s="2"/>
      <c r="U2260" s="2"/>
      <c r="V2260" s="2"/>
    </row>
    <row r="2261" spans="1:22" s="137" customFormat="1" ht="12.75" customHeight="1" x14ac:dyDescent="0.2">
      <c r="A2261" s="155"/>
      <c r="B2261" s="26" t="str">
        <f>$A$9</f>
        <v>BDI</v>
      </c>
      <c r="C2261" s="27">
        <f>$C$9</f>
        <v>0</v>
      </c>
      <c r="D2261" s="136"/>
      <c r="E2261" s="147"/>
      <c r="F2261" s="162">
        <f>ROUND(SUM(F2250:F2260)*C2261,2)</f>
        <v>0</v>
      </c>
      <c r="G2261" s="63"/>
      <c r="H2261" s="52"/>
      <c r="I2261" s="57"/>
      <c r="J2261" s="57"/>
      <c r="K2261" s="57"/>
      <c r="L2261" s="52"/>
      <c r="M2261" s="62"/>
      <c r="N2261" s="57"/>
      <c r="O2261" s="56"/>
      <c r="P2261" s="56"/>
      <c r="Q2261" s="48"/>
      <c r="R2261" s="48"/>
      <c r="S2261" s="65"/>
      <c r="T2261" s="2"/>
      <c r="U2261" s="2"/>
      <c r="V2261" s="2"/>
    </row>
    <row r="2262" spans="1:22" s="149" customFormat="1" ht="12.75" customHeight="1" x14ac:dyDescent="0.2">
      <c r="A2262" s="163"/>
      <c r="B2262" s="164" t="s">
        <v>56</v>
      </c>
      <c r="C2262" s="165"/>
      <c r="D2262" s="166"/>
      <c r="E2262" s="167"/>
      <c r="F2262" s="168">
        <f>ROUND(SUM(F2250:F2261),2)</f>
        <v>0</v>
      </c>
      <c r="G2262" s="63"/>
      <c r="H2262" s="52"/>
      <c r="I2262" s="57"/>
      <c r="J2262" s="57"/>
      <c r="K2262" s="57"/>
      <c r="L2262" s="52"/>
      <c r="M2262" s="62"/>
      <c r="N2262" s="57"/>
      <c r="O2262" s="56"/>
      <c r="P2262" s="56"/>
      <c r="Q2262" s="48"/>
      <c r="R2262" s="48"/>
      <c r="S2262" s="65"/>
      <c r="T2262" s="2"/>
      <c r="U2262" s="2"/>
      <c r="V2262" s="2"/>
    </row>
    <row r="2263" spans="1:22" s="149" customFormat="1" ht="12.75" customHeight="1" x14ac:dyDescent="0.2">
      <c r="A2263" s="152" t="s">
        <v>5</v>
      </c>
      <c r="B2263" s="153" t="s">
        <v>130</v>
      </c>
      <c r="C2263" s="140" t="s">
        <v>59</v>
      </c>
      <c r="D2263" s="140" t="s">
        <v>16</v>
      </c>
      <c r="E2263" s="154" t="s">
        <v>60</v>
      </c>
      <c r="F2263" s="148" t="s">
        <v>61</v>
      </c>
      <c r="G2263" s="21"/>
      <c r="H2263" s="52"/>
      <c r="I2263" s="57"/>
      <c r="J2263" s="57"/>
      <c r="K2263" s="57"/>
      <c r="L2263" s="52"/>
      <c r="M2263" s="62"/>
      <c r="N2263" s="57"/>
      <c r="O2263" s="56"/>
      <c r="P2263" s="56"/>
      <c r="Q2263" s="48"/>
      <c r="R2263" s="48"/>
      <c r="S2263" s="65"/>
      <c r="T2263" s="2"/>
      <c r="U2263" s="2"/>
      <c r="V2263" s="2"/>
    </row>
    <row r="2264" spans="1:22" s="149" customFormat="1" ht="12.75" customHeight="1" x14ac:dyDescent="0.2">
      <c r="A2264" s="155"/>
      <c r="B2264" s="138" t="str">
        <f>IF(A2264="","",VLOOKUP(A2264,'6.A'!$A$11:$G$180,2,FALSE))</f>
        <v/>
      </c>
      <c r="C2264" s="156"/>
      <c r="D2264" s="157" t="str">
        <f>IF(A2264="","",VLOOKUP(A2264,'6.A'!$A$11:$G$180,4,FALSE))</f>
        <v/>
      </c>
      <c r="E2264" s="158" t="str">
        <f>IF(A2264="","",VLOOKUP(A2264,'6.A'!$A$11:$G$180,5,FALSE))</f>
        <v/>
      </c>
      <c r="F2264" s="159" t="str">
        <f t="shared" ref="F2264:F2265" si="966">IF(A2264="","0,00",ROUND(C2264*E2264,2))</f>
        <v>0,00</v>
      </c>
      <c r="G2264" s="52"/>
      <c r="H2264" s="52" t="str">
        <f>IF(A2264="","",VLOOKUP(A2264,'6.A'!$A$11:$E$7984,5,FALSE))</f>
        <v/>
      </c>
      <c r="I2264" s="52" t="str">
        <f t="shared" ref="I2264:I2265" si="967">IF(H2264="","",IF(E2264=H2264,"SIM","NÃO"))</f>
        <v/>
      </c>
      <c r="J2264" s="52" t="str">
        <f>IF(H2264="","",VLOOKUP(A2264,'6.A'!$A$11:$E$564,4,FALSE))</f>
        <v/>
      </c>
      <c r="K2264" s="52" t="str">
        <f t="shared" ref="K2264:K2265" si="968">IF(H2264="","",IF(J2264=D2264,"SIM","NÃO"))</f>
        <v/>
      </c>
      <c r="L2264" s="52" t="str">
        <f>IF(H2264="","",IF(C2264="","",G2248*C2264))</f>
        <v/>
      </c>
      <c r="M2264" s="117" t="str">
        <f>IF(A2264="","",VLOOKUP(A2264,'6.A'!$A$11:$C$564,2,FALSE))</f>
        <v/>
      </c>
      <c r="N2264" s="57" t="str">
        <f t="shared" ref="N2264:N2265" si="969">IF(A2264="","",IF(M2264=B2264,"si","no"))</f>
        <v/>
      </c>
      <c r="O2264" s="56"/>
      <c r="P2264" s="56"/>
      <c r="Q2264" s="48"/>
      <c r="R2264" s="48"/>
      <c r="S2264" s="65"/>
      <c r="T2264" s="2"/>
      <c r="U2264" s="2"/>
      <c r="V2264" s="2"/>
    </row>
    <row r="2265" spans="1:22" s="149" customFormat="1" ht="12.75" customHeight="1" x14ac:dyDescent="0.2">
      <c r="A2265" s="155"/>
      <c r="B2265" s="138" t="str">
        <f>IF(A2265="","",VLOOKUP(A2265,'6.A'!$A$11:$G$180,2,FALSE))</f>
        <v/>
      </c>
      <c r="C2265" s="156"/>
      <c r="D2265" s="157" t="str">
        <f>IF(A2265="","",VLOOKUP(A2265,'6.A'!$A$11:$G$180,4,FALSE))</f>
        <v/>
      </c>
      <c r="E2265" s="158" t="str">
        <f>IF(A2265="","",VLOOKUP(A2265,'6.A'!$A$11:$G$180,5,FALSE))</f>
        <v/>
      </c>
      <c r="F2265" s="159" t="str">
        <f t="shared" si="966"/>
        <v>0,00</v>
      </c>
      <c r="G2265" s="52"/>
      <c r="H2265" s="52" t="str">
        <f>IF(A2265="","",VLOOKUP(A2265,'6.A'!$A$11:$E$7984,5,FALSE))</f>
        <v/>
      </c>
      <c r="I2265" s="52" t="str">
        <f t="shared" si="967"/>
        <v/>
      </c>
      <c r="J2265" s="52" t="str">
        <f>IF(H2265="","",VLOOKUP(A2265,'6.A'!$A$11:$E$564,4,FALSE))</f>
        <v/>
      </c>
      <c r="K2265" s="52" t="str">
        <f t="shared" si="968"/>
        <v/>
      </c>
      <c r="L2265" s="52" t="str">
        <f>IF(H2265="","",IF(C2265="","",G2248*C2265))</f>
        <v/>
      </c>
      <c r="M2265" s="117" t="str">
        <f>IF(A2265="","",VLOOKUP(A2265,'6.A'!$A$11:$C$564,2,FALSE))</f>
        <v/>
      </c>
      <c r="N2265" s="57" t="str">
        <f t="shared" si="969"/>
        <v/>
      </c>
      <c r="O2265" s="56"/>
      <c r="P2265" s="56"/>
      <c r="Q2265" s="48"/>
      <c r="R2265" s="48"/>
      <c r="S2265" s="65"/>
      <c r="T2265" s="2"/>
      <c r="U2265" s="2"/>
      <c r="V2265" s="2"/>
    </row>
    <row r="2266" spans="1:22" s="149" customFormat="1" ht="12.75" customHeight="1" x14ac:dyDescent="0.2">
      <c r="A2266" s="155"/>
      <c r="B2266" s="138" t="str">
        <f>IF(A2266="","",VLOOKUP(A2266,'6.A'!$A$11:$G$180,2,FALSE))</f>
        <v/>
      </c>
      <c r="C2266" s="156"/>
      <c r="D2266" s="157" t="str">
        <f>IF(A2266="","",VLOOKUP(A2266,'6.A'!$A$11:$G$180,4,FALSE))</f>
        <v/>
      </c>
      <c r="E2266" s="158" t="str">
        <f>IF(A2266="","",VLOOKUP(A2266,'6.A'!$A$11:$G$180,5,FALSE))</f>
        <v/>
      </c>
      <c r="F2266" s="159" t="str">
        <f>IF(A2266="","0,00",ROUND(C2266*E2266,2))</f>
        <v>0,00</v>
      </c>
      <c r="G2266" s="52"/>
      <c r="H2266" s="52" t="str">
        <f>IF(A2266="","",VLOOKUP(A2266,'6.A'!$A$11:$E$7984,5,FALSE))</f>
        <v/>
      </c>
      <c r="I2266" s="52" t="str">
        <f>IF(H2266="","",IF(E2266=H2266,"SIM","NÃO"))</f>
        <v/>
      </c>
      <c r="J2266" s="52" t="str">
        <f>IF(H2266="","",VLOOKUP(A2266,'6.A'!$A$11:$E$564,4,FALSE))</f>
        <v/>
      </c>
      <c r="K2266" s="52" t="str">
        <f>IF(H2266="","",IF(J2266=D2266,"SIM","NÃO"))</f>
        <v/>
      </c>
      <c r="L2266" s="52" t="str">
        <f>IF(H2266="","",IF(C2266="","",G2248*C2266))</f>
        <v/>
      </c>
      <c r="M2266" s="117" t="str">
        <f>IF(A2266="","",VLOOKUP(A2266,'6.A'!$A$11:$C$564,2,FALSE))</f>
        <v/>
      </c>
      <c r="N2266" s="57" t="str">
        <f>IF(A2266="","",IF(M2266=B2266,"si","no"))</f>
        <v/>
      </c>
      <c r="O2266" s="56"/>
      <c r="P2266" s="56"/>
      <c r="Q2266" s="48"/>
      <c r="R2266" s="48"/>
      <c r="S2266" s="65"/>
      <c r="T2266" s="2"/>
      <c r="U2266" s="2"/>
      <c r="V2266" s="2"/>
    </row>
    <row r="2267" spans="1:22" s="149" customFormat="1" ht="12.75" customHeight="1" x14ac:dyDescent="0.2">
      <c r="A2267" s="155"/>
      <c r="B2267" s="176" t="str">
        <f>IF(A2267="","",VLOOKUP(A2267,'6.A'!$A$11:$G$180,2,FALSE))</f>
        <v/>
      </c>
      <c r="C2267" s="156"/>
      <c r="D2267" s="141" t="str">
        <f>IF(A2267="","",VLOOKUP(A2267,'6.A'!$A$11:$G$180,4,FALSE))</f>
        <v/>
      </c>
      <c r="E2267" s="160" t="str">
        <f>IF(A2267="","",VLOOKUP(A2267,'6.A'!$A$11:$G$180,5,FALSE))</f>
        <v/>
      </c>
      <c r="F2267" s="159" t="str">
        <f t="shared" ref="F2267:F2273" si="970">IF(A2267="","0,00",ROUND(C2267*E2267,2))</f>
        <v>0,00</v>
      </c>
      <c r="G2267" s="52"/>
      <c r="H2267" s="52" t="str">
        <f>IF(A2267="","",VLOOKUP(A2267,'6.A'!$A$11:$E$7984,5,FALSE))</f>
        <v/>
      </c>
      <c r="I2267" s="52" t="str">
        <f t="shared" ref="I2267:I2273" si="971">IF(H2267="","",IF(E2267=H2267,"SIM","NÃO"))</f>
        <v/>
      </c>
      <c r="J2267" s="52" t="str">
        <f>IF(H2267="","",VLOOKUP(A2267,'6.A'!$A$11:$E$564,4,FALSE))</f>
        <v/>
      </c>
      <c r="K2267" s="52" t="str">
        <f t="shared" ref="K2267:K2273" si="972">IF(H2267="","",IF(J2267=D2267,"SIM","NÃO"))</f>
        <v/>
      </c>
      <c r="L2267" s="52" t="str">
        <f>IF(H2267="","",IF(C2267="","",G2248*C2267))</f>
        <v/>
      </c>
      <c r="M2267" s="117" t="str">
        <f>IF(A2267="","",VLOOKUP(A2267,'6.A'!$A$11:$C$564,2,FALSE))</f>
        <v/>
      </c>
      <c r="N2267" s="57" t="str">
        <f t="shared" ref="N2267:N2269" si="973">IF(A2267="","",IF(M2267=B2267,"si","no"))</f>
        <v/>
      </c>
      <c r="O2267" s="56"/>
      <c r="P2267" s="56"/>
      <c r="Q2267" s="48"/>
      <c r="R2267" s="48"/>
      <c r="S2267" s="65"/>
      <c r="T2267" s="2"/>
      <c r="U2267" s="2"/>
      <c r="V2267" s="2"/>
    </row>
    <row r="2268" spans="1:22" s="149" customFormat="1" ht="12.75" customHeight="1" x14ac:dyDescent="0.2">
      <c r="A2268" s="155"/>
      <c r="B2268" s="176" t="str">
        <f>IF(A2268="","",VLOOKUP(A2268,'6.A'!$A$11:$G$180,2,FALSE))</f>
        <v/>
      </c>
      <c r="C2268" s="156"/>
      <c r="D2268" s="141" t="str">
        <f>IF(A2268="","",VLOOKUP(A2268,'6.A'!$A$11:$G$180,4,FALSE))</f>
        <v/>
      </c>
      <c r="E2268" s="160" t="str">
        <f>IF(A2268="","",VLOOKUP(A2268,'6.A'!$A$11:$G$180,5,FALSE))</f>
        <v/>
      </c>
      <c r="F2268" s="159" t="str">
        <f t="shared" si="970"/>
        <v>0,00</v>
      </c>
      <c r="G2268" s="52"/>
      <c r="H2268" s="52" t="str">
        <f>IF(A2268="","",VLOOKUP(A2268,'6.A'!$A$11:$E$7984,5,FALSE))</f>
        <v/>
      </c>
      <c r="I2268" s="52" t="str">
        <f t="shared" si="971"/>
        <v/>
      </c>
      <c r="J2268" s="52" t="str">
        <f>IF(H2268="","",VLOOKUP(A2268,'6.A'!$A$11:$E$564,4,FALSE))</f>
        <v/>
      </c>
      <c r="K2268" s="52" t="str">
        <f t="shared" si="972"/>
        <v/>
      </c>
      <c r="L2268" s="52" t="str">
        <f>IF(H2268="","",IF(C2268="","",G2248*C2268))</f>
        <v/>
      </c>
      <c r="M2268" s="117" t="str">
        <f>IF(A2268="","",VLOOKUP(A2268,'6.A'!$A$11:$C$564,2,FALSE))</f>
        <v/>
      </c>
      <c r="N2268" s="57" t="str">
        <f t="shared" si="973"/>
        <v/>
      </c>
      <c r="O2268" s="56"/>
      <c r="P2268" s="56"/>
      <c r="Q2268" s="48"/>
      <c r="R2268" s="48"/>
      <c r="S2268" s="65"/>
      <c r="T2268" s="2"/>
      <c r="U2268" s="2"/>
      <c r="V2268" s="2"/>
    </row>
    <row r="2269" spans="1:22" s="149" customFormat="1" ht="12.75" customHeight="1" x14ac:dyDescent="0.2">
      <c r="A2269" s="155"/>
      <c r="B2269" s="176" t="str">
        <f>IF(A2269="","",VLOOKUP(A2269,'6.A'!$A$11:$G$180,2,FALSE))</f>
        <v/>
      </c>
      <c r="C2269" s="156"/>
      <c r="D2269" s="141" t="str">
        <f>IF(A2269="","",VLOOKUP(A2269,'6.A'!$A$11:$G$180,4,FALSE))</f>
        <v/>
      </c>
      <c r="E2269" s="160" t="str">
        <f>IF(A2269="","",VLOOKUP(A2269,'6.A'!$A$11:$G$180,5,FALSE))</f>
        <v/>
      </c>
      <c r="F2269" s="159" t="str">
        <f t="shared" si="970"/>
        <v>0,00</v>
      </c>
      <c r="G2269" s="52"/>
      <c r="H2269" s="52" t="str">
        <f>IF(A2269="","",VLOOKUP(A2269,'6.A'!$A$11:$E$7984,5,FALSE))</f>
        <v/>
      </c>
      <c r="I2269" s="52" t="str">
        <f t="shared" si="971"/>
        <v/>
      </c>
      <c r="J2269" s="52" t="str">
        <f>IF(H2269="","",VLOOKUP(A2269,'6.A'!$A$11:$E$564,4,FALSE))</f>
        <v/>
      </c>
      <c r="K2269" s="52" t="str">
        <f t="shared" si="972"/>
        <v/>
      </c>
      <c r="L2269" s="52" t="str">
        <f>IF(H2269="","",IF(C2269="","",G2248*C2269))</f>
        <v/>
      </c>
      <c r="M2269" s="117" t="str">
        <f>IF(A2269="","",VLOOKUP(A2269,'6.A'!$A$11:$C$564,2,FALSE))</f>
        <v/>
      </c>
      <c r="N2269" s="57" t="str">
        <f t="shared" si="973"/>
        <v/>
      </c>
      <c r="O2269" s="56"/>
      <c r="P2269" s="56"/>
      <c r="Q2269" s="48"/>
      <c r="R2269" s="48"/>
      <c r="S2269" s="65"/>
      <c r="T2269" s="2"/>
      <c r="U2269" s="2"/>
      <c r="V2269" s="2"/>
    </row>
    <row r="2270" spans="1:22" s="149" customFormat="1" ht="12.75" customHeight="1" x14ac:dyDescent="0.2">
      <c r="A2270" s="155"/>
      <c r="B2270" s="176" t="str">
        <f>IF(A2270="","",VLOOKUP(A2270,'6.A'!$A$11:$G$180,2,FALSE))</f>
        <v/>
      </c>
      <c r="C2270" s="156"/>
      <c r="D2270" s="141" t="str">
        <f>IF(A2270="","",VLOOKUP(A2270,'6.A'!$A$11:$G$180,4,FALSE))</f>
        <v/>
      </c>
      <c r="E2270" s="160" t="str">
        <f>IF(A2270="","",VLOOKUP(A2270,'6.A'!$A$11:$G$180,5,FALSE))</f>
        <v/>
      </c>
      <c r="F2270" s="159" t="str">
        <f t="shared" si="970"/>
        <v>0,00</v>
      </c>
      <c r="G2270" s="52"/>
      <c r="H2270" s="52" t="str">
        <f>IF(A2270="","",VLOOKUP(A2270,'6.A'!$A$11:$E$7984,5,FALSE))</f>
        <v/>
      </c>
      <c r="I2270" s="52" t="str">
        <f t="shared" si="971"/>
        <v/>
      </c>
      <c r="J2270" s="52" t="str">
        <f>IF(H2270="","",VLOOKUP(A2270,'6.A'!$A$11:$E$564,4,FALSE))</f>
        <v/>
      </c>
      <c r="K2270" s="52" t="str">
        <f t="shared" si="972"/>
        <v/>
      </c>
      <c r="L2270" s="52" t="str">
        <f>IF(H2270="","",IF(C2270="","",G2248*C2270))</f>
        <v/>
      </c>
      <c r="M2270" s="117" t="str">
        <f>IF(A2270="","",VLOOKUP(A2270,'6.A'!$A$11:$C$564,2,FALSE))</f>
        <v/>
      </c>
      <c r="N2270" s="57" t="str">
        <f>IF(A2270="","",IF(M2270=B2270,"si","no"))</f>
        <v/>
      </c>
      <c r="O2270" s="56"/>
      <c r="P2270" s="56"/>
      <c r="Q2270" s="48"/>
      <c r="R2270" s="48"/>
      <c r="S2270" s="65"/>
      <c r="T2270" s="2"/>
      <c r="U2270" s="2"/>
      <c r="V2270" s="2"/>
    </row>
    <row r="2271" spans="1:22" s="149" customFormat="1" ht="12.75" customHeight="1" x14ac:dyDescent="0.2">
      <c r="A2271" s="155"/>
      <c r="B2271" s="138" t="str">
        <f>IF(A2271="","",VLOOKUP(A2271,'6.A'!$A$11:$G$180,2,FALSE))</f>
        <v/>
      </c>
      <c r="C2271" s="156"/>
      <c r="D2271" s="141" t="str">
        <f>IF(A2271="","",VLOOKUP(A2271,'6.A'!$A$11:$G$180,4,FALSE))</f>
        <v/>
      </c>
      <c r="E2271" s="160" t="str">
        <f>IF(A2271="","",VLOOKUP(A2271,'6.A'!$A$11:$G$180,5,FALSE))</f>
        <v/>
      </c>
      <c r="F2271" s="159" t="str">
        <f t="shared" si="970"/>
        <v>0,00</v>
      </c>
      <c r="G2271" s="52"/>
      <c r="H2271" s="52" t="str">
        <f>IF(A2271="","",VLOOKUP(A2271,'6.A'!$A$11:$E$7984,5,FALSE))</f>
        <v/>
      </c>
      <c r="I2271" s="52" t="str">
        <f t="shared" si="971"/>
        <v/>
      </c>
      <c r="J2271" s="52" t="str">
        <f>IF(H2271="","",VLOOKUP(A2271,'6.A'!$A$11:$E$564,4,FALSE))</f>
        <v/>
      </c>
      <c r="K2271" s="52" t="str">
        <f t="shared" si="972"/>
        <v/>
      </c>
      <c r="L2271" s="52" t="str">
        <f>IF(H2271="","",IF(C2271="","",G2248*C2271))</f>
        <v/>
      </c>
      <c r="M2271" s="117" t="str">
        <f>IF(A2271="","",VLOOKUP(A2271,'6.A'!$A$11:$C$564,2,FALSE))</f>
        <v/>
      </c>
      <c r="N2271" s="57" t="str">
        <f>IF(A2271="","",IF(M2271=B2271,"si","no"))</f>
        <v/>
      </c>
      <c r="O2271" s="56"/>
      <c r="P2271" s="56"/>
      <c r="Q2271" s="48"/>
      <c r="R2271" s="48"/>
      <c r="S2271" s="65"/>
      <c r="T2271" s="2"/>
      <c r="U2271" s="2"/>
      <c r="V2271" s="2"/>
    </row>
    <row r="2272" spans="1:22" s="149" customFormat="1" ht="12.75" customHeight="1" x14ac:dyDescent="0.2">
      <c r="A2272" s="155"/>
      <c r="B2272" s="138" t="str">
        <f>IF(A2272="","",VLOOKUP(A2272,'6.A'!$A$11:$G$180,2,FALSE))</f>
        <v/>
      </c>
      <c r="C2272" s="156"/>
      <c r="D2272" s="141" t="str">
        <f>IF(A2272="","",VLOOKUP(A2272,'6.A'!$A$11:$G$180,4,FALSE))</f>
        <v/>
      </c>
      <c r="E2272" s="160" t="str">
        <f>IF(A2272="","",VLOOKUP(A2272,'6.A'!$A$11:$G$180,5,FALSE))</f>
        <v/>
      </c>
      <c r="F2272" s="159" t="str">
        <f t="shared" si="970"/>
        <v>0,00</v>
      </c>
      <c r="G2272" s="52"/>
      <c r="H2272" s="52" t="str">
        <f>IF(A2272="","",VLOOKUP(A2272,'6.A'!$A$11:$E$7984,5,FALSE))</f>
        <v/>
      </c>
      <c r="I2272" s="52" t="str">
        <f t="shared" si="971"/>
        <v/>
      </c>
      <c r="J2272" s="52" t="str">
        <f>IF(H2272="","",VLOOKUP(A2272,'6.A'!$A$11:$E$564,4,FALSE))</f>
        <v/>
      </c>
      <c r="K2272" s="52" t="str">
        <f t="shared" si="972"/>
        <v/>
      </c>
      <c r="L2272" s="52" t="str">
        <f>IF(H2272="","",IF(C2272="","",G2248*C2272))</f>
        <v/>
      </c>
      <c r="M2272" s="117" t="str">
        <f>IF(A2272="","",VLOOKUP(A2272,'6.A'!$A$11:$C$564,2,FALSE))</f>
        <v/>
      </c>
      <c r="N2272" s="57" t="str">
        <f t="shared" ref="N2272:N2273" si="974">IF(A2272="","",IF(M2272=B2272,"si","no"))</f>
        <v/>
      </c>
      <c r="O2272" s="56"/>
      <c r="P2272" s="56"/>
      <c r="Q2272" s="48"/>
      <c r="R2272" s="48"/>
      <c r="S2272" s="65"/>
      <c r="T2272" s="2"/>
      <c r="U2272" s="2"/>
      <c r="V2272" s="2"/>
    </row>
    <row r="2273" spans="1:22" s="149" customFormat="1" ht="12.75" customHeight="1" x14ac:dyDescent="0.2">
      <c r="A2273" s="155"/>
      <c r="B2273" s="138" t="str">
        <f>IF(A2273="","",VLOOKUP(A2273,'6.A'!$A$11:$G$180,2,FALSE))</f>
        <v/>
      </c>
      <c r="C2273" s="156"/>
      <c r="D2273" s="141" t="str">
        <f>IF(A2273="","",VLOOKUP(A2273,'6.A'!$A$11:$G$180,4,FALSE))</f>
        <v/>
      </c>
      <c r="E2273" s="160" t="str">
        <f>IF(A2273="","",VLOOKUP(A2273,'6.A'!$A$11:$G$180,5,FALSE))</f>
        <v/>
      </c>
      <c r="F2273" s="159" t="str">
        <f t="shared" si="970"/>
        <v>0,00</v>
      </c>
      <c r="G2273" s="52"/>
      <c r="H2273" s="52" t="str">
        <f>IF(A2273="","",VLOOKUP(A2273,'6.A'!$A$11:$E$7984,5,FALSE))</f>
        <v/>
      </c>
      <c r="I2273" s="52" t="str">
        <f t="shared" si="971"/>
        <v/>
      </c>
      <c r="J2273" s="52" t="str">
        <f>IF(H2273="","",VLOOKUP(A2273,'6.A'!$A$11:$E$564,4,FALSE))</f>
        <v/>
      </c>
      <c r="K2273" s="52" t="str">
        <f t="shared" si="972"/>
        <v/>
      </c>
      <c r="L2273" s="52" t="str">
        <f>IF(H2273="","",IF(C2273="","",G2248*C2273))</f>
        <v/>
      </c>
      <c r="M2273" s="117" t="str">
        <f>IF(A2273="","",VLOOKUP(A2273,'6.A'!$A$11:$C$564,2,FALSE))</f>
        <v/>
      </c>
      <c r="N2273" s="57" t="str">
        <f t="shared" si="974"/>
        <v/>
      </c>
      <c r="O2273" s="56"/>
      <c r="P2273" s="56"/>
      <c r="Q2273" s="48"/>
      <c r="R2273" s="48"/>
      <c r="S2273" s="65"/>
      <c r="T2273" s="2"/>
      <c r="U2273" s="2"/>
      <c r="V2273" s="2"/>
    </row>
    <row r="2274" spans="1:22" s="149" customFormat="1" ht="12.75" customHeight="1" x14ac:dyDescent="0.2">
      <c r="A2274" s="155"/>
      <c r="B2274" s="26" t="str">
        <f>$A$9</f>
        <v>BDI</v>
      </c>
      <c r="C2274" s="27">
        <f>$C$9</f>
        <v>0</v>
      </c>
      <c r="D2274" s="141"/>
      <c r="E2274" s="147"/>
      <c r="F2274" s="162">
        <f>ROUND(SUM(F2264:F2273)*C2274,2)</f>
        <v>0</v>
      </c>
      <c r="G2274" s="63"/>
      <c r="H2274" s="52"/>
      <c r="I2274" s="57"/>
      <c r="J2274" s="57"/>
      <c r="K2274" s="57"/>
      <c r="L2274" s="52"/>
      <c r="M2274" s="62"/>
      <c r="N2274" s="57"/>
      <c r="O2274" s="56"/>
      <c r="P2274" s="56"/>
      <c r="Q2274" s="48"/>
      <c r="R2274" s="48"/>
      <c r="S2274" s="65"/>
      <c r="T2274" s="2"/>
      <c r="U2274" s="2"/>
      <c r="V2274" s="2"/>
    </row>
    <row r="2275" spans="1:22" s="149" customFormat="1" ht="12.75" customHeight="1" x14ac:dyDescent="0.2">
      <c r="A2275" s="163"/>
      <c r="B2275" s="31" t="s">
        <v>117</v>
      </c>
      <c r="C2275" s="36"/>
      <c r="D2275" s="169"/>
      <c r="E2275" s="170"/>
      <c r="F2275" s="168">
        <f>ROUND(SUM(F2264:F2274),2)</f>
        <v>0</v>
      </c>
      <c r="G2275" s="63"/>
      <c r="H2275" s="52"/>
      <c r="I2275" s="57"/>
      <c r="J2275" s="57"/>
      <c r="K2275" s="57"/>
      <c r="L2275" s="52"/>
      <c r="M2275" s="62"/>
      <c r="N2275" s="57"/>
      <c r="O2275" s="56"/>
      <c r="P2275" s="56"/>
      <c r="Q2275" s="48"/>
      <c r="R2275" s="48"/>
      <c r="S2275" s="65"/>
      <c r="T2275" s="2"/>
      <c r="U2275" s="2"/>
      <c r="V2275" s="2"/>
    </row>
    <row r="2276" spans="1:22" s="149" customFormat="1" ht="12.75" customHeight="1" x14ac:dyDescent="0.2">
      <c r="A2276" s="152" t="s">
        <v>6</v>
      </c>
      <c r="B2276" s="153" t="s">
        <v>17</v>
      </c>
      <c r="C2276" s="140" t="s">
        <v>59</v>
      </c>
      <c r="D2276" s="140" t="s">
        <v>16</v>
      </c>
      <c r="E2276" s="154" t="s">
        <v>60</v>
      </c>
      <c r="F2276" s="148" t="s">
        <v>61</v>
      </c>
      <c r="G2276" s="21"/>
      <c r="H2276" s="52"/>
      <c r="I2276" s="57"/>
      <c r="J2276" s="57"/>
      <c r="K2276" s="57"/>
      <c r="L2276" s="52"/>
      <c r="M2276" s="62"/>
      <c r="N2276" s="57"/>
      <c r="O2276" s="56"/>
      <c r="P2276" s="56"/>
      <c r="Q2276" s="48"/>
      <c r="R2276" s="48"/>
      <c r="S2276" s="65"/>
      <c r="T2276" s="2"/>
      <c r="U2276" s="2"/>
      <c r="V2276" s="2"/>
    </row>
    <row r="2277" spans="1:22" s="149" customFormat="1" ht="12.75" customHeight="1" x14ac:dyDescent="0.2">
      <c r="A2277" s="155">
        <f>'6.A'!$A$142</f>
        <v>39270</v>
      </c>
      <c r="B2277" s="138" t="str">
        <f>IF(A2277="","",VLOOKUP(A2277,'6.A'!$A$11:$G$180,2,FALSE))</f>
        <v>CORDAO DE COBRE, FLEXIVEL, TORCIDO, CLASSE 4 OU 5, ISOLACAO EM PVC/D, 300 V, 2 CONDUTORES DE 1,0 MM2</v>
      </c>
      <c r="C2277" s="156">
        <v>1</v>
      </c>
      <c r="D2277" s="157" t="str">
        <f>IF(A2277="","",VLOOKUP(A2277,'6.A'!$A$11:$G$180,4,FALSE))</f>
        <v>M</v>
      </c>
      <c r="E2277" s="158">
        <f>IF(A2277="","",VLOOKUP(A2277,'6.A'!$A$11:$G$180,5,FALSE))</f>
        <v>0</v>
      </c>
      <c r="F2277" s="159">
        <f t="shared" ref="F2277:F2296" si="975">IF(A2277="","0,00",ROUND(C2277*E2277,2))</f>
        <v>0</v>
      </c>
      <c r="G2277" s="52"/>
      <c r="H2277" s="52">
        <f>IF(A2277="","",VLOOKUP(A2277,'6.A'!$A$11:$E$7984,5,FALSE))</f>
        <v>0</v>
      </c>
      <c r="I2277" s="52" t="str">
        <f t="shared" ref="I2277:I2296" si="976">IF(H2277="","",IF(E2277=H2277,"SIM","NÃO"))</f>
        <v>SIM</v>
      </c>
      <c r="J2277" s="52" t="str">
        <f>IF(H2277="","",VLOOKUP(A2277,'6.A'!$A$11:$E$564,4,FALSE))</f>
        <v>M</v>
      </c>
      <c r="K2277" s="52" t="str">
        <f t="shared" ref="K2277:K2296" si="977">IF(H2277="","",IF(J2277=D2277,"SIM","NÃO"))</f>
        <v>SIM</v>
      </c>
      <c r="L2277" s="52">
        <f>IF(H2277="","",IF(C2277="","",G2248*C2277))</f>
        <v>35</v>
      </c>
      <c r="M2277" s="117" t="str">
        <f>IF(A2277="","",VLOOKUP(A2277,'6.A'!$A$11:$C$564,2,FALSE))</f>
        <v>CORDAO DE COBRE, FLEXIVEL, TORCIDO, CLASSE 4 OU 5, ISOLACAO EM PVC/D, 300 V, 2 CONDUTORES DE 1,0 MM2</v>
      </c>
      <c r="N2277" s="57" t="str">
        <f t="shared" ref="N2277:N2296" si="978">IF(A2277="","",IF(M2277=B2277,"si","no"))</f>
        <v>si</v>
      </c>
      <c r="O2277" s="56"/>
      <c r="P2277" s="56"/>
      <c r="Q2277" s="48"/>
      <c r="R2277" s="48"/>
      <c r="S2277" s="65"/>
      <c r="T2277" s="2"/>
      <c r="U2277" s="2"/>
      <c r="V2277" s="2"/>
    </row>
    <row r="2278" spans="1:22" s="149" customFormat="1" ht="12.75" customHeight="1" x14ac:dyDescent="0.2">
      <c r="A2278" s="155">
        <f>'6.A'!$A$123</f>
        <v>21127</v>
      </c>
      <c r="B2278" s="138" t="str">
        <f>IF(A2278="","",VLOOKUP(A2278,'6.A'!$A$11:$G$180,2,FALSE))</f>
        <v>FITA ISOLANTE ADESIVA ANTICHAMA, USO ATE 750 V, EM ROLO DE 19 MM X 5 M</v>
      </c>
      <c r="C2278" s="156">
        <v>9.4000000000000004E-3</v>
      </c>
      <c r="D2278" s="157" t="str">
        <f>IF(A2278="","",VLOOKUP(A2278,'6.A'!$A$11:$G$180,4,FALSE))</f>
        <v>UN</v>
      </c>
      <c r="E2278" s="158">
        <f>IF(A2278="","",VLOOKUP(A2278,'6.A'!$A$11:$G$180,5,FALSE))</f>
        <v>0</v>
      </c>
      <c r="F2278" s="159">
        <f t="shared" si="975"/>
        <v>0</v>
      </c>
      <c r="G2278" s="52"/>
      <c r="H2278" s="52">
        <f>IF(A2278="","",VLOOKUP(A2278,'6.A'!$A$11:$E$7984,5,FALSE))</f>
        <v>0</v>
      </c>
      <c r="I2278" s="52" t="str">
        <f t="shared" si="976"/>
        <v>SIM</v>
      </c>
      <c r="J2278" s="52" t="str">
        <f>IF(H2278="","",VLOOKUP(A2278,'6.A'!$A$11:$E$564,4,FALSE))</f>
        <v>UN</v>
      </c>
      <c r="K2278" s="52" t="str">
        <f t="shared" si="977"/>
        <v>SIM</v>
      </c>
      <c r="L2278" s="52">
        <f>IF(H2278="","",IF(C2278="","",G2248*C2278))</f>
        <v>0.32900000000000001</v>
      </c>
      <c r="M2278" s="117" t="str">
        <f>IF(A2278="","",VLOOKUP(A2278,'6.A'!$A$11:$C$564,2,FALSE))</f>
        <v>FITA ISOLANTE ADESIVA ANTICHAMA, USO ATE 750 V, EM ROLO DE 19 MM X 5 M</v>
      </c>
      <c r="N2278" s="57" t="str">
        <f t="shared" si="978"/>
        <v>si</v>
      </c>
      <c r="O2278" s="56"/>
      <c r="P2278" s="56"/>
      <c r="Q2278" s="48"/>
      <c r="R2278" s="48"/>
      <c r="S2278" s="65"/>
      <c r="T2278" s="2"/>
      <c r="U2278" s="2"/>
      <c r="V2278" s="2"/>
    </row>
    <row r="2279" spans="1:22" s="149" customFormat="1" ht="12.75" customHeight="1" x14ac:dyDescent="0.2">
      <c r="A2279" s="155"/>
      <c r="B2279" s="138" t="str">
        <f>IF(A2279="","",VLOOKUP(A2279,'6.A'!$A$11:$G$180,2,FALSE))</f>
        <v/>
      </c>
      <c r="C2279" s="156"/>
      <c r="D2279" s="157" t="str">
        <f>IF(A2279="","",VLOOKUP(A2279,'6.A'!$A$11:$G$180,4,FALSE))</f>
        <v/>
      </c>
      <c r="E2279" s="158" t="str">
        <f>IF(A2279="","",VLOOKUP(A2279,'6.A'!$A$11:$G$180,5,FALSE))</f>
        <v/>
      </c>
      <c r="F2279" s="159" t="str">
        <f t="shared" si="975"/>
        <v>0,00</v>
      </c>
      <c r="G2279" s="52"/>
      <c r="H2279" s="52" t="str">
        <f>IF(A2279="","",VLOOKUP(A2279,'6.A'!$A$11:$E$7984,5,FALSE))</f>
        <v/>
      </c>
      <c r="I2279" s="52" t="str">
        <f t="shared" si="976"/>
        <v/>
      </c>
      <c r="J2279" s="52" t="str">
        <f>IF(H2279="","",VLOOKUP(A2279,'6.A'!$A$11:$E$564,4,FALSE))</f>
        <v/>
      </c>
      <c r="K2279" s="52" t="str">
        <f t="shared" si="977"/>
        <v/>
      </c>
      <c r="L2279" s="52" t="str">
        <f>IF(H2279="","",IF(C2279="","",G2248*C2279))</f>
        <v/>
      </c>
      <c r="M2279" s="117" t="str">
        <f>IF(A2279="","",VLOOKUP(A2279,'6.A'!$A$11:$C$564,2,FALSE))</f>
        <v/>
      </c>
      <c r="N2279" s="57" t="str">
        <f t="shared" si="978"/>
        <v/>
      </c>
      <c r="O2279" s="56"/>
      <c r="P2279" s="56"/>
      <c r="Q2279" s="48"/>
      <c r="R2279" s="48"/>
      <c r="S2279" s="65"/>
      <c r="T2279" s="2"/>
      <c r="U2279" s="2"/>
      <c r="V2279" s="2"/>
    </row>
    <row r="2280" spans="1:22" s="149" customFormat="1" ht="12.75" customHeight="1" x14ac:dyDescent="0.2">
      <c r="A2280" s="155"/>
      <c r="B2280" s="138" t="str">
        <f>IF(A2280="","",VLOOKUP(A2280,'6.A'!$A$11:$G$180,2,FALSE))</f>
        <v/>
      </c>
      <c r="C2280" s="156"/>
      <c r="D2280" s="157" t="str">
        <f>IF(A2280="","",VLOOKUP(A2280,'6.A'!$A$11:$G$180,4,FALSE))</f>
        <v/>
      </c>
      <c r="E2280" s="158" t="str">
        <f>IF(A2280="","",VLOOKUP(A2280,'6.A'!$A$11:$G$180,5,FALSE))</f>
        <v/>
      </c>
      <c r="F2280" s="159" t="str">
        <f t="shared" si="975"/>
        <v>0,00</v>
      </c>
      <c r="G2280" s="52"/>
      <c r="H2280" s="52" t="str">
        <f>IF(A2280="","",VLOOKUP(A2280,'6.A'!$A$11:$E$7984,5,FALSE))</f>
        <v/>
      </c>
      <c r="I2280" s="52" t="str">
        <f t="shared" si="976"/>
        <v/>
      </c>
      <c r="J2280" s="52" t="str">
        <f>IF(H2280="","",VLOOKUP(A2280,'6.A'!$A$11:$E$564,4,FALSE))</f>
        <v/>
      </c>
      <c r="K2280" s="52" t="str">
        <f t="shared" si="977"/>
        <v/>
      </c>
      <c r="L2280" s="52" t="str">
        <f>IF(H2280="","",IF(C2280="","",G2248*C2280))</f>
        <v/>
      </c>
      <c r="M2280" s="117" t="str">
        <f>IF(A2280="","",VLOOKUP(A2280,'6.A'!$A$11:$C$564,2,FALSE))</f>
        <v/>
      </c>
      <c r="N2280" s="57" t="str">
        <f t="shared" si="978"/>
        <v/>
      </c>
      <c r="O2280" s="56"/>
      <c r="P2280" s="56"/>
      <c r="Q2280" s="48"/>
      <c r="R2280" s="48"/>
      <c r="S2280" s="65"/>
      <c r="T2280" s="2"/>
      <c r="U2280" s="2"/>
      <c r="V2280" s="2"/>
    </row>
    <row r="2281" spans="1:22" s="149" customFormat="1" ht="12.75" customHeight="1" x14ac:dyDescent="0.2">
      <c r="A2281" s="155"/>
      <c r="B2281" s="138" t="str">
        <f>IF(A2281="","",VLOOKUP(A2281,'6.A'!$A$11:$G$180,2,FALSE))</f>
        <v/>
      </c>
      <c r="C2281" s="156"/>
      <c r="D2281" s="141" t="str">
        <f>IF(A2281="","",VLOOKUP(A2281,'6.A'!$A$11:$G$180,4,FALSE))</f>
        <v/>
      </c>
      <c r="E2281" s="160" t="str">
        <f>IF(A2281="","",VLOOKUP(A2281,'6.A'!$A$11:$G$180,5,FALSE))</f>
        <v/>
      </c>
      <c r="F2281" s="159" t="str">
        <f t="shared" si="975"/>
        <v>0,00</v>
      </c>
      <c r="G2281" s="52"/>
      <c r="H2281" s="52" t="str">
        <f>IF(A2281="","",VLOOKUP(A2281,'6.A'!$A$11:$E$7984,5,FALSE))</f>
        <v/>
      </c>
      <c r="I2281" s="52" t="str">
        <f t="shared" si="976"/>
        <v/>
      </c>
      <c r="J2281" s="52" t="str">
        <f>IF(H2281="","",VLOOKUP(A2281,'6.A'!$A$11:$E$564,4,FALSE))</f>
        <v/>
      </c>
      <c r="K2281" s="52" t="str">
        <f t="shared" si="977"/>
        <v/>
      </c>
      <c r="L2281" s="52" t="str">
        <f>IF(H2281="","",IF(C2281="","",G2248*C2281))</f>
        <v/>
      </c>
      <c r="M2281" s="117" t="str">
        <f>IF(A2281="","",VLOOKUP(A2281,'6.A'!$A$11:$C$564,2,FALSE))</f>
        <v/>
      </c>
      <c r="N2281" s="57" t="str">
        <f t="shared" si="978"/>
        <v/>
      </c>
      <c r="O2281" s="56"/>
      <c r="P2281" s="56"/>
      <c r="Q2281" s="48"/>
      <c r="R2281" s="48"/>
      <c r="S2281" s="65"/>
      <c r="T2281" s="2"/>
      <c r="U2281" s="2"/>
      <c r="V2281" s="2"/>
    </row>
    <row r="2282" spans="1:22" s="149" customFormat="1" ht="12.75" customHeight="1" x14ac:dyDescent="0.2">
      <c r="A2282" s="155"/>
      <c r="B2282" s="138" t="str">
        <f>IF(A2282="","",VLOOKUP(A2282,'6.A'!$A$11:$G$180,2,FALSE))</f>
        <v/>
      </c>
      <c r="C2282" s="156"/>
      <c r="D2282" s="141" t="str">
        <f>IF(A2282="","",VLOOKUP(A2282,'6.A'!$A$11:$G$180,4,FALSE))</f>
        <v/>
      </c>
      <c r="E2282" s="160" t="str">
        <f>IF(A2282="","",VLOOKUP(A2282,'6.A'!$A$11:$G$180,5,FALSE))</f>
        <v/>
      </c>
      <c r="F2282" s="159" t="str">
        <f t="shared" si="975"/>
        <v>0,00</v>
      </c>
      <c r="G2282" s="52"/>
      <c r="H2282" s="52" t="str">
        <f>IF(A2282="","",VLOOKUP(A2282,'6.A'!$A$11:$E$7984,5,FALSE))</f>
        <v/>
      </c>
      <c r="I2282" s="52" t="str">
        <f t="shared" si="976"/>
        <v/>
      </c>
      <c r="J2282" s="52" t="str">
        <f>IF(H2282="","",VLOOKUP(A2282,'6.A'!$A$11:$E$564,4,FALSE))</f>
        <v/>
      </c>
      <c r="K2282" s="52" t="str">
        <f t="shared" si="977"/>
        <v/>
      </c>
      <c r="L2282" s="52" t="str">
        <f>IF(H2282="","",IF(C2282="","",G2248*C2282))</f>
        <v/>
      </c>
      <c r="M2282" s="117" t="str">
        <f>IF(A2282="","",VLOOKUP(A2282,'6.A'!$A$11:$C$564,2,FALSE))</f>
        <v/>
      </c>
      <c r="N2282" s="57" t="str">
        <f t="shared" si="978"/>
        <v/>
      </c>
      <c r="O2282" s="56"/>
      <c r="P2282" s="56"/>
      <c r="Q2282" s="48"/>
      <c r="R2282" s="48"/>
      <c r="S2282" s="65"/>
      <c r="T2282" s="2"/>
      <c r="U2282" s="2"/>
      <c r="V2282" s="2"/>
    </row>
    <row r="2283" spans="1:22" s="149" customFormat="1" ht="12.75" customHeight="1" x14ac:dyDescent="0.2">
      <c r="A2283" s="155"/>
      <c r="B2283" s="138" t="str">
        <f>IF(A2283="","",VLOOKUP(A2283,'6.A'!$A$11:$G$180,2,FALSE))</f>
        <v/>
      </c>
      <c r="C2283" s="156"/>
      <c r="D2283" s="157" t="str">
        <f>IF(A2283="","",VLOOKUP(A2283,'6.A'!$A$11:$G$180,4,FALSE))</f>
        <v/>
      </c>
      <c r="E2283" s="158" t="str">
        <f>IF(A2283="","",VLOOKUP(A2283,'6.A'!$A$11:$G$180,5,FALSE))</f>
        <v/>
      </c>
      <c r="F2283" s="159" t="str">
        <f t="shared" si="975"/>
        <v>0,00</v>
      </c>
      <c r="G2283" s="52"/>
      <c r="H2283" s="52" t="str">
        <f>IF(A2283="","",VLOOKUP(A2283,'6.A'!$A$11:$E$7984,5,FALSE))</f>
        <v/>
      </c>
      <c r="I2283" s="52" t="str">
        <f t="shared" si="976"/>
        <v/>
      </c>
      <c r="J2283" s="52" t="str">
        <f>IF(H2283="","",VLOOKUP(A2283,'6.A'!$A$11:$E$564,4,FALSE))</f>
        <v/>
      </c>
      <c r="K2283" s="52" t="str">
        <f t="shared" si="977"/>
        <v/>
      </c>
      <c r="L2283" s="52" t="str">
        <f>IF(H2283="","",IF(C2283="","",G2248*C2283))</f>
        <v/>
      </c>
      <c r="M2283" s="117" t="str">
        <f>IF(A2283="","",VLOOKUP(A2283,'6.A'!$A$11:$C$564,2,FALSE))</f>
        <v/>
      </c>
      <c r="N2283" s="57" t="str">
        <f t="shared" si="978"/>
        <v/>
      </c>
      <c r="O2283" s="56"/>
      <c r="P2283" s="56"/>
      <c r="Q2283" s="48"/>
      <c r="R2283" s="48"/>
      <c r="S2283" s="65"/>
      <c r="T2283" s="2"/>
      <c r="U2283" s="2"/>
      <c r="V2283" s="2"/>
    </row>
    <row r="2284" spans="1:22" s="149" customFormat="1" ht="12.75" customHeight="1" x14ac:dyDescent="0.2">
      <c r="A2284" s="155"/>
      <c r="B2284" s="138" t="str">
        <f>IF(A2284="","",VLOOKUP(A2284,'6.A'!$A$11:$G$180,2,FALSE))</f>
        <v/>
      </c>
      <c r="C2284" s="156"/>
      <c r="D2284" s="157" t="str">
        <f>IF(A2284="","",VLOOKUP(A2284,'6.A'!$A$11:$G$180,4,FALSE))</f>
        <v/>
      </c>
      <c r="E2284" s="158" t="str">
        <f>IF(A2284="","",VLOOKUP(A2284,'6.A'!$A$11:$G$180,5,FALSE))</f>
        <v/>
      </c>
      <c r="F2284" s="159" t="str">
        <f t="shared" si="975"/>
        <v>0,00</v>
      </c>
      <c r="G2284" s="52"/>
      <c r="H2284" s="52" t="str">
        <f>IF(A2284="","",VLOOKUP(A2284,'6.A'!$A$11:$E$7984,5,FALSE))</f>
        <v/>
      </c>
      <c r="I2284" s="52" t="str">
        <f t="shared" si="976"/>
        <v/>
      </c>
      <c r="J2284" s="52" t="str">
        <f>IF(H2284="","",VLOOKUP(A2284,'6.A'!$A$11:$E$564,4,FALSE))</f>
        <v/>
      </c>
      <c r="K2284" s="52" t="str">
        <f t="shared" si="977"/>
        <v/>
      </c>
      <c r="L2284" s="52" t="str">
        <f>IF(H2284="","",IF(C2284="","",G2248*C2284))</f>
        <v/>
      </c>
      <c r="M2284" s="117" t="str">
        <f>IF(A2284="","",VLOOKUP(A2284,'6.A'!$A$11:$C$564,2,FALSE))</f>
        <v/>
      </c>
      <c r="N2284" s="57" t="str">
        <f t="shared" si="978"/>
        <v/>
      </c>
      <c r="O2284" s="56"/>
      <c r="P2284" s="56"/>
      <c r="Q2284" s="48"/>
      <c r="R2284" s="48"/>
      <c r="S2284" s="65"/>
      <c r="T2284" s="2"/>
      <c r="U2284" s="2"/>
      <c r="V2284" s="2"/>
    </row>
    <row r="2285" spans="1:22" s="149" customFormat="1" ht="12.75" customHeight="1" x14ac:dyDescent="0.2">
      <c r="A2285" s="155"/>
      <c r="B2285" s="138" t="str">
        <f>IF(A2285="","",VLOOKUP(A2285,'6.A'!$A$11:$G$180,2,FALSE))</f>
        <v/>
      </c>
      <c r="C2285" s="156"/>
      <c r="D2285" s="141" t="str">
        <f>IF(A2285="","",VLOOKUP(A2285,'6.A'!$A$11:$G$180,4,FALSE))</f>
        <v/>
      </c>
      <c r="E2285" s="160" t="str">
        <f>IF(A2285="","",VLOOKUP(A2285,'6.A'!$A$11:$G$180,5,FALSE))</f>
        <v/>
      </c>
      <c r="F2285" s="159" t="str">
        <f t="shared" si="975"/>
        <v>0,00</v>
      </c>
      <c r="G2285" s="52"/>
      <c r="H2285" s="52" t="str">
        <f>IF(A2285="","",VLOOKUP(A2285,'6.A'!$A$11:$E$7984,5,FALSE))</f>
        <v/>
      </c>
      <c r="I2285" s="52" t="str">
        <f t="shared" si="976"/>
        <v/>
      </c>
      <c r="J2285" s="52" t="str">
        <f>IF(H2285="","",VLOOKUP(A2285,'6.A'!$A$11:$E$564,4,FALSE))</f>
        <v/>
      </c>
      <c r="K2285" s="52" t="str">
        <f t="shared" si="977"/>
        <v/>
      </c>
      <c r="L2285" s="52" t="str">
        <f>IF(H2285="","",IF(C2285="","",G2248*C2285))</f>
        <v/>
      </c>
      <c r="M2285" s="117" t="str">
        <f>IF(A2285="","",VLOOKUP(A2285,'6.A'!$A$11:$C$564,2,FALSE))</f>
        <v/>
      </c>
      <c r="N2285" s="57" t="str">
        <f t="shared" si="978"/>
        <v/>
      </c>
      <c r="O2285" s="56"/>
      <c r="P2285" s="56"/>
      <c r="Q2285" s="48"/>
      <c r="R2285" s="48"/>
      <c r="S2285" s="65"/>
      <c r="T2285" s="2"/>
      <c r="U2285" s="2"/>
      <c r="V2285" s="2"/>
    </row>
    <row r="2286" spans="1:22" s="149" customFormat="1" ht="12.75" customHeight="1" x14ac:dyDescent="0.2">
      <c r="A2286" s="155"/>
      <c r="B2286" s="138" t="str">
        <f>IF(A2286="","",VLOOKUP(A2286,'6.A'!$A$11:$G$180,2,FALSE))</f>
        <v/>
      </c>
      <c r="C2286" s="156"/>
      <c r="D2286" s="141" t="str">
        <f>IF(A2286="","",VLOOKUP(A2286,'6.A'!$A$11:$G$180,4,FALSE))</f>
        <v/>
      </c>
      <c r="E2286" s="160" t="str">
        <f>IF(A2286="","",VLOOKUP(A2286,'6.A'!$A$11:$G$180,5,FALSE))</f>
        <v/>
      </c>
      <c r="F2286" s="159" t="str">
        <f t="shared" si="975"/>
        <v>0,00</v>
      </c>
      <c r="G2286" s="52"/>
      <c r="H2286" s="52" t="str">
        <f>IF(A2286="","",VLOOKUP(A2286,'6.A'!$A$11:$E$7984,5,FALSE))</f>
        <v/>
      </c>
      <c r="I2286" s="52" t="str">
        <f t="shared" si="976"/>
        <v/>
      </c>
      <c r="J2286" s="52" t="str">
        <f>IF(H2286="","",VLOOKUP(A2286,'6.A'!$A$11:$E$564,4,FALSE))</f>
        <v/>
      </c>
      <c r="K2286" s="52" t="str">
        <f t="shared" si="977"/>
        <v/>
      </c>
      <c r="L2286" s="52" t="str">
        <f>IF(H2286="","",IF(C2286="","",G2248*C2286))</f>
        <v/>
      </c>
      <c r="M2286" s="117" t="str">
        <f>IF(A2286="","",VLOOKUP(A2286,'6.A'!$A$11:$C$564,2,FALSE))</f>
        <v/>
      </c>
      <c r="N2286" s="57" t="str">
        <f t="shared" si="978"/>
        <v/>
      </c>
      <c r="O2286" s="56"/>
      <c r="P2286" s="56"/>
      <c r="Q2286" s="48"/>
      <c r="R2286" s="48"/>
      <c r="S2286" s="65"/>
      <c r="T2286" s="2"/>
      <c r="U2286" s="2"/>
      <c r="V2286" s="2"/>
    </row>
    <row r="2287" spans="1:22" s="149" customFormat="1" ht="12.75" customHeight="1" x14ac:dyDescent="0.2">
      <c r="A2287" s="155"/>
      <c r="B2287" s="138" t="str">
        <f>IF(A2287="","",VLOOKUP(A2287,'6.A'!$A$11:$G$180,2,FALSE))</f>
        <v/>
      </c>
      <c r="C2287" s="156"/>
      <c r="D2287" s="141" t="str">
        <f>IF(A2287="","",VLOOKUP(A2287,'6.A'!$A$11:$G$180,4,FALSE))</f>
        <v/>
      </c>
      <c r="E2287" s="160" t="str">
        <f>IF(A2287="","",VLOOKUP(A2287,'6.A'!$A$11:$G$180,5,FALSE))</f>
        <v/>
      </c>
      <c r="F2287" s="159" t="str">
        <f t="shared" si="975"/>
        <v>0,00</v>
      </c>
      <c r="G2287" s="52"/>
      <c r="H2287" s="52" t="str">
        <f>IF(A2287="","",VLOOKUP(A2287,'6.A'!$A$11:$E$7984,5,FALSE))</f>
        <v/>
      </c>
      <c r="I2287" s="52" t="str">
        <f t="shared" si="976"/>
        <v/>
      </c>
      <c r="J2287" s="52" t="str">
        <f>IF(H2287="","",VLOOKUP(A2287,'6.A'!$A$11:$E$564,4,FALSE))</f>
        <v/>
      </c>
      <c r="K2287" s="52" t="str">
        <f t="shared" si="977"/>
        <v/>
      </c>
      <c r="L2287" s="52" t="str">
        <f>IF(H2287="","",IF(C2287="","",G2248*C2287))</f>
        <v/>
      </c>
      <c r="M2287" s="117" t="str">
        <f>IF(A2287="","",VLOOKUP(A2287,'6.A'!$A$11:$C$564,2,FALSE))</f>
        <v/>
      </c>
      <c r="N2287" s="57" t="str">
        <f t="shared" si="978"/>
        <v/>
      </c>
      <c r="O2287" s="56"/>
      <c r="P2287" s="56"/>
      <c r="Q2287" s="48"/>
      <c r="R2287" s="48"/>
      <c r="S2287" s="65"/>
      <c r="T2287" s="2"/>
      <c r="U2287" s="2"/>
      <c r="V2287" s="2"/>
    </row>
    <row r="2288" spans="1:22" s="149" customFormat="1" ht="12.75" customHeight="1" x14ac:dyDescent="0.2">
      <c r="A2288" s="155"/>
      <c r="B2288" s="138" t="str">
        <f>IF(A2288="","",VLOOKUP(A2288,'6.A'!$A$11:$G$180,2,FALSE))</f>
        <v/>
      </c>
      <c r="C2288" s="156"/>
      <c r="D2288" s="141" t="str">
        <f>IF(A2288="","",VLOOKUP(A2288,'6.A'!$A$11:$G$180,4,FALSE))</f>
        <v/>
      </c>
      <c r="E2288" s="160" t="str">
        <f>IF(A2288="","",VLOOKUP(A2288,'6.A'!$A$11:$G$180,5,FALSE))</f>
        <v/>
      </c>
      <c r="F2288" s="159" t="str">
        <f t="shared" si="975"/>
        <v>0,00</v>
      </c>
      <c r="G2288" s="52"/>
      <c r="H2288" s="52" t="str">
        <f>IF(A2288="","",VLOOKUP(A2288,'6.A'!$A$11:$E$7984,5,FALSE))</f>
        <v/>
      </c>
      <c r="I2288" s="52" t="str">
        <f t="shared" si="976"/>
        <v/>
      </c>
      <c r="J2288" s="52" t="str">
        <f>IF(H2288="","",VLOOKUP(A2288,'6.A'!$A$11:$E$564,4,FALSE))</f>
        <v/>
      </c>
      <c r="K2288" s="52" t="str">
        <f t="shared" si="977"/>
        <v/>
      </c>
      <c r="L2288" s="52" t="str">
        <f>IF(H2288="","",IF(C2288="","",G2248*C2288))</f>
        <v/>
      </c>
      <c r="M2288" s="117" t="str">
        <f>IF(A2288="","",VLOOKUP(A2288,'6.A'!$A$11:$C$564,2,FALSE))</f>
        <v/>
      </c>
      <c r="N2288" s="57" t="str">
        <f t="shared" si="978"/>
        <v/>
      </c>
      <c r="O2288" s="56"/>
      <c r="P2288" s="56"/>
      <c r="Q2288" s="48"/>
      <c r="R2288" s="48"/>
      <c r="S2288" s="65"/>
      <c r="T2288" s="2"/>
      <c r="U2288" s="2"/>
      <c r="V2288" s="2"/>
    </row>
    <row r="2289" spans="1:22" s="149" customFormat="1" ht="12.75" customHeight="1" x14ac:dyDescent="0.2">
      <c r="A2289" s="155"/>
      <c r="B2289" s="138" t="str">
        <f>IF(A2289="","",VLOOKUP(A2289,'6.A'!$A$11:$G$180,2,FALSE))</f>
        <v/>
      </c>
      <c r="C2289" s="156"/>
      <c r="D2289" s="141" t="str">
        <f>IF(A2289="","",VLOOKUP(A2289,'6.A'!$A$11:$G$180,4,FALSE))</f>
        <v/>
      </c>
      <c r="E2289" s="160" t="str">
        <f>IF(A2289="","",VLOOKUP(A2289,'6.A'!$A$11:$G$180,5,FALSE))</f>
        <v/>
      </c>
      <c r="F2289" s="159" t="str">
        <f t="shared" si="975"/>
        <v>0,00</v>
      </c>
      <c r="G2289" s="52"/>
      <c r="H2289" s="52" t="str">
        <f>IF(A2289="","",VLOOKUP(A2289,'6.A'!$A$11:$E$7984,5,FALSE))</f>
        <v/>
      </c>
      <c r="I2289" s="52" t="str">
        <f t="shared" si="976"/>
        <v/>
      </c>
      <c r="J2289" s="52" t="str">
        <f>IF(H2289="","",VLOOKUP(A2289,'6.A'!$A$11:$E$564,4,FALSE))</f>
        <v/>
      </c>
      <c r="K2289" s="52" t="str">
        <f t="shared" si="977"/>
        <v/>
      </c>
      <c r="L2289" s="52" t="str">
        <f>IF(H2289="","",IF(C2289="","",G2248*C2289))</f>
        <v/>
      </c>
      <c r="M2289" s="117" t="str">
        <f>IF(A2289="","",VLOOKUP(A2289,'6.A'!$A$11:$C$564,2,FALSE))</f>
        <v/>
      </c>
      <c r="N2289" s="57" t="str">
        <f t="shared" si="978"/>
        <v/>
      </c>
      <c r="O2289" s="56"/>
      <c r="P2289" s="56"/>
      <c r="Q2289" s="48"/>
      <c r="R2289" s="48"/>
      <c r="S2289" s="65"/>
      <c r="T2289" s="2"/>
      <c r="U2289" s="2"/>
      <c r="V2289" s="2"/>
    </row>
    <row r="2290" spans="1:22" s="149" customFormat="1" ht="12.75" customHeight="1" x14ac:dyDescent="0.2">
      <c r="A2290" s="155"/>
      <c r="B2290" s="138" t="str">
        <f>IF(A2290="","",VLOOKUP(A2290,'6.A'!$A$11:$G$180,2,FALSE))</f>
        <v/>
      </c>
      <c r="C2290" s="156"/>
      <c r="D2290" s="141" t="str">
        <f>IF(A2290="","",VLOOKUP(A2290,'6.A'!$A$11:$G$180,4,FALSE))</f>
        <v/>
      </c>
      <c r="E2290" s="160" t="str">
        <f>IF(A2290="","",VLOOKUP(A2290,'6.A'!$A$11:$G$180,5,FALSE))</f>
        <v/>
      </c>
      <c r="F2290" s="159" t="str">
        <f t="shared" si="975"/>
        <v>0,00</v>
      </c>
      <c r="G2290" s="52"/>
      <c r="H2290" s="52" t="str">
        <f>IF(A2290="","",VLOOKUP(A2290,'6.A'!$A$11:$E$7984,5,FALSE))</f>
        <v/>
      </c>
      <c r="I2290" s="52" t="str">
        <f t="shared" si="976"/>
        <v/>
      </c>
      <c r="J2290" s="52" t="str">
        <f>IF(H2290="","",VLOOKUP(A2290,'6.A'!$A$11:$E$564,4,FALSE))</f>
        <v/>
      </c>
      <c r="K2290" s="52" t="str">
        <f t="shared" si="977"/>
        <v/>
      </c>
      <c r="L2290" s="52" t="str">
        <f>IF(H2290="","",IF(C2290="","",G2248*C2290))</f>
        <v/>
      </c>
      <c r="M2290" s="117" t="str">
        <f>IF(A2290="","",VLOOKUP(A2290,'6.A'!$A$11:$C$564,2,FALSE))</f>
        <v/>
      </c>
      <c r="N2290" s="57" t="str">
        <f t="shared" si="978"/>
        <v/>
      </c>
      <c r="O2290" s="56"/>
      <c r="P2290" s="56"/>
      <c r="Q2290" s="48"/>
      <c r="R2290" s="48"/>
      <c r="S2290" s="65"/>
      <c r="T2290" s="2"/>
      <c r="U2290" s="2"/>
      <c r="V2290" s="2"/>
    </row>
    <row r="2291" spans="1:22" s="149" customFormat="1" ht="12.75" customHeight="1" x14ac:dyDescent="0.2">
      <c r="A2291" s="155"/>
      <c r="B2291" s="138" t="str">
        <f>IF(A2291="","",VLOOKUP(A2291,'6.A'!$A$11:$G$180,2,FALSE))</f>
        <v/>
      </c>
      <c r="C2291" s="156"/>
      <c r="D2291" s="141" t="str">
        <f>IF(A2291="","",VLOOKUP(A2291,'6.A'!$A$11:$G$180,4,FALSE))</f>
        <v/>
      </c>
      <c r="E2291" s="160" t="str">
        <f>IF(A2291="","",VLOOKUP(A2291,'6.A'!$A$11:$G$180,5,FALSE))</f>
        <v/>
      </c>
      <c r="F2291" s="159" t="str">
        <f t="shared" si="975"/>
        <v>0,00</v>
      </c>
      <c r="G2291" s="52"/>
      <c r="H2291" s="52" t="str">
        <f>IF(A2291="","",VLOOKUP(A2291,'6.A'!$A$11:$E$7984,5,FALSE))</f>
        <v/>
      </c>
      <c r="I2291" s="52" t="str">
        <f t="shared" si="976"/>
        <v/>
      </c>
      <c r="J2291" s="52" t="str">
        <f>IF(H2291="","",VLOOKUP(A2291,'6.A'!$A$11:$E$564,4,FALSE))</f>
        <v/>
      </c>
      <c r="K2291" s="52" t="str">
        <f t="shared" si="977"/>
        <v/>
      </c>
      <c r="L2291" s="52" t="str">
        <f>IF(H2291="","",IF(C2291="","",G2248*C2291))</f>
        <v/>
      </c>
      <c r="M2291" s="117" t="str">
        <f>IF(A2291="","",VLOOKUP(A2291,'6.A'!$A$11:$C$564,2,FALSE))</f>
        <v/>
      </c>
      <c r="N2291" s="57" t="str">
        <f t="shared" si="978"/>
        <v/>
      </c>
      <c r="O2291" s="56"/>
      <c r="P2291" s="56"/>
      <c r="Q2291" s="48"/>
      <c r="R2291" s="48"/>
      <c r="S2291" s="65"/>
      <c r="T2291" s="2"/>
      <c r="U2291" s="2"/>
      <c r="V2291" s="2"/>
    </row>
    <row r="2292" spans="1:22" s="149" customFormat="1" ht="12.75" customHeight="1" x14ac:dyDescent="0.2">
      <c r="A2292" s="155"/>
      <c r="B2292" s="138" t="str">
        <f>IF(A2292="","",VLOOKUP(A2292,'6.A'!$A$11:$G$180,2,FALSE))</f>
        <v/>
      </c>
      <c r="C2292" s="156"/>
      <c r="D2292" s="141" t="str">
        <f>IF(A2292="","",VLOOKUP(A2292,'6.A'!$A$11:$G$180,4,FALSE))</f>
        <v/>
      </c>
      <c r="E2292" s="160" t="str">
        <f>IF(A2292="","",VLOOKUP(A2292,'6.A'!$A$11:$G$180,5,FALSE))</f>
        <v/>
      </c>
      <c r="F2292" s="159" t="str">
        <f t="shared" si="975"/>
        <v>0,00</v>
      </c>
      <c r="G2292" s="52"/>
      <c r="H2292" s="52" t="str">
        <f>IF(A2292="","",VLOOKUP(A2292,'6.A'!$A$11:$E$7984,5,FALSE))</f>
        <v/>
      </c>
      <c r="I2292" s="52" t="str">
        <f t="shared" si="976"/>
        <v/>
      </c>
      <c r="J2292" s="52" t="str">
        <f>IF(H2292="","",VLOOKUP(A2292,'6.A'!$A$11:$E$564,4,FALSE))</f>
        <v/>
      </c>
      <c r="K2292" s="52" t="str">
        <f t="shared" si="977"/>
        <v/>
      </c>
      <c r="L2292" s="52" t="str">
        <f>IF(H2292="","",IF(C2292="","",G2248*C2292))</f>
        <v/>
      </c>
      <c r="M2292" s="117" t="str">
        <f>IF(A2292="","",VLOOKUP(A2292,'6.A'!$A$11:$C$564,2,FALSE))</f>
        <v/>
      </c>
      <c r="N2292" s="57" t="str">
        <f t="shared" si="978"/>
        <v/>
      </c>
      <c r="O2292" s="56"/>
      <c r="P2292" s="56"/>
      <c r="Q2292" s="48"/>
      <c r="R2292" s="48"/>
      <c r="S2292" s="65"/>
      <c r="T2292" s="2"/>
      <c r="U2292" s="2"/>
      <c r="V2292" s="2"/>
    </row>
    <row r="2293" spans="1:22" s="137" customFormat="1" ht="12.75" customHeight="1" x14ac:dyDescent="0.2">
      <c r="A2293" s="155"/>
      <c r="B2293" s="171" t="str">
        <f>IF(A2293="","",VLOOKUP(A2293,'6.A'!$A$11:$G$180,2,FALSE))</f>
        <v/>
      </c>
      <c r="C2293" s="156"/>
      <c r="D2293" s="141" t="str">
        <f>IF(A2293="","",VLOOKUP(A2293,'6.A'!$A$11:$G$180,4,FALSE))</f>
        <v/>
      </c>
      <c r="E2293" s="160" t="str">
        <f>IF(A2293="","",VLOOKUP(A2293,'6.A'!$A$11:$G$180,5,FALSE))</f>
        <v/>
      </c>
      <c r="F2293" s="159" t="str">
        <f t="shared" si="975"/>
        <v>0,00</v>
      </c>
      <c r="G2293" s="52"/>
      <c r="H2293" s="52" t="str">
        <f>IF(A2293="","",VLOOKUP(A2293,'6.A'!$A$11:$E$7984,5,FALSE))</f>
        <v/>
      </c>
      <c r="I2293" s="52" t="str">
        <f t="shared" si="976"/>
        <v/>
      </c>
      <c r="J2293" s="52" t="str">
        <f>IF(H2293="","",VLOOKUP(A2293,'6.A'!$A$11:$E$564,4,FALSE))</f>
        <v/>
      </c>
      <c r="K2293" s="52" t="str">
        <f t="shared" si="977"/>
        <v/>
      </c>
      <c r="L2293" s="52" t="str">
        <f>IF(H2293="","",IF(C2293="","",G2248*C2293))</f>
        <v/>
      </c>
      <c r="M2293" s="117" t="str">
        <f>IF(A2293="","",VLOOKUP(A2293,'6.A'!$A$11:$C$564,2,FALSE))</f>
        <v/>
      </c>
      <c r="N2293" s="57" t="str">
        <f t="shared" si="978"/>
        <v/>
      </c>
      <c r="O2293" s="56"/>
      <c r="P2293" s="56"/>
      <c r="Q2293" s="48"/>
      <c r="R2293" s="48"/>
      <c r="S2293" s="65"/>
      <c r="T2293" s="2"/>
      <c r="U2293" s="2"/>
      <c r="V2293" s="2"/>
    </row>
    <row r="2294" spans="1:22" s="137" customFormat="1" ht="12.75" customHeight="1" x14ac:dyDescent="0.2">
      <c r="A2294" s="155"/>
      <c r="B2294" s="171" t="str">
        <f>IF(A2294="","",VLOOKUP(A2294,'6.A'!$A$11:$G$180,2,FALSE))</f>
        <v/>
      </c>
      <c r="C2294" s="156"/>
      <c r="D2294" s="141" t="str">
        <f>IF(A2294="","",VLOOKUP(A2294,'6.A'!$A$11:$G$180,4,FALSE))</f>
        <v/>
      </c>
      <c r="E2294" s="160" t="str">
        <f>IF(A2294="","",VLOOKUP(A2294,'6.A'!$A$11:$G$180,5,FALSE))</f>
        <v/>
      </c>
      <c r="F2294" s="159" t="str">
        <f t="shared" si="975"/>
        <v>0,00</v>
      </c>
      <c r="G2294" s="52"/>
      <c r="H2294" s="52" t="str">
        <f>IF(A2294="","",VLOOKUP(A2294,'6.A'!$A$11:$E$7984,5,FALSE))</f>
        <v/>
      </c>
      <c r="I2294" s="52" t="str">
        <f t="shared" si="976"/>
        <v/>
      </c>
      <c r="J2294" s="52" t="str">
        <f>IF(H2294="","",VLOOKUP(A2294,'6.A'!$A$11:$E$564,4,FALSE))</f>
        <v/>
      </c>
      <c r="K2294" s="52" t="str">
        <f t="shared" si="977"/>
        <v/>
      </c>
      <c r="L2294" s="52" t="str">
        <f>IF(H2294="","",IF(C2294="","",G2248*C2294))</f>
        <v/>
      </c>
      <c r="M2294" s="117" t="str">
        <f>IF(A2294="","",VLOOKUP(A2294,'6.A'!$A$11:$C$564,2,FALSE))</f>
        <v/>
      </c>
      <c r="N2294" s="57" t="str">
        <f t="shared" si="978"/>
        <v/>
      </c>
      <c r="O2294" s="56"/>
      <c r="P2294" s="56"/>
      <c r="Q2294" s="48"/>
      <c r="R2294" s="48"/>
      <c r="S2294" s="65"/>
      <c r="T2294" s="2"/>
      <c r="U2294" s="2"/>
      <c r="V2294" s="2"/>
    </row>
    <row r="2295" spans="1:22" s="137" customFormat="1" ht="12.75" customHeight="1" x14ac:dyDescent="0.2">
      <c r="A2295" s="155"/>
      <c r="B2295" s="171" t="str">
        <f>IF(A2295="","",VLOOKUP(A2295,'6.A'!$A$11:$G$180,2,FALSE))</f>
        <v/>
      </c>
      <c r="C2295" s="156"/>
      <c r="D2295" s="141" t="str">
        <f>IF(A2295="","",VLOOKUP(A2295,'6.A'!$A$11:$G$180,4,FALSE))</f>
        <v/>
      </c>
      <c r="E2295" s="160" t="str">
        <f>IF(A2295="","",VLOOKUP(A2295,'6.A'!$A$11:$G$180,5,FALSE))</f>
        <v/>
      </c>
      <c r="F2295" s="159" t="str">
        <f t="shared" si="975"/>
        <v>0,00</v>
      </c>
      <c r="G2295" s="52"/>
      <c r="H2295" s="52" t="str">
        <f>IF(A2295="","",VLOOKUP(A2295,'6.A'!$A$11:$E$7984,5,FALSE))</f>
        <v/>
      </c>
      <c r="I2295" s="52" t="str">
        <f t="shared" si="976"/>
        <v/>
      </c>
      <c r="J2295" s="52" t="str">
        <f>IF(H2295="","",VLOOKUP(A2295,'6.A'!$A$11:$E$564,4,FALSE))</f>
        <v/>
      </c>
      <c r="K2295" s="52" t="str">
        <f t="shared" si="977"/>
        <v/>
      </c>
      <c r="L2295" s="52" t="str">
        <f>IF(H2295="","",IF(C2295="","",G2248*C2295))</f>
        <v/>
      </c>
      <c r="M2295" s="117" t="str">
        <f>IF(A2295="","",VLOOKUP(A2295,'6.A'!$A$11:$C$564,2,FALSE))</f>
        <v/>
      </c>
      <c r="N2295" s="57" t="str">
        <f t="shared" si="978"/>
        <v/>
      </c>
      <c r="O2295" s="56"/>
      <c r="P2295" s="56"/>
      <c r="Q2295" s="48"/>
      <c r="R2295" s="48"/>
      <c r="S2295" s="65"/>
      <c r="T2295" s="2"/>
      <c r="U2295" s="2"/>
      <c r="V2295" s="2"/>
    </row>
    <row r="2296" spans="1:22" s="137" customFormat="1" ht="12.75" customHeight="1" x14ac:dyDescent="0.2">
      <c r="A2296" s="155"/>
      <c r="B2296" s="171" t="str">
        <f>IF(A2296="","",VLOOKUP(A2296,'6.A'!$A$11:$G$180,2,FALSE))</f>
        <v/>
      </c>
      <c r="C2296" s="156"/>
      <c r="D2296" s="141" t="str">
        <f>IF(A2296="","",VLOOKUP(A2296,'6.A'!$A$11:$G$180,4,FALSE))</f>
        <v/>
      </c>
      <c r="E2296" s="160" t="str">
        <f>IF(A2296="","",VLOOKUP(A2296,'6.A'!$A$11:$G$180,5,FALSE))</f>
        <v/>
      </c>
      <c r="F2296" s="159" t="str">
        <f t="shared" si="975"/>
        <v>0,00</v>
      </c>
      <c r="G2296" s="52"/>
      <c r="H2296" s="52" t="str">
        <f>IF(A2296="","",VLOOKUP(A2296,'6.A'!$A$11:$E$7984,5,FALSE))</f>
        <v/>
      </c>
      <c r="I2296" s="52" t="str">
        <f t="shared" si="976"/>
        <v/>
      </c>
      <c r="J2296" s="52" t="str">
        <f>IF(H2296="","",VLOOKUP(A2296,'6.A'!$A$11:$E$564,4,FALSE))</f>
        <v/>
      </c>
      <c r="K2296" s="52" t="str">
        <f t="shared" si="977"/>
        <v/>
      </c>
      <c r="L2296" s="52" t="str">
        <f>IF(H2296="","",IF(C2296="","",G2248*C2296))</f>
        <v/>
      </c>
      <c r="M2296" s="117" t="str">
        <f>IF(A2296="","",VLOOKUP(A2296,'6.A'!$A$11:$C$564,2,FALSE))</f>
        <v/>
      </c>
      <c r="N2296" s="57" t="str">
        <f t="shared" si="978"/>
        <v/>
      </c>
      <c r="O2296" s="56"/>
      <c r="P2296" s="56"/>
      <c r="Q2296" s="48"/>
      <c r="R2296" s="48"/>
      <c r="S2296" s="65"/>
      <c r="T2296" s="2"/>
      <c r="U2296" s="2"/>
      <c r="V2296" s="2"/>
    </row>
    <row r="2297" spans="1:22" s="137" customFormat="1" ht="12.75" customHeight="1" x14ac:dyDescent="0.2">
      <c r="A2297" s="155"/>
      <c r="B2297" s="26" t="str">
        <f>$A$9</f>
        <v>BDI</v>
      </c>
      <c r="C2297" s="40">
        <f>$C$9</f>
        <v>0</v>
      </c>
      <c r="D2297" s="141"/>
      <c r="E2297" s="147"/>
      <c r="F2297" s="162">
        <f>ROUND(SUM(F2277:F2296)*C2297,2)</f>
        <v>0</v>
      </c>
      <c r="G2297" s="63"/>
      <c r="H2297" s="52"/>
      <c r="I2297" s="57"/>
      <c r="J2297" s="57"/>
      <c r="K2297" s="57"/>
      <c r="L2297" s="52"/>
      <c r="M2297" s="57"/>
      <c r="N2297" s="57"/>
      <c r="O2297" s="56"/>
      <c r="P2297" s="56"/>
      <c r="Q2297" s="48"/>
      <c r="R2297" s="48"/>
      <c r="S2297" s="65"/>
      <c r="T2297" s="2"/>
      <c r="U2297" s="2"/>
      <c r="V2297" s="2"/>
    </row>
    <row r="2298" spans="1:22" s="137" customFormat="1" ht="12.75" customHeight="1" thickBot="1" x14ac:dyDescent="0.25">
      <c r="A2298" s="172"/>
      <c r="B2298" s="42" t="s">
        <v>57</v>
      </c>
      <c r="C2298" s="43"/>
      <c r="D2298" s="173"/>
      <c r="E2298" s="174"/>
      <c r="F2298" s="175">
        <f>ROUND(SUM(F2277:F2297),2)</f>
        <v>0</v>
      </c>
      <c r="G2298" s="63"/>
      <c r="H2298" s="52"/>
      <c r="I2298" s="57"/>
      <c r="J2298" s="57"/>
      <c r="K2298" s="57"/>
      <c r="L2298" s="52"/>
      <c r="M2298" s="57"/>
      <c r="N2298" s="57"/>
      <c r="O2298" s="56"/>
      <c r="P2298" s="56"/>
      <c r="Q2298" s="48"/>
      <c r="R2298" s="48"/>
      <c r="S2298" s="65"/>
      <c r="T2298" s="2"/>
      <c r="U2298" s="2"/>
      <c r="V2298" s="2"/>
    </row>
    <row r="2299" spans="1:22" s="149" customFormat="1" ht="12" customHeight="1" thickBot="1" x14ac:dyDescent="0.25">
      <c r="A2299" s="150"/>
      <c r="B2299" s="145"/>
      <c r="C2299" s="146"/>
      <c r="D2299" s="141"/>
      <c r="E2299" s="147"/>
      <c r="F2299" s="142"/>
      <c r="G2299" s="142"/>
      <c r="H2299" s="139"/>
      <c r="I2299" s="141"/>
      <c r="J2299" s="141"/>
      <c r="K2299" s="141"/>
      <c r="L2299" s="139"/>
      <c r="M2299" s="143"/>
      <c r="N2299" s="143"/>
      <c r="O2299" s="144"/>
      <c r="P2299" s="144"/>
      <c r="Q2299" s="135"/>
      <c r="R2299" s="135"/>
      <c r="T2299" s="137"/>
      <c r="U2299" s="137"/>
      <c r="V2299" s="137"/>
    </row>
    <row r="2300" spans="1:22" s="137" customFormat="1" ht="50.1" customHeight="1" x14ac:dyDescent="0.2">
      <c r="A2300" s="151" t="str">
        <f>'3.A'!$A$56</f>
        <v>3.3.1</v>
      </c>
      <c r="B2300" s="14" t="str">
        <f>IF(A2300="","",VLOOKUP(A2300,'3.A'!$A$17:$M$279,2,FALSE))</f>
        <v>CAIXA EM CHAPA DE AÇO 16 COM PORTA E FECHO</v>
      </c>
      <c r="C2300" s="413" t="s">
        <v>62</v>
      </c>
      <c r="D2300" s="413"/>
      <c r="E2300" s="15" t="str">
        <f>IF(A2300="","",VLOOKUP(A2300,'3.A'!$A$17:$M$279,3,FALSE))</f>
        <v>M2</v>
      </c>
      <c r="F2300" s="16">
        <f>ROUND(F2314+F2327+F2350,2)</f>
        <v>0</v>
      </c>
      <c r="G2300" s="118">
        <f>VLOOKUP(A2300,'3.A'!$A$19:$I$279,4,FALSE)</f>
        <v>3</v>
      </c>
      <c r="H2300" s="47">
        <f>SUM(F2302:F2313)</f>
        <v>0</v>
      </c>
      <c r="I2300" s="47">
        <f>SUM(F2316:F2326)</f>
        <v>0</v>
      </c>
      <c r="J2300" s="47">
        <f>SUM(F2329:F2349)</f>
        <v>0</v>
      </c>
      <c r="K2300" s="47">
        <f>SUM(H2300:J2300)</f>
        <v>0</v>
      </c>
      <c r="L2300" s="47" t="str">
        <f>IF(K2300=F2300,"SIM","NÃO")</f>
        <v>SIM</v>
      </c>
      <c r="M2300" s="58">
        <f>ROUND(SUM(F2302:F2311)*C2312,2)+ROUND(SUM(F2302:F2312)*C2313,2)+ROUND(SUM(F2302:F2311),2)+ROUND(SUM(F2316:F2325)*C2326,2)+ROUND(SUM(F2316:F2325),2)+ROUND(SUM(F2329:F2348)*C2349,2)+ROUND(SUM(F2329:F2348),2)</f>
        <v>0</v>
      </c>
      <c r="N2300" s="50" t="str">
        <f>IF(M2300=F2300,"SIM","NÃO")</f>
        <v>SIM</v>
      </c>
      <c r="O2300" s="51" t="str">
        <f>VLOOKUP(A2300,'3.A'!$A$8:$E$279,3,FALSE)</f>
        <v>M2</v>
      </c>
      <c r="P2300" s="51" t="str">
        <f>IF(O2300=E2300,"SIM","NÃO")</f>
        <v>SIM</v>
      </c>
      <c r="Q2300" s="53">
        <f>ROUND(G2300*F2314,2)+ROUND(G2300*F2327,2)+ROUND(G2300*F2350,2)</f>
        <v>0</v>
      </c>
      <c r="R2300" s="59">
        <f>VLOOKUP(A2300,'3.A'!$A$17:$L$279,12,FALSE)</f>
        <v>0</v>
      </c>
      <c r="S2300" s="60" t="str">
        <f>IF(Q2300=R2300,"si","no")</f>
        <v>si</v>
      </c>
      <c r="T2300" s="61">
        <f>SUM(L2302:L2311)+SUM(L2316:L2325)+SUM(L2329:L2348)</f>
        <v>40.875</v>
      </c>
      <c r="U2300" s="52">
        <f>G2300*C2308+G2300*C2310+G2300*C2303+G2300*C2304+G2300*C2306+G2300*C2309+G2300*C2307+G2300*C2302+G2300*C2305+G2300*C2311+G2300*C2322+G2300*C2316+G2300*C2324+G2300*C2323+G2300*C2321+G2300*C2318+G2300*C2317+G2300*C2319+G2300*C2325+G2300*C2320+G2300*C2329+G2300*C2330+G2300*C2331+G2300*C2339+G2300*C2340+G2300*C2341+G2300*C2342+G2300*C2343+G2300*C2344+G2300*C2345+G2300*C2346+G2300*C2347+G2300*C2348+G2300*C2337+G2300*C2338+G2300*C2332+G2300*C2333+G2300*C2334+G2300*C2335+G2300*C2336</f>
        <v>40.875</v>
      </c>
      <c r="V2300" s="54" t="str">
        <f>IF(T2300=U2300,"si","no")</f>
        <v>si</v>
      </c>
    </row>
    <row r="2301" spans="1:22" s="137" customFormat="1" ht="12.75" customHeight="1" x14ac:dyDescent="0.2">
      <c r="A2301" s="152" t="s">
        <v>3</v>
      </c>
      <c r="B2301" s="153" t="s">
        <v>58</v>
      </c>
      <c r="C2301" s="140" t="s">
        <v>59</v>
      </c>
      <c r="D2301" s="140" t="s">
        <v>16</v>
      </c>
      <c r="E2301" s="154" t="s">
        <v>60</v>
      </c>
      <c r="F2301" s="148" t="s">
        <v>61</v>
      </c>
      <c r="G2301" s="21"/>
      <c r="H2301" s="52"/>
      <c r="I2301" s="57"/>
      <c r="J2301" s="57"/>
      <c r="K2301" s="57"/>
      <c r="L2301" s="52"/>
      <c r="M2301" s="57"/>
      <c r="N2301" s="57"/>
      <c r="O2301" s="56"/>
      <c r="P2301" s="56"/>
      <c r="Q2301" s="48"/>
      <c r="R2301" s="48"/>
      <c r="S2301" s="65"/>
      <c r="T2301" s="2"/>
      <c r="U2301" s="2"/>
      <c r="V2301" s="2"/>
    </row>
    <row r="2302" spans="1:22" s="137" customFormat="1" ht="12.75" customHeight="1" x14ac:dyDescent="0.2">
      <c r="A2302" s="155">
        <f>'6.A'!$A$18</f>
        <v>88264</v>
      </c>
      <c r="B2302" s="138" t="str">
        <f>IF(A2302="","",VLOOKUP(A2302,'6.A'!$A$11:$G$180,2,FALSE))</f>
        <v>ELETRICISTA COM ENCARGOS COMPLEMENTARES</v>
      </c>
      <c r="C2302" s="156">
        <v>5</v>
      </c>
      <c r="D2302" s="157" t="str">
        <f>IF(A2302="","",VLOOKUP(A2302,'6.A'!$A$11:$G$180,4,FALSE))</f>
        <v>H</v>
      </c>
      <c r="E2302" s="158">
        <f>IF(A2302="","",VLOOKUP(A2302,'6.A'!$A$11:$G$180,5,FALSE))</f>
        <v>0</v>
      </c>
      <c r="F2302" s="159">
        <f t="shared" ref="F2302:F2311" si="979">IF(A2302="","0,00",ROUND(C2302*E2302,2))</f>
        <v>0</v>
      </c>
      <c r="G2302" s="52"/>
      <c r="H2302" s="52">
        <f>IF(A2302="","",VLOOKUP(A2302,'6.A'!$A$11:$E$7984,5,FALSE))</f>
        <v>0</v>
      </c>
      <c r="I2302" s="52" t="str">
        <f>IF(H2302="","",IF(E2302=H2302,"SIM","NÃO"))</f>
        <v>SIM</v>
      </c>
      <c r="J2302" s="52" t="str">
        <f>IF(H2302="","",VLOOKUP(A2302,'6.A'!$A$11:$E$564,4,FALSE))</f>
        <v>H</v>
      </c>
      <c r="K2302" s="52" t="str">
        <f>IF(H2302="","",IF(J2302=D2302,"SIM","NÃO"))</f>
        <v>SIM</v>
      </c>
      <c r="L2302" s="52">
        <f>IF(H2302="","",IF(C2302="","",G2300*C2302))</f>
        <v>15</v>
      </c>
      <c r="M2302" s="117" t="str">
        <f>IF(A2302="","",VLOOKUP(A2302,'6.A'!$A$11:$C$564,2,FALSE))</f>
        <v>ELETRICISTA COM ENCARGOS COMPLEMENTARES</v>
      </c>
      <c r="N2302" s="57" t="str">
        <f>IF(A2302="","",IF(M2302=B2302,"si","no"))</f>
        <v>si</v>
      </c>
      <c r="O2302" s="56"/>
      <c r="P2302" s="56"/>
      <c r="Q2302" s="48"/>
      <c r="R2302" s="48"/>
      <c r="S2302" s="65"/>
      <c r="T2302" s="2"/>
      <c r="U2302" s="2"/>
      <c r="V2302" s="2"/>
    </row>
    <row r="2303" spans="1:22" s="137" customFormat="1" ht="12.75" customHeight="1" x14ac:dyDescent="0.2">
      <c r="A2303" s="155">
        <f>'6.A'!$A$15</f>
        <v>88247</v>
      </c>
      <c r="B2303" s="138" t="str">
        <f>IF(A2303="","",VLOOKUP(A2303,'6.A'!$A$11:$G$180,2,FALSE))</f>
        <v>AUXILIAR DE ELETRICISTA COM ENCARGOS COMPLEMENTARES</v>
      </c>
      <c r="C2303" s="156">
        <v>5</v>
      </c>
      <c r="D2303" s="157" t="str">
        <f>IF(A2303="","",VLOOKUP(A2303,'6.A'!$A$11:$G$180,4,FALSE))</f>
        <v>H</v>
      </c>
      <c r="E2303" s="158">
        <f>IF(A2303="","",VLOOKUP(A2303,'6.A'!$A$11:$G$180,5,FALSE))</f>
        <v>0</v>
      </c>
      <c r="F2303" s="159">
        <f t="shared" si="979"/>
        <v>0</v>
      </c>
      <c r="G2303" s="52"/>
      <c r="H2303" s="52">
        <f>IF(A2303="","",VLOOKUP(A2303,'6.A'!$A$11:$E$7984,5,FALSE))</f>
        <v>0</v>
      </c>
      <c r="I2303" s="52" t="str">
        <f>IF(H2303="","",IF(E2303=H2303,"SIM","NÃO"))</f>
        <v>SIM</v>
      </c>
      <c r="J2303" s="52" t="str">
        <f>IF(H2303="","",VLOOKUP(A2303,'6.A'!$A$11:$E$564,4,FALSE))</f>
        <v>H</v>
      </c>
      <c r="K2303" s="52" t="str">
        <f>IF(H2303="","",IF(J2303=D2303,"SIM","NÃO"))</f>
        <v>SIM</v>
      </c>
      <c r="L2303" s="52">
        <f>IF(H2303="","",IF(C2303="","",G2300*C2303))</f>
        <v>15</v>
      </c>
      <c r="M2303" s="117" t="str">
        <f>IF(A2303="","",VLOOKUP(A2303,'6.A'!$A$11:$C$564,2,FALSE))</f>
        <v>AUXILIAR DE ELETRICISTA COM ENCARGOS COMPLEMENTARES</v>
      </c>
      <c r="N2303" s="57" t="str">
        <f>IF(A2303="","",IF(M2303=B2303,"si","no"))</f>
        <v>si</v>
      </c>
      <c r="O2303" s="56"/>
      <c r="P2303" s="56"/>
      <c r="Q2303" s="48"/>
      <c r="R2303" s="48"/>
      <c r="S2303" s="65"/>
      <c r="T2303" s="2"/>
      <c r="U2303" s="2"/>
      <c r="V2303" s="2"/>
    </row>
    <row r="2304" spans="1:22" s="137" customFormat="1" ht="12.75" customHeight="1" x14ac:dyDescent="0.2">
      <c r="A2304" s="155"/>
      <c r="B2304" s="138" t="str">
        <f>IF(A2304="","",VLOOKUP(A2304,'6.A'!$A$11:$G$180,2,FALSE))</f>
        <v/>
      </c>
      <c r="C2304" s="156"/>
      <c r="D2304" s="157" t="str">
        <f>IF(A2304="","",VLOOKUP(A2304,'6.A'!$A$11:$G$180,4,FALSE))</f>
        <v/>
      </c>
      <c r="E2304" s="158" t="str">
        <f>IF(A2304="","",VLOOKUP(A2304,'6.A'!$A$11:$G$180,5,FALSE))</f>
        <v/>
      </c>
      <c r="F2304" s="159" t="str">
        <f t="shared" si="979"/>
        <v>0,00</v>
      </c>
      <c r="G2304" s="52"/>
      <c r="H2304" s="52" t="str">
        <f>IF(A2304="","",VLOOKUP(A2304,'6.A'!$A$11:$E$7984,5,FALSE))</f>
        <v/>
      </c>
      <c r="I2304" s="52" t="str">
        <f>IF(H2304="","",IF(E2304=H2304,"SIM","NÃO"))</f>
        <v/>
      </c>
      <c r="J2304" s="52" t="str">
        <f>IF(H2304="","",VLOOKUP(A2304,'6.A'!$A$11:$E$564,4,FALSE))</f>
        <v/>
      </c>
      <c r="K2304" s="52" t="str">
        <f t="shared" ref="K2304" si="980">IF(H2304="","",IF(J2304=D2304,"SIM","NÃO"))</f>
        <v/>
      </c>
      <c r="L2304" s="52" t="str">
        <f>IF(H2304="","",IF(C2304="","",G2300*C2304))</f>
        <v/>
      </c>
      <c r="M2304" s="117" t="str">
        <f>IF(A2304="","",VLOOKUP(A2304,'6.A'!$A$11:$C$564,2,FALSE))</f>
        <v/>
      </c>
      <c r="N2304" s="57" t="str">
        <f t="shared" ref="N2304" si="981">IF(A2304="","",IF(M2304=B2304,"si","no"))</f>
        <v/>
      </c>
      <c r="O2304" s="56"/>
      <c r="P2304" s="56"/>
      <c r="Q2304" s="48"/>
      <c r="R2304" s="48"/>
      <c r="S2304" s="65"/>
      <c r="T2304" s="2"/>
      <c r="U2304" s="2"/>
      <c r="V2304" s="2"/>
    </row>
    <row r="2305" spans="1:22" s="137" customFormat="1" ht="12.75" customHeight="1" x14ac:dyDescent="0.2">
      <c r="A2305" s="155"/>
      <c r="B2305" s="138" t="str">
        <f>IF(A2305="","",VLOOKUP(A2305,'6.A'!$A$11:$G$180,2,FALSE))</f>
        <v/>
      </c>
      <c r="C2305" s="156"/>
      <c r="D2305" s="157" t="str">
        <f>IF(A2305="","",VLOOKUP(A2305,'6.A'!$A$11:$G$180,4,FALSE))</f>
        <v/>
      </c>
      <c r="E2305" s="158" t="str">
        <f>IF(A2305="","",VLOOKUP(A2305,'6.A'!$A$11:$G$180,5,FALSE))</f>
        <v/>
      </c>
      <c r="F2305" s="159" t="str">
        <f t="shared" si="979"/>
        <v>0,00</v>
      </c>
      <c r="G2305" s="52"/>
      <c r="H2305" s="52" t="str">
        <f>IF(A2305="","",VLOOKUP(A2305,'6.A'!$A$11:$E$7984,5,FALSE))</f>
        <v/>
      </c>
      <c r="I2305" s="52" t="str">
        <f>IF(H2305="","",IF(E2305=H2305,"SIM","NÃO"))</f>
        <v/>
      </c>
      <c r="J2305" s="52" t="str">
        <f>IF(H2305="","",VLOOKUP(A2305,'6.A'!$A$11:$E$564,4,FALSE))</f>
        <v/>
      </c>
      <c r="K2305" s="52" t="str">
        <f>IF(H2305="","",IF(J2305=D2305,"SIM","NÃO"))</f>
        <v/>
      </c>
      <c r="L2305" s="52" t="str">
        <f>IF(H2305="","",IF(C2305="","",G2300*C2305))</f>
        <v/>
      </c>
      <c r="M2305" s="117" t="str">
        <f>IF(A2305="","",VLOOKUP(A2305,'6.A'!$A$11:$C$564,2,FALSE))</f>
        <v/>
      </c>
      <c r="N2305" s="57" t="str">
        <f>IF(A2305="","",IF(M2305=B2305,"si","no"))</f>
        <v/>
      </c>
      <c r="O2305" s="56"/>
      <c r="P2305" s="56"/>
      <c r="Q2305" s="48"/>
      <c r="R2305" s="48"/>
      <c r="S2305" s="65"/>
      <c r="T2305" s="2"/>
      <c r="U2305" s="2"/>
      <c r="V2305" s="2"/>
    </row>
    <row r="2306" spans="1:22" s="137" customFormat="1" ht="12.75" customHeight="1" x14ac:dyDescent="0.2">
      <c r="A2306" s="155"/>
      <c r="B2306" s="138" t="str">
        <f>IF(A2306="","",VLOOKUP(A2306,'6.A'!$A$11:$G$180,2,FALSE))</f>
        <v/>
      </c>
      <c r="C2306" s="156"/>
      <c r="D2306" s="157" t="str">
        <f>IF(A2306="","",VLOOKUP(A2306,'6.A'!$A$11:$G$180,4,FALSE))</f>
        <v/>
      </c>
      <c r="E2306" s="158" t="str">
        <f>IF(A2306="","",VLOOKUP(A2306,'6.A'!$A$11:$G$180,5,FALSE))</f>
        <v/>
      </c>
      <c r="F2306" s="159" t="str">
        <f t="shared" si="979"/>
        <v>0,00</v>
      </c>
      <c r="G2306" s="52"/>
      <c r="H2306" s="52" t="str">
        <f>IF(A2306="","",VLOOKUP(A2306,'6.A'!$A$11:$E$7984,5,FALSE))</f>
        <v/>
      </c>
      <c r="I2306" s="52" t="str">
        <f t="shared" ref="I2306" si="982">IF(H2306="","",IF(E2306=H2306,"SIM","NÃO"))</f>
        <v/>
      </c>
      <c r="J2306" s="52" t="str">
        <f>IF(H2306="","",VLOOKUP(A2306,'6.A'!$A$11:$E$564,4,FALSE))</f>
        <v/>
      </c>
      <c r="K2306" s="52" t="str">
        <f t="shared" ref="K2306" si="983">IF(H2306="","",IF(J2306=D2306,"SIM","NÃO"))</f>
        <v/>
      </c>
      <c r="L2306" s="52" t="str">
        <f>IF(H2306="","",IF(C2306="","",G2300*C2306))</f>
        <v/>
      </c>
      <c r="M2306" s="117" t="str">
        <f>IF(A2306="","",VLOOKUP(A2306,'6.A'!$A$11:$C$564,2,FALSE))</f>
        <v/>
      </c>
      <c r="N2306" s="57" t="str">
        <f t="shared" ref="N2306" si="984">IF(A2306="","",IF(M2306=B2306,"si","no"))</f>
        <v/>
      </c>
      <c r="O2306" s="56"/>
      <c r="P2306" s="56"/>
      <c r="Q2306" s="48"/>
      <c r="R2306" s="48"/>
      <c r="S2306" s="65"/>
      <c r="T2306" s="2"/>
      <c r="U2306" s="2"/>
      <c r="V2306" s="2"/>
    </row>
    <row r="2307" spans="1:22" s="137" customFormat="1" ht="12.75" customHeight="1" x14ac:dyDescent="0.2">
      <c r="A2307" s="155"/>
      <c r="B2307" s="138" t="str">
        <f>IF(A2307="","",VLOOKUP(A2307,'6.A'!$A$11:$G$180,2,FALSE))</f>
        <v/>
      </c>
      <c r="C2307" s="156"/>
      <c r="D2307" s="157" t="str">
        <f>IF(A2307="","",VLOOKUP(A2307,'6.A'!$A$11:$G$180,4,FALSE))</f>
        <v/>
      </c>
      <c r="E2307" s="158" t="str">
        <f>IF(A2307="","",VLOOKUP(A2307,'6.A'!$A$11:$G$180,5,FALSE))</f>
        <v/>
      </c>
      <c r="F2307" s="159" t="str">
        <f t="shared" si="979"/>
        <v>0,00</v>
      </c>
      <c r="G2307" s="52"/>
      <c r="H2307" s="52" t="str">
        <f>IF(A2307="","",VLOOKUP(A2307,'6.A'!$A$11:$E$7984,5,FALSE))</f>
        <v/>
      </c>
      <c r="I2307" s="52" t="str">
        <f>IF(H2307="","",IF(E2307=H2307,"SIM","NÃO"))</f>
        <v/>
      </c>
      <c r="J2307" s="52" t="str">
        <f>IF(H2307="","",VLOOKUP(A2307,'6.A'!$A$11:$E$564,4,FALSE))</f>
        <v/>
      </c>
      <c r="K2307" s="52" t="str">
        <f>IF(H2307="","",IF(J2307=D2307,"SIM","NÃO"))</f>
        <v/>
      </c>
      <c r="L2307" s="52" t="str">
        <f>IF(H2307="","",IF(C2307="","",G2300*C2307))</f>
        <v/>
      </c>
      <c r="M2307" s="117" t="str">
        <f>IF(A2307="","",VLOOKUP(A2307,'6.A'!$A$11:$C$564,2,FALSE))</f>
        <v/>
      </c>
      <c r="N2307" s="57" t="str">
        <f>IF(A2307="","",IF(M2307=B2307,"si","no"))</f>
        <v/>
      </c>
      <c r="O2307" s="56"/>
      <c r="P2307" s="56"/>
      <c r="Q2307" s="48"/>
      <c r="R2307" s="48"/>
      <c r="S2307" s="65"/>
      <c r="T2307" s="2"/>
      <c r="U2307" s="2"/>
      <c r="V2307" s="2"/>
    </row>
    <row r="2308" spans="1:22" s="137" customFormat="1" ht="12.75" customHeight="1" x14ac:dyDescent="0.2">
      <c r="A2308" s="155"/>
      <c r="B2308" s="138" t="str">
        <f>IF(A2308="","",VLOOKUP(A2308,'6.A'!$A$11:$G$180,2,FALSE))</f>
        <v/>
      </c>
      <c r="C2308" s="156"/>
      <c r="D2308" s="141" t="str">
        <f>IF(A2308="","",VLOOKUP(A2308,'6.A'!$A$11:$G$180,4,FALSE))</f>
        <v/>
      </c>
      <c r="E2308" s="160" t="str">
        <f>IF(A2308="","",VLOOKUP(A2308,'6.A'!$A$11:$G$180,5,FALSE))</f>
        <v/>
      </c>
      <c r="F2308" s="159" t="str">
        <f t="shared" si="979"/>
        <v>0,00</v>
      </c>
      <c r="G2308" s="52"/>
      <c r="H2308" s="52" t="str">
        <f>IF(A2308="","",VLOOKUP(A2308,'6.A'!$A$11:$E$7984,5,FALSE))</f>
        <v/>
      </c>
      <c r="I2308" s="52" t="str">
        <f>IF(H2308="","",IF(E2308=H2308,"SIM","NÃO"))</f>
        <v/>
      </c>
      <c r="J2308" s="52" t="str">
        <f>IF(H2308="","",VLOOKUP(A2308,'6.A'!$A$11:$E$564,4,FALSE))</f>
        <v/>
      </c>
      <c r="K2308" s="52" t="str">
        <f>IF(H2308="","",IF(J2308=D2308,"SIM","NÃO"))</f>
        <v/>
      </c>
      <c r="L2308" s="52" t="str">
        <f>IF(H2308="","",IF(C2308="","",G2300*C2308))</f>
        <v/>
      </c>
      <c r="M2308" s="117" t="str">
        <f>IF(A2308="","",VLOOKUP(A2308,'6.A'!$A$11:$C$564,2,FALSE))</f>
        <v/>
      </c>
      <c r="N2308" s="57" t="str">
        <f>IF(A2308="","",IF(M2308=B2308,"si","no"))</f>
        <v/>
      </c>
      <c r="O2308" s="56"/>
      <c r="P2308" s="56"/>
      <c r="Q2308" s="48"/>
      <c r="R2308" s="48"/>
      <c r="S2308" s="65"/>
      <c r="T2308" s="2"/>
      <c r="U2308" s="2"/>
      <c r="V2308" s="2"/>
    </row>
    <row r="2309" spans="1:22" s="137" customFormat="1" ht="12.75" customHeight="1" x14ac:dyDescent="0.2">
      <c r="A2309" s="155"/>
      <c r="B2309" s="138" t="str">
        <f>IF(A2309="","",VLOOKUP(A2309,'6.A'!$A$11:$G$180,2,FALSE))</f>
        <v/>
      </c>
      <c r="C2309" s="156"/>
      <c r="D2309" s="141" t="str">
        <f>IF(A2309="","",VLOOKUP(A2309,'6.A'!$A$11:$G$180,4,FALSE))</f>
        <v/>
      </c>
      <c r="E2309" s="158" t="str">
        <f>IF(A2309="","",VLOOKUP(A2309,'6.A'!$A$11:$G$180,5,FALSE))</f>
        <v/>
      </c>
      <c r="F2309" s="159" t="str">
        <f t="shared" si="979"/>
        <v>0,00</v>
      </c>
      <c r="G2309" s="52"/>
      <c r="H2309" s="52" t="str">
        <f>IF(A2309="","",VLOOKUP(A2309,'6.A'!$A$11:$E$7984,5,FALSE))</f>
        <v/>
      </c>
      <c r="I2309" s="52" t="str">
        <f t="shared" ref="I2309" si="985">IF(H2309="","",IF(E2309=H2309,"SIM","NÃO"))</f>
        <v/>
      </c>
      <c r="J2309" s="52" t="str">
        <f>IF(H2309="","",VLOOKUP(A2309,'6.A'!$A$11:$E$564,4,FALSE))</f>
        <v/>
      </c>
      <c r="K2309" s="52" t="str">
        <f t="shared" ref="K2309" si="986">IF(H2309="","",IF(J2309=D2309,"SIM","NÃO"))</f>
        <v/>
      </c>
      <c r="L2309" s="52" t="str">
        <f>IF(H2309="","",IF(C2309="","",G2300*C2309))</f>
        <v/>
      </c>
      <c r="M2309" s="117" t="str">
        <f>IF(A2309="","",VLOOKUP(A2309,'6.A'!$A$11:$C$564,2,FALSE))</f>
        <v/>
      </c>
      <c r="N2309" s="57" t="str">
        <f t="shared" ref="N2309" si="987">IF(A2309="","",IF(M2309=B2309,"si","no"))</f>
        <v/>
      </c>
      <c r="O2309" s="56"/>
      <c r="P2309" s="56"/>
      <c r="Q2309" s="48"/>
      <c r="R2309" s="48"/>
      <c r="S2309" s="65"/>
      <c r="T2309" s="2"/>
      <c r="U2309" s="2"/>
      <c r="V2309" s="2"/>
    </row>
    <row r="2310" spans="1:22" s="137" customFormat="1" ht="12.75" customHeight="1" x14ac:dyDescent="0.2">
      <c r="A2310" s="155"/>
      <c r="B2310" s="138" t="str">
        <f>IF(A2310="","",VLOOKUP(A2310,'6.A'!$A$11:$G$180,2,FALSE))</f>
        <v/>
      </c>
      <c r="C2310" s="156"/>
      <c r="D2310" s="141" t="str">
        <f>IF(A2310="","",VLOOKUP(A2310,'6.A'!$A$11:$G$180,4,FALSE))</f>
        <v/>
      </c>
      <c r="E2310" s="158" t="str">
        <f>IF(A2310="","",VLOOKUP(A2310,'6.A'!$A$11:$G$180,5,FALSE))</f>
        <v/>
      </c>
      <c r="F2310" s="159" t="str">
        <f t="shared" si="979"/>
        <v>0,00</v>
      </c>
      <c r="G2310" s="52"/>
      <c r="H2310" s="52" t="str">
        <f>IF(A2310="","",VLOOKUP(A2310,'6.A'!$A$11:$E$7984,5,FALSE))</f>
        <v/>
      </c>
      <c r="I2310" s="52" t="str">
        <f>IF(H2310="","",IF(E2310=H2310,"SIM","NÃO"))</f>
        <v/>
      </c>
      <c r="J2310" s="52" t="str">
        <f>IF(H2310="","",VLOOKUP(A2310,'6.A'!$A$11:$E$564,4,FALSE))</f>
        <v/>
      </c>
      <c r="K2310" s="52" t="str">
        <f>IF(H2310="","",IF(J2310=D2310,"SIM","NÃO"))</f>
        <v/>
      </c>
      <c r="L2310" s="52" t="str">
        <f>IF(H2310="","",IF(C2310="","",G2300*C2310))</f>
        <v/>
      </c>
      <c r="M2310" s="117" t="str">
        <f>IF(A2310="","",VLOOKUP(A2310,'6.A'!$A$11:$C$564,2,FALSE))</f>
        <v/>
      </c>
      <c r="N2310" s="57" t="str">
        <f>IF(A2310="","",IF(M2310=B2310,"si","no"))</f>
        <v/>
      </c>
      <c r="O2310" s="56"/>
      <c r="P2310" s="56"/>
      <c r="Q2310" s="48"/>
      <c r="R2310" s="48"/>
      <c r="S2310" s="65"/>
      <c r="T2310" s="2"/>
      <c r="U2310" s="2"/>
      <c r="V2310" s="2"/>
    </row>
    <row r="2311" spans="1:22" s="137" customFormat="1" ht="12.75" customHeight="1" x14ac:dyDescent="0.2">
      <c r="A2311" s="155"/>
      <c r="B2311" s="138" t="str">
        <f>IF(A2311="","",VLOOKUP(A2311,'6.A'!$A$11:$G$180,2,FALSE))</f>
        <v/>
      </c>
      <c r="C2311" s="156"/>
      <c r="D2311" s="161" t="str">
        <f>IF(A2311="","",VLOOKUP(A2311,'6.A'!$A$11:$G$180,4,FALSE))</f>
        <v/>
      </c>
      <c r="E2311" s="158" t="str">
        <f>IF(A2311="","",VLOOKUP(A2311,'6.A'!$A$11:$G$180,5,FALSE))</f>
        <v/>
      </c>
      <c r="F2311" s="159" t="str">
        <f t="shared" si="979"/>
        <v>0,00</v>
      </c>
      <c r="G2311" s="52"/>
      <c r="H2311" s="52" t="str">
        <f>IF(A2311="","",VLOOKUP(A2311,'6.A'!$A$11:$E$7984,5,FALSE))</f>
        <v/>
      </c>
      <c r="I2311" s="52" t="str">
        <f t="shared" ref="I2311" si="988">IF(H2311="","",IF(E2311=H2311,"SIM","NÃO"))</f>
        <v/>
      </c>
      <c r="J2311" s="52" t="str">
        <f>IF(H2311="","",VLOOKUP(A2311,'6.A'!$A$11:$E$564,4,FALSE))</f>
        <v/>
      </c>
      <c r="K2311" s="52" t="str">
        <f t="shared" ref="K2311" si="989">IF(H2311="","",IF(J2311=D2311,"SIM","NÃO"))</f>
        <v/>
      </c>
      <c r="L2311" s="52" t="str">
        <f>IF(H2311="","",IF(C2311="","",G2300*C2311))</f>
        <v/>
      </c>
      <c r="M2311" s="117" t="str">
        <f>IF(A2311="","",VLOOKUP(A2311,'6.A'!$A$11:$C$564,2,FALSE))</f>
        <v/>
      </c>
      <c r="N2311" s="57" t="str">
        <f t="shared" ref="N2311" si="990">IF(A2311="","",IF(M2311=B2311,"si","no"))</f>
        <v/>
      </c>
      <c r="O2311" s="56"/>
      <c r="P2311" s="56"/>
      <c r="Q2311" s="48"/>
      <c r="R2311" s="48"/>
      <c r="S2311" s="65"/>
      <c r="T2311" s="2"/>
      <c r="U2311" s="2"/>
      <c r="V2311" s="2"/>
    </row>
    <row r="2312" spans="1:22" s="137" customFormat="1" ht="12.75" customHeight="1" x14ac:dyDescent="0.2">
      <c r="A2312" s="152"/>
      <c r="B2312" s="26" t="str">
        <f>$A$8</f>
        <v>LEIS SOCIAIS HORISTA - JORNADA NORMAL</v>
      </c>
      <c r="C2312" s="27">
        <f>$C$8</f>
        <v>0</v>
      </c>
      <c r="D2312" s="141"/>
      <c r="E2312" s="147"/>
      <c r="F2312" s="162">
        <f>ROUND(SUM(F2302:F2311)*C2312,2)</f>
        <v>0</v>
      </c>
      <c r="G2312" s="63"/>
      <c r="H2312" s="52"/>
      <c r="I2312" s="57"/>
      <c r="J2312" s="57"/>
      <c r="K2312" s="57"/>
      <c r="L2312" s="52"/>
      <c r="M2312" s="62"/>
      <c r="N2312" s="57"/>
      <c r="O2312" s="56"/>
      <c r="P2312" s="56"/>
      <c r="Q2312" s="48"/>
      <c r="R2312" s="48"/>
      <c r="S2312" s="65"/>
      <c r="T2312" s="2"/>
      <c r="U2312" s="2"/>
      <c r="V2312" s="2"/>
    </row>
    <row r="2313" spans="1:22" s="137" customFormat="1" ht="12.75" customHeight="1" x14ac:dyDescent="0.2">
      <c r="A2313" s="155"/>
      <c r="B2313" s="26" t="str">
        <f>$A$9</f>
        <v>BDI</v>
      </c>
      <c r="C2313" s="27">
        <f>$C$9</f>
        <v>0</v>
      </c>
      <c r="D2313" s="136"/>
      <c r="E2313" s="147"/>
      <c r="F2313" s="162">
        <f>ROUND(SUM(F2302:F2312)*C2313,2)</f>
        <v>0</v>
      </c>
      <c r="G2313" s="63"/>
      <c r="H2313" s="52"/>
      <c r="I2313" s="57"/>
      <c r="J2313" s="57"/>
      <c r="K2313" s="57"/>
      <c r="L2313" s="52"/>
      <c r="M2313" s="62"/>
      <c r="N2313" s="57"/>
      <c r="O2313" s="56"/>
      <c r="P2313" s="56"/>
      <c r="Q2313" s="48"/>
      <c r="R2313" s="48"/>
      <c r="S2313" s="65"/>
      <c r="T2313" s="2"/>
      <c r="U2313" s="2"/>
      <c r="V2313" s="2"/>
    </row>
    <row r="2314" spans="1:22" s="149" customFormat="1" ht="12.75" customHeight="1" x14ac:dyDescent="0.2">
      <c r="A2314" s="163"/>
      <c r="B2314" s="164" t="s">
        <v>56</v>
      </c>
      <c r="C2314" s="165"/>
      <c r="D2314" s="166"/>
      <c r="E2314" s="167"/>
      <c r="F2314" s="168">
        <f>ROUND(SUM(F2302:F2313),2)</f>
        <v>0</v>
      </c>
      <c r="G2314" s="63"/>
      <c r="H2314" s="52"/>
      <c r="I2314" s="57"/>
      <c r="J2314" s="57"/>
      <c r="K2314" s="57"/>
      <c r="L2314" s="52"/>
      <c r="M2314" s="62"/>
      <c r="N2314" s="57"/>
      <c r="O2314" s="56"/>
      <c r="P2314" s="56"/>
      <c r="Q2314" s="48"/>
      <c r="R2314" s="48"/>
      <c r="S2314" s="65"/>
      <c r="T2314" s="2"/>
      <c r="U2314" s="2"/>
      <c r="V2314" s="2"/>
    </row>
    <row r="2315" spans="1:22" s="149" customFormat="1" ht="12.75" customHeight="1" x14ac:dyDescent="0.2">
      <c r="A2315" s="152" t="s">
        <v>5</v>
      </c>
      <c r="B2315" s="153" t="s">
        <v>130</v>
      </c>
      <c r="C2315" s="140" t="s">
        <v>59</v>
      </c>
      <c r="D2315" s="140" t="s">
        <v>16</v>
      </c>
      <c r="E2315" s="154" t="s">
        <v>60</v>
      </c>
      <c r="F2315" s="148" t="s">
        <v>61</v>
      </c>
      <c r="G2315" s="21"/>
      <c r="H2315" s="52"/>
      <c r="I2315" s="57"/>
      <c r="J2315" s="57"/>
      <c r="K2315" s="57"/>
      <c r="L2315" s="52"/>
      <c r="M2315" s="62"/>
      <c r="N2315" s="57"/>
      <c r="O2315" s="56"/>
      <c r="P2315" s="56"/>
      <c r="Q2315" s="48"/>
      <c r="R2315" s="48"/>
      <c r="S2315" s="65"/>
      <c r="T2315" s="2"/>
      <c r="U2315" s="2"/>
      <c r="V2315" s="2"/>
    </row>
    <row r="2316" spans="1:22" s="149" customFormat="1" ht="12.75" customHeight="1" x14ac:dyDescent="0.2">
      <c r="A2316" s="155"/>
      <c r="B2316" s="138" t="str">
        <f>IF(A2316="","",VLOOKUP(A2316,'6.A'!$A$11:$G$180,2,FALSE))</f>
        <v/>
      </c>
      <c r="C2316" s="156"/>
      <c r="D2316" s="157" t="str">
        <f>IF(A2316="","",VLOOKUP(A2316,'6.A'!$A$11:$G$180,4,FALSE))</f>
        <v/>
      </c>
      <c r="E2316" s="158" t="str">
        <f>IF(A2316="","",VLOOKUP(A2316,'6.A'!$A$11:$G$180,5,FALSE))</f>
        <v/>
      </c>
      <c r="F2316" s="159" t="str">
        <f t="shared" ref="F2316:F2325" si="991">IF(A2316="","0,00",ROUND(C2316*E2316,2))</f>
        <v>0,00</v>
      </c>
      <c r="G2316" s="52"/>
      <c r="H2316" s="52" t="str">
        <f>IF(A2316="","",VLOOKUP(A2316,'6.A'!$A$11:$E$7984,5,FALSE))</f>
        <v/>
      </c>
      <c r="I2316" s="52" t="str">
        <f t="shared" ref="I2316:I2325" si="992">IF(H2316="","",IF(E2316=H2316,"SIM","NÃO"))</f>
        <v/>
      </c>
      <c r="J2316" s="52" t="str">
        <f>IF(H2316="","",VLOOKUP(A2316,'6.A'!$A$11:$E$564,4,FALSE))</f>
        <v/>
      </c>
      <c r="K2316" s="52" t="str">
        <f t="shared" ref="K2316:K2325" si="993">IF(H2316="","",IF(J2316=D2316,"SIM","NÃO"))</f>
        <v/>
      </c>
      <c r="L2316" s="52" t="str">
        <f>IF(H2316="","",IF(C2316="","",G2300*C2316))</f>
        <v/>
      </c>
      <c r="M2316" s="117" t="str">
        <f>IF(A2316="","",VLOOKUP(A2316,'6.A'!$A$11:$C$564,2,FALSE))</f>
        <v/>
      </c>
      <c r="N2316" s="57" t="str">
        <f t="shared" ref="N2316:N2321" si="994">IF(A2316="","",IF(M2316=B2316,"si","no"))</f>
        <v/>
      </c>
      <c r="O2316" s="56"/>
      <c r="P2316" s="56"/>
      <c r="Q2316" s="48"/>
      <c r="R2316" s="48"/>
      <c r="S2316" s="65"/>
      <c r="T2316" s="2"/>
      <c r="U2316" s="2"/>
      <c r="V2316" s="2"/>
    </row>
    <row r="2317" spans="1:22" s="149" customFormat="1" ht="12.75" customHeight="1" x14ac:dyDescent="0.2">
      <c r="A2317" s="155"/>
      <c r="B2317" s="138" t="str">
        <f>IF(A2317="","",VLOOKUP(A2317,'6.A'!$A$11:$G$180,2,FALSE))</f>
        <v/>
      </c>
      <c r="C2317" s="156"/>
      <c r="D2317" s="157" t="str">
        <f>IF(A2317="","",VLOOKUP(A2317,'6.A'!$A$11:$G$180,4,FALSE))</f>
        <v/>
      </c>
      <c r="E2317" s="158" t="str">
        <f>IF(A2317="","",VLOOKUP(A2317,'6.A'!$A$11:$G$180,5,FALSE))</f>
        <v/>
      </c>
      <c r="F2317" s="159" t="str">
        <f t="shared" si="991"/>
        <v>0,00</v>
      </c>
      <c r="G2317" s="52"/>
      <c r="H2317" s="52" t="str">
        <f>IF(A2317="","",VLOOKUP(A2317,'6.A'!$A$11:$E$7984,5,FALSE))</f>
        <v/>
      </c>
      <c r="I2317" s="52" t="str">
        <f t="shared" si="992"/>
        <v/>
      </c>
      <c r="J2317" s="52" t="str">
        <f>IF(H2317="","",VLOOKUP(A2317,'6.A'!$A$11:$E$564,4,FALSE))</f>
        <v/>
      </c>
      <c r="K2317" s="52" t="str">
        <f t="shared" si="993"/>
        <v/>
      </c>
      <c r="L2317" s="52" t="str">
        <f>IF(H2317="","",IF(C2317="","",G2300*C2317))</f>
        <v/>
      </c>
      <c r="M2317" s="117" t="str">
        <f>IF(A2317="","",VLOOKUP(A2317,'6.A'!$A$11:$C$564,2,FALSE))</f>
        <v/>
      </c>
      <c r="N2317" s="57" t="str">
        <f t="shared" si="994"/>
        <v/>
      </c>
      <c r="O2317" s="56"/>
      <c r="P2317" s="56"/>
      <c r="Q2317" s="48"/>
      <c r="R2317" s="48"/>
      <c r="S2317" s="65"/>
      <c r="T2317" s="2"/>
      <c r="U2317" s="2"/>
      <c r="V2317" s="2"/>
    </row>
    <row r="2318" spans="1:22" s="149" customFormat="1" ht="12.75" customHeight="1" x14ac:dyDescent="0.2">
      <c r="A2318" s="155"/>
      <c r="B2318" s="138" t="str">
        <f>IF(A2318="","",VLOOKUP(A2318,'6.A'!$A$11:$G$180,2,FALSE))</f>
        <v/>
      </c>
      <c r="C2318" s="156"/>
      <c r="D2318" s="157" t="str">
        <f>IF(A2318="","",VLOOKUP(A2318,'6.A'!$A$11:$G$180,4,FALSE))</f>
        <v/>
      </c>
      <c r="E2318" s="158" t="str">
        <f>IF(A2318="","",VLOOKUP(A2318,'6.A'!$A$11:$G$180,5,FALSE))</f>
        <v/>
      </c>
      <c r="F2318" s="159" t="str">
        <f t="shared" si="991"/>
        <v>0,00</v>
      </c>
      <c r="G2318" s="52"/>
      <c r="H2318" s="52" t="str">
        <f>IF(A2318="","",VLOOKUP(A2318,'6.A'!$A$11:$E$7984,5,FALSE))</f>
        <v/>
      </c>
      <c r="I2318" s="52" t="str">
        <f t="shared" si="992"/>
        <v/>
      </c>
      <c r="J2318" s="52" t="str">
        <f>IF(H2318="","",VLOOKUP(A2318,'6.A'!$A$11:$E$564,4,FALSE))</f>
        <v/>
      </c>
      <c r="K2318" s="52" t="str">
        <f t="shared" si="993"/>
        <v/>
      </c>
      <c r="L2318" s="52" t="str">
        <f>IF(H2318="","",IF(C2318="","",G2300*C2318))</f>
        <v/>
      </c>
      <c r="M2318" s="117" t="str">
        <f>IF(A2318="","",VLOOKUP(A2318,'6.A'!$A$11:$C$564,2,FALSE))</f>
        <v/>
      </c>
      <c r="N2318" s="57" t="str">
        <f t="shared" si="994"/>
        <v/>
      </c>
      <c r="O2318" s="56"/>
      <c r="P2318" s="56"/>
      <c r="Q2318" s="48"/>
      <c r="R2318" s="48"/>
      <c r="S2318" s="65"/>
      <c r="T2318" s="2"/>
      <c r="U2318" s="2"/>
      <c r="V2318" s="2"/>
    </row>
    <row r="2319" spans="1:22" s="149" customFormat="1" ht="12.75" customHeight="1" x14ac:dyDescent="0.2">
      <c r="A2319" s="155"/>
      <c r="B2319" s="176" t="str">
        <f>IF(A2319="","",VLOOKUP(A2319,'6.A'!$A$11:$G$180,2,FALSE))</f>
        <v/>
      </c>
      <c r="C2319" s="156"/>
      <c r="D2319" s="157" t="str">
        <f>IF(A2319="","",VLOOKUP(A2319,'6.A'!$A$11:$G$180,4,FALSE))</f>
        <v/>
      </c>
      <c r="E2319" s="158" t="str">
        <f>IF(A2319="","",VLOOKUP(A2319,'6.A'!$A$11:$G$180,5,FALSE))</f>
        <v/>
      </c>
      <c r="F2319" s="159" t="str">
        <f t="shared" si="991"/>
        <v>0,00</v>
      </c>
      <c r="G2319" s="52"/>
      <c r="H2319" s="52" t="str">
        <f>IF(A2319="","",VLOOKUP(A2319,'6.A'!$A$11:$E$7984,5,FALSE))</f>
        <v/>
      </c>
      <c r="I2319" s="52" t="str">
        <f t="shared" si="992"/>
        <v/>
      </c>
      <c r="J2319" s="52" t="str">
        <f>IF(H2319="","",VLOOKUP(A2319,'6.A'!$A$11:$E$564,4,FALSE))</f>
        <v/>
      </c>
      <c r="K2319" s="52" t="str">
        <f t="shared" si="993"/>
        <v/>
      </c>
      <c r="L2319" s="52" t="str">
        <f>IF(H2319="","",IF(C2319="","",G2300*C2319))</f>
        <v/>
      </c>
      <c r="M2319" s="117" t="str">
        <f>IF(A2319="","",VLOOKUP(A2319,'6.A'!$A$11:$C$564,2,FALSE))</f>
        <v/>
      </c>
      <c r="N2319" s="57" t="str">
        <f t="shared" si="994"/>
        <v/>
      </c>
      <c r="O2319" s="56"/>
      <c r="P2319" s="56"/>
      <c r="Q2319" s="48"/>
      <c r="R2319" s="48"/>
      <c r="S2319" s="65"/>
      <c r="T2319" s="2"/>
      <c r="U2319" s="2"/>
      <c r="V2319" s="2"/>
    </row>
    <row r="2320" spans="1:22" s="149" customFormat="1" ht="12.75" customHeight="1" x14ac:dyDescent="0.2">
      <c r="A2320" s="155"/>
      <c r="B2320" s="176" t="str">
        <f>IF(A2320="","",VLOOKUP(A2320,'6.A'!$A$11:$G$180,2,FALSE))</f>
        <v/>
      </c>
      <c r="C2320" s="156"/>
      <c r="D2320" s="141" t="str">
        <f>IF(A2320="","",VLOOKUP(A2320,'6.A'!$A$11:$G$180,4,FALSE))</f>
        <v/>
      </c>
      <c r="E2320" s="160" t="str">
        <f>IF(A2320="","",VLOOKUP(A2320,'6.A'!$A$11:$G$180,5,FALSE))</f>
        <v/>
      </c>
      <c r="F2320" s="159" t="str">
        <f t="shared" si="991"/>
        <v>0,00</v>
      </c>
      <c r="G2320" s="52"/>
      <c r="H2320" s="52" t="str">
        <f>IF(A2320="","",VLOOKUP(A2320,'6.A'!$A$11:$E$7984,5,FALSE))</f>
        <v/>
      </c>
      <c r="I2320" s="52" t="str">
        <f t="shared" si="992"/>
        <v/>
      </c>
      <c r="J2320" s="52" t="str">
        <f>IF(H2320="","",VLOOKUP(A2320,'6.A'!$A$11:$E$564,4,FALSE))</f>
        <v/>
      </c>
      <c r="K2320" s="52" t="str">
        <f t="shared" si="993"/>
        <v/>
      </c>
      <c r="L2320" s="52" t="str">
        <f>IF(H2320="","",IF(C2320="","",G2300*C2320))</f>
        <v/>
      </c>
      <c r="M2320" s="117" t="str">
        <f>IF(A2320="","",VLOOKUP(A2320,'6.A'!$A$11:$C$564,2,FALSE))</f>
        <v/>
      </c>
      <c r="N2320" s="57" t="str">
        <f t="shared" si="994"/>
        <v/>
      </c>
      <c r="O2320" s="56"/>
      <c r="P2320" s="56"/>
      <c r="Q2320" s="48"/>
      <c r="R2320" s="48"/>
      <c r="S2320" s="65"/>
      <c r="T2320" s="2"/>
      <c r="U2320" s="2"/>
      <c r="V2320" s="2"/>
    </row>
    <row r="2321" spans="1:22" s="149" customFormat="1" ht="12.75" customHeight="1" x14ac:dyDescent="0.2">
      <c r="A2321" s="155"/>
      <c r="B2321" s="176" t="str">
        <f>IF(A2321="","",VLOOKUP(A2321,'6.A'!$A$11:$G$180,2,FALSE))</f>
        <v/>
      </c>
      <c r="C2321" s="156"/>
      <c r="D2321" s="141" t="str">
        <f>IF(A2321="","",VLOOKUP(A2321,'6.A'!$A$11:$G$180,4,FALSE))</f>
        <v/>
      </c>
      <c r="E2321" s="160" t="str">
        <f>IF(A2321="","",VLOOKUP(A2321,'6.A'!$A$11:$G$180,5,FALSE))</f>
        <v/>
      </c>
      <c r="F2321" s="159" t="str">
        <f t="shared" si="991"/>
        <v>0,00</v>
      </c>
      <c r="G2321" s="52"/>
      <c r="H2321" s="52" t="str">
        <f>IF(A2321="","",VLOOKUP(A2321,'6.A'!$A$11:$E$7984,5,FALSE))</f>
        <v/>
      </c>
      <c r="I2321" s="52" t="str">
        <f t="shared" si="992"/>
        <v/>
      </c>
      <c r="J2321" s="52" t="str">
        <f>IF(H2321="","",VLOOKUP(A2321,'6.A'!$A$11:$E$564,4,FALSE))</f>
        <v/>
      </c>
      <c r="K2321" s="52" t="str">
        <f t="shared" si="993"/>
        <v/>
      </c>
      <c r="L2321" s="52" t="str">
        <f>IF(H2321="","",IF(C2321="","",G2300*C2321))</f>
        <v/>
      </c>
      <c r="M2321" s="117" t="str">
        <f>IF(A2321="","",VLOOKUP(A2321,'6.A'!$A$11:$C$564,2,FALSE))</f>
        <v/>
      </c>
      <c r="N2321" s="57" t="str">
        <f t="shared" si="994"/>
        <v/>
      </c>
      <c r="O2321" s="56"/>
      <c r="P2321" s="56"/>
      <c r="Q2321" s="48"/>
      <c r="R2321" s="48"/>
      <c r="S2321" s="65"/>
      <c r="T2321" s="2"/>
      <c r="U2321" s="2"/>
      <c r="V2321" s="2"/>
    </row>
    <row r="2322" spans="1:22" s="149" customFormat="1" ht="12.75" customHeight="1" x14ac:dyDescent="0.2">
      <c r="A2322" s="155"/>
      <c r="B2322" s="176" t="str">
        <f>IF(A2322="","",VLOOKUP(A2322,'6.A'!$A$11:$G$180,2,FALSE))</f>
        <v/>
      </c>
      <c r="C2322" s="156"/>
      <c r="D2322" s="141" t="str">
        <f>IF(A2322="","",VLOOKUP(A2322,'6.A'!$A$11:$G$180,4,FALSE))</f>
        <v/>
      </c>
      <c r="E2322" s="160" t="str">
        <f>IF(A2322="","",VLOOKUP(A2322,'6.A'!$A$11:$G$180,5,FALSE))</f>
        <v/>
      </c>
      <c r="F2322" s="159" t="str">
        <f t="shared" si="991"/>
        <v>0,00</v>
      </c>
      <c r="G2322" s="52"/>
      <c r="H2322" s="52" t="str">
        <f>IF(A2322="","",VLOOKUP(A2322,'6.A'!$A$11:$E$7984,5,FALSE))</f>
        <v/>
      </c>
      <c r="I2322" s="52" t="str">
        <f t="shared" si="992"/>
        <v/>
      </c>
      <c r="J2322" s="52" t="str">
        <f>IF(H2322="","",VLOOKUP(A2322,'6.A'!$A$11:$E$564,4,FALSE))</f>
        <v/>
      </c>
      <c r="K2322" s="52" t="str">
        <f t="shared" si="993"/>
        <v/>
      </c>
      <c r="L2322" s="52" t="str">
        <f>IF(H2322="","",IF(C2322="","",G2300*C2322))</f>
        <v/>
      </c>
      <c r="M2322" s="117" t="str">
        <f>IF(A2322="","",VLOOKUP(A2322,'6.A'!$A$11:$C$564,2,FALSE))</f>
        <v/>
      </c>
      <c r="N2322" s="57" t="str">
        <f>IF(A2322="","",IF(M2322=B2322,"si","no"))</f>
        <v/>
      </c>
      <c r="O2322" s="56"/>
      <c r="P2322" s="56"/>
      <c r="Q2322" s="48"/>
      <c r="R2322" s="48"/>
      <c r="S2322" s="65"/>
      <c r="T2322" s="2"/>
      <c r="U2322" s="2"/>
      <c r="V2322" s="2"/>
    </row>
    <row r="2323" spans="1:22" s="149" customFormat="1" ht="12.75" customHeight="1" x14ac:dyDescent="0.2">
      <c r="A2323" s="155"/>
      <c r="B2323" s="138" t="str">
        <f>IF(A2323="","",VLOOKUP(A2323,'6.A'!$A$11:$G$180,2,FALSE))</f>
        <v/>
      </c>
      <c r="C2323" s="156"/>
      <c r="D2323" s="141" t="str">
        <f>IF(A2323="","",VLOOKUP(A2323,'6.A'!$A$11:$G$180,4,FALSE))</f>
        <v/>
      </c>
      <c r="E2323" s="160"/>
      <c r="F2323" s="159" t="str">
        <f t="shared" si="991"/>
        <v>0,00</v>
      </c>
      <c r="G2323" s="52"/>
      <c r="H2323" s="52" t="str">
        <f>IF(A2323="","",VLOOKUP(A2323,'6.A'!$A$11:$E$7984,5,FALSE))</f>
        <v/>
      </c>
      <c r="I2323" s="52" t="str">
        <f t="shared" si="992"/>
        <v/>
      </c>
      <c r="J2323" s="52" t="str">
        <f>IF(H2323="","",VLOOKUP(A2323,'6.A'!$A$11:$E$564,4,FALSE))</f>
        <v/>
      </c>
      <c r="K2323" s="52" t="str">
        <f t="shared" si="993"/>
        <v/>
      </c>
      <c r="L2323" s="52" t="str">
        <f>IF(H2323="","",IF(C2323="","",G2300*C2323))</f>
        <v/>
      </c>
      <c r="M2323" s="117" t="str">
        <f>IF(A2323="","",VLOOKUP(A2323,'6.A'!$A$11:$C$564,2,FALSE))</f>
        <v/>
      </c>
      <c r="N2323" s="57" t="str">
        <f>IF(A2323="","",IF(M2323=B2323,"si","no"))</f>
        <v/>
      </c>
      <c r="O2323" s="56"/>
      <c r="P2323" s="56"/>
      <c r="Q2323" s="48"/>
      <c r="R2323" s="48"/>
      <c r="S2323" s="65"/>
      <c r="T2323" s="2"/>
      <c r="U2323" s="2"/>
      <c r="V2323" s="2"/>
    </row>
    <row r="2324" spans="1:22" s="149" customFormat="1" ht="12.75" customHeight="1" x14ac:dyDescent="0.2">
      <c r="A2324" s="155"/>
      <c r="B2324" s="138" t="str">
        <f>IF(A2324="","",VLOOKUP(A2324,'6.A'!$A$11:$G$180,2,FALSE))</f>
        <v/>
      </c>
      <c r="C2324" s="156"/>
      <c r="D2324" s="141" t="str">
        <f>IF(A2324="","",VLOOKUP(A2324,'6.A'!$A$11:$G$180,4,FALSE))</f>
        <v/>
      </c>
      <c r="E2324" s="160"/>
      <c r="F2324" s="159" t="str">
        <f t="shared" si="991"/>
        <v>0,00</v>
      </c>
      <c r="G2324" s="52"/>
      <c r="H2324" s="52" t="str">
        <f>IF(A2324="","",VLOOKUP(A2324,'6.A'!$A$11:$E$7984,5,FALSE))</f>
        <v/>
      </c>
      <c r="I2324" s="52" t="str">
        <f t="shared" si="992"/>
        <v/>
      </c>
      <c r="J2324" s="52" t="str">
        <f>IF(H2324="","",VLOOKUP(A2324,'6.A'!$A$11:$E$564,4,FALSE))</f>
        <v/>
      </c>
      <c r="K2324" s="52" t="str">
        <f t="shared" si="993"/>
        <v/>
      </c>
      <c r="L2324" s="52" t="str">
        <f>IF(H2324="","",IF(C2324="","",G2300*C2324))</f>
        <v/>
      </c>
      <c r="M2324" s="117" t="str">
        <f>IF(A2324="","",VLOOKUP(A2324,'6.A'!$A$11:$C$564,2,FALSE))</f>
        <v/>
      </c>
      <c r="N2324" s="57" t="str">
        <f t="shared" ref="N2324:N2325" si="995">IF(A2324="","",IF(M2324=B2324,"si","no"))</f>
        <v/>
      </c>
      <c r="O2324" s="56"/>
      <c r="P2324" s="56"/>
      <c r="Q2324" s="48"/>
      <c r="R2324" s="48"/>
      <c r="S2324" s="65"/>
      <c r="T2324" s="2"/>
      <c r="U2324" s="2"/>
      <c r="V2324" s="2"/>
    </row>
    <row r="2325" spans="1:22" s="149" customFormat="1" ht="12.75" customHeight="1" x14ac:dyDescent="0.2">
      <c r="A2325" s="155"/>
      <c r="B2325" s="138" t="str">
        <f>IF(A2325="","",VLOOKUP(A2325,'6.A'!$A$11:$G$180,2,FALSE))</f>
        <v/>
      </c>
      <c r="C2325" s="156"/>
      <c r="D2325" s="141" t="str">
        <f>IF(A2325="","",VLOOKUP(A2325,'6.A'!$A$11:$G$180,4,FALSE))</f>
        <v/>
      </c>
      <c r="E2325" s="160" t="str">
        <f>IF(A2325="","",VLOOKUP(A2325,'6.A'!$A$11:$G$180,5,FALSE))</f>
        <v/>
      </c>
      <c r="F2325" s="159" t="str">
        <f t="shared" si="991"/>
        <v>0,00</v>
      </c>
      <c r="G2325" s="52"/>
      <c r="H2325" s="52" t="str">
        <f>IF(A2325="","",VLOOKUP(A2325,'6.A'!$A$11:$E$7984,5,FALSE))</f>
        <v/>
      </c>
      <c r="I2325" s="52" t="str">
        <f t="shared" si="992"/>
        <v/>
      </c>
      <c r="J2325" s="52" t="str">
        <f>IF(H2325="","",VLOOKUP(A2325,'6.A'!$A$11:$E$564,4,FALSE))</f>
        <v/>
      </c>
      <c r="K2325" s="52" t="str">
        <f t="shared" si="993"/>
        <v/>
      </c>
      <c r="L2325" s="52" t="str">
        <f>IF(H2325="","",IF(C2325="","",G2300*C2325))</f>
        <v/>
      </c>
      <c r="M2325" s="117" t="str">
        <f>IF(A2325="","",VLOOKUP(A2325,'6.A'!$A$11:$C$564,2,FALSE))</f>
        <v/>
      </c>
      <c r="N2325" s="57" t="str">
        <f t="shared" si="995"/>
        <v/>
      </c>
      <c r="O2325" s="56"/>
      <c r="P2325" s="56"/>
      <c r="Q2325" s="48"/>
      <c r="R2325" s="48"/>
      <c r="S2325" s="65"/>
      <c r="T2325" s="2"/>
      <c r="U2325" s="2"/>
      <c r="V2325" s="2"/>
    </row>
    <row r="2326" spans="1:22" s="149" customFormat="1" ht="12.75" customHeight="1" x14ac:dyDescent="0.2">
      <c r="A2326" s="155"/>
      <c r="B2326" s="26" t="str">
        <f>$A$9</f>
        <v>BDI</v>
      </c>
      <c r="C2326" s="27">
        <f>$C$9</f>
        <v>0</v>
      </c>
      <c r="D2326" s="141"/>
      <c r="E2326" s="147"/>
      <c r="F2326" s="162">
        <f>ROUND(SUM(F2316:F2325)*C2326,2)</f>
        <v>0</v>
      </c>
      <c r="G2326" s="63"/>
      <c r="H2326" s="52"/>
      <c r="I2326" s="57"/>
      <c r="J2326" s="57"/>
      <c r="K2326" s="57"/>
      <c r="L2326" s="52"/>
      <c r="M2326" s="62"/>
      <c r="N2326" s="57"/>
      <c r="O2326" s="56"/>
      <c r="P2326" s="56"/>
      <c r="Q2326" s="48"/>
      <c r="R2326" s="48"/>
      <c r="S2326" s="65"/>
      <c r="T2326" s="2"/>
      <c r="U2326" s="2"/>
      <c r="V2326" s="2"/>
    </row>
    <row r="2327" spans="1:22" s="149" customFormat="1" ht="12.75" customHeight="1" x14ac:dyDescent="0.2">
      <c r="A2327" s="163"/>
      <c r="B2327" s="31" t="s">
        <v>117</v>
      </c>
      <c r="C2327" s="36"/>
      <c r="D2327" s="169"/>
      <c r="E2327" s="170"/>
      <c r="F2327" s="168">
        <f>ROUND(SUM(F2316:F2326),2)</f>
        <v>0</v>
      </c>
      <c r="G2327" s="63"/>
      <c r="H2327" s="52"/>
      <c r="I2327" s="57"/>
      <c r="J2327" s="57"/>
      <c r="K2327" s="57"/>
      <c r="L2327" s="52"/>
      <c r="M2327" s="62"/>
      <c r="N2327" s="57"/>
      <c r="O2327" s="56"/>
      <c r="P2327" s="56"/>
      <c r="Q2327" s="48"/>
      <c r="R2327" s="48"/>
      <c r="S2327" s="65"/>
      <c r="T2327" s="2"/>
      <c r="U2327" s="2"/>
      <c r="V2327" s="2"/>
    </row>
    <row r="2328" spans="1:22" s="149" customFormat="1" ht="12.75" customHeight="1" x14ac:dyDescent="0.2">
      <c r="A2328" s="152" t="s">
        <v>6</v>
      </c>
      <c r="B2328" s="153" t="s">
        <v>17</v>
      </c>
      <c r="C2328" s="140" t="s">
        <v>59</v>
      </c>
      <c r="D2328" s="140" t="s">
        <v>16</v>
      </c>
      <c r="E2328" s="154" t="s">
        <v>60</v>
      </c>
      <c r="F2328" s="148" t="s">
        <v>61</v>
      </c>
      <c r="G2328" s="21"/>
      <c r="H2328" s="52"/>
      <c r="I2328" s="57"/>
      <c r="J2328" s="57"/>
      <c r="K2328" s="57"/>
      <c r="L2328" s="52"/>
      <c r="M2328" s="62"/>
      <c r="N2328" s="57"/>
      <c r="O2328" s="56"/>
      <c r="P2328" s="56"/>
      <c r="Q2328" s="48"/>
      <c r="R2328" s="48"/>
      <c r="S2328" s="65"/>
      <c r="T2328" s="2"/>
      <c r="U2328" s="2"/>
      <c r="V2328" s="2"/>
    </row>
    <row r="2329" spans="1:22" s="149" customFormat="1" ht="12.75" customHeight="1" x14ac:dyDescent="0.2">
      <c r="A2329" s="155">
        <f>'6.A'!$A$179</f>
        <v>91704</v>
      </c>
      <c r="B2329" s="138" t="str">
        <f>IF(A2329="","",VLOOKUP(A2329,'6.A'!$A$11:$G$180,2,FALSE))</f>
        <v>PLACA DE MONTAGEM PARA QUADROS EM GERAL, EM CHAPA DE AÇO CARBONO, ESPESSURA 2,25MM, ACABAMENTO PINTURA ELETROSTÁTICA</v>
      </c>
      <c r="C2329" s="156">
        <f>((1*1.25)*2)+((1.25*0.25)*2)+((1*0.25)*2)</f>
        <v>3.625</v>
      </c>
      <c r="D2329" s="157" t="str">
        <f>IF(A2329="","",VLOOKUP(A2329,'6.A'!$A$11:$G$180,4,FALSE))</f>
        <v>M2</v>
      </c>
      <c r="E2329" s="158">
        <f>IF(A2329="","",VLOOKUP(A2329,'6.A'!$A$11:$G$180,5,FALSE))</f>
        <v>0</v>
      </c>
      <c r="F2329" s="159">
        <f t="shared" ref="F2329:F2348" si="996">IF(A2329="","0,00",ROUND(C2329*E2329,2))</f>
        <v>0</v>
      </c>
      <c r="G2329" s="52"/>
      <c r="H2329" s="52">
        <f>IF(A2329="","",VLOOKUP(A2329,'6.A'!$A$11:$E$7984,5,FALSE))</f>
        <v>0</v>
      </c>
      <c r="I2329" s="52" t="str">
        <f t="shared" ref="I2329:I2348" si="997">IF(H2329="","",IF(E2329=H2329,"SIM","NÃO"))</f>
        <v>SIM</v>
      </c>
      <c r="J2329" s="52" t="str">
        <f>IF(H2329="","",VLOOKUP(A2329,'6.A'!$A$11:$E$564,4,FALSE))</f>
        <v>M2</v>
      </c>
      <c r="K2329" s="52" t="str">
        <f t="shared" ref="K2329:K2348" si="998">IF(H2329="","",IF(J2329=D2329,"SIM","NÃO"))</f>
        <v>SIM</v>
      </c>
      <c r="L2329" s="52">
        <f>IF(H2329="","",IF(C2329="","",G2300*C2329))</f>
        <v>10.875</v>
      </c>
      <c r="M2329" s="117" t="str">
        <f>IF(A2329="","",VLOOKUP(A2329,'6.A'!$A$11:$C$564,2,FALSE))</f>
        <v>PLACA DE MONTAGEM PARA QUADROS EM GERAL, EM CHAPA DE AÇO CARBONO, ESPESSURA 2,25MM, ACABAMENTO PINTURA ELETROSTÁTICA</v>
      </c>
      <c r="N2329" s="57" t="str">
        <f t="shared" ref="N2329:N2348" si="999">IF(A2329="","",IF(M2329=B2329,"si","no"))</f>
        <v>si</v>
      </c>
      <c r="O2329" s="56"/>
      <c r="P2329" s="56"/>
      <c r="Q2329" s="48"/>
      <c r="R2329" s="48"/>
      <c r="S2329" s="65"/>
      <c r="T2329" s="2"/>
      <c r="U2329" s="2"/>
      <c r="V2329" s="2"/>
    </row>
    <row r="2330" spans="1:22" s="149" customFormat="1" ht="12.75" customHeight="1" x14ac:dyDescent="0.2">
      <c r="A2330" s="155"/>
      <c r="B2330" s="138" t="str">
        <f>IF(A2330="","",VLOOKUP(A2330,'6.A'!$A$11:$G$180,2,FALSE))</f>
        <v/>
      </c>
      <c r="C2330" s="156"/>
      <c r="D2330" s="157" t="str">
        <f>IF(A2330="","",VLOOKUP(A2330,'6.A'!$A$11:$G$180,4,FALSE))</f>
        <v/>
      </c>
      <c r="E2330" s="158" t="str">
        <f>IF(A2330="","",VLOOKUP(A2330,'6.A'!$A$11:$G$180,5,FALSE))</f>
        <v/>
      </c>
      <c r="F2330" s="159" t="str">
        <f t="shared" si="996"/>
        <v>0,00</v>
      </c>
      <c r="G2330" s="52"/>
      <c r="H2330" s="52" t="str">
        <f>IF(A2330="","",VLOOKUP(A2330,'6.A'!$A$11:$E$7984,5,FALSE))</f>
        <v/>
      </c>
      <c r="I2330" s="52" t="str">
        <f t="shared" si="997"/>
        <v/>
      </c>
      <c r="J2330" s="52" t="str">
        <f>IF(H2330="","",VLOOKUP(A2330,'6.A'!$A$11:$E$564,4,FALSE))</f>
        <v/>
      </c>
      <c r="K2330" s="52" t="str">
        <f t="shared" si="998"/>
        <v/>
      </c>
      <c r="L2330" s="52" t="str">
        <f>IF(H2330="","",IF(C2330="","",G2300*C2330))</f>
        <v/>
      </c>
      <c r="M2330" s="117" t="str">
        <f>IF(A2330="","",VLOOKUP(A2330,'6.A'!$A$11:$C$564,2,FALSE))</f>
        <v/>
      </c>
      <c r="N2330" s="57" t="str">
        <f t="shared" si="999"/>
        <v/>
      </c>
      <c r="O2330" s="56"/>
      <c r="P2330" s="56"/>
      <c r="Q2330" s="48"/>
      <c r="R2330" s="48"/>
      <c r="S2330" s="65"/>
      <c r="T2330" s="2"/>
      <c r="U2330" s="2"/>
      <c r="V2330" s="2"/>
    </row>
    <row r="2331" spans="1:22" s="149" customFormat="1" ht="12.75" customHeight="1" x14ac:dyDescent="0.2">
      <c r="A2331" s="155"/>
      <c r="B2331" s="138" t="str">
        <f>IF(A2331="","",VLOOKUP(A2331,'6.A'!$A$11:$G$180,2,FALSE))</f>
        <v/>
      </c>
      <c r="C2331" s="156"/>
      <c r="D2331" s="157" t="str">
        <f>IF(A2331="","",VLOOKUP(A2331,'6.A'!$A$11:$G$180,4,FALSE))</f>
        <v/>
      </c>
      <c r="E2331" s="158" t="str">
        <f>IF(A2331="","",VLOOKUP(A2331,'6.A'!$A$11:$G$180,5,FALSE))</f>
        <v/>
      </c>
      <c r="F2331" s="159" t="str">
        <f t="shared" si="996"/>
        <v>0,00</v>
      </c>
      <c r="G2331" s="52"/>
      <c r="H2331" s="52" t="str">
        <f>IF(A2331="","",VLOOKUP(A2331,'6.A'!$A$11:$E$7984,5,FALSE))</f>
        <v/>
      </c>
      <c r="I2331" s="52" t="str">
        <f t="shared" si="997"/>
        <v/>
      </c>
      <c r="J2331" s="52" t="str">
        <f>IF(H2331="","",VLOOKUP(A2331,'6.A'!$A$11:$E$564,4,FALSE))</f>
        <v/>
      </c>
      <c r="K2331" s="52" t="str">
        <f t="shared" si="998"/>
        <v/>
      </c>
      <c r="L2331" s="52" t="str">
        <f>IF(H2331="","",IF(C2331="","",G2300*C2331))</f>
        <v/>
      </c>
      <c r="M2331" s="117" t="str">
        <f>IF(A2331="","",VLOOKUP(A2331,'6.A'!$A$11:$C$564,2,FALSE))</f>
        <v/>
      </c>
      <c r="N2331" s="57" t="str">
        <f t="shared" si="999"/>
        <v/>
      </c>
      <c r="O2331" s="56"/>
      <c r="P2331" s="56"/>
      <c r="Q2331" s="48"/>
      <c r="R2331" s="48"/>
      <c r="S2331" s="65"/>
      <c r="T2331" s="2"/>
      <c r="U2331" s="2"/>
      <c r="V2331" s="2"/>
    </row>
    <row r="2332" spans="1:22" s="149" customFormat="1" ht="12.75" customHeight="1" x14ac:dyDescent="0.2">
      <c r="A2332" s="155"/>
      <c r="B2332" s="138" t="str">
        <f>IF(A2332="","",VLOOKUP(A2332,'6.A'!$A$11:$G$180,2,FALSE))</f>
        <v/>
      </c>
      <c r="C2332" s="156"/>
      <c r="D2332" s="157" t="str">
        <f>IF(A2332="","",VLOOKUP(A2332,'6.A'!$A$11:$G$180,4,FALSE))</f>
        <v/>
      </c>
      <c r="E2332" s="158" t="str">
        <f>IF(A2332="","",VLOOKUP(A2332,'6.A'!$A$11:$G$180,5,FALSE))</f>
        <v/>
      </c>
      <c r="F2332" s="159" t="str">
        <f t="shared" si="996"/>
        <v>0,00</v>
      </c>
      <c r="G2332" s="52"/>
      <c r="H2332" s="52" t="str">
        <f>IF(A2332="","",VLOOKUP(A2332,'6.A'!$A$11:$E$7984,5,FALSE))</f>
        <v/>
      </c>
      <c r="I2332" s="52" t="str">
        <f t="shared" si="997"/>
        <v/>
      </c>
      <c r="J2332" s="52" t="str">
        <f>IF(H2332="","",VLOOKUP(A2332,'6.A'!$A$11:$E$564,4,FALSE))</f>
        <v/>
      </c>
      <c r="K2332" s="52" t="str">
        <f t="shared" si="998"/>
        <v/>
      </c>
      <c r="L2332" s="52" t="str">
        <f>IF(H2332="","",IF(C2332="","",G2300*C2332))</f>
        <v/>
      </c>
      <c r="M2332" s="117" t="str">
        <f>IF(A2332="","",VLOOKUP(A2332,'6.A'!$A$11:$C$564,2,FALSE))</f>
        <v/>
      </c>
      <c r="N2332" s="57" t="str">
        <f t="shared" si="999"/>
        <v/>
      </c>
      <c r="O2332" s="56"/>
      <c r="P2332" s="56"/>
      <c r="Q2332" s="48"/>
      <c r="R2332" s="48"/>
      <c r="S2332" s="65"/>
      <c r="T2332" s="2"/>
      <c r="U2332" s="2"/>
      <c r="V2332" s="2"/>
    </row>
    <row r="2333" spans="1:22" s="149" customFormat="1" ht="12.75" customHeight="1" x14ac:dyDescent="0.2">
      <c r="A2333" s="155"/>
      <c r="B2333" s="138" t="str">
        <f>IF(A2333="","",VLOOKUP(A2333,'6.A'!$A$11:$G$180,2,FALSE))</f>
        <v/>
      </c>
      <c r="C2333" s="156"/>
      <c r="D2333" s="141" t="str">
        <f>IF(A2333="","",VLOOKUP(A2333,'6.A'!$A$11:$G$180,4,FALSE))</f>
        <v/>
      </c>
      <c r="E2333" s="160" t="str">
        <f>IF(A2333="","",VLOOKUP(A2333,'6.A'!$A$11:$G$180,5,FALSE))</f>
        <v/>
      </c>
      <c r="F2333" s="159" t="str">
        <f t="shared" si="996"/>
        <v>0,00</v>
      </c>
      <c r="G2333" s="52"/>
      <c r="H2333" s="52" t="str">
        <f>IF(A2333="","",VLOOKUP(A2333,'6.A'!$A$11:$E$7984,5,FALSE))</f>
        <v/>
      </c>
      <c r="I2333" s="52" t="str">
        <f t="shared" si="997"/>
        <v/>
      </c>
      <c r="J2333" s="52" t="str">
        <f>IF(H2333="","",VLOOKUP(A2333,'6.A'!$A$11:$E$564,4,FALSE))</f>
        <v/>
      </c>
      <c r="K2333" s="52" t="str">
        <f t="shared" si="998"/>
        <v/>
      </c>
      <c r="L2333" s="52" t="str">
        <f>IF(H2333="","",IF(C2333="","",G2300*C2333))</f>
        <v/>
      </c>
      <c r="M2333" s="117" t="str">
        <f>IF(A2333="","",VLOOKUP(A2333,'6.A'!$A$11:$C$564,2,FALSE))</f>
        <v/>
      </c>
      <c r="N2333" s="57" t="str">
        <f t="shared" si="999"/>
        <v/>
      </c>
      <c r="O2333" s="56"/>
      <c r="P2333" s="56"/>
      <c r="Q2333" s="48"/>
      <c r="R2333" s="48"/>
      <c r="S2333" s="65"/>
      <c r="T2333" s="2"/>
      <c r="U2333" s="2"/>
      <c r="V2333" s="2"/>
    </row>
    <row r="2334" spans="1:22" s="149" customFormat="1" ht="12.75" customHeight="1" x14ac:dyDescent="0.2">
      <c r="A2334" s="155"/>
      <c r="B2334" s="138" t="str">
        <f>IF(A2334="","",VLOOKUP(A2334,'6.A'!$A$11:$G$180,2,FALSE))</f>
        <v/>
      </c>
      <c r="C2334" s="156"/>
      <c r="D2334" s="141" t="str">
        <f>IF(A2334="","",VLOOKUP(A2334,'6.A'!$A$11:$G$180,4,FALSE))</f>
        <v/>
      </c>
      <c r="E2334" s="160" t="str">
        <f>IF(A2334="","",VLOOKUP(A2334,'6.A'!$A$11:$G$180,5,FALSE))</f>
        <v/>
      </c>
      <c r="F2334" s="159" t="str">
        <f t="shared" si="996"/>
        <v>0,00</v>
      </c>
      <c r="G2334" s="52"/>
      <c r="H2334" s="52" t="str">
        <f>IF(A2334="","",VLOOKUP(A2334,'6.A'!$A$11:$E$7984,5,FALSE))</f>
        <v/>
      </c>
      <c r="I2334" s="52" t="str">
        <f t="shared" si="997"/>
        <v/>
      </c>
      <c r="J2334" s="52" t="str">
        <f>IF(H2334="","",VLOOKUP(A2334,'6.A'!$A$11:$E$564,4,FALSE))</f>
        <v/>
      </c>
      <c r="K2334" s="52" t="str">
        <f t="shared" si="998"/>
        <v/>
      </c>
      <c r="L2334" s="52" t="str">
        <f>IF(H2334="","",IF(C2334="","",G2300*C2334))</f>
        <v/>
      </c>
      <c r="M2334" s="117" t="str">
        <f>IF(A2334="","",VLOOKUP(A2334,'6.A'!$A$11:$C$564,2,FALSE))</f>
        <v/>
      </c>
      <c r="N2334" s="57" t="str">
        <f t="shared" si="999"/>
        <v/>
      </c>
      <c r="O2334" s="56"/>
      <c r="P2334" s="56"/>
      <c r="Q2334" s="48"/>
      <c r="R2334" s="48"/>
      <c r="S2334" s="65"/>
      <c r="T2334" s="2"/>
      <c r="U2334" s="2"/>
      <c r="V2334" s="2"/>
    </row>
    <row r="2335" spans="1:22" s="149" customFormat="1" ht="12.75" customHeight="1" x14ac:dyDescent="0.2">
      <c r="A2335" s="155"/>
      <c r="B2335" s="138" t="str">
        <f>IF(A2335="","",VLOOKUP(A2335,'6.A'!$A$11:$G$180,2,FALSE))</f>
        <v/>
      </c>
      <c r="C2335" s="156"/>
      <c r="D2335" s="157" t="str">
        <f>IF(A2335="","",VLOOKUP(A2335,'6.A'!$A$11:$G$180,4,FALSE))</f>
        <v/>
      </c>
      <c r="E2335" s="158" t="str">
        <f>IF(A2335="","",VLOOKUP(A2335,'6.A'!$A$11:$G$180,5,FALSE))</f>
        <v/>
      </c>
      <c r="F2335" s="159" t="str">
        <f t="shared" si="996"/>
        <v>0,00</v>
      </c>
      <c r="G2335" s="52"/>
      <c r="H2335" s="52" t="str">
        <f>IF(A2335="","",VLOOKUP(A2335,'6.A'!$A$11:$E$7984,5,FALSE))</f>
        <v/>
      </c>
      <c r="I2335" s="52" t="str">
        <f t="shared" si="997"/>
        <v/>
      </c>
      <c r="J2335" s="52" t="str">
        <f>IF(H2335="","",VLOOKUP(A2335,'6.A'!$A$11:$E$564,4,FALSE))</f>
        <v/>
      </c>
      <c r="K2335" s="52" t="str">
        <f t="shared" si="998"/>
        <v/>
      </c>
      <c r="L2335" s="52" t="str">
        <f>IF(H2335="","",IF(C2335="","",G2300*C2335))</f>
        <v/>
      </c>
      <c r="M2335" s="117" t="str">
        <f>IF(A2335="","",VLOOKUP(A2335,'6.A'!$A$11:$C$564,2,FALSE))</f>
        <v/>
      </c>
      <c r="N2335" s="57" t="str">
        <f t="shared" si="999"/>
        <v/>
      </c>
      <c r="O2335" s="56"/>
      <c r="P2335" s="56"/>
      <c r="Q2335" s="48"/>
      <c r="R2335" s="48"/>
      <c r="S2335" s="65"/>
      <c r="T2335" s="2"/>
      <c r="U2335" s="2"/>
      <c r="V2335" s="2"/>
    </row>
    <row r="2336" spans="1:22" s="149" customFormat="1" ht="12.75" customHeight="1" x14ac:dyDescent="0.2">
      <c r="A2336" s="155"/>
      <c r="B2336" s="138" t="str">
        <f>IF(A2336="","",VLOOKUP(A2336,'6.A'!$A$11:$G$180,2,FALSE))</f>
        <v/>
      </c>
      <c r="C2336" s="156"/>
      <c r="D2336" s="157" t="str">
        <f>IF(A2336="","",VLOOKUP(A2336,'6.A'!$A$11:$G$180,4,FALSE))</f>
        <v/>
      </c>
      <c r="E2336" s="158" t="str">
        <f>IF(A2336="","",VLOOKUP(A2336,'6.A'!$A$11:$G$180,5,FALSE))</f>
        <v/>
      </c>
      <c r="F2336" s="159" t="str">
        <f t="shared" si="996"/>
        <v>0,00</v>
      </c>
      <c r="G2336" s="52"/>
      <c r="H2336" s="52" t="str">
        <f>IF(A2336="","",VLOOKUP(A2336,'6.A'!$A$11:$E$7984,5,FALSE))</f>
        <v/>
      </c>
      <c r="I2336" s="52" t="str">
        <f t="shared" si="997"/>
        <v/>
      </c>
      <c r="J2336" s="52" t="str">
        <f>IF(H2336="","",VLOOKUP(A2336,'6.A'!$A$11:$E$564,4,FALSE))</f>
        <v/>
      </c>
      <c r="K2336" s="52" t="str">
        <f t="shared" si="998"/>
        <v/>
      </c>
      <c r="L2336" s="52" t="str">
        <f>IF(H2336="","",IF(C2336="","",G2300*C2336))</f>
        <v/>
      </c>
      <c r="M2336" s="117" t="str">
        <f>IF(A2336="","",VLOOKUP(A2336,'6.A'!$A$11:$C$564,2,FALSE))</f>
        <v/>
      </c>
      <c r="N2336" s="57" t="str">
        <f t="shared" si="999"/>
        <v/>
      </c>
      <c r="O2336" s="56"/>
      <c r="P2336" s="56"/>
      <c r="Q2336" s="48"/>
      <c r="R2336" s="48"/>
      <c r="S2336" s="65"/>
      <c r="T2336" s="2"/>
      <c r="U2336" s="2"/>
      <c r="V2336" s="2"/>
    </row>
    <row r="2337" spans="1:22" s="149" customFormat="1" ht="12.75" customHeight="1" x14ac:dyDescent="0.2">
      <c r="A2337" s="155"/>
      <c r="B2337" s="138" t="str">
        <f>IF(A2337="","",VLOOKUP(A2337,'6.A'!$A$11:$G$180,2,FALSE))</f>
        <v/>
      </c>
      <c r="C2337" s="156"/>
      <c r="D2337" s="141" t="str">
        <f>IF(A2337="","",VLOOKUP(A2337,'6.A'!$A$11:$G$180,4,FALSE))</f>
        <v/>
      </c>
      <c r="E2337" s="160" t="str">
        <f>IF(A2337="","",VLOOKUP(A2337,'6.A'!$A$11:$G$180,5,FALSE))</f>
        <v/>
      </c>
      <c r="F2337" s="159" t="str">
        <f t="shared" si="996"/>
        <v>0,00</v>
      </c>
      <c r="G2337" s="52"/>
      <c r="H2337" s="52" t="str">
        <f>IF(A2337="","",VLOOKUP(A2337,'6.A'!$A$11:$E$7984,5,FALSE))</f>
        <v/>
      </c>
      <c r="I2337" s="52" t="str">
        <f t="shared" si="997"/>
        <v/>
      </c>
      <c r="J2337" s="52" t="str">
        <f>IF(H2337="","",VLOOKUP(A2337,'6.A'!$A$11:$E$564,4,FALSE))</f>
        <v/>
      </c>
      <c r="K2337" s="52" t="str">
        <f t="shared" si="998"/>
        <v/>
      </c>
      <c r="L2337" s="52" t="str">
        <f>IF(H2337="","",IF(C2337="","",G2300*C2337))</f>
        <v/>
      </c>
      <c r="M2337" s="117" t="str">
        <f>IF(A2337="","",VLOOKUP(A2337,'6.A'!$A$11:$C$564,2,FALSE))</f>
        <v/>
      </c>
      <c r="N2337" s="57" t="str">
        <f t="shared" si="999"/>
        <v/>
      </c>
      <c r="O2337" s="56"/>
      <c r="P2337" s="56"/>
      <c r="Q2337" s="48"/>
      <c r="R2337" s="48"/>
      <c r="S2337" s="65"/>
      <c r="T2337" s="2"/>
      <c r="U2337" s="2"/>
      <c r="V2337" s="2"/>
    </row>
    <row r="2338" spans="1:22" s="149" customFormat="1" ht="12.75" customHeight="1" x14ac:dyDescent="0.2">
      <c r="A2338" s="155"/>
      <c r="B2338" s="138" t="str">
        <f>IF(A2338="","",VLOOKUP(A2338,'6.A'!$A$11:$G$180,2,FALSE))</f>
        <v/>
      </c>
      <c r="C2338" s="156"/>
      <c r="D2338" s="141" t="str">
        <f>IF(A2338="","",VLOOKUP(A2338,'6.A'!$A$11:$G$180,4,FALSE))</f>
        <v/>
      </c>
      <c r="E2338" s="160" t="str">
        <f>IF(A2338="","",VLOOKUP(A2338,'6.A'!$A$11:$G$180,5,FALSE))</f>
        <v/>
      </c>
      <c r="F2338" s="159" t="str">
        <f t="shared" si="996"/>
        <v>0,00</v>
      </c>
      <c r="G2338" s="52"/>
      <c r="H2338" s="52" t="str">
        <f>IF(A2338="","",VLOOKUP(A2338,'6.A'!$A$11:$E$7984,5,FALSE))</f>
        <v/>
      </c>
      <c r="I2338" s="52" t="str">
        <f t="shared" si="997"/>
        <v/>
      </c>
      <c r="J2338" s="52" t="str">
        <f>IF(H2338="","",VLOOKUP(A2338,'6.A'!$A$11:$E$564,4,FALSE))</f>
        <v/>
      </c>
      <c r="K2338" s="52" t="str">
        <f t="shared" si="998"/>
        <v/>
      </c>
      <c r="L2338" s="52" t="str">
        <f>IF(H2338="","",IF(C2338="","",G2300*C2338))</f>
        <v/>
      </c>
      <c r="M2338" s="117" t="str">
        <f>IF(A2338="","",VLOOKUP(A2338,'6.A'!$A$11:$C$564,2,FALSE))</f>
        <v/>
      </c>
      <c r="N2338" s="57" t="str">
        <f t="shared" si="999"/>
        <v/>
      </c>
      <c r="O2338" s="56"/>
      <c r="P2338" s="56"/>
      <c r="Q2338" s="48"/>
      <c r="R2338" s="48"/>
      <c r="S2338" s="65"/>
      <c r="T2338" s="2"/>
      <c r="U2338" s="2"/>
      <c r="V2338" s="2"/>
    </row>
    <row r="2339" spans="1:22" s="149" customFormat="1" ht="12.75" customHeight="1" x14ac:dyDescent="0.2">
      <c r="A2339" s="155"/>
      <c r="B2339" s="138" t="str">
        <f>IF(A2339="","",VLOOKUP(A2339,'6.A'!$A$11:$G$180,2,FALSE))</f>
        <v/>
      </c>
      <c r="C2339" s="156"/>
      <c r="D2339" s="141" t="str">
        <f>IF(A2339="","",VLOOKUP(A2339,'6.A'!$A$11:$G$180,4,FALSE))</f>
        <v/>
      </c>
      <c r="E2339" s="160" t="str">
        <f>IF(A2339="","",VLOOKUP(A2339,'6.A'!$A$11:$G$180,5,FALSE))</f>
        <v/>
      </c>
      <c r="F2339" s="159" t="str">
        <f t="shared" si="996"/>
        <v>0,00</v>
      </c>
      <c r="G2339" s="52"/>
      <c r="H2339" s="52" t="str">
        <f>IF(A2339="","",VLOOKUP(A2339,'6.A'!$A$11:$E$7984,5,FALSE))</f>
        <v/>
      </c>
      <c r="I2339" s="52" t="str">
        <f t="shared" si="997"/>
        <v/>
      </c>
      <c r="J2339" s="52" t="str">
        <f>IF(H2339="","",VLOOKUP(A2339,'6.A'!$A$11:$E$564,4,FALSE))</f>
        <v/>
      </c>
      <c r="K2339" s="52" t="str">
        <f t="shared" si="998"/>
        <v/>
      </c>
      <c r="L2339" s="52" t="str">
        <f>IF(H2339="","",IF(C2339="","",G2300*C2339))</f>
        <v/>
      </c>
      <c r="M2339" s="117" t="str">
        <f>IF(A2339="","",VLOOKUP(A2339,'6.A'!$A$11:$C$564,2,FALSE))</f>
        <v/>
      </c>
      <c r="N2339" s="57" t="str">
        <f t="shared" si="999"/>
        <v/>
      </c>
      <c r="O2339" s="56"/>
      <c r="P2339" s="56"/>
      <c r="Q2339" s="48"/>
      <c r="R2339" s="48"/>
      <c r="S2339" s="65"/>
      <c r="T2339" s="2"/>
      <c r="U2339" s="2"/>
      <c r="V2339" s="2"/>
    </row>
    <row r="2340" spans="1:22" s="149" customFormat="1" ht="12.75" customHeight="1" x14ac:dyDescent="0.2">
      <c r="A2340" s="155"/>
      <c r="B2340" s="138" t="str">
        <f>IF(A2340="","",VLOOKUP(A2340,'6.A'!$A$11:$G$180,2,FALSE))</f>
        <v/>
      </c>
      <c r="C2340" s="156"/>
      <c r="D2340" s="141" t="str">
        <f>IF(A2340="","",VLOOKUP(A2340,'6.A'!$A$11:$G$180,4,FALSE))</f>
        <v/>
      </c>
      <c r="E2340" s="160" t="str">
        <f>IF(A2340="","",VLOOKUP(A2340,'6.A'!$A$11:$G$180,5,FALSE))</f>
        <v/>
      </c>
      <c r="F2340" s="159" t="str">
        <f t="shared" si="996"/>
        <v>0,00</v>
      </c>
      <c r="G2340" s="52"/>
      <c r="H2340" s="52" t="str">
        <f>IF(A2340="","",VLOOKUP(A2340,'6.A'!$A$11:$E$7984,5,FALSE))</f>
        <v/>
      </c>
      <c r="I2340" s="52" t="str">
        <f t="shared" si="997"/>
        <v/>
      </c>
      <c r="J2340" s="52" t="str">
        <f>IF(H2340="","",VLOOKUP(A2340,'6.A'!$A$11:$E$564,4,FALSE))</f>
        <v/>
      </c>
      <c r="K2340" s="52" t="str">
        <f t="shared" si="998"/>
        <v/>
      </c>
      <c r="L2340" s="52" t="str">
        <f>IF(H2340="","",IF(C2340="","",G2300*C2340))</f>
        <v/>
      </c>
      <c r="M2340" s="117" t="str">
        <f>IF(A2340="","",VLOOKUP(A2340,'6.A'!$A$11:$C$564,2,FALSE))</f>
        <v/>
      </c>
      <c r="N2340" s="57" t="str">
        <f t="shared" si="999"/>
        <v/>
      </c>
      <c r="O2340" s="56"/>
      <c r="P2340" s="56"/>
      <c r="Q2340" s="48"/>
      <c r="R2340" s="48"/>
      <c r="S2340" s="65"/>
      <c r="T2340" s="2"/>
      <c r="U2340" s="2"/>
      <c r="V2340" s="2"/>
    </row>
    <row r="2341" spans="1:22" s="149" customFormat="1" ht="12.75" customHeight="1" x14ac:dyDescent="0.2">
      <c r="A2341" s="155"/>
      <c r="B2341" s="138" t="str">
        <f>IF(A2341="","",VLOOKUP(A2341,'6.A'!$A$11:$G$180,2,FALSE))</f>
        <v/>
      </c>
      <c r="C2341" s="156"/>
      <c r="D2341" s="141" t="str">
        <f>IF(A2341="","",VLOOKUP(A2341,'6.A'!$A$11:$G$180,4,FALSE))</f>
        <v/>
      </c>
      <c r="E2341" s="160" t="str">
        <f>IF(A2341="","",VLOOKUP(A2341,'6.A'!$A$11:$G$180,5,FALSE))</f>
        <v/>
      </c>
      <c r="F2341" s="159" t="str">
        <f t="shared" si="996"/>
        <v>0,00</v>
      </c>
      <c r="G2341" s="52"/>
      <c r="H2341" s="52" t="str">
        <f>IF(A2341="","",VLOOKUP(A2341,'6.A'!$A$11:$E$7984,5,FALSE))</f>
        <v/>
      </c>
      <c r="I2341" s="52" t="str">
        <f t="shared" si="997"/>
        <v/>
      </c>
      <c r="J2341" s="52" t="str">
        <f>IF(H2341="","",VLOOKUP(A2341,'6.A'!$A$11:$E$564,4,FALSE))</f>
        <v/>
      </c>
      <c r="K2341" s="52" t="str">
        <f t="shared" si="998"/>
        <v/>
      </c>
      <c r="L2341" s="52" t="str">
        <f>IF(H2341="","",IF(C2341="","",G2300*C2341))</f>
        <v/>
      </c>
      <c r="M2341" s="117" t="str">
        <f>IF(A2341="","",VLOOKUP(A2341,'6.A'!$A$11:$C$564,2,FALSE))</f>
        <v/>
      </c>
      <c r="N2341" s="57" t="str">
        <f t="shared" si="999"/>
        <v/>
      </c>
      <c r="O2341" s="56"/>
      <c r="P2341" s="56"/>
      <c r="Q2341" s="48"/>
      <c r="R2341" s="48"/>
      <c r="S2341" s="65"/>
      <c r="T2341" s="2"/>
      <c r="U2341" s="2"/>
      <c r="V2341" s="2"/>
    </row>
    <row r="2342" spans="1:22" s="149" customFormat="1" ht="12.75" customHeight="1" x14ac:dyDescent="0.2">
      <c r="A2342" s="155"/>
      <c r="B2342" s="138" t="str">
        <f>IF(A2342="","",VLOOKUP(A2342,'6.A'!$A$11:$G$180,2,FALSE))</f>
        <v/>
      </c>
      <c r="C2342" s="156"/>
      <c r="D2342" s="141" t="str">
        <f>IF(A2342="","",VLOOKUP(A2342,'6.A'!$A$11:$G$180,4,FALSE))</f>
        <v/>
      </c>
      <c r="E2342" s="160" t="str">
        <f>IF(A2342="","",VLOOKUP(A2342,'6.A'!$A$11:$G$180,5,FALSE))</f>
        <v/>
      </c>
      <c r="F2342" s="159" t="str">
        <f t="shared" si="996"/>
        <v>0,00</v>
      </c>
      <c r="G2342" s="52"/>
      <c r="H2342" s="52" t="str">
        <f>IF(A2342="","",VLOOKUP(A2342,'6.A'!$A$11:$E$7984,5,FALSE))</f>
        <v/>
      </c>
      <c r="I2342" s="52" t="str">
        <f t="shared" si="997"/>
        <v/>
      </c>
      <c r="J2342" s="52" t="str">
        <f>IF(H2342="","",VLOOKUP(A2342,'6.A'!$A$11:$E$564,4,FALSE))</f>
        <v/>
      </c>
      <c r="K2342" s="52" t="str">
        <f t="shared" si="998"/>
        <v/>
      </c>
      <c r="L2342" s="52" t="str">
        <f>IF(H2342="","",IF(C2342="","",G2300*C2342))</f>
        <v/>
      </c>
      <c r="M2342" s="117" t="str">
        <f>IF(A2342="","",VLOOKUP(A2342,'6.A'!$A$11:$C$564,2,FALSE))</f>
        <v/>
      </c>
      <c r="N2342" s="57" t="str">
        <f t="shared" si="999"/>
        <v/>
      </c>
      <c r="O2342" s="56"/>
      <c r="P2342" s="56"/>
      <c r="Q2342" s="48"/>
      <c r="R2342" s="48"/>
      <c r="S2342" s="65"/>
      <c r="T2342" s="2"/>
      <c r="U2342" s="2"/>
      <c r="V2342" s="2"/>
    </row>
    <row r="2343" spans="1:22" s="149" customFormat="1" ht="12.75" customHeight="1" x14ac:dyDescent="0.2">
      <c r="A2343" s="155"/>
      <c r="B2343" s="138" t="str">
        <f>IF(A2343="","",VLOOKUP(A2343,'6.A'!$A$11:$G$180,2,FALSE))</f>
        <v/>
      </c>
      <c r="C2343" s="156"/>
      <c r="D2343" s="141" t="str">
        <f>IF(A2343="","",VLOOKUP(A2343,'6.A'!$A$11:$G$180,4,FALSE))</f>
        <v/>
      </c>
      <c r="E2343" s="160" t="str">
        <f>IF(A2343="","",VLOOKUP(A2343,'6.A'!$A$11:$G$180,5,FALSE))</f>
        <v/>
      </c>
      <c r="F2343" s="159" t="str">
        <f t="shared" si="996"/>
        <v>0,00</v>
      </c>
      <c r="G2343" s="52"/>
      <c r="H2343" s="52" t="str">
        <f>IF(A2343="","",VLOOKUP(A2343,'6.A'!$A$11:$E$7984,5,FALSE))</f>
        <v/>
      </c>
      <c r="I2343" s="52" t="str">
        <f t="shared" si="997"/>
        <v/>
      </c>
      <c r="J2343" s="52" t="str">
        <f>IF(H2343="","",VLOOKUP(A2343,'6.A'!$A$11:$E$564,4,FALSE))</f>
        <v/>
      </c>
      <c r="K2343" s="52" t="str">
        <f t="shared" si="998"/>
        <v/>
      </c>
      <c r="L2343" s="52" t="str">
        <f>IF(H2343="","",IF(C2343="","",G2300*C2343))</f>
        <v/>
      </c>
      <c r="M2343" s="117" t="str">
        <f>IF(A2343="","",VLOOKUP(A2343,'6.A'!$A$11:$C$564,2,FALSE))</f>
        <v/>
      </c>
      <c r="N2343" s="57" t="str">
        <f t="shared" si="999"/>
        <v/>
      </c>
      <c r="O2343" s="56"/>
      <c r="P2343" s="56"/>
      <c r="Q2343" s="48"/>
      <c r="R2343" s="48"/>
      <c r="S2343" s="65"/>
      <c r="T2343" s="2"/>
      <c r="U2343" s="2"/>
      <c r="V2343" s="2"/>
    </row>
    <row r="2344" spans="1:22" s="149" customFormat="1" ht="12.75" customHeight="1" x14ac:dyDescent="0.2">
      <c r="A2344" s="155"/>
      <c r="B2344" s="138" t="str">
        <f>IF(A2344="","",VLOOKUP(A2344,'6.A'!$A$11:$G$180,2,FALSE))</f>
        <v/>
      </c>
      <c r="C2344" s="156"/>
      <c r="D2344" s="141" t="str">
        <f>IF(A2344="","",VLOOKUP(A2344,'6.A'!$A$11:$G$180,4,FALSE))</f>
        <v/>
      </c>
      <c r="E2344" s="160" t="str">
        <f>IF(A2344="","",VLOOKUP(A2344,'6.A'!$A$11:$G$180,5,FALSE))</f>
        <v/>
      </c>
      <c r="F2344" s="159" t="str">
        <f t="shared" si="996"/>
        <v>0,00</v>
      </c>
      <c r="G2344" s="52"/>
      <c r="H2344" s="52" t="str">
        <f>IF(A2344="","",VLOOKUP(A2344,'6.A'!$A$11:$E$7984,5,FALSE))</f>
        <v/>
      </c>
      <c r="I2344" s="52" t="str">
        <f t="shared" si="997"/>
        <v/>
      </c>
      <c r="J2344" s="52" t="str">
        <f>IF(H2344="","",VLOOKUP(A2344,'6.A'!$A$11:$E$564,4,FALSE))</f>
        <v/>
      </c>
      <c r="K2344" s="52" t="str">
        <f t="shared" si="998"/>
        <v/>
      </c>
      <c r="L2344" s="52" t="str">
        <f>IF(H2344="","",IF(C2344="","",G2300*C2344))</f>
        <v/>
      </c>
      <c r="M2344" s="117" t="str">
        <f>IF(A2344="","",VLOOKUP(A2344,'6.A'!$A$11:$C$564,2,FALSE))</f>
        <v/>
      </c>
      <c r="N2344" s="57" t="str">
        <f t="shared" si="999"/>
        <v/>
      </c>
      <c r="O2344" s="56"/>
      <c r="P2344" s="56"/>
      <c r="Q2344" s="48"/>
      <c r="R2344" s="48"/>
      <c r="S2344" s="65"/>
      <c r="T2344" s="2"/>
      <c r="U2344" s="2"/>
      <c r="V2344" s="2"/>
    </row>
    <row r="2345" spans="1:22" s="137" customFormat="1" ht="12.75" customHeight="1" x14ac:dyDescent="0.2">
      <c r="A2345" s="155"/>
      <c r="B2345" s="171" t="str">
        <f>IF(A2345="","",VLOOKUP(A2345,'6.A'!$A$11:$G$180,2,FALSE))</f>
        <v/>
      </c>
      <c r="C2345" s="156"/>
      <c r="D2345" s="141" t="str">
        <f>IF(A2345="","",VLOOKUP(A2345,'6.A'!$A$11:$G$180,4,FALSE))</f>
        <v/>
      </c>
      <c r="E2345" s="160" t="str">
        <f>IF(A2345="","",VLOOKUP(A2345,'6.A'!$A$11:$G$180,5,FALSE))</f>
        <v/>
      </c>
      <c r="F2345" s="159" t="str">
        <f t="shared" si="996"/>
        <v>0,00</v>
      </c>
      <c r="G2345" s="52"/>
      <c r="H2345" s="52" t="str">
        <f>IF(A2345="","",VLOOKUP(A2345,'6.A'!$A$11:$E$7984,5,FALSE))</f>
        <v/>
      </c>
      <c r="I2345" s="52" t="str">
        <f t="shared" si="997"/>
        <v/>
      </c>
      <c r="J2345" s="52" t="str">
        <f>IF(H2345="","",VLOOKUP(A2345,'6.A'!$A$11:$E$564,4,FALSE))</f>
        <v/>
      </c>
      <c r="K2345" s="52" t="str">
        <f t="shared" si="998"/>
        <v/>
      </c>
      <c r="L2345" s="52" t="str">
        <f>IF(H2345="","",IF(C2345="","",G2300*C2345))</f>
        <v/>
      </c>
      <c r="M2345" s="117" t="str">
        <f>IF(A2345="","",VLOOKUP(A2345,'6.A'!$A$11:$C$564,2,FALSE))</f>
        <v/>
      </c>
      <c r="N2345" s="57" t="str">
        <f t="shared" si="999"/>
        <v/>
      </c>
      <c r="O2345" s="56"/>
      <c r="P2345" s="56"/>
      <c r="Q2345" s="48"/>
      <c r="R2345" s="48"/>
      <c r="S2345" s="65"/>
      <c r="T2345" s="2"/>
      <c r="U2345" s="2"/>
      <c r="V2345" s="2"/>
    </row>
    <row r="2346" spans="1:22" s="137" customFormat="1" ht="12.75" customHeight="1" x14ac:dyDescent="0.2">
      <c r="A2346" s="155"/>
      <c r="B2346" s="171" t="str">
        <f>IF(A2346="","",VLOOKUP(A2346,'6.A'!$A$11:$G$180,2,FALSE))</f>
        <v/>
      </c>
      <c r="C2346" s="156"/>
      <c r="D2346" s="141" t="str">
        <f>IF(A2346="","",VLOOKUP(A2346,'6.A'!$A$11:$G$180,4,FALSE))</f>
        <v/>
      </c>
      <c r="E2346" s="160" t="str">
        <f>IF(A2346="","",VLOOKUP(A2346,'6.A'!$A$11:$G$180,5,FALSE))</f>
        <v/>
      </c>
      <c r="F2346" s="159" t="str">
        <f t="shared" si="996"/>
        <v>0,00</v>
      </c>
      <c r="G2346" s="52"/>
      <c r="H2346" s="52" t="str">
        <f>IF(A2346="","",VLOOKUP(A2346,'6.A'!$A$11:$E$7984,5,FALSE))</f>
        <v/>
      </c>
      <c r="I2346" s="52" t="str">
        <f t="shared" si="997"/>
        <v/>
      </c>
      <c r="J2346" s="52" t="str">
        <f>IF(H2346="","",VLOOKUP(A2346,'6.A'!$A$11:$E$564,4,FALSE))</f>
        <v/>
      </c>
      <c r="K2346" s="52" t="str">
        <f t="shared" si="998"/>
        <v/>
      </c>
      <c r="L2346" s="52" t="str">
        <f>IF(H2346="","",IF(C2346="","",G2300*C2346))</f>
        <v/>
      </c>
      <c r="M2346" s="117" t="str">
        <f>IF(A2346="","",VLOOKUP(A2346,'6.A'!$A$11:$C$564,2,FALSE))</f>
        <v/>
      </c>
      <c r="N2346" s="57" t="str">
        <f t="shared" si="999"/>
        <v/>
      </c>
      <c r="O2346" s="56"/>
      <c r="P2346" s="56"/>
      <c r="Q2346" s="48"/>
      <c r="R2346" s="48"/>
      <c r="S2346" s="65"/>
      <c r="T2346" s="2"/>
      <c r="U2346" s="2"/>
      <c r="V2346" s="2"/>
    </row>
    <row r="2347" spans="1:22" s="137" customFormat="1" ht="12.75" customHeight="1" x14ac:dyDescent="0.2">
      <c r="A2347" s="155"/>
      <c r="B2347" s="171" t="str">
        <f>IF(A2347="","",VLOOKUP(A2347,'6.A'!$A$11:$G$180,2,FALSE))</f>
        <v/>
      </c>
      <c r="C2347" s="156"/>
      <c r="D2347" s="141" t="str">
        <f>IF(A2347="","",VLOOKUP(A2347,'6.A'!$A$11:$G$180,4,FALSE))</f>
        <v/>
      </c>
      <c r="E2347" s="160" t="str">
        <f>IF(A2347="","",VLOOKUP(A2347,'6.A'!$A$11:$G$180,5,FALSE))</f>
        <v/>
      </c>
      <c r="F2347" s="159" t="str">
        <f t="shared" si="996"/>
        <v>0,00</v>
      </c>
      <c r="G2347" s="52"/>
      <c r="H2347" s="52" t="str">
        <f>IF(A2347="","",VLOOKUP(A2347,'6.A'!$A$11:$E$7984,5,FALSE))</f>
        <v/>
      </c>
      <c r="I2347" s="52" t="str">
        <f t="shared" si="997"/>
        <v/>
      </c>
      <c r="J2347" s="52" t="str">
        <f>IF(H2347="","",VLOOKUP(A2347,'6.A'!$A$11:$E$564,4,FALSE))</f>
        <v/>
      </c>
      <c r="K2347" s="52" t="str">
        <f t="shared" si="998"/>
        <v/>
      </c>
      <c r="L2347" s="52" t="str">
        <f>IF(H2347="","",IF(C2347="","",G2300*C2347))</f>
        <v/>
      </c>
      <c r="M2347" s="117" t="str">
        <f>IF(A2347="","",VLOOKUP(A2347,'6.A'!$A$11:$C$564,2,FALSE))</f>
        <v/>
      </c>
      <c r="N2347" s="57" t="str">
        <f t="shared" si="999"/>
        <v/>
      </c>
      <c r="O2347" s="56"/>
      <c r="P2347" s="56"/>
      <c r="Q2347" s="48"/>
      <c r="R2347" s="48"/>
      <c r="S2347" s="65"/>
      <c r="T2347" s="2"/>
      <c r="U2347" s="2"/>
      <c r="V2347" s="2"/>
    </row>
    <row r="2348" spans="1:22" s="137" customFormat="1" ht="12.75" customHeight="1" x14ac:dyDescent="0.2">
      <c r="A2348" s="155"/>
      <c r="B2348" s="171" t="str">
        <f>IF(A2348="","",VLOOKUP(A2348,'6.A'!$A$11:$G$180,2,FALSE))</f>
        <v/>
      </c>
      <c r="C2348" s="156"/>
      <c r="D2348" s="141" t="str">
        <f>IF(A2348="","",VLOOKUP(A2348,'6.A'!$A$11:$G$180,4,FALSE))</f>
        <v/>
      </c>
      <c r="E2348" s="160" t="str">
        <f>IF(A2348="","",VLOOKUP(A2348,'6.A'!$A$11:$G$180,5,FALSE))</f>
        <v/>
      </c>
      <c r="F2348" s="159" t="str">
        <f t="shared" si="996"/>
        <v>0,00</v>
      </c>
      <c r="G2348" s="52"/>
      <c r="H2348" s="52" t="str">
        <f>IF(A2348="","",VLOOKUP(A2348,'6.A'!$A$11:$E$7984,5,FALSE))</f>
        <v/>
      </c>
      <c r="I2348" s="52" t="str">
        <f t="shared" si="997"/>
        <v/>
      </c>
      <c r="J2348" s="52" t="str">
        <f>IF(H2348="","",VLOOKUP(A2348,'6.A'!$A$11:$E$564,4,FALSE))</f>
        <v/>
      </c>
      <c r="K2348" s="52" t="str">
        <f t="shared" si="998"/>
        <v/>
      </c>
      <c r="L2348" s="52" t="str">
        <f>IF(H2348="","",IF(C2348="","",G2300*C2348))</f>
        <v/>
      </c>
      <c r="M2348" s="117" t="str">
        <f>IF(A2348="","",VLOOKUP(A2348,'6.A'!$A$11:$C$564,2,FALSE))</f>
        <v/>
      </c>
      <c r="N2348" s="57" t="str">
        <f t="shared" si="999"/>
        <v/>
      </c>
      <c r="O2348" s="56"/>
      <c r="P2348" s="56"/>
      <c r="Q2348" s="48"/>
      <c r="R2348" s="48"/>
      <c r="S2348" s="65"/>
      <c r="T2348" s="2"/>
      <c r="U2348" s="2"/>
      <c r="V2348" s="2"/>
    </row>
    <row r="2349" spans="1:22" s="137" customFormat="1" ht="12.75" customHeight="1" x14ac:dyDescent="0.2">
      <c r="A2349" s="155"/>
      <c r="B2349" s="26" t="str">
        <f>$A$9</f>
        <v>BDI</v>
      </c>
      <c r="C2349" s="40">
        <f>$C$9</f>
        <v>0</v>
      </c>
      <c r="D2349" s="141"/>
      <c r="E2349" s="147"/>
      <c r="F2349" s="162">
        <f>ROUND(SUM(F2329:F2348)*C2349,2)</f>
        <v>0</v>
      </c>
      <c r="G2349" s="63"/>
      <c r="H2349" s="52"/>
      <c r="I2349" s="57"/>
      <c r="J2349" s="57"/>
      <c r="K2349" s="57"/>
      <c r="L2349" s="52"/>
      <c r="M2349" s="57"/>
      <c r="N2349" s="57"/>
      <c r="O2349" s="56"/>
      <c r="P2349" s="56"/>
      <c r="Q2349" s="48"/>
      <c r="R2349" s="48"/>
      <c r="S2349" s="65"/>
      <c r="T2349" s="2"/>
      <c r="U2349" s="2"/>
      <c r="V2349" s="2"/>
    </row>
    <row r="2350" spans="1:22" s="137" customFormat="1" ht="12.75" customHeight="1" thickBot="1" x14ac:dyDescent="0.25">
      <c r="A2350" s="172"/>
      <c r="B2350" s="42" t="s">
        <v>57</v>
      </c>
      <c r="C2350" s="43"/>
      <c r="D2350" s="173"/>
      <c r="E2350" s="174"/>
      <c r="F2350" s="175">
        <f>ROUND(SUM(F2329:F2349),2)</f>
        <v>0</v>
      </c>
      <c r="G2350" s="63"/>
      <c r="H2350" s="52"/>
      <c r="I2350" s="57"/>
      <c r="J2350" s="57"/>
      <c r="K2350" s="57"/>
      <c r="L2350" s="52"/>
      <c r="M2350" s="57"/>
      <c r="N2350" s="57"/>
      <c r="O2350" s="56"/>
      <c r="P2350" s="56"/>
      <c r="Q2350" s="48"/>
      <c r="R2350" s="48"/>
      <c r="S2350" s="65"/>
      <c r="T2350" s="2"/>
      <c r="U2350" s="2"/>
      <c r="V2350" s="2"/>
    </row>
    <row r="2351" spans="1:22" s="149" customFormat="1" ht="12" customHeight="1" thickBot="1" x14ac:dyDescent="0.25">
      <c r="A2351" s="150"/>
      <c r="B2351" s="145"/>
      <c r="C2351" s="146"/>
      <c r="D2351" s="141"/>
      <c r="E2351" s="147"/>
      <c r="F2351" s="142"/>
      <c r="G2351" s="142"/>
      <c r="H2351" s="139"/>
      <c r="I2351" s="141"/>
      <c r="J2351" s="141"/>
      <c r="K2351" s="141"/>
      <c r="L2351" s="139"/>
      <c r="M2351" s="143"/>
      <c r="N2351" s="143"/>
      <c r="O2351" s="144"/>
      <c r="P2351" s="144"/>
      <c r="Q2351" s="135"/>
      <c r="R2351" s="135"/>
      <c r="T2351" s="137"/>
      <c r="U2351" s="137"/>
      <c r="V2351" s="137"/>
    </row>
    <row r="2352" spans="1:22" s="137" customFormat="1" ht="50.1" customHeight="1" x14ac:dyDescent="0.2">
      <c r="A2352" s="151" t="str">
        <f>'3.A'!$A$57</f>
        <v>3.3.2</v>
      </c>
      <c r="B2352" s="14" t="str">
        <f>IF(A2352="","",VLOOKUP(A2352,'3.A'!$A$17:$M$279,2,FALSE))</f>
        <v>QUADRO GERAL - BARRAMENTO DE 600A</v>
      </c>
      <c r="C2352" s="413" t="s">
        <v>62</v>
      </c>
      <c r="D2352" s="413"/>
      <c r="E2352" s="15" t="str">
        <f>IF(A2352="","",VLOOKUP(A2352,'3.A'!$A$17:$M$279,3,FALSE))</f>
        <v>M</v>
      </c>
      <c r="F2352" s="16">
        <f>ROUND(F2366+F2379+F2402,2)</f>
        <v>0</v>
      </c>
      <c r="G2352" s="118">
        <f>VLOOKUP(A2352,'3.A'!$A$19:$I$279,4,FALSE)</f>
        <v>6</v>
      </c>
      <c r="H2352" s="47">
        <f>SUM(F2354:F2365)</f>
        <v>0</v>
      </c>
      <c r="I2352" s="47">
        <f>SUM(F2368:F2378)</f>
        <v>0</v>
      </c>
      <c r="J2352" s="47">
        <f>SUM(F2381:F2401)</f>
        <v>0</v>
      </c>
      <c r="K2352" s="47">
        <f>SUM(H2352:J2352)</f>
        <v>0</v>
      </c>
      <c r="L2352" s="47" t="str">
        <f>IF(K2352=F2352,"SIM","NÃO")</f>
        <v>SIM</v>
      </c>
      <c r="M2352" s="58">
        <f>ROUND(SUM(F2354:F2363)*C2364,2)+ROUND(SUM(F2354:F2364)*C2365,2)+ROUND(SUM(F2354:F2363),2)+ROUND(SUM(F2368:F2377)*C2378,2)+ROUND(SUM(F2368:F2377),2)+ROUND(SUM(F2381:F2400)*C2401,2)+ROUND(SUM(F2381:F2400),2)</f>
        <v>0</v>
      </c>
      <c r="N2352" s="50" t="str">
        <f>IF(M2352=F2352,"SIM","NÃO")</f>
        <v>SIM</v>
      </c>
      <c r="O2352" s="51" t="str">
        <f>VLOOKUP(A2352,'3.A'!$A$8:$E$279,3,FALSE)</f>
        <v>M</v>
      </c>
      <c r="P2352" s="51" t="str">
        <f>IF(O2352=E2352,"SIM","NÃO")</f>
        <v>SIM</v>
      </c>
      <c r="Q2352" s="53">
        <f>ROUND(G2352*F2366,2)+ROUND(G2352*F2379,2)+ROUND(G2352*F2402,2)</f>
        <v>0</v>
      </c>
      <c r="R2352" s="59">
        <f>VLOOKUP(A2352,'3.A'!$A$17:$L$279,12,FALSE)</f>
        <v>0</v>
      </c>
      <c r="S2352" s="60" t="str">
        <f>IF(Q2352=R2352,"si","no")</f>
        <v>si</v>
      </c>
      <c r="T2352" s="61">
        <f>SUM(L2354:L2363)+SUM(L2368:L2377)+SUM(L2381:L2400)</f>
        <v>36.9</v>
      </c>
      <c r="U2352" s="52">
        <f>G2352*C2360+G2352*C2362+G2352*C2355+G2352*C2356+G2352*C2358+G2352*C2361+G2352*C2359+G2352*C2354+G2352*C2357+G2352*C2363+G2352*C2374+G2352*C2368+G2352*C2376+G2352*C2375+G2352*C2373+G2352*C2370+G2352*C2369+G2352*C2371+G2352*C2377+G2352*C2372+G2352*C2381+G2352*C2382+G2352*C2383+G2352*C2391+G2352*C2392+G2352*C2393+G2352*C2394+G2352*C2395+G2352*C2396+G2352*C2397+G2352*C2398+G2352*C2399+G2352*C2400+G2352*C2389+G2352*C2390+G2352*C2384+G2352*C2385+G2352*C2386+G2352*C2387+G2352*C2388</f>
        <v>36.9</v>
      </c>
      <c r="V2352" s="54" t="str">
        <f>IF(T2352=U2352,"si","no")</f>
        <v>si</v>
      </c>
    </row>
    <row r="2353" spans="1:22" s="137" customFormat="1" ht="12.75" customHeight="1" x14ac:dyDescent="0.2">
      <c r="A2353" s="152" t="s">
        <v>3</v>
      </c>
      <c r="B2353" s="153" t="s">
        <v>58</v>
      </c>
      <c r="C2353" s="140" t="s">
        <v>59</v>
      </c>
      <c r="D2353" s="140" t="s">
        <v>16</v>
      </c>
      <c r="E2353" s="154" t="s">
        <v>60</v>
      </c>
      <c r="F2353" s="148" t="s">
        <v>61</v>
      </c>
      <c r="G2353" s="21"/>
      <c r="H2353" s="52"/>
      <c r="I2353" s="57"/>
      <c r="J2353" s="57"/>
      <c r="K2353" s="57"/>
      <c r="L2353" s="52"/>
      <c r="M2353" s="57"/>
      <c r="N2353" s="57"/>
      <c r="O2353" s="56"/>
      <c r="P2353" s="56"/>
      <c r="Q2353" s="48"/>
      <c r="R2353" s="48"/>
      <c r="S2353" s="65"/>
      <c r="T2353" s="2"/>
      <c r="U2353" s="2"/>
      <c r="V2353" s="2"/>
    </row>
    <row r="2354" spans="1:22" s="137" customFormat="1" ht="12.75" customHeight="1" x14ac:dyDescent="0.2">
      <c r="A2354" s="155">
        <f>'6.A'!$A$18</f>
        <v>88264</v>
      </c>
      <c r="B2354" s="138" t="str">
        <f>IF(A2354="","",VLOOKUP(A2354,'6.A'!$A$11:$G$180,2,FALSE))</f>
        <v>ELETRICISTA COM ENCARGOS COMPLEMENTARES</v>
      </c>
      <c r="C2354" s="156">
        <v>2</v>
      </c>
      <c r="D2354" s="157" t="str">
        <f>IF(A2354="","",VLOOKUP(A2354,'6.A'!$A$11:$G$180,4,FALSE))</f>
        <v>H</v>
      </c>
      <c r="E2354" s="158">
        <f>IF(A2354="","",VLOOKUP(A2354,'6.A'!$A$11:$G$180,5,FALSE))</f>
        <v>0</v>
      </c>
      <c r="F2354" s="159">
        <f t="shared" ref="F2354:F2363" si="1000">IF(A2354="","0,00",ROUND(C2354*E2354,2))</f>
        <v>0</v>
      </c>
      <c r="G2354" s="52"/>
      <c r="H2354" s="52">
        <f>IF(A2354="","",VLOOKUP(A2354,'6.A'!$A$11:$E$7984,5,FALSE))</f>
        <v>0</v>
      </c>
      <c r="I2354" s="52" t="str">
        <f>IF(H2354="","",IF(E2354=H2354,"SIM","NÃO"))</f>
        <v>SIM</v>
      </c>
      <c r="J2354" s="52" t="str">
        <f>IF(H2354="","",VLOOKUP(A2354,'6.A'!$A$11:$E$564,4,FALSE))</f>
        <v>H</v>
      </c>
      <c r="K2354" s="52" t="str">
        <f>IF(H2354="","",IF(J2354=D2354,"SIM","NÃO"))</f>
        <v>SIM</v>
      </c>
      <c r="L2354" s="52">
        <f>IF(H2354="","",IF(C2354="","",G2352*C2354))</f>
        <v>12</v>
      </c>
      <c r="M2354" s="117" t="str">
        <f>IF(A2354="","",VLOOKUP(A2354,'6.A'!$A$11:$C$564,2,FALSE))</f>
        <v>ELETRICISTA COM ENCARGOS COMPLEMENTARES</v>
      </c>
      <c r="N2354" s="57" t="str">
        <f>IF(A2354="","",IF(M2354=B2354,"si","no"))</f>
        <v>si</v>
      </c>
      <c r="O2354" s="56"/>
      <c r="P2354" s="56"/>
      <c r="Q2354" s="48"/>
      <c r="R2354" s="48"/>
      <c r="S2354" s="65"/>
      <c r="T2354" s="2"/>
      <c r="U2354" s="2"/>
      <c r="V2354" s="2"/>
    </row>
    <row r="2355" spans="1:22" s="137" customFormat="1" ht="12.75" customHeight="1" x14ac:dyDescent="0.2">
      <c r="A2355" s="155">
        <f>'6.A'!$A$15</f>
        <v>88247</v>
      </c>
      <c r="B2355" s="138" t="str">
        <f>IF(A2355="","",VLOOKUP(A2355,'6.A'!$A$11:$G$180,2,FALSE))</f>
        <v>AUXILIAR DE ELETRICISTA COM ENCARGOS COMPLEMENTARES</v>
      </c>
      <c r="C2355" s="156">
        <v>1</v>
      </c>
      <c r="D2355" s="157" t="str">
        <f>IF(A2355="","",VLOOKUP(A2355,'6.A'!$A$11:$G$180,4,FALSE))</f>
        <v>H</v>
      </c>
      <c r="E2355" s="158">
        <f>IF(A2355="","",VLOOKUP(A2355,'6.A'!$A$11:$G$180,5,FALSE))</f>
        <v>0</v>
      </c>
      <c r="F2355" s="159">
        <f t="shared" si="1000"/>
        <v>0</v>
      </c>
      <c r="G2355" s="52"/>
      <c r="H2355" s="52">
        <f>IF(A2355="","",VLOOKUP(A2355,'6.A'!$A$11:$E$7984,5,FALSE))</f>
        <v>0</v>
      </c>
      <c r="I2355" s="52" t="str">
        <f>IF(H2355="","",IF(E2355=H2355,"SIM","NÃO"))</f>
        <v>SIM</v>
      </c>
      <c r="J2355" s="52" t="str">
        <f>IF(H2355="","",VLOOKUP(A2355,'6.A'!$A$11:$E$564,4,FALSE))</f>
        <v>H</v>
      </c>
      <c r="K2355" s="52" t="str">
        <f>IF(H2355="","",IF(J2355=D2355,"SIM","NÃO"))</f>
        <v>SIM</v>
      </c>
      <c r="L2355" s="52">
        <f>IF(H2355="","",IF(C2355="","",G2352*C2355))</f>
        <v>6</v>
      </c>
      <c r="M2355" s="117" t="str">
        <f>IF(A2355="","",VLOOKUP(A2355,'6.A'!$A$11:$C$564,2,FALSE))</f>
        <v>AUXILIAR DE ELETRICISTA COM ENCARGOS COMPLEMENTARES</v>
      </c>
      <c r="N2355" s="57" t="str">
        <f>IF(A2355="","",IF(M2355=B2355,"si","no"))</f>
        <v>si</v>
      </c>
      <c r="O2355" s="56"/>
      <c r="P2355" s="56"/>
      <c r="Q2355" s="48"/>
      <c r="R2355" s="48"/>
      <c r="S2355" s="65"/>
      <c r="T2355" s="2"/>
      <c r="U2355" s="2"/>
      <c r="V2355" s="2"/>
    </row>
    <row r="2356" spans="1:22" s="137" customFormat="1" ht="12.75" customHeight="1" x14ac:dyDescent="0.2">
      <c r="A2356" s="155"/>
      <c r="B2356" s="138" t="str">
        <f>IF(A2356="","",VLOOKUP(A2356,'6.A'!$A$11:$G$180,2,FALSE))</f>
        <v/>
      </c>
      <c r="C2356" s="156"/>
      <c r="D2356" s="157" t="str">
        <f>IF(A2356="","",VLOOKUP(A2356,'6.A'!$A$11:$G$180,4,FALSE))</f>
        <v/>
      </c>
      <c r="E2356" s="158" t="str">
        <f>IF(A2356="","",VLOOKUP(A2356,'6.A'!$A$11:$G$180,5,FALSE))</f>
        <v/>
      </c>
      <c r="F2356" s="159" t="str">
        <f t="shared" si="1000"/>
        <v>0,00</v>
      </c>
      <c r="G2356" s="52"/>
      <c r="H2356" s="52" t="str">
        <f>IF(A2356="","",VLOOKUP(A2356,'6.A'!$A$11:$E$7984,5,FALSE))</f>
        <v/>
      </c>
      <c r="I2356" s="52" t="str">
        <f>IF(H2356="","",IF(E2356=H2356,"SIM","NÃO"))</f>
        <v/>
      </c>
      <c r="J2356" s="52" t="str">
        <f>IF(H2356="","",VLOOKUP(A2356,'6.A'!$A$11:$E$564,4,FALSE))</f>
        <v/>
      </c>
      <c r="K2356" s="52" t="str">
        <f t="shared" ref="K2356" si="1001">IF(H2356="","",IF(J2356=D2356,"SIM","NÃO"))</f>
        <v/>
      </c>
      <c r="L2356" s="52" t="str">
        <f>IF(H2356="","",IF(C2356="","",G2352*C2356))</f>
        <v/>
      </c>
      <c r="M2356" s="117" t="str">
        <f>IF(A2356="","",VLOOKUP(A2356,'6.A'!$A$11:$C$564,2,FALSE))</f>
        <v/>
      </c>
      <c r="N2356" s="57" t="str">
        <f t="shared" ref="N2356" si="1002">IF(A2356="","",IF(M2356=B2356,"si","no"))</f>
        <v/>
      </c>
      <c r="O2356" s="56"/>
      <c r="P2356" s="56"/>
      <c r="Q2356" s="48"/>
      <c r="R2356" s="48"/>
      <c r="S2356" s="65"/>
      <c r="T2356" s="2"/>
      <c r="U2356" s="2"/>
      <c r="V2356" s="2"/>
    </row>
    <row r="2357" spans="1:22" s="137" customFormat="1" ht="12.75" customHeight="1" x14ac:dyDescent="0.2">
      <c r="A2357" s="155"/>
      <c r="B2357" s="138" t="str">
        <f>IF(A2357="","",VLOOKUP(A2357,'6.A'!$A$11:$G$180,2,FALSE))</f>
        <v/>
      </c>
      <c r="C2357" s="156"/>
      <c r="D2357" s="157" t="str">
        <f>IF(A2357="","",VLOOKUP(A2357,'6.A'!$A$11:$G$180,4,FALSE))</f>
        <v/>
      </c>
      <c r="E2357" s="158" t="str">
        <f>IF(A2357="","",VLOOKUP(A2357,'6.A'!$A$11:$G$180,5,FALSE))</f>
        <v/>
      </c>
      <c r="F2357" s="159" t="str">
        <f t="shared" si="1000"/>
        <v>0,00</v>
      </c>
      <c r="G2357" s="52"/>
      <c r="H2357" s="52" t="str">
        <f>IF(A2357="","",VLOOKUP(A2357,'6.A'!$A$11:$E$7984,5,FALSE))</f>
        <v/>
      </c>
      <c r="I2357" s="52" t="str">
        <f>IF(H2357="","",IF(E2357=H2357,"SIM","NÃO"))</f>
        <v/>
      </c>
      <c r="J2357" s="52" t="str">
        <f>IF(H2357="","",VLOOKUP(A2357,'6.A'!$A$11:$E$564,4,FALSE))</f>
        <v/>
      </c>
      <c r="K2357" s="52" t="str">
        <f>IF(H2357="","",IF(J2357=D2357,"SIM","NÃO"))</f>
        <v/>
      </c>
      <c r="L2357" s="52" t="str">
        <f>IF(H2357="","",IF(C2357="","",G2352*C2357))</f>
        <v/>
      </c>
      <c r="M2357" s="117" t="str">
        <f>IF(A2357="","",VLOOKUP(A2357,'6.A'!$A$11:$C$564,2,FALSE))</f>
        <v/>
      </c>
      <c r="N2357" s="57" t="str">
        <f>IF(A2357="","",IF(M2357=B2357,"si","no"))</f>
        <v/>
      </c>
      <c r="O2357" s="56"/>
      <c r="P2357" s="56"/>
      <c r="Q2357" s="48"/>
      <c r="R2357" s="48"/>
      <c r="S2357" s="65"/>
      <c r="T2357" s="2"/>
      <c r="U2357" s="2"/>
      <c r="V2357" s="2"/>
    </row>
    <row r="2358" spans="1:22" s="137" customFormat="1" ht="12.75" customHeight="1" x14ac:dyDescent="0.2">
      <c r="A2358" s="155"/>
      <c r="B2358" s="138" t="str">
        <f>IF(A2358="","",VLOOKUP(A2358,'6.A'!$A$11:$G$180,2,FALSE))</f>
        <v/>
      </c>
      <c r="C2358" s="156"/>
      <c r="D2358" s="157" t="str">
        <f>IF(A2358="","",VLOOKUP(A2358,'6.A'!$A$11:$G$180,4,FALSE))</f>
        <v/>
      </c>
      <c r="E2358" s="158" t="str">
        <f>IF(A2358="","",VLOOKUP(A2358,'6.A'!$A$11:$G$180,5,FALSE))</f>
        <v/>
      </c>
      <c r="F2358" s="159" t="str">
        <f t="shared" si="1000"/>
        <v>0,00</v>
      </c>
      <c r="G2358" s="52"/>
      <c r="H2358" s="52" t="str">
        <f>IF(A2358="","",VLOOKUP(A2358,'6.A'!$A$11:$E$7984,5,FALSE))</f>
        <v/>
      </c>
      <c r="I2358" s="52" t="str">
        <f t="shared" ref="I2358" si="1003">IF(H2358="","",IF(E2358=H2358,"SIM","NÃO"))</f>
        <v/>
      </c>
      <c r="J2358" s="52" t="str">
        <f>IF(H2358="","",VLOOKUP(A2358,'6.A'!$A$11:$E$564,4,FALSE))</f>
        <v/>
      </c>
      <c r="K2358" s="52" t="str">
        <f t="shared" ref="K2358" si="1004">IF(H2358="","",IF(J2358=D2358,"SIM","NÃO"))</f>
        <v/>
      </c>
      <c r="L2358" s="52" t="str">
        <f>IF(H2358="","",IF(C2358="","",G2352*C2358))</f>
        <v/>
      </c>
      <c r="M2358" s="117" t="str">
        <f>IF(A2358="","",VLOOKUP(A2358,'6.A'!$A$11:$C$564,2,FALSE))</f>
        <v/>
      </c>
      <c r="N2358" s="57" t="str">
        <f t="shared" ref="N2358" si="1005">IF(A2358="","",IF(M2358=B2358,"si","no"))</f>
        <v/>
      </c>
      <c r="O2358" s="56"/>
      <c r="P2358" s="56"/>
      <c r="Q2358" s="48"/>
      <c r="R2358" s="48"/>
      <c r="S2358" s="65"/>
      <c r="T2358" s="2"/>
      <c r="U2358" s="2"/>
      <c r="V2358" s="2"/>
    </row>
    <row r="2359" spans="1:22" s="137" customFormat="1" ht="12.75" customHeight="1" x14ac:dyDescent="0.2">
      <c r="A2359" s="155"/>
      <c r="B2359" s="138" t="str">
        <f>IF(A2359="","",VLOOKUP(A2359,'6.A'!$A$11:$G$180,2,FALSE))</f>
        <v/>
      </c>
      <c r="C2359" s="156"/>
      <c r="D2359" s="157" t="str">
        <f>IF(A2359="","",VLOOKUP(A2359,'6.A'!$A$11:$G$180,4,FALSE))</f>
        <v/>
      </c>
      <c r="E2359" s="158" t="str">
        <f>IF(A2359="","",VLOOKUP(A2359,'6.A'!$A$11:$G$180,5,FALSE))</f>
        <v/>
      </c>
      <c r="F2359" s="159" t="str">
        <f t="shared" si="1000"/>
        <v>0,00</v>
      </c>
      <c r="G2359" s="52"/>
      <c r="H2359" s="52" t="str">
        <f>IF(A2359="","",VLOOKUP(A2359,'6.A'!$A$11:$E$7984,5,FALSE))</f>
        <v/>
      </c>
      <c r="I2359" s="52" t="str">
        <f>IF(H2359="","",IF(E2359=H2359,"SIM","NÃO"))</f>
        <v/>
      </c>
      <c r="J2359" s="52" t="str">
        <f>IF(H2359="","",VLOOKUP(A2359,'6.A'!$A$11:$E$564,4,FALSE))</f>
        <v/>
      </c>
      <c r="K2359" s="52" t="str">
        <f>IF(H2359="","",IF(J2359=D2359,"SIM","NÃO"))</f>
        <v/>
      </c>
      <c r="L2359" s="52" t="str">
        <f>IF(H2359="","",IF(C2359="","",G2352*C2359))</f>
        <v/>
      </c>
      <c r="M2359" s="117" t="str">
        <f>IF(A2359="","",VLOOKUP(A2359,'6.A'!$A$11:$C$564,2,FALSE))</f>
        <v/>
      </c>
      <c r="N2359" s="57" t="str">
        <f>IF(A2359="","",IF(M2359=B2359,"si","no"))</f>
        <v/>
      </c>
      <c r="O2359" s="56"/>
      <c r="P2359" s="56"/>
      <c r="Q2359" s="48"/>
      <c r="R2359" s="48"/>
      <c r="S2359" s="65"/>
      <c r="T2359" s="2"/>
      <c r="U2359" s="2"/>
      <c r="V2359" s="2"/>
    </row>
    <row r="2360" spans="1:22" s="137" customFormat="1" ht="12.75" customHeight="1" x14ac:dyDescent="0.2">
      <c r="A2360" s="155"/>
      <c r="B2360" s="138" t="str">
        <f>IF(A2360="","",VLOOKUP(A2360,'6.A'!$A$11:$G$180,2,FALSE))</f>
        <v/>
      </c>
      <c r="C2360" s="156"/>
      <c r="D2360" s="141" t="str">
        <f>IF(A2360="","",VLOOKUP(A2360,'6.A'!$A$11:$G$180,4,FALSE))</f>
        <v/>
      </c>
      <c r="E2360" s="160" t="str">
        <f>IF(A2360="","",VLOOKUP(A2360,'6.A'!$A$11:$G$180,5,FALSE))</f>
        <v/>
      </c>
      <c r="F2360" s="159" t="str">
        <f t="shared" si="1000"/>
        <v>0,00</v>
      </c>
      <c r="G2360" s="52"/>
      <c r="H2360" s="52" t="str">
        <f>IF(A2360="","",VLOOKUP(A2360,'6.A'!$A$11:$E$7984,5,FALSE))</f>
        <v/>
      </c>
      <c r="I2360" s="52" t="str">
        <f>IF(H2360="","",IF(E2360=H2360,"SIM","NÃO"))</f>
        <v/>
      </c>
      <c r="J2360" s="52" t="str">
        <f>IF(H2360="","",VLOOKUP(A2360,'6.A'!$A$11:$E$564,4,FALSE))</f>
        <v/>
      </c>
      <c r="K2360" s="52" t="str">
        <f>IF(H2360="","",IF(J2360=D2360,"SIM","NÃO"))</f>
        <v/>
      </c>
      <c r="L2360" s="52" t="str">
        <f>IF(H2360="","",IF(C2360="","",G2352*C2360))</f>
        <v/>
      </c>
      <c r="M2360" s="117" t="str">
        <f>IF(A2360="","",VLOOKUP(A2360,'6.A'!$A$11:$C$564,2,FALSE))</f>
        <v/>
      </c>
      <c r="N2360" s="57" t="str">
        <f>IF(A2360="","",IF(M2360=B2360,"si","no"))</f>
        <v/>
      </c>
      <c r="O2360" s="56"/>
      <c r="P2360" s="56"/>
      <c r="Q2360" s="48"/>
      <c r="R2360" s="48"/>
      <c r="S2360" s="65"/>
      <c r="T2360" s="2"/>
      <c r="U2360" s="2"/>
      <c r="V2360" s="2"/>
    </row>
    <row r="2361" spans="1:22" s="137" customFormat="1" ht="12.75" customHeight="1" x14ac:dyDescent="0.2">
      <c r="A2361" s="155"/>
      <c r="B2361" s="138" t="str">
        <f>IF(A2361="","",VLOOKUP(A2361,'6.A'!$A$11:$G$180,2,FALSE))</f>
        <v/>
      </c>
      <c r="C2361" s="156"/>
      <c r="D2361" s="141" t="str">
        <f>IF(A2361="","",VLOOKUP(A2361,'6.A'!$A$11:$G$180,4,FALSE))</f>
        <v/>
      </c>
      <c r="E2361" s="158" t="str">
        <f>IF(A2361="","",VLOOKUP(A2361,'6.A'!$A$11:$G$180,5,FALSE))</f>
        <v/>
      </c>
      <c r="F2361" s="159" t="str">
        <f t="shared" si="1000"/>
        <v>0,00</v>
      </c>
      <c r="G2361" s="52"/>
      <c r="H2361" s="52" t="str">
        <f>IF(A2361="","",VLOOKUP(A2361,'6.A'!$A$11:$E$7984,5,FALSE))</f>
        <v/>
      </c>
      <c r="I2361" s="52" t="str">
        <f t="shared" ref="I2361" si="1006">IF(H2361="","",IF(E2361=H2361,"SIM","NÃO"))</f>
        <v/>
      </c>
      <c r="J2361" s="52" t="str">
        <f>IF(H2361="","",VLOOKUP(A2361,'6.A'!$A$11:$E$564,4,FALSE))</f>
        <v/>
      </c>
      <c r="K2361" s="52" t="str">
        <f t="shared" ref="K2361" si="1007">IF(H2361="","",IF(J2361=D2361,"SIM","NÃO"))</f>
        <v/>
      </c>
      <c r="L2361" s="52" t="str">
        <f>IF(H2361="","",IF(C2361="","",G2352*C2361))</f>
        <v/>
      </c>
      <c r="M2361" s="117" t="str">
        <f>IF(A2361="","",VLOOKUP(A2361,'6.A'!$A$11:$C$564,2,FALSE))</f>
        <v/>
      </c>
      <c r="N2361" s="57" t="str">
        <f t="shared" ref="N2361" si="1008">IF(A2361="","",IF(M2361=B2361,"si","no"))</f>
        <v/>
      </c>
      <c r="O2361" s="56"/>
      <c r="P2361" s="56"/>
      <c r="Q2361" s="48"/>
      <c r="R2361" s="48"/>
      <c r="S2361" s="65"/>
      <c r="T2361" s="2"/>
      <c r="U2361" s="2"/>
      <c r="V2361" s="2"/>
    </row>
    <row r="2362" spans="1:22" s="137" customFormat="1" ht="12.75" customHeight="1" x14ac:dyDescent="0.2">
      <c r="A2362" s="155"/>
      <c r="B2362" s="138" t="str">
        <f>IF(A2362="","",VLOOKUP(A2362,'6.A'!$A$11:$G$180,2,FALSE))</f>
        <v/>
      </c>
      <c r="C2362" s="156"/>
      <c r="D2362" s="141" t="str">
        <f>IF(A2362="","",VLOOKUP(A2362,'6.A'!$A$11:$G$180,4,FALSE))</f>
        <v/>
      </c>
      <c r="E2362" s="158" t="str">
        <f>IF(A2362="","",VLOOKUP(A2362,'6.A'!$A$11:$G$180,5,FALSE))</f>
        <v/>
      </c>
      <c r="F2362" s="159" t="str">
        <f t="shared" si="1000"/>
        <v>0,00</v>
      </c>
      <c r="G2362" s="52"/>
      <c r="H2362" s="52" t="str">
        <f>IF(A2362="","",VLOOKUP(A2362,'6.A'!$A$11:$E$7984,5,FALSE))</f>
        <v/>
      </c>
      <c r="I2362" s="52" t="str">
        <f>IF(H2362="","",IF(E2362=H2362,"SIM","NÃO"))</f>
        <v/>
      </c>
      <c r="J2362" s="52" t="str">
        <f>IF(H2362="","",VLOOKUP(A2362,'6.A'!$A$11:$E$564,4,FALSE))</f>
        <v/>
      </c>
      <c r="K2362" s="52" t="str">
        <f>IF(H2362="","",IF(J2362=D2362,"SIM","NÃO"))</f>
        <v/>
      </c>
      <c r="L2362" s="52" t="str">
        <f>IF(H2362="","",IF(C2362="","",G2352*C2362))</f>
        <v/>
      </c>
      <c r="M2362" s="117" t="str">
        <f>IF(A2362="","",VLOOKUP(A2362,'6.A'!$A$11:$C$564,2,FALSE))</f>
        <v/>
      </c>
      <c r="N2362" s="57" t="str">
        <f>IF(A2362="","",IF(M2362=B2362,"si","no"))</f>
        <v/>
      </c>
      <c r="O2362" s="56"/>
      <c r="P2362" s="56"/>
      <c r="Q2362" s="48"/>
      <c r="R2362" s="48"/>
      <c r="S2362" s="65"/>
      <c r="T2362" s="2"/>
      <c r="U2362" s="2"/>
      <c r="V2362" s="2"/>
    </row>
    <row r="2363" spans="1:22" s="137" customFormat="1" ht="12.75" customHeight="1" x14ac:dyDescent="0.2">
      <c r="A2363" s="155"/>
      <c r="B2363" s="138" t="str">
        <f>IF(A2363="","",VLOOKUP(A2363,'6.A'!$A$11:$G$180,2,FALSE))</f>
        <v/>
      </c>
      <c r="C2363" s="156"/>
      <c r="D2363" s="161" t="str">
        <f>IF(A2363="","",VLOOKUP(A2363,'6.A'!$A$11:$G$180,4,FALSE))</f>
        <v/>
      </c>
      <c r="E2363" s="158" t="str">
        <f>IF(A2363="","",VLOOKUP(A2363,'6.A'!$A$11:$G$180,5,FALSE))</f>
        <v/>
      </c>
      <c r="F2363" s="159" t="str">
        <f t="shared" si="1000"/>
        <v>0,00</v>
      </c>
      <c r="G2363" s="52"/>
      <c r="H2363" s="52" t="str">
        <f>IF(A2363="","",VLOOKUP(A2363,'6.A'!$A$11:$E$7984,5,FALSE))</f>
        <v/>
      </c>
      <c r="I2363" s="52" t="str">
        <f t="shared" ref="I2363" si="1009">IF(H2363="","",IF(E2363=H2363,"SIM","NÃO"))</f>
        <v/>
      </c>
      <c r="J2363" s="52" t="str">
        <f>IF(H2363="","",VLOOKUP(A2363,'6.A'!$A$11:$E$564,4,FALSE))</f>
        <v/>
      </c>
      <c r="K2363" s="52" t="str">
        <f t="shared" ref="K2363" si="1010">IF(H2363="","",IF(J2363=D2363,"SIM","NÃO"))</f>
        <v/>
      </c>
      <c r="L2363" s="52" t="str">
        <f>IF(H2363="","",IF(C2363="","",G2352*C2363))</f>
        <v/>
      </c>
      <c r="M2363" s="117" t="str">
        <f>IF(A2363="","",VLOOKUP(A2363,'6.A'!$A$11:$C$564,2,FALSE))</f>
        <v/>
      </c>
      <c r="N2363" s="57" t="str">
        <f t="shared" ref="N2363" si="1011">IF(A2363="","",IF(M2363=B2363,"si","no"))</f>
        <v/>
      </c>
      <c r="O2363" s="56"/>
      <c r="P2363" s="56"/>
      <c r="Q2363" s="48"/>
      <c r="R2363" s="48"/>
      <c r="S2363" s="65"/>
      <c r="T2363" s="2"/>
      <c r="U2363" s="2"/>
      <c r="V2363" s="2"/>
    </row>
    <row r="2364" spans="1:22" s="137" customFormat="1" ht="12.75" customHeight="1" x14ac:dyDescent="0.2">
      <c r="A2364" s="152"/>
      <c r="B2364" s="26" t="str">
        <f>$A$8</f>
        <v>LEIS SOCIAIS HORISTA - JORNADA NORMAL</v>
      </c>
      <c r="C2364" s="27">
        <f>$C$8</f>
        <v>0</v>
      </c>
      <c r="D2364" s="141"/>
      <c r="E2364" s="147"/>
      <c r="F2364" s="162">
        <f>ROUND(SUM(F2354:F2363)*C2364,2)</f>
        <v>0</v>
      </c>
      <c r="G2364" s="63"/>
      <c r="H2364" s="52"/>
      <c r="I2364" s="57"/>
      <c r="J2364" s="57"/>
      <c r="K2364" s="57"/>
      <c r="L2364" s="52"/>
      <c r="M2364" s="62"/>
      <c r="N2364" s="57"/>
      <c r="O2364" s="56"/>
      <c r="P2364" s="56"/>
      <c r="Q2364" s="48"/>
      <c r="R2364" s="48"/>
      <c r="S2364" s="65"/>
      <c r="T2364" s="2"/>
      <c r="U2364" s="2"/>
      <c r="V2364" s="2"/>
    </row>
    <row r="2365" spans="1:22" s="137" customFormat="1" ht="12.75" customHeight="1" x14ac:dyDescent="0.2">
      <c r="A2365" s="155"/>
      <c r="B2365" s="26" t="str">
        <f>$A$9</f>
        <v>BDI</v>
      </c>
      <c r="C2365" s="27">
        <f>$C$9</f>
        <v>0</v>
      </c>
      <c r="D2365" s="136"/>
      <c r="E2365" s="147"/>
      <c r="F2365" s="162">
        <f>ROUND(SUM(F2354:F2364)*C2365,2)</f>
        <v>0</v>
      </c>
      <c r="G2365" s="63"/>
      <c r="H2365" s="52"/>
      <c r="I2365" s="57"/>
      <c r="J2365" s="57"/>
      <c r="K2365" s="57"/>
      <c r="L2365" s="52"/>
      <c r="M2365" s="62"/>
      <c r="N2365" s="57"/>
      <c r="O2365" s="56"/>
      <c r="P2365" s="56"/>
      <c r="Q2365" s="48"/>
      <c r="R2365" s="48"/>
      <c r="S2365" s="65"/>
      <c r="T2365" s="2"/>
      <c r="U2365" s="2"/>
      <c r="V2365" s="2"/>
    </row>
    <row r="2366" spans="1:22" s="149" customFormat="1" ht="12.75" customHeight="1" x14ac:dyDescent="0.2">
      <c r="A2366" s="163"/>
      <c r="B2366" s="164" t="s">
        <v>56</v>
      </c>
      <c r="C2366" s="165"/>
      <c r="D2366" s="166"/>
      <c r="E2366" s="167"/>
      <c r="F2366" s="168">
        <f>ROUND(SUM(F2354:F2365),2)</f>
        <v>0</v>
      </c>
      <c r="G2366" s="63"/>
      <c r="H2366" s="52"/>
      <c r="I2366" s="57"/>
      <c r="J2366" s="57"/>
      <c r="K2366" s="57"/>
      <c r="L2366" s="52"/>
      <c r="M2366" s="62"/>
      <c r="N2366" s="57"/>
      <c r="O2366" s="56"/>
      <c r="P2366" s="56"/>
      <c r="Q2366" s="48"/>
      <c r="R2366" s="48"/>
      <c r="S2366" s="65"/>
      <c r="T2366" s="2"/>
      <c r="U2366" s="2"/>
      <c r="V2366" s="2"/>
    </row>
    <row r="2367" spans="1:22" s="149" customFormat="1" ht="12.75" customHeight="1" x14ac:dyDescent="0.2">
      <c r="A2367" s="152" t="s">
        <v>5</v>
      </c>
      <c r="B2367" s="153" t="s">
        <v>130</v>
      </c>
      <c r="C2367" s="140" t="s">
        <v>59</v>
      </c>
      <c r="D2367" s="140" t="s">
        <v>16</v>
      </c>
      <c r="E2367" s="154" t="s">
        <v>60</v>
      </c>
      <c r="F2367" s="148" t="s">
        <v>61</v>
      </c>
      <c r="G2367" s="21"/>
      <c r="H2367" s="52"/>
      <c r="I2367" s="57"/>
      <c r="J2367" s="57"/>
      <c r="K2367" s="57"/>
      <c r="L2367" s="52"/>
      <c r="M2367" s="62"/>
      <c r="N2367" s="57"/>
      <c r="O2367" s="56"/>
      <c r="P2367" s="56"/>
      <c r="Q2367" s="48"/>
      <c r="R2367" s="48"/>
      <c r="S2367" s="65"/>
      <c r="T2367" s="2"/>
      <c r="U2367" s="2"/>
      <c r="V2367" s="2"/>
    </row>
    <row r="2368" spans="1:22" s="149" customFormat="1" ht="12.75" customHeight="1" x14ac:dyDescent="0.2">
      <c r="A2368" s="155"/>
      <c r="B2368" s="138" t="str">
        <f>IF(A2368="","",VLOOKUP(A2368,'6.A'!$A$11:$G$180,2,FALSE))</f>
        <v/>
      </c>
      <c r="C2368" s="156"/>
      <c r="D2368" s="157" t="str">
        <f>IF(A2368="","",VLOOKUP(A2368,'6.A'!$A$11:$G$180,4,FALSE))</f>
        <v/>
      </c>
      <c r="E2368" s="158" t="str">
        <f>IF(A2368="","",VLOOKUP(A2368,'6.A'!$A$11:$G$180,5,FALSE))</f>
        <v/>
      </c>
      <c r="F2368" s="159" t="str">
        <f t="shared" ref="F2368:F2377" si="1012">IF(A2368="","0,00",ROUND(C2368*E2368,2))</f>
        <v>0,00</v>
      </c>
      <c r="G2368" s="52"/>
      <c r="H2368" s="52" t="str">
        <f>IF(A2368="","",VLOOKUP(A2368,'6.A'!$A$11:$E$7984,5,FALSE))</f>
        <v/>
      </c>
      <c r="I2368" s="52" t="str">
        <f t="shared" ref="I2368:I2377" si="1013">IF(H2368="","",IF(E2368=H2368,"SIM","NÃO"))</f>
        <v/>
      </c>
      <c r="J2368" s="52" t="str">
        <f>IF(H2368="","",VLOOKUP(A2368,'6.A'!$A$11:$E$564,4,FALSE))</f>
        <v/>
      </c>
      <c r="K2368" s="52" t="str">
        <f t="shared" ref="K2368:K2377" si="1014">IF(H2368="","",IF(J2368=D2368,"SIM","NÃO"))</f>
        <v/>
      </c>
      <c r="L2368" s="52" t="str">
        <f>IF(H2368="","",IF(C2368="","",G2352*C2368))</f>
        <v/>
      </c>
      <c r="M2368" s="117" t="str">
        <f>IF(A2368="","",VLOOKUP(A2368,'6.A'!$A$11:$C$564,2,FALSE))</f>
        <v/>
      </c>
      <c r="N2368" s="57" t="str">
        <f t="shared" ref="N2368:N2373" si="1015">IF(A2368="","",IF(M2368=B2368,"si","no"))</f>
        <v/>
      </c>
      <c r="O2368" s="56"/>
      <c r="P2368" s="56"/>
      <c r="Q2368" s="48"/>
      <c r="R2368" s="48"/>
      <c r="S2368" s="65"/>
      <c r="T2368" s="2"/>
      <c r="U2368" s="2"/>
      <c r="V2368" s="2"/>
    </row>
    <row r="2369" spans="1:22" s="149" customFormat="1" ht="12.75" customHeight="1" x14ac:dyDescent="0.2">
      <c r="A2369" s="155"/>
      <c r="B2369" s="138" t="str">
        <f>IF(A2369="","",VLOOKUP(A2369,'6.A'!$A$11:$G$180,2,FALSE))</f>
        <v/>
      </c>
      <c r="C2369" s="156"/>
      <c r="D2369" s="157" t="str">
        <f>IF(A2369="","",VLOOKUP(A2369,'6.A'!$A$11:$G$180,4,FALSE))</f>
        <v/>
      </c>
      <c r="E2369" s="158" t="str">
        <f>IF(A2369="","",VLOOKUP(A2369,'6.A'!$A$11:$G$180,5,FALSE))</f>
        <v/>
      </c>
      <c r="F2369" s="159" t="str">
        <f t="shared" si="1012"/>
        <v>0,00</v>
      </c>
      <c r="G2369" s="52"/>
      <c r="H2369" s="52" t="str">
        <f>IF(A2369="","",VLOOKUP(A2369,'6.A'!$A$11:$E$7984,5,FALSE))</f>
        <v/>
      </c>
      <c r="I2369" s="52" t="str">
        <f t="shared" si="1013"/>
        <v/>
      </c>
      <c r="J2369" s="52" t="str">
        <f>IF(H2369="","",VLOOKUP(A2369,'6.A'!$A$11:$E$564,4,FALSE))</f>
        <v/>
      </c>
      <c r="K2369" s="52" t="str">
        <f t="shared" si="1014"/>
        <v/>
      </c>
      <c r="L2369" s="52" t="str">
        <f>IF(H2369="","",IF(C2369="","",G2352*C2369))</f>
        <v/>
      </c>
      <c r="M2369" s="117" t="str">
        <f>IF(A2369="","",VLOOKUP(A2369,'6.A'!$A$11:$C$564,2,FALSE))</f>
        <v/>
      </c>
      <c r="N2369" s="57" t="str">
        <f t="shared" si="1015"/>
        <v/>
      </c>
      <c r="O2369" s="56"/>
      <c r="P2369" s="56"/>
      <c r="Q2369" s="48"/>
      <c r="R2369" s="48"/>
      <c r="S2369" s="65"/>
      <c r="T2369" s="2"/>
      <c r="U2369" s="2"/>
      <c r="V2369" s="2"/>
    </row>
    <row r="2370" spans="1:22" s="149" customFormat="1" ht="12.75" customHeight="1" x14ac:dyDescent="0.2">
      <c r="A2370" s="155"/>
      <c r="B2370" s="138" t="str">
        <f>IF(A2370="","",VLOOKUP(A2370,'6.A'!$A$11:$G$180,2,FALSE))</f>
        <v/>
      </c>
      <c r="C2370" s="156"/>
      <c r="D2370" s="157" t="str">
        <f>IF(A2370="","",VLOOKUP(A2370,'6.A'!$A$11:$G$180,4,FALSE))</f>
        <v/>
      </c>
      <c r="E2370" s="158" t="str">
        <f>IF(A2370="","",VLOOKUP(A2370,'6.A'!$A$11:$G$180,5,FALSE))</f>
        <v/>
      </c>
      <c r="F2370" s="159" t="str">
        <f t="shared" si="1012"/>
        <v>0,00</v>
      </c>
      <c r="G2370" s="52"/>
      <c r="H2370" s="52" t="str">
        <f>IF(A2370="","",VLOOKUP(A2370,'6.A'!$A$11:$E$7984,5,FALSE))</f>
        <v/>
      </c>
      <c r="I2370" s="52" t="str">
        <f t="shared" si="1013"/>
        <v/>
      </c>
      <c r="J2370" s="52" t="str">
        <f>IF(H2370="","",VLOOKUP(A2370,'6.A'!$A$11:$E$564,4,FALSE))</f>
        <v/>
      </c>
      <c r="K2370" s="52" t="str">
        <f t="shared" si="1014"/>
        <v/>
      </c>
      <c r="L2370" s="52" t="str">
        <f>IF(H2370="","",IF(C2370="","",G2352*C2370))</f>
        <v/>
      </c>
      <c r="M2370" s="117" t="str">
        <f>IF(A2370="","",VLOOKUP(A2370,'6.A'!$A$11:$C$564,2,FALSE))</f>
        <v/>
      </c>
      <c r="N2370" s="57" t="str">
        <f t="shared" si="1015"/>
        <v/>
      </c>
      <c r="O2370" s="56"/>
      <c r="P2370" s="56"/>
      <c r="Q2370" s="48"/>
      <c r="R2370" s="48"/>
      <c r="S2370" s="65"/>
      <c r="T2370" s="2"/>
      <c r="U2370" s="2"/>
      <c r="V2370" s="2"/>
    </row>
    <row r="2371" spans="1:22" s="149" customFormat="1" ht="12.75" customHeight="1" x14ac:dyDescent="0.2">
      <c r="A2371" s="155"/>
      <c r="B2371" s="176" t="str">
        <f>IF(A2371="","",VLOOKUP(A2371,'6.A'!$A$11:$G$180,2,FALSE))</f>
        <v/>
      </c>
      <c r="C2371" s="156"/>
      <c r="D2371" s="141" t="str">
        <f>IF(A2371="","",VLOOKUP(A2371,'6.A'!$A$11:$G$180,4,FALSE))</f>
        <v/>
      </c>
      <c r="E2371" s="160" t="str">
        <f>IF(A2371="","",VLOOKUP(A2371,'6.A'!$A$11:$G$180,5,FALSE))</f>
        <v/>
      </c>
      <c r="F2371" s="159" t="str">
        <f t="shared" si="1012"/>
        <v>0,00</v>
      </c>
      <c r="G2371" s="52"/>
      <c r="H2371" s="52" t="str">
        <f>IF(A2371="","",VLOOKUP(A2371,'6.A'!$A$11:$E$7984,5,FALSE))</f>
        <v/>
      </c>
      <c r="I2371" s="52" t="str">
        <f t="shared" si="1013"/>
        <v/>
      </c>
      <c r="J2371" s="52" t="str">
        <f>IF(H2371="","",VLOOKUP(A2371,'6.A'!$A$11:$E$564,4,FALSE))</f>
        <v/>
      </c>
      <c r="K2371" s="52" t="str">
        <f t="shared" si="1014"/>
        <v/>
      </c>
      <c r="L2371" s="52" t="str">
        <f>IF(H2371="","",IF(C2371="","",G2352*C2371))</f>
        <v/>
      </c>
      <c r="M2371" s="117" t="str">
        <f>IF(A2371="","",VLOOKUP(A2371,'6.A'!$A$11:$C$564,2,FALSE))</f>
        <v/>
      </c>
      <c r="N2371" s="57" t="str">
        <f t="shared" si="1015"/>
        <v/>
      </c>
      <c r="O2371" s="56"/>
      <c r="P2371" s="56"/>
      <c r="Q2371" s="48"/>
      <c r="R2371" s="48"/>
      <c r="S2371" s="65"/>
      <c r="T2371" s="2"/>
      <c r="U2371" s="2"/>
      <c r="V2371" s="2"/>
    </row>
    <row r="2372" spans="1:22" s="149" customFormat="1" ht="12.75" customHeight="1" x14ac:dyDescent="0.2">
      <c r="A2372" s="155"/>
      <c r="B2372" s="176" t="str">
        <f>IF(A2372="","",VLOOKUP(A2372,'6.A'!$A$11:$G$180,2,FALSE))</f>
        <v/>
      </c>
      <c r="C2372" s="156"/>
      <c r="D2372" s="141" t="str">
        <f>IF(A2372="","",VLOOKUP(A2372,'6.A'!$A$11:$G$180,4,FALSE))</f>
        <v/>
      </c>
      <c r="E2372" s="160" t="str">
        <f>IF(A2372="","",VLOOKUP(A2372,'6.A'!$A$11:$G$180,5,FALSE))</f>
        <v/>
      </c>
      <c r="F2372" s="159" t="str">
        <f t="shared" si="1012"/>
        <v>0,00</v>
      </c>
      <c r="G2372" s="52"/>
      <c r="H2372" s="52" t="str">
        <f>IF(A2372="","",VLOOKUP(A2372,'6.A'!$A$11:$E$7984,5,FALSE))</f>
        <v/>
      </c>
      <c r="I2372" s="52" t="str">
        <f t="shared" si="1013"/>
        <v/>
      </c>
      <c r="J2372" s="52" t="str">
        <f>IF(H2372="","",VLOOKUP(A2372,'6.A'!$A$11:$E$564,4,FALSE))</f>
        <v/>
      </c>
      <c r="K2372" s="52" t="str">
        <f t="shared" si="1014"/>
        <v/>
      </c>
      <c r="L2372" s="52" t="str">
        <f>IF(H2372="","",IF(C2372="","",G2352*C2372))</f>
        <v/>
      </c>
      <c r="M2372" s="117" t="str">
        <f>IF(A2372="","",VLOOKUP(A2372,'6.A'!$A$11:$C$564,2,FALSE))</f>
        <v/>
      </c>
      <c r="N2372" s="57" t="str">
        <f t="shared" si="1015"/>
        <v/>
      </c>
      <c r="O2372" s="56"/>
      <c r="P2372" s="56"/>
      <c r="Q2372" s="48"/>
      <c r="R2372" s="48"/>
      <c r="S2372" s="65"/>
      <c r="T2372" s="2"/>
      <c r="U2372" s="2"/>
      <c r="V2372" s="2"/>
    </row>
    <row r="2373" spans="1:22" s="149" customFormat="1" ht="12.75" customHeight="1" x14ac:dyDescent="0.2">
      <c r="A2373" s="155"/>
      <c r="B2373" s="176" t="str">
        <f>IF(A2373="","",VLOOKUP(A2373,'6.A'!$A$11:$G$180,2,FALSE))</f>
        <v/>
      </c>
      <c r="C2373" s="156"/>
      <c r="D2373" s="141" t="str">
        <f>IF(A2373="","",VLOOKUP(A2373,'6.A'!$A$11:$G$180,4,FALSE))</f>
        <v/>
      </c>
      <c r="E2373" s="160" t="str">
        <f>IF(A2373="","",VLOOKUP(A2373,'6.A'!$A$11:$G$180,5,FALSE))</f>
        <v/>
      </c>
      <c r="F2373" s="159" t="str">
        <f t="shared" si="1012"/>
        <v>0,00</v>
      </c>
      <c r="G2373" s="52"/>
      <c r="H2373" s="52" t="str">
        <f>IF(A2373="","",VLOOKUP(A2373,'6.A'!$A$11:$E$7984,5,FALSE))</f>
        <v/>
      </c>
      <c r="I2373" s="52" t="str">
        <f t="shared" si="1013"/>
        <v/>
      </c>
      <c r="J2373" s="52" t="str">
        <f>IF(H2373="","",VLOOKUP(A2373,'6.A'!$A$11:$E$564,4,FALSE))</f>
        <v/>
      </c>
      <c r="K2373" s="52" t="str">
        <f t="shared" si="1014"/>
        <v/>
      </c>
      <c r="L2373" s="52" t="str">
        <f>IF(H2373="","",IF(C2373="","",G2352*C2373))</f>
        <v/>
      </c>
      <c r="M2373" s="117" t="str">
        <f>IF(A2373="","",VLOOKUP(A2373,'6.A'!$A$11:$C$564,2,FALSE))</f>
        <v/>
      </c>
      <c r="N2373" s="57" t="str">
        <f t="shared" si="1015"/>
        <v/>
      </c>
      <c r="O2373" s="56"/>
      <c r="P2373" s="56"/>
      <c r="Q2373" s="48"/>
      <c r="R2373" s="48"/>
      <c r="S2373" s="65"/>
      <c r="T2373" s="2"/>
      <c r="U2373" s="2"/>
      <c r="V2373" s="2"/>
    </row>
    <row r="2374" spans="1:22" s="149" customFormat="1" ht="12.75" customHeight="1" x14ac:dyDescent="0.2">
      <c r="A2374" s="155"/>
      <c r="B2374" s="176" t="str">
        <f>IF(A2374="","",VLOOKUP(A2374,'6.A'!$A$11:$G$180,2,FALSE))</f>
        <v/>
      </c>
      <c r="C2374" s="156"/>
      <c r="D2374" s="141" t="str">
        <f>IF(A2374="","",VLOOKUP(A2374,'6.A'!$A$11:$G$180,4,FALSE))</f>
        <v/>
      </c>
      <c r="E2374" s="160" t="str">
        <f>IF(A2374="","",VLOOKUP(A2374,'6.A'!$A$11:$G$180,5,FALSE))</f>
        <v/>
      </c>
      <c r="F2374" s="159" t="str">
        <f t="shared" si="1012"/>
        <v>0,00</v>
      </c>
      <c r="G2374" s="52"/>
      <c r="H2374" s="52" t="str">
        <f>IF(A2374="","",VLOOKUP(A2374,'6.A'!$A$11:$E$7984,5,FALSE))</f>
        <v/>
      </c>
      <c r="I2374" s="52" t="str">
        <f t="shared" si="1013"/>
        <v/>
      </c>
      <c r="J2374" s="52" t="str">
        <f>IF(H2374="","",VLOOKUP(A2374,'6.A'!$A$11:$E$564,4,FALSE))</f>
        <v/>
      </c>
      <c r="K2374" s="52" t="str">
        <f t="shared" si="1014"/>
        <v/>
      </c>
      <c r="L2374" s="52" t="str">
        <f>IF(H2374="","",IF(C2374="","",G2352*C2374))</f>
        <v/>
      </c>
      <c r="M2374" s="117" t="str">
        <f>IF(A2374="","",VLOOKUP(A2374,'6.A'!$A$11:$C$564,2,FALSE))</f>
        <v/>
      </c>
      <c r="N2374" s="57" t="str">
        <f>IF(A2374="","",IF(M2374=B2374,"si","no"))</f>
        <v/>
      </c>
      <c r="O2374" s="56"/>
      <c r="P2374" s="56"/>
      <c r="Q2374" s="48"/>
      <c r="R2374" s="48"/>
      <c r="S2374" s="65"/>
      <c r="T2374" s="2"/>
      <c r="U2374" s="2"/>
      <c r="V2374" s="2"/>
    </row>
    <row r="2375" spans="1:22" s="149" customFormat="1" ht="12.75" customHeight="1" x14ac:dyDescent="0.2">
      <c r="A2375" s="155"/>
      <c r="B2375" s="138" t="str">
        <f>IF(A2375="","",VLOOKUP(A2375,'6.A'!$A$11:$G$180,2,FALSE))</f>
        <v/>
      </c>
      <c r="C2375" s="156"/>
      <c r="D2375" s="141" t="str">
        <f>IF(A2375="","",VLOOKUP(A2375,'6.A'!$A$11:$G$180,4,FALSE))</f>
        <v/>
      </c>
      <c r="E2375" s="160" t="str">
        <f>IF(A2375="","",VLOOKUP(A2375,'6.A'!$A$11:$G$180,5,FALSE))</f>
        <v/>
      </c>
      <c r="F2375" s="159" t="str">
        <f t="shared" si="1012"/>
        <v>0,00</v>
      </c>
      <c r="G2375" s="52"/>
      <c r="H2375" s="52" t="str">
        <f>IF(A2375="","",VLOOKUP(A2375,'6.A'!$A$11:$E$7984,5,FALSE))</f>
        <v/>
      </c>
      <c r="I2375" s="52" t="str">
        <f t="shared" si="1013"/>
        <v/>
      </c>
      <c r="J2375" s="52" t="str">
        <f>IF(H2375="","",VLOOKUP(A2375,'6.A'!$A$11:$E$564,4,FALSE))</f>
        <v/>
      </c>
      <c r="K2375" s="52" t="str">
        <f t="shared" si="1014"/>
        <v/>
      </c>
      <c r="L2375" s="52" t="str">
        <f>IF(H2375="","",IF(C2375="","",G2352*C2375))</f>
        <v/>
      </c>
      <c r="M2375" s="117" t="str">
        <f>IF(A2375="","",VLOOKUP(A2375,'6.A'!$A$11:$C$564,2,FALSE))</f>
        <v/>
      </c>
      <c r="N2375" s="57" t="str">
        <f>IF(A2375="","",IF(M2375=B2375,"si","no"))</f>
        <v/>
      </c>
      <c r="O2375" s="56"/>
      <c r="P2375" s="56"/>
      <c r="Q2375" s="48"/>
      <c r="R2375" s="48"/>
      <c r="S2375" s="65"/>
      <c r="T2375" s="2"/>
      <c r="U2375" s="2"/>
      <c r="V2375" s="2"/>
    </row>
    <row r="2376" spans="1:22" s="149" customFormat="1" ht="12.75" customHeight="1" x14ac:dyDescent="0.2">
      <c r="A2376" s="155"/>
      <c r="B2376" s="138" t="str">
        <f>IF(A2376="","",VLOOKUP(A2376,'6.A'!$A$11:$G$180,2,FALSE))</f>
        <v/>
      </c>
      <c r="C2376" s="156"/>
      <c r="D2376" s="141" t="str">
        <f>IF(A2376="","",VLOOKUP(A2376,'6.A'!$A$11:$G$180,4,FALSE))</f>
        <v/>
      </c>
      <c r="E2376" s="160" t="str">
        <f>IF(A2376="","",VLOOKUP(A2376,'6.A'!$A$11:$G$180,5,FALSE))</f>
        <v/>
      </c>
      <c r="F2376" s="159" t="str">
        <f t="shared" si="1012"/>
        <v>0,00</v>
      </c>
      <c r="G2376" s="52"/>
      <c r="H2376" s="52" t="str">
        <f>IF(A2376="","",VLOOKUP(A2376,'6.A'!$A$11:$E$7984,5,FALSE))</f>
        <v/>
      </c>
      <c r="I2376" s="52" t="str">
        <f t="shared" si="1013"/>
        <v/>
      </c>
      <c r="J2376" s="52" t="str">
        <f>IF(H2376="","",VLOOKUP(A2376,'6.A'!$A$11:$E$564,4,FALSE))</f>
        <v/>
      </c>
      <c r="K2376" s="52" t="str">
        <f t="shared" si="1014"/>
        <v/>
      </c>
      <c r="L2376" s="52" t="str">
        <f>IF(H2376="","",IF(C2376="","",G2352*C2376))</f>
        <v/>
      </c>
      <c r="M2376" s="117" t="str">
        <f>IF(A2376="","",VLOOKUP(A2376,'6.A'!$A$11:$C$564,2,FALSE))</f>
        <v/>
      </c>
      <c r="N2376" s="57" t="str">
        <f t="shared" ref="N2376:N2377" si="1016">IF(A2376="","",IF(M2376=B2376,"si","no"))</f>
        <v/>
      </c>
      <c r="O2376" s="56"/>
      <c r="P2376" s="56"/>
      <c r="Q2376" s="48"/>
      <c r="R2376" s="48"/>
      <c r="S2376" s="65"/>
      <c r="T2376" s="2"/>
      <c r="U2376" s="2"/>
      <c r="V2376" s="2"/>
    </row>
    <row r="2377" spans="1:22" s="149" customFormat="1" ht="12.75" customHeight="1" x14ac:dyDescent="0.2">
      <c r="A2377" s="155"/>
      <c r="B2377" s="138" t="str">
        <f>IF(A2377="","",VLOOKUP(A2377,'6.A'!$A$11:$G$180,2,FALSE))</f>
        <v/>
      </c>
      <c r="C2377" s="156"/>
      <c r="D2377" s="141" t="str">
        <f>IF(A2377="","",VLOOKUP(A2377,'6.A'!$A$11:$G$180,4,FALSE))</f>
        <v/>
      </c>
      <c r="E2377" s="160" t="str">
        <f>IF(A2377="","",VLOOKUP(A2377,'6.A'!$A$11:$G$180,5,FALSE))</f>
        <v/>
      </c>
      <c r="F2377" s="159" t="str">
        <f t="shared" si="1012"/>
        <v>0,00</v>
      </c>
      <c r="G2377" s="52"/>
      <c r="H2377" s="52" t="str">
        <f>IF(A2377="","",VLOOKUP(A2377,'6.A'!$A$11:$E$7984,5,FALSE))</f>
        <v/>
      </c>
      <c r="I2377" s="52" t="str">
        <f t="shared" si="1013"/>
        <v/>
      </c>
      <c r="J2377" s="52" t="str">
        <f>IF(H2377="","",VLOOKUP(A2377,'6.A'!$A$11:$E$564,4,FALSE))</f>
        <v/>
      </c>
      <c r="K2377" s="52" t="str">
        <f t="shared" si="1014"/>
        <v/>
      </c>
      <c r="L2377" s="52" t="str">
        <f>IF(H2377="","",IF(C2377="","",G2352*C2377))</f>
        <v/>
      </c>
      <c r="M2377" s="117" t="str">
        <f>IF(A2377="","",VLOOKUP(A2377,'6.A'!$A$11:$C$564,2,FALSE))</f>
        <v/>
      </c>
      <c r="N2377" s="57" t="str">
        <f t="shared" si="1016"/>
        <v/>
      </c>
      <c r="O2377" s="56"/>
      <c r="P2377" s="56"/>
      <c r="Q2377" s="48"/>
      <c r="R2377" s="48"/>
      <c r="S2377" s="65"/>
      <c r="T2377" s="2"/>
      <c r="U2377" s="2"/>
      <c r="V2377" s="2"/>
    </row>
    <row r="2378" spans="1:22" s="149" customFormat="1" ht="12.75" customHeight="1" x14ac:dyDescent="0.2">
      <c r="A2378" s="155"/>
      <c r="B2378" s="26" t="str">
        <f>$A$9</f>
        <v>BDI</v>
      </c>
      <c r="C2378" s="27">
        <f>$C$9</f>
        <v>0</v>
      </c>
      <c r="D2378" s="141"/>
      <c r="E2378" s="147"/>
      <c r="F2378" s="162">
        <f>ROUND(SUM(F2368:F2377)*C2378,2)</f>
        <v>0</v>
      </c>
      <c r="G2378" s="63"/>
      <c r="H2378" s="52"/>
      <c r="I2378" s="57"/>
      <c r="J2378" s="57"/>
      <c r="K2378" s="57"/>
      <c r="L2378" s="52"/>
      <c r="M2378" s="62"/>
      <c r="N2378" s="57"/>
      <c r="O2378" s="56"/>
      <c r="P2378" s="56"/>
      <c r="Q2378" s="48"/>
      <c r="R2378" s="48"/>
      <c r="S2378" s="65"/>
      <c r="T2378" s="2"/>
      <c r="U2378" s="2"/>
      <c r="V2378" s="2"/>
    </row>
    <row r="2379" spans="1:22" s="149" customFormat="1" ht="12.75" customHeight="1" x14ac:dyDescent="0.2">
      <c r="A2379" s="163"/>
      <c r="B2379" s="31" t="s">
        <v>117</v>
      </c>
      <c r="C2379" s="36"/>
      <c r="D2379" s="169"/>
      <c r="E2379" s="170"/>
      <c r="F2379" s="168">
        <f>ROUND(SUM(F2368:F2378),2)</f>
        <v>0</v>
      </c>
      <c r="G2379" s="63"/>
      <c r="H2379" s="52"/>
      <c r="I2379" s="57"/>
      <c r="J2379" s="57"/>
      <c r="K2379" s="57"/>
      <c r="L2379" s="52"/>
      <c r="M2379" s="62"/>
      <c r="N2379" s="57"/>
      <c r="O2379" s="56"/>
      <c r="P2379" s="56"/>
      <c r="Q2379" s="48"/>
      <c r="R2379" s="48"/>
      <c r="S2379" s="65"/>
      <c r="T2379" s="2"/>
      <c r="U2379" s="2"/>
      <c r="V2379" s="2"/>
    </row>
    <row r="2380" spans="1:22" s="149" customFormat="1" ht="12.75" customHeight="1" x14ac:dyDescent="0.2">
      <c r="A2380" s="152" t="s">
        <v>6</v>
      </c>
      <c r="B2380" s="153" t="s">
        <v>17</v>
      </c>
      <c r="C2380" s="140" t="s">
        <v>59</v>
      </c>
      <c r="D2380" s="140" t="s">
        <v>16</v>
      </c>
      <c r="E2380" s="154" t="s">
        <v>60</v>
      </c>
      <c r="F2380" s="148" t="s">
        <v>61</v>
      </c>
      <c r="G2380" s="21"/>
      <c r="H2380" s="52"/>
      <c r="I2380" s="57"/>
      <c r="J2380" s="57"/>
      <c r="K2380" s="57"/>
      <c r="L2380" s="52"/>
      <c r="M2380" s="62"/>
      <c r="N2380" s="57"/>
      <c r="O2380" s="56"/>
      <c r="P2380" s="56"/>
      <c r="Q2380" s="48"/>
      <c r="R2380" s="48"/>
      <c r="S2380" s="65"/>
      <c r="T2380" s="2"/>
      <c r="U2380" s="2"/>
      <c r="V2380" s="2"/>
    </row>
    <row r="2381" spans="1:22" s="149" customFormat="1" ht="12.75" customHeight="1" x14ac:dyDescent="0.2">
      <c r="A2381" s="155">
        <f>'6.A'!$A$105</f>
        <v>3398</v>
      </c>
      <c r="B2381" s="138" t="str">
        <f>IF(A2381="","",VLOOKUP(A2381,'6.A'!$A$11:$G$180,2,FALSE))</f>
        <v>ISOLADOR DE PORCELANA, TIPO ROLDANA, DIMENSOES DE 72 X 72 MM, PARA USO EM BAIXA TENSAO</v>
      </c>
      <c r="C2381" s="156">
        <v>1</v>
      </c>
      <c r="D2381" s="157" t="str">
        <f>IF(A2381="","",VLOOKUP(A2381,'6.A'!$A$11:$G$180,4,FALSE))</f>
        <v>UN</v>
      </c>
      <c r="E2381" s="158">
        <f>IF(A2381="","",VLOOKUP(A2381,'6.A'!$A$11:$G$180,5,FALSE))</f>
        <v>0</v>
      </c>
      <c r="F2381" s="159">
        <f t="shared" ref="F2381:F2400" si="1017">IF(A2381="","0,00",ROUND(C2381*E2381,2))</f>
        <v>0</v>
      </c>
      <c r="G2381" s="52"/>
      <c r="H2381" s="52">
        <f>IF(A2381="","",VLOOKUP(A2381,'6.A'!$A$11:$E$7984,5,FALSE))</f>
        <v>0</v>
      </c>
      <c r="I2381" s="52" t="str">
        <f t="shared" ref="I2381:I2400" si="1018">IF(H2381="","",IF(E2381=H2381,"SIM","NÃO"))</f>
        <v>SIM</v>
      </c>
      <c r="J2381" s="52" t="str">
        <f>IF(H2381="","",VLOOKUP(A2381,'6.A'!$A$11:$E$564,4,FALSE))</f>
        <v>UN</v>
      </c>
      <c r="K2381" s="52" t="str">
        <f t="shared" ref="K2381:K2400" si="1019">IF(H2381="","",IF(J2381=D2381,"SIM","NÃO"))</f>
        <v>SIM</v>
      </c>
      <c r="L2381" s="52">
        <f>IF(H2381="","",IF(C2381="","",G2352*C2381))</f>
        <v>6</v>
      </c>
      <c r="M2381" s="117" t="str">
        <f>IF(A2381="","",VLOOKUP(A2381,'6.A'!$A$11:$C$564,2,FALSE))</f>
        <v>ISOLADOR DE PORCELANA, TIPO ROLDANA, DIMENSOES DE 72 X 72 MM, PARA USO EM BAIXA TENSAO</v>
      </c>
      <c r="N2381" s="57" t="str">
        <f t="shared" ref="N2381:N2400" si="1020">IF(A2381="","",IF(M2381=B2381,"si","no"))</f>
        <v>si</v>
      </c>
      <c r="O2381" s="56"/>
      <c r="P2381" s="56"/>
      <c r="Q2381" s="48"/>
      <c r="R2381" s="48"/>
      <c r="S2381" s="65"/>
      <c r="T2381" s="2"/>
      <c r="U2381" s="2"/>
      <c r="V2381" s="2"/>
    </row>
    <row r="2382" spans="1:22" s="149" customFormat="1" ht="12.75" customHeight="1" x14ac:dyDescent="0.2">
      <c r="A2382" s="155">
        <f>'6.A'!$A$173</f>
        <v>49627</v>
      </c>
      <c r="B2382" s="138" t="str">
        <f>IF(A2382="","",VLOOKUP(A2382,'6.A'!$A$11:$G$180,2,FALSE))</f>
        <v>BARRAMENTO DE COBRE NU (QUALQUER BITOLA)</v>
      </c>
      <c r="C2382" s="156">
        <v>2.15</v>
      </c>
      <c r="D2382" s="157" t="str">
        <f>IF(A2382="","",VLOOKUP(A2382,'6.A'!$A$11:$G$180,4,FALSE))</f>
        <v>KG</v>
      </c>
      <c r="E2382" s="158">
        <f>IF(A2382="","",VLOOKUP(A2382,'6.A'!$A$11:$G$180,5,FALSE))</f>
        <v>0</v>
      </c>
      <c r="F2382" s="159">
        <f t="shared" si="1017"/>
        <v>0</v>
      </c>
      <c r="G2382" s="52"/>
      <c r="H2382" s="52">
        <f>IF(A2382="","",VLOOKUP(A2382,'6.A'!$A$11:$E$7984,5,FALSE))</f>
        <v>0</v>
      </c>
      <c r="I2382" s="52" t="str">
        <f t="shared" si="1018"/>
        <v>SIM</v>
      </c>
      <c r="J2382" s="52" t="str">
        <f>IF(H2382="","",VLOOKUP(A2382,'6.A'!$A$11:$E$564,4,FALSE))</f>
        <v>KG</v>
      </c>
      <c r="K2382" s="52" t="str">
        <f t="shared" si="1019"/>
        <v>SIM</v>
      </c>
      <c r="L2382" s="52">
        <f>IF(H2382="","",IF(C2382="","",G2352*C2382))</f>
        <v>12.899999999999999</v>
      </c>
      <c r="M2382" s="117" t="str">
        <f>IF(A2382="","",VLOOKUP(A2382,'6.A'!$A$11:$C$564,2,FALSE))</f>
        <v>BARRAMENTO DE COBRE NU (QUALQUER BITOLA)</v>
      </c>
      <c r="N2382" s="57" t="str">
        <f t="shared" si="1020"/>
        <v>si</v>
      </c>
      <c r="O2382" s="56"/>
      <c r="P2382" s="56"/>
      <c r="Q2382" s="48"/>
      <c r="R2382" s="48"/>
      <c r="S2382" s="65"/>
      <c r="T2382" s="2"/>
      <c r="U2382" s="2"/>
      <c r="V2382" s="2"/>
    </row>
    <row r="2383" spans="1:22" s="149" customFormat="1" ht="12.75" customHeight="1" x14ac:dyDescent="0.2">
      <c r="A2383" s="155"/>
      <c r="B2383" s="138" t="str">
        <f>IF(A2383="","",VLOOKUP(A2383,'6.A'!$A$11:$G$180,2,FALSE))</f>
        <v/>
      </c>
      <c r="C2383" s="156"/>
      <c r="D2383" s="157" t="str">
        <f>IF(A2383="","",VLOOKUP(A2383,'6.A'!$A$11:$G$180,4,FALSE))</f>
        <v/>
      </c>
      <c r="E2383" s="158" t="str">
        <f>IF(A2383="","",VLOOKUP(A2383,'6.A'!$A$11:$G$180,5,FALSE))</f>
        <v/>
      </c>
      <c r="F2383" s="159" t="str">
        <f t="shared" si="1017"/>
        <v>0,00</v>
      </c>
      <c r="G2383" s="52"/>
      <c r="H2383" s="52" t="str">
        <f>IF(A2383="","",VLOOKUP(A2383,'6.A'!$A$11:$E$7984,5,FALSE))</f>
        <v/>
      </c>
      <c r="I2383" s="52" t="str">
        <f t="shared" si="1018"/>
        <v/>
      </c>
      <c r="J2383" s="52" t="str">
        <f>IF(H2383="","",VLOOKUP(A2383,'6.A'!$A$11:$E$564,4,FALSE))</f>
        <v/>
      </c>
      <c r="K2383" s="52" t="str">
        <f t="shared" si="1019"/>
        <v/>
      </c>
      <c r="L2383" s="52" t="str">
        <f>IF(H2383="","",IF(C2383="","",G2352*C2383))</f>
        <v/>
      </c>
      <c r="M2383" s="117" t="str">
        <f>IF(A2383="","",VLOOKUP(A2383,'6.A'!$A$11:$C$564,2,FALSE))</f>
        <v/>
      </c>
      <c r="N2383" s="57" t="str">
        <f t="shared" si="1020"/>
        <v/>
      </c>
      <c r="O2383" s="56"/>
      <c r="P2383" s="56"/>
      <c r="Q2383" s="48"/>
      <c r="R2383" s="48"/>
      <c r="S2383" s="65"/>
      <c r="T2383" s="2"/>
      <c r="U2383" s="2"/>
      <c r="V2383" s="2"/>
    </row>
    <row r="2384" spans="1:22" s="149" customFormat="1" ht="12.75" customHeight="1" x14ac:dyDescent="0.2">
      <c r="A2384" s="155"/>
      <c r="B2384" s="138" t="str">
        <f>IF(A2384="","",VLOOKUP(A2384,'6.A'!$A$11:$G$180,2,FALSE))</f>
        <v/>
      </c>
      <c r="C2384" s="156"/>
      <c r="D2384" s="157" t="str">
        <f>IF(A2384="","",VLOOKUP(A2384,'6.A'!$A$11:$G$180,4,FALSE))</f>
        <v/>
      </c>
      <c r="E2384" s="158" t="str">
        <f>IF(A2384="","",VLOOKUP(A2384,'6.A'!$A$11:$G$180,5,FALSE))</f>
        <v/>
      </c>
      <c r="F2384" s="159" t="str">
        <f t="shared" si="1017"/>
        <v>0,00</v>
      </c>
      <c r="G2384" s="52"/>
      <c r="H2384" s="52" t="str">
        <f>IF(A2384="","",VLOOKUP(A2384,'6.A'!$A$11:$E$7984,5,FALSE))</f>
        <v/>
      </c>
      <c r="I2384" s="52" t="str">
        <f t="shared" si="1018"/>
        <v/>
      </c>
      <c r="J2384" s="52" t="str">
        <f>IF(H2384="","",VLOOKUP(A2384,'6.A'!$A$11:$E$564,4,FALSE))</f>
        <v/>
      </c>
      <c r="K2384" s="52" t="str">
        <f t="shared" si="1019"/>
        <v/>
      </c>
      <c r="L2384" s="52" t="str">
        <f>IF(H2384="","",IF(C2384="","",G2352*C2384))</f>
        <v/>
      </c>
      <c r="M2384" s="117" t="str">
        <f>IF(A2384="","",VLOOKUP(A2384,'6.A'!$A$11:$C$564,2,FALSE))</f>
        <v/>
      </c>
      <c r="N2384" s="57" t="str">
        <f t="shared" si="1020"/>
        <v/>
      </c>
      <c r="O2384" s="56"/>
      <c r="P2384" s="56"/>
      <c r="Q2384" s="48"/>
      <c r="R2384" s="48"/>
      <c r="S2384" s="65"/>
      <c r="T2384" s="2"/>
      <c r="U2384" s="2"/>
      <c r="V2384" s="2"/>
    </row>
    <row r="2385" spans="1:22" s="149" customFormat="1" ht="12.75" customHeight="1" x14ac:dyDescent="0.2">
      <c r="A2385" s="155"/>
      <c r="B2385" s="138" t="str">
        <f>IF(A2385="","",VLOOKUP(A2385,'6.A'!$A$11:$G$180,2,FALSE))</f>
        <v/>
      </c>
      <c r="C2385" s="156"/>
      <c r="D2385" s="141" t="str">
        <f>IF(A2385="","",VLOOKUP(A2385,'6.A'!$A$11:$G$180,4,FALSE))</f>
        <v/>
      </c>
      <c r="E2385" s="160" t="str">
        <f>IF(A2385="","",VLOOKUP(A2385,'6.A'!$A$11:$G$180,5,FALSE))</f>
        <v/>
      </c>
      <c r="F2385" s="159" t="str">
        <f t="shared" si="1017"/>
        <v>0,00</v>
      </c>
      <c r="G2385" s="52"/>
      <c r="H2385" s="52" t="str">
        <f>IF(A2385="","",VLOOKUP(A2385,'6.A'!$A$11:$E$7984,5,FALSE))</f>
        <v/>
      </c>
      <c r="I2385" s="52" t="str">
        <f t="shared" si="1018"/>
        <v/>
      </c>
      <c r="J2385" s="52" t="str">
        <f>IF(H2385="","",VLOOKUP(A2385,'6.A'!$A$11:$E$564,4,FALSE))</f>
        <v/>
      </c>
      <c r="K2385" s="52" t="str">
        <f t="shared" si="1019"/>
        <v/>
      </c>
      <c r="L2385" s="52" t="str">
        <f>IF(H2385="","",IF(C2385="","",G2352*C2385))</f>
        <v/>
      </c>
      <c r="M2385" s="117" t="str">
        <f>IF(A2385="","",VLOOKUP(A2385,'6.A'!$A$11:$C$564,2,FALSE))</f>
        <v/>
      </c>
      <c r="N2385" s="57" t="str">
        <f t="shared" si="1020"/>
        <v/>
      </c>
      <c r="O2385" s="56"/>
      <c r="P2385" s="56"/>
      <c r="Q2385" s="48"/>
      <c r="R2385" s="48"/>
      <c r="S2385" s="65"/>
      <c r="T2385" s="2"/>
      <c r="U2385" s="2"/>
      <c r="V2385" s="2"/>
    </row>
    <row r="2386" spans="1:22" s="149" customFormat="1" ht="12.75" customHeight="1" x14ac:dyDescent="0.2">
      <c r="A2386" s="155"/>
      <c r="B2386" s="138" t="str">
        <f>IF(A2386="","",VLOOKUP(A2386,'6.A'!$A$11:$G$180,2,FALSE))</f>
        <v/>
      </c>
      <c r="C2386" s="156"/>
      <c r="D2386" s="141" t="str">
        <f>IF(A2386="","",VLOOKUP(A2386,'6.A'!$A$11:$G$180,4,FALSE))</f>
        <v/>
      </c>
      <c r="E2386" s="160" t="str">
        <f>IF(A2386="","",VLOOKUP(A2386,'6.A'!$A$11:$G$180,5,FALSE))</f>
        <v/>
      </c>
      <c r="F2386" s="159" t="str">
        <f t="shared" si="1017"/>
        <v>0,00</v>
      </c>
      <c r="G2386" s="52"/>
      <c r="H2386" s="52" t="str">
        <f>IF(A2386="","",VLOOKUP(A2386,'6.A'!$A$11:$E$7984,5,FALSE))</f>
        <v/>
      </c>
      <c r="I2386" s="52" t="str">
        <f t="shared" si="1018"/>
        <v/>
      </c>
      <c r="J2386" s="52" t="str">
        <f>IF(H2386="","",VLOOKUP(A2386,'6.A'!$A$11:$E$564,4,FALSE))</f>
        <v/>
      </c>
      <c r="K2386" s="52" t="str">
        <f t="shared" si="1019"/>
        <v/>
      </c>
      <c r="L2386" s="52" t="str">
        <f>IF(H2386="","",IF(C2386="","",G2352*C2386))</f>
        <v/>
      </c>
      <c r="M2386" s="117" t="str">
        <f>IF(A2386="","",VLOOKUP(A2386,'6.A'!$A$11:$C$564,2,FALSE))</f>
        <v/>
      </c>
      <c r="N2386" s="57" t="str">
        <f t="shared" si="1020"/>
        <v/>
      </c>
      <c r="O2386" s="56"/>
      <c r="P2386" s="56"/>
      <c r="Q2386" s="48"/>
      <c r="R2386" s="48"/>
      <c r="S2386" s="65"/>
      <c r="T2386" s="2"/>
      <c r="U2386" s="2"/>
      <c r="V2386" s="2"/>
    </row>
    <row r="2387" spans="1:22" s="149" customFormat="1" ht="12.75" customHeight="1" x14ac:dyDescent="0.2">
      <c r="A2387" s="155"/>
      <c r="B2387" s="138" t="str">
        <f>IF(A2387="","",VLOOKUP(A2387,'6.A'!$A$11:$G$180,2,FALSE))</f>
        <v/>
      </c>
      <c r="C2387" s="156"/>
      <c r="D2387" s="157" t="str">
        <f>IF(A2387="","",VLOOKUP(A2387,'6.A'!$A$11:$G$180,4,FALSE))</f>
        <v/>
      </c>
      <c r="E2387" s="158" t="str">
        <f>IF(A2387="","",VLOOKUP(A2387,'6.A'!$A$11:$G$180,5,FALSE))</f>
        <v/>
      </c>
      <c r="F2387" s="159" t="str">
        <f t="shared" si="1017"/>
        <v>0,00</v>
      </c>
      <c r="G2387" s="52"/>
      <c r="H2387" s="52" t="str">
        <f>IF(A2387="","",VLOOKUP(A2387,'6.A'!$A$11:$E$7984,5,FALSE))</f>
        <v/>
      </c>
      <c r="I2387" s="52" t="str">
        <f t="shared" si="1018"/>
        <v/>
      </c>
      <c r="J2387" s="52" t="str">
        <f>IF(H2387="","",VLOOKUP(A2387,'6.A'!$A$11:$E$564,4,FALSE))</f>
        <v/>
      </c>
      <c r="K2387" s="52" t="str">
        <f t="shared" si="1019"/>
        <v/>
      </c>
      <c r="L2387" s="52" t="str">
        <f>IF(H2387="","",IF(C2387="","",G2352*C2387))</f>
        <v/>
      </c>
      <c r="M2387" s="117" t="str">
        <f>IF(A2387="","",VLOOKUP(A2387,'6.A'!$A$11:$C$564,2,FALSE))</f>
        <v/>
      </c>
      <c r="N2387" s="57" t="str">
        <f t="shared" si="1020"/>
        <v/>
      </c>
      <c r="O2387" s="56"/>
      <c r="P2387" s="56"/>
      <c r="Q2387" s="48"/>
      <c r="R2387" s="48"/>
      <c r="S2387" s="65"/>
      <c r="T2387" s="2"/>
      <c r="U2387" s="2"/>
      <c r="V2387" s="2"/>
    </row>
    <row r="2388" spans="1:22" s="149" customFormat="1" ht="12.75" customHeight="1" x14ac:dyDescent="0.2">
      <c r="A2388" s="155"/>
      <c r="B2388" s="138" t="str">
        <f>IF(A2388="","",VLOOKUP(A2388,'6.A'!$A$11:$G$180,2,FALSE))</f>
        <v/>
      </c>
      <c r="C2388" s="156"/>
      <c r="D2388" s="157" t="str">
        <f>IF(A2388="","",VLOOKUP(A2388,'6.A'!$A$11:$G$180,4,FALSE))</f>
        <v/>
      </c>
      <c r="E2388" s="158" t="str">
        <f>IF(A2388="","",VLOOKUP(A2388,'6.A'!$A$11:$G$180,5,FALSE))</f>
        <v/>
      </c>
      <c r="F2388" s="159" t="str">
        <f t="shared" si="1017"/>
        <v>0,00</v>
      </c>
      <c r="G2388" s="52"/>
      <c r="H2388" s="52" t="str">
        <f>IF(A2388="","",VLOOKUP(A2388,'6.A'!$A$11:$E$7984,5,FALSE))</f>
        <v/>
      </c>
      <c r="I2388" s="52" t="str">
        <f t="shared" si="1018"/>
        <v/>
      </c>
      <c r="J2388" s="52" t="str">
        <f>IF(H2388="","",VLOOKUP(A2388,'6.A'!$A$11:$E$564,4,FALSE))</f>
        <v/>
      </c>
      <c r="K2388" s="52" t="str">
        <f t="shared" si="1019"/>
        <v/>
      </c>
      <c r="L2388" s="52" t="str">
        <f>IF(H2388="","",IF(C2388="","",G2352*C2388))</f>
        <v/>
      </c>
      <c r="M2388" s="117" t="str">
        <f>IF(A2388="","",VLOOKUP(A2388,'6.A'!$A$11:$C$564,2,FALSE))</f>
        <v/>
      </c>
      <c r="N2388" s="57" t="str">
        <f t="shared" si="1020"/>
        <v/>
      </c>
      <c r="O2388" s="56"/>
      <c r="P2388" s="56"/>
      <c r="Q2388" s="48"/>
      <c r="R2388" s="48"/>
      <c r="S2388" s="65"/>
      <c r="T2388" s="2"/>
      <c r="U2388" s="2"/>
      <c r="V2388" s="2"/>
    </row>
    <row r="2389" spans="1:22" s="149" customFormat="1" ht="12.75" customHeight="1" x14ac:dyDescent="0.2">
      <c r="A2389" s="155"/>
      <c r="B2389" s="138" t="str">
        <f>IF(A2389="","",VLOOKUP(A2389,'6.A'!$A$11:$G$180,2,FALSE))</f>
        <v/>
      </c>
      <c r="C2389" s="156"/>
      <c r="D2389" s="141" t="str">
        <f>IF(A2389="","",VLOOKUP(A2389,'6.A'!$A$11:$G$180,4,FALSE))</f>
        <v/>
      </c>
      <c r="E2389" s="160" t="str">
        <f>IF(A2389="","",VLOOKUP(A2389,'6.A'!$A$11:$G$180,5,FALSE))</f>
        <v/>
      </c>
      <c r="F2389" s="159" t="str">
        <f t="shared" si="1017"/>
        <v>0,00</v>
      </c>
      <c r="G2389" s="52"/>
      <c r="H2389" s="52" t="str">
        <f>IF(A2389="","",VLOOKUP(A2389,'6.A'!$A$11:$E$7984,5,FALSE))</f>
        <v/>
      </c>
      <c r="I2389" s="52" t="str">
        <f t="shared" si="1018"/>
        <v/>
      </c>
      <c r="J2389" s="52" t="str">
        <f>IF(H2389="","",VLOOKUP(A2389,'6.A'!$A$11:$E$564,4,FALSE))</f>
        <v/>
      </c>
      <c r="K2389" s="52" t="str">
        <f t="shared" si="1019"/>
        <v/>
      </c>
      <c r="L2389" s="52" t="str">
        <f>IF(H2389="","",IF(C2389="","",G2352*C2389))</f>
        <v/>
      </c>
      <c r="M2389" s="117" t="str">
        <f>IF(A2389="","",VLOOKUP(A2389,'6.A'!$A$11:$C$564,2,FALSE))</f>
        <v/>
      </c>
      <c r="N2389" s="57" t="str">
        <f t="shared" si="1020"/>
        <v/>
      </c>
      <c r="O2389" s="56"/>
      <c r="P2389" s="56"/>
      <c r="Q2389" s="48"/>
      <c r="R2389" s="48"/>
      <c r="S2389" s="65"/>
      <c r="T2389" s="2"/>
      <c r="U2389" s="2"/>
      <c r="V2389" s="2"/>
    </row>
    <row r="2390" spans="1:22" s="149" customFormat="1" ht="12.75" customHeight="1" x14ac:dyDescent="0.2">
      <c r="A2390" s="155"/>
      <c r="B2390" s="138" t="str">
        <f>IF(A2390="","",VLOOKUP(A2390,'6.A'!$A$11:$G$180,2,FALSE))</f>
        <v/>
      </c>
      <c r="C2390" s="156"/>
      <c r="D2390" s="141" t="str">
        <f>IF(A2390="","",VLOOKUP(A2390,'6.A'!$A$11:$G$180,4,FALSE))</f>
        <v/>
      </c>
      <c r="E2390" s="160" t="str">
        <f>IF(A2390="","",VLOOKUP(A2390,'6.A'!$A$11:$G$180,5,FALSE))</f>
        <v/>
      </c>
      <c r="F2390" s="159" t="str">
        <f t="shared" si="1017"/>
        <v>0,00</v>
      </c>
      <c r="G2390" s="52"/>
      <c r="H2390" s="52" t="str">
        <f>IF(A2390="","",VLOOKUP(A2390,'6.A'!$A$11:$E$7984,5,FALSE))</f>
        <v/>
      </c>
      <c r="I2390" s="52" t="str">
        <f t="shared" si="1018"/>
        <v/>
      </c>
      <c r="J2390" s="52" t="str">
        <f>IF(H2390="","",VLOOKUP(A2390,'6.A'!$A$11:$E$564,4,FALSE))</f>
        <v/>
      </c>
      <c r="K2390" s="52" t="str">
        <f t="shared" si="1019"/>
        <v/>
      </c>
      <c r="L2390" s="52" t="str">
        <f>IF(H2390="","",IF(C2390="","",G2352*C2390))</f>
        <v/>
      </c>
      <c r="M2390" s="117" t="str">
        <f>IF(A2390="","",VLOOKUP(A2390,'6.A'!$A$11:$C$564,2,FALSE))</f>
        <v/>
      </c>
      <c r="N2390" s="57" t="str">
        <f t="shared" si="1020"/>
        <v/>
      </c>
      <c r="O2390" s="56"/>
      <c r="P2390" s="56"/>
      <c r="Q2390" s="48"/>
      <c r="R2390" s="48"/>
      <c r="S2390" s="65"/>
      <c r="T2390" s="2"/>
      <c r="U2390" s="2"/>
      <c r="V2390" s="2"/>
    </row>
    <row r="2391" spans="1:22" s="149" customFormat="1" ht="12.75" customHeight="1" x14ac:dyDescent="0.2">
      <c r="A2391" s="155"/>
      <c r="B2391" s="138" t="str">
        <f>IF(A2391="","",VLOOKUP(A2391,'6.A'!$A$11:$G$180,2,FALSE))</f>
        <v/>
      </c>
      <c r="C2391" s="156"/>
      <c r="D2391" s="141" t="str">
        <f>IF(A2391="","",VLOOKUP(A2391,'6.A'!$A$11:$G$180,4,FALSE))</f>
        <v/>
      </c>
      <c r="E2391" s="160" t="str">
        <f>IF(A2391="","",VLOOKUP(A2391,'6.A'!$A$11:$G$180,5,FALSE))</f>
        <v/>
      </c>
      <c r="F2391" s="159" t="str">
        <f t="shared" si="1017"/>
        <v>0,00</v>
      </c>
      <c r="G2391" s="52"/>
      <c r="H2391" s="52" t="str">
        <f>IF(A2391="","",VLOOKUP(A2391,'6.A'!$A$11:$E$7984,5,FALSE))</f>
        <v/>
      </c>
      <c r="I2391" s="52" t="str">
        <f t="shared" si="1018"/>
        <v/>
      </c>
      <c r="J2391" s="52" t="str">
        <f>IF(H2391="","",VLOOKUP(A2391,'6.A'!$A$11:$E$564,4,FALSE))</f>
        <v/>
      </c>
      <c r="K2391" s="52" t="str">
        <f t="shared" si="1019"/>
        <v/>
      </c>
      <c r="L2391" s="52" t="str">
        <f>IF(H2391="","",IF(C2391="","",G2352*C2391))</f>
        <v/>
      </c>
      <c r="M2391" s="117" t="str">
        <f>IF(A2391="","",VLOOKUP(A2391,'6.A'!$A$11:$C$564,2,FALSE))</f>
        <v/>
      </c>
      <c r="N2391" s="57" t="str">
        <f t="shared" si="1020"/>
        <v/>
      </c>
      <c r="O2391" s="56"/>
      <c r="P2391" s="56"/>
      <c r="Q2391" s="48"/>
      <c r="R2391" s="48"/>
      <c r="S2391" s="65"/>
      <c r="T2391" s="2"/>
      <c r="U2391" s="2"/>
      <c r="V2391" s="2"/>
    </row>
    <row r="2392" spans="1:22" s="149" customFormat="1" ht="12.75" customHeight="1" x14ac:dyDescent="0.2">
      <c r="A2392" s="155"/>
      <c r="B2392" s="138" t="str">
        <f>IF(A2392="","",VLOOKUP(A2392,'6.A'!$A$11:$G$180,2,FALSE))</f>
        <v/>
      </c>
      <c r="C2392" s="156"/>
      <c r="D2392" s="141" t="str">
        <f>IF(A2392="","",VLOOKUP(A2392,'6.A'!$A$11:$G$180,4,FALSE))</f>
        <v/>
      </c>
      <c r="E2392" s="160" t="str">
        <f>IF(A2392="","",VLOOKUP(A2392,'6.A'!$A$11:$G$180,5,FALSE))</f>
        <v/>
      </c>
      <c r="F2392" s="159" t="str">
        <f t="shared" si="1017"/>
        <v>0,00</v>
      </c>
      <c r="G2392" s="52"/>
      <c r="H2392" s="52" t="str">
        <f>IF(A2392="","",VLOOKUP(A2392,'6.A'!$A$11:$E$7984,5,FALSE))</f>
        <v/>
      </c>
      <c r="I2392" s="52" t="str">
        <f t="shared" si="1018"/>
        <v/>
      </c>
      <c r="J2392" s="52" t="str">
        <f>IF(H2392="","",VLOOKUP(A2392,'6.A'!$A$11:$E$564,4,FALSE))</f>
        <v/>
      </c>
      <c r="K2392" s="52" t="str">
        <f t="shared" si="1019"/>
        <v/>
      </c>
      <c r="L2392" s="52" t="str">
        <f>IF(H2392="","",IF(C2392="","",G2352*C2392))</f>
        <v/>
      </c>
      <c r="M2392" s="117" t="str">
        <f>IF(A2392="","",VLOOKUP(A2392,'6.A'!$A$11:$C$564,2,FALSE))</f>
        <v/>
      </c>
      <c r="N2392" s="57" t="str">
        <f t="shared" si="1020"/>
        <v/>
      </c>
      <c r="O2392" s="56"/>
      <c r="P2392" s="56"/>
      <c r="Q2392" s="48"/>
      <c r="R2392" s="48"/>
      <c r="S2392" s="65"/>
      <c r="T2392" s="2"/>
      <c r="U2392" s="2"/>
      <c r="V2392" s="2"/>
    </row>
    <row r="2393" spans="1:22" s="149" customFormat="1" ht="12.75" customHeight="1" x14ac:dyDescent="0.2">
      <c r="A2393" s="155"/>
      <c r="B2393" s="138" t="str">
        <f>IF(A2393="","",VLOOKUP(A2393,'6.A'!$A$11:$G$180,2,FALSE))</f>
        <v/>
      </c>
      <c r="C2393" s="156"/>
      <c r="D2393" s="141" t="str">
        <f>IF(A2393="","",VLOOKUP(A2393,'6.A'!$A$11:$G$180,4,FALSE))</f>
        <v/>
      </c>
      <c r="E2393" s="160" t="str">
        <f>IF(A2393="","",VLOOKUP(A2393,'6.A'!$A$11:$G$180,5,FALSE))</f>
        <v/>
      </c>
      <c r="F2393" s="159" t="str">
        <f t="shared" si="1017"/>
        <v>0,00</v>
      </c>
      <c r="G2393" s="52"/>
      <c r="H2393" s="52" t="str">
        <f>IF(A2393="","",VLOOKUP(A2393,'6.A'!$A$11:$E$7984,5,FALSE))</f>
        <v/>
      </c>
      <c r="I2393" s="52" t="str">
        <f t="shared" si="1018"/>
        <v/>
      </c>
      <c r="J2393" s="52" t="str">
        <f>IF(H2393="","",VLOOKUP(A2393,'6.A'!$A$11:$E$564,4,FALSE))</f>
        <v/>
      </c>
      <c r="K2393" s="52" t="str">
        <f t="shared" si="1019"/>
        <v/>
      </c>
      <c r="L2393" s="52" t="str">
        <f>IF(H2393="","",IF(C2393="","",G2352*C2393))</f>
        <v/>
      </c>
      <c r="M2393" s="117" t="str">
        <f>IF(A2393="","",VLOOKUP(A2393,'6.A'!$A$11:$C$564,2,FALSE))</f>
        <v/>
      </c>
      <c r="N2393" s="57" t="str">
        <f t="shared" si="1020"/>
        <v/>
      </c>
      <c r="O2393" s="56"/>
      <c r="P2393" s="56"/>
      <c r="Q2393" s="48"/>
      <c r="R2393" s="48"/>
      <c r="S2393" s="65"/>
      <c r="T2393" s="2"/>
      <c r="U2393" s="2"/>
      <c r="V2393" s="2"/>
    </row>
    <row r="2394" spans="1:22" s="149" customFormat="1" ht="12.75" customHeight="1" x14ac:dyDescent="0.2">
      <c r="A2394" s="155"/>
      <c r="B2394" s="138" t="str">
        <f>IF(A2394="","",VLOOKUP(A2394,'6.A'!$A$11:$G$180,2,FALSE))</f>
        <v/>
      </c>
      <c r="C2394" s="156"/>
      <c r="D2394" s="141" t="str">
        <f>IF(A2394="","",VLOOKUP(A2394,'6.A'!$A$11:$G$180,4,FALSE))</f>
        <v/>
      </c>
      <c r="E2394" s="160" t="str">
        <f>IF(A2394="","",VLOOKUP(A2394,'6.A'!$A$11:$G$180,5,FALSE))</f>
        <v/>
      </c>
      <c r="F2394" s="159" t="str">
        <f t="shared" si="1017"/>
        <v>0,00</v>
      </c>
      <c r="G2394" s="52"/>
      <c r="H2394" s="52" t="str">
        <f>IF(A2394="","",VLOOKUP(A2394,'6.A'!$A$11:$E$7984,5,FALSE))</f>
        <v/>
      </c>
      <c r="I2394" s="52" t="str">
        <f t="shared" si="1018"/>
        <v/>
      </c>
      <c r="J2394" s="52" t="str">
        <f>IF(H2394="","",VLOOKUP(A2394,'6.A'!$A$11:$E$564,4,FALSE))</f>
        <v/>
      </c>
      <c r="K2394" s="52" t="str">
        <f t="shared" si="1019"/>
        <v/>
      </c>
      <c r="L2394" s="52" t="str">
        <f>IF(H2394="","",IF(C2394="","",G2352*C2394))</f>
        <v/>
      </c>
      <c r="M2394" s="117" t="str">
        <f>IF(A2394="","",VLOOKUP(A2394,'6.A'!$A$11:$C$564,2,FALSE))</f>
        <v/>
      </c>
      <c r="N2394" s="57" t="str">
        <f t="shared" si="1020"/>
        <v/>
      </c>
      <c r="O2394" s="56"/>
      <c r="P2394" s="56"/>
      <c r="Q2394" s="48"/>
      <c r="R2394" s="48"/>
      <c r="S2394" s="65"/>
      <c r="T2394" s="2"/>
      <c r="U2394" s="2"/>
      <c r="V2394" s="2"/>
    </row>
    <row r="2395" spans="1:22" s="149" customFormat="1" ht="12.75" customHeight="1" x14ac:dyDescent="0.2">
      <c r="A2395" s="155"/>
      <c r="B2395" s="138" t="str">
        <f>IF(A2395="","",VLOOKUP(A2395,'6.A'!$A$11:$G$180,2,FALSE))</f>
        <v/>
      </c>
      <c r="C2395" s="156"/>
      <c r="D2395" s="141" t="str">
        <f>IF(A2395="","",VLOOKUP(A2395,'6.A'!$A$11:$G$180,4,FALSE))</f>
        <v/>
      </c>
      <c r="E2395" s="160" t="str">
        <f>IF(A2395="","",VLOOKUP(A2395,'6.A'!$A$11:$G$180,5,FALSE))</f>
        <v/>
      </c>
      <c r="F2395" s="159" t="str">
        <f t="shared" si="1017"/>
        <v>0,00</v>
      </c>
      <c r="G2395" s="52"/>
      <c r="H2395" s="52" t="str">
        <f>IF(A2395="","",VLOOKUP(A2395,'6.A'!$A$11:$E$7984,5,FALSE))</f>
        <v/>
      </c>
      <c r="I2395" s="52" t="str">
        <f t="shared" si="1018"/>
        <v/>
      </c>
      <c r="J2395" s="52" t="str">
        <f>IF(H2395="","",VLOOKUP(A2395,'6.A'!$A$11:$E$564,4,FALSE))</f>
        <v/>
      </c>
      <c r="K2395" s="52" t="str">
        <f t="shared" si="1019"/>
        <v/>
      </c>
      <c r="L2395" s="52" t="str">
        <f>IF(H2395="","",IF(C2395="","",G2352*C2395))</f>
        <v/>
      </c>
      <c r="M2395" s="117" t="str">
        <f>IF(A2395="","",VLOOKUP(A2395,'6.A'!$A$11:$C$564,2,FALSE))</f>
        <v/>
      </c>
      <c r="N2395" s="57" t="str">
        <f t="shared" si="1020"/>
        <v/>
      </c>
      <c r="O2395" s="56"/>
      <c r="P2395" s="56"/>
      <c r="Q2395" s="48"/>
      <c r="R2395" s="48"/>
      <c r="S2395" s="65"/>
      <c r="T2395" s="2"/>
      <c r="U2395" s="2"/>
      <c r="V2395" s="2"/>
    </row>
    <row r="2396" spans="1:22" s="149" customFormat="1" ht="12.75" customHeight="1" x14ac:dyDescent="0.2">
      <c r="A2396" s="155"/>
      <c r="B2396" s="138" t="str">
        <f>IF(A2396="","",VLOOKUP(A2396,'6.A'!$A$11:$G$180,2,FALSE))</f>
        <v/>
      </c>
      <c r="C2396" s="156"/>
      <c r="D2396" s="141" t="str">
        <f>IF(A2396="","",VLOOKUP(A2396,'6.A'!$A$11:$G$180,4,FALSE))</f>
        <v/>
      </c>
      <c r="E2396" s="160" t="str">
        <f>IF(A2396="","",VLOOKUP(A2396,'6.A'!$A$11:$G$180,5,FALSE))</f>
        <v/>
      </c>
      <c r="F2396" s="159" t="str">
        <f t="shared" si="1017"/>
        <v>0,00</v>
      </c>
      <c r="G2396" s="52"/>
      <c r="H2396" s="52" t="str">
        <f>IF(A2396="","",VLOOKUP(A2396,'6.A'!$A$11:$E$7984,5,FALSE))</f>
        <v/>
      </c>
      <c r="I2396" s="52" t="str">
        <f t="shared" si="1018"/>
        <v/>
      </c>
      <c r="J2396" s="52" t="str">
        <f>IF(H2396="","",VLOOKUP(A2396,'6.A'!$A$11:$E$564,4,FALSE))</f>
        <v/>
      </c>
      <c r="K2396" s="52" t="str">
        <f t="shared" si="1019"/>
        <v/>
      </c>
      <c r="L2396" s="52" t="str">
        <f>IF(H2396="","",IF(C2396="","",G2352*C2396))</f>
        <v/>
      </c>
      <c r="M2396" s="117" t="str">
        <f>IF(A2396="","",VLOOKUP(A2396,'6.A'!$A$11:$C$564,2,FALSE))</f>
        <v/>
      </c>
      <c r="N2396" s="57" t="str">
        <f t="shared" si="1020"/>
        <v/>
      </c>
      <c r="O2396" s="56"/>
      <c r="P2396" s="56"/>
      <c r="Q2396" s="48"/>
      <c r="R2396" s="48"/>
      <c r="S2396" s="65"/>
      <c r="T2396" s="2"/>
      <c r="U2396" s="2"/>
      <c r="V2396" s="2"/>
    </row>
    <row r="2397" spans="1:22" s="137" customFormat="1" ht="12.75" customHeight="1" x14ac:dyDescent="0.2">
      <c r="A2397" s="155"/>
      <c r="B2397" s="171" t="str">
        <f>IF(A2397="","",VLOOKUP(A2397,'6.A'!$A$11:$G$180,2,FALSE))</f>
        <v/>
      </c>
      <c r="C2397" s="156"/>
      <c r="D2397" s="141" t="str">
        <f>IF(A2397="","",VLOOKUP(A2397,'6.A'!$A$11:$G$180,4,FALSE))</f>
        <v/>
      </c>
      <c r="E2397" s="160" t="str">
        <f>IF(A2397="","",VLOOKUP(A2397,'6.A'!$A$11:$G$180,5,FALSE))</f>
        <v/>
      </c>
      <c r="F2397" s="159" t="str">
        <f t="shared" si="1017"/>
        <v>0,00</v>
      </c>
      <c r="G2397" s="52"/>
      <c r="H2397" s="52" t="str">
        <f>IF(A2397="","",VLOOKUP(A2397,'6.A'!$A$11:$E$7984,5,FALSE))</f>
        <v/>
      </c>
      <c r="I2397" s="52" t="str">
        <f t="shared" si="1018"/>
        <v/>
      </c>
      <c r="J2397" s="52" t="str">
        <f>IF(H2397="","",VLOOKUP(A2397,'6.A'!$A$11:$E$564,4,FALSE))</f>
        <v/>
      </c>
      <c r="K2397" s="52" t="str">
        <f t="shared" si="1019"/>
        <v/>
      </c>
      <c r="L2397" s="52" t="str">
        <f>IF(H2397="","",IF(C2397="","",G2352*C2397))</f>
        <v/>
      </c>
      <c r="M2397" s="117" t="str">
        <f>IF(A2397="","",VLOOKUP(A2397,'6.A'!$A$11:$C$564,2,FALSE))</f>
        <v/>
      </c>
      <c r="N2397" s="57" t="str">
        <f t="shared" si="1020"/>
        <v/>
      </c>
      <c r="O2397" s="56"/>
      <c r="P2397" s="56"/>
      <c r="Q2397" s="48"/>
      <c r="R2397" s="48"/>
      <c r="S2397" s="65"/>
      <c r="T2397" s="2"/>
      <c r="U2397" s="2"/>
      <c r="V2397" s="2"/>
    </row>
    <row r="2398" spans="1:22" s="137" customFormat="1" ht="12.75" customHeight="1" x14ac:dyDescent="0.2">
      <c r="A2398" s="155"/>
      <c r="B2398" s="171" t="str">
        <f>IF(A2398="","",VLOOKUP(A2398,'6.A'!$A$11:$G$180,2,FALSE))</f>
        <v/>
      </c>
      <c r="C2398" s="156"/>
      <c r="D2398" s="141" t="str">
        <f>IF(A2398="","",VLOOKUP(A2398,'6.A'!$A$11:$G$180,4,FALSE))</f>
        <v/>
      </c>
      <c r="E2398" s="160" t="str">
        <f>IF(A2398="","",VLOOKUP(A2398,'6.A'!$A$11:$G$180,5,FALSE))</f>
        <v/>
      </c>
      <c r="F2398" s="159" t="str">
        <f t="shared" si="1017"/>
        <v>0,00</v>
      </c>
      <c r="G2398" s="52"/>
      <c r="H2398" s="52" t="str">
        <f>IF(A2398="","",VLOOKUP(A2398,'6.A'!$A$11:$E$7984,5,FALSE))</f>
        <v/>
      </c>
      <c r="I2398" s="52" t="str">
        <f t="shared" si="1018"/>
        <v/>
      </c>
      <c r="J2398" s="52" t="str">
        <f>IF(H2398="","",VLOOKUP(A2398,'6.A'!$A$11:$E$564,4,FALSE))</f>
        <v/>
      </c>
      <c r="K2398" s="52" t="str">
        <f t="shared" si="1019"/>
        <v/>
      </c>
      <c r="L2398" s="52" t="str">
        <f>IF(H2398="","",IF(C2398="","",G2352*C2398))</f>
        <v/>
      </c>
      <c r="M2398" s="117" t="str">
        <f>IF(A2398="","",VLOOKUP(A2398,'6.A'!$A$11:$C$564,2,FALSE))</f>
        <v/>
      </c>
      <c r="N2398" s="57" t="str">
        <f t="shared" si="1020"/>
        <v/>
      </c>
      <c r="O2398" s="56"/>
      <c r="P2398" s="56"/>
      <c r="Q2398" s="48"/>
      <c r="R2398" s="48"/>
      <c r="S2398" s="65"/>
      <c r="T2398" s="2"/>
      <c r="U2398" s="2"/>
      <c r="V2398" s="2"/>
    </row>
    <row r="2399" spans="1:22" s="137" customFormat="1" ht="12.75" customHeight="1" x14ac:dyDescent="0.2">
      <c r="A2399" s="155"/>
      <c r="B2399" s="171" t="str">
        <f>IF(A2399="","",VLOOKUP(A2399,'6.A'!$A$11:$G$180,2,FALSE))</f>
        <v/>
      </c>
      <c r="C2399" s="156"/>
      <c r="D2399" s="141" t="str">
        <f>IF(A2399="","",VLOOKUP(A2399,'6.A'!$A$11:$G$180,4,FALSE))</f>
        <v/>
      </c>
      <c r="E2399" s="160" t="str">
        <f>IF(A2399="","",VLOOKUP(A2399,'6.A'!$A$11:$G$180,5,FALSE))</f>
        <v/>
      </c>
      <c r="F2399" s="159" t="str">
        <f t="shared" si="1017"/>
        <v>0,00</v>
      </c>
      <c r="G2399" s="52"/>
      <c r="H2399" s="52" t="str">
        <f>IF(A2399="","",VLOOKUP(A2399,'6.A'!$A$11:$E$7984,5,FALSE))</f>
        <v/>
      </c>
      <c r="I2399" s="52" t="str">
        <f t="shared" si="1018"/>
        <v/>
      </c>
      <c r="J2399" s="52" t="str">
        <f>IF(H2399="","",VLOOKUP(A2399,'6.A'!$A$11:$E$564,4,FALSE))</f>
        <v/>
      </c>
      <c r="K2399" s="52" t="str">
        <f t="shared" si="1019"/>
        <v/>
      </c>
      <c r="L2399" s="52" t="str">
        <f>IF(H2399="","",IF(C2399="","",G2352*C2399))</f>
        <v/>
      </c>
      <c r="M2399" s="117" t="str">
        <f>IF(A2399="","",VLOOKUP(A2399,'6.A'!$A$11:$C$564,2,FALSE))</f>
        <v/>
      </c>
      <c r="N2399" s="57" t="str">
        <f t="shared" si="1020"/>
        <v/>
      </c>
      <c r="O2399" s="56"/>
      <c r="P2399" s="56"/>
      <c r="Q2399" s="48"/>
      <c r="R2399" s="48"/>
      <c r="S2399" s="65"/>
      <c r="T2399" s="2"/>
      <c r="U2399" s="2"/>
      <c r="V2399" s="2"/>
    </row>
    <row r="2400" spans="1:22" s="137" customFormat="1" ht="12.75" customHeight="1" x14ac:dyDescent="0.2">
      <c r="A2400" s="155"/>
      <c r="B2400" s="171" t="str">
        <f>IF(A2400="","",VLOOKUP(A2400,'6.A'!$A$11:$G$180,2,FALSE))</f>
        <v/>
      </c>
      <c r="C2400" s="156"/>
      <c r="D2400" s="141" t="str">
        <f>IF(A2400="","",VLOOKUP(A2400,'6.A'!$A$11:$G$180,4,FALSE))</f>
        <v/>
      </c>
      <c r="E2400" s="160" t="str">
        <f>IF(A2400="","",VLOOKUP(A2400,'6.A'!$A$11:$G$180,5,FALSE))</f>
        <v/>
      </c>
      <c r="F2400" s="159" t="str">
        <f t="shared" si="1017"/>
        <v>0,00</v>
      </c>
      <c r="G2400" s="52"/>
      <c r="H2400" s="52" t="str">
        <f>IF(A2400="","",VLOOKUP(A2400,'6.A'!$A$11:$E$7984,5,FALSE))</f>
        <v/>
      </c>
      <c r="I2400" s="52" t="str">
        <f t="shared" si="1018"/>
        <v/>
      </c>
      <c r="J2400" s="52" t="str">
        <f>IF(H2400="","",VLOOKUP(A2400,'6.A'!$A$11:$E$564,4,FALSE))</f>
        <v/>
      </c>
      <c r="K2400" s="52" t="str">
        <f t="shared" si="1019"/>
        <v/>
      </c>
      <c r="L2400" s="52" t="str">
        <f>IF(H2400="","",IF(C2400="","",G2352*C2400))</f>
        <v/>
      </c>
      <c r="M2400" s="117" t="str">
        <f>IF(A2400="","",VLOOKUP(A2400,'6.A'!$A$11:$C$564,2,FALSE))</f>
        <v/>
      </c>
      <c r="N2400" s="57" t="str">
        <f t="shared" si="1020"/>
        <v/>
      </c>
      <c r="O2400" s="56"/>
      <c r="P2400" s="56"/>
      <c r="Q2400" s="48"/>
      <c r="R2400" s="48"/>
      <c r="S2400" s="65"/>
      <c r="T2400" s="2"/>
      <c r="U2400" s="2"/>
      <c r="V2400" s="2"/>
    </row>
    <row r="2401" spans="1:22" s="137" customFormat="1" ht="12.75" customHeight="1" x14ac:dyDescent="0.2">
      <c r="A2401" s="155"/>
      <c r="B2401" s="26" t="str">
        <f>$A$9</f>
        <v>BDI</v>
      </c>
      <c r="C2401" s="40">
        <f>$C$9</f>
        <v>0</v>
      </c>
      <c r="D2401" s="141"/>
      <c r="E2401" s="147"/>
      <c r="F2401" s="162">
        <f>ROUND(SUM(F2381:F2400)*C2401,2)</f>
        <v>0</v>
      </c>
      <c r="G2401" s="63"/>
      <c r="H2401" s="52"/>
      <c r="I2401" s="57"/>
      <c r="J2401" s="57"/>
      <c r="K2401" s="57"/>
      <c r="L2401" s="52"/>
      <c r="M2401" s="57"/>
      <c r="N2401" s="57"/>
      <c r="O2401" s="56"/>
      <c r="P2401" s="56"/>
      <c r="Q2401" s="48"/>
      <c r="R2401" s="48"/>
      <c r="S2401" s="65"/>
      <c r="T2401" s="2"/>
      <c r="U2401" s="2"/>
      <c r="V2401" s="2"/>
    </row>
    <row r="2402" spans="1:22" s="137" customFormat="1" ht="12.75" customHeight="1" thickBot="1" x14ac:dyDescent="0.25">
      <c r="A2402" s="172"/>
      <c r="B2402" s="42" t="s">
        <v>57</v>
      </c>
      <c r="C2402" s="43"/>
      <c r="D2402" s="173"/>
      <c r="E2402" s="174"/>
      <c r="F2402" s="175">
        <f>ROUND(SUM(F2381:F2401),2)</f>
        <v>0</v>
      </c>
      <c r="G2402" s="63"/>
      <c r="H2402" s="52"/>
      <c r="I2402" s="57"/>
      <c r="J2402" s="57"/>
      <c r="K2402" s="57"/>
      <c r="L2402" s="52"/>
      <c r="M2402" s="57"/>
      <c r="N2402" s="57"/>
      <c r="O2402" s="56"/>
      <c r="P2402" s="56"/>
      <c r="Q2402" s="48"/>
      <c r="R2402" s="48"/>
      <c r="S2402" s="65"/>
      <c r="T2402" s="2"/>
      <c r="U2402" s="2"/>
      <c r="V2402" s="2"/>
    </row>
    <row r="2403" spans="1:22" s="149" customFormat="1" ht="12" customHeight="1" thickBot="1" x14ac:dyDescent="0.25">
      <c r="A2403" s="150"/>
      <c r="B2403" s="145"/>
      <c r="C2403" s="146"/>
      <c r="D2403" s="141"/>
      <c r="E2403" s="147"/>
      <c r="F2403" s="142"/>
      <c r="G2403" s="142"/>
      <c r="H2403" s="139"/>
      <c r="I2403" s="141"/>
      <c r="J2403" s="141"/>
      <c r="K2403" s="141"/>
      <c r="L2403" s="139"/>
      <c r="M2403" s="143"/>
      <c r="N2403" s="143"/>
      <c r="O2403" s="144"/>
      <c r="P2403" s="144"/>
      <c r="Q2403" s="135"/>
      <c r="R2403" s="135"/>
      <c r="T2403" s="137"/>
      <c r="U2403" s="137"/>
      <c r="V2403" s="137"/>
    </row>
    <row r="2404" spans="1:22" s="137" customFormat="1" ht="50.1" customHeight="1" x14ac:dyDescent="0.2">
      <c r="A2404" s="151" t="str">
        <f>'3.A'!$A$147</f>
        <v>3.3.3</v>
      </c>
      <c r="B2404" s="14" t="str">
        <f>IF(A2404="","",VLOOKUP(A2404,'3.A'!$A$17:$M$279,2,FALSE))</f>
        <v>QUADRO GERAL - BARRAMENTO DE 400A</v>
      </c>
      <c r="C2404" s="413" t="s">
        <v>62</v>
      </c>
      <c r="D2404" s="413"/>
      <c r="E2404" s="15" t="str">
        <f>IF(A2404="","",VLOOKUP(A2404,'3.A'!$A$17:$M$279,3,FALSE))</f>
        <v>M</v>
      </c>
      <c r="F2404" s="16">
        <f>ROUND(F2418+F2431+F2454,2)</f>
        <v>0</v>
      </c>
      <c r="G2404" s="118">
        <f>VLOOKUP(A2404,'3.A'!$A$19:$I$279,4,FALSE)</f>
        <v>3</v>
      </c>
      <c r="H2404" s="47">
        <f>SUM(F2406:F2417)</f>
        <v>0</v>
      </c>
      <c r="I2404" s="47">
        <f>SUM(F2420:F2430)</f>
        <v>0</v>
      </c>
      <c r="J2404" s="47">
        <f>SUM(F2433:F2453)</f>
        <v>0</v>
      </c>
      <c r="K2404" s="47">
        <f>SUM(H2404:J2404)</f>
        <v>0</v>
      </c>
      <c r="L2404" s="47" t="str">
        <f>IF(K2404=F2404,"SIM","NÃO")</f>
        <v>SIM</v>
      </c>
      <c r="M2404" s="58">
        <f>ROUND(SUM(F2406:F2415)*C2416,2)+ROUND(SUM(F2406:F2416)*C2417,2)+ROUND(SUM(F2406:F2415),2)+ROUND(SUM(F2420:F2429)*C2430,2)+ROUND(SUM(F2420:F2429),2)+ROUND(SUM(F2433:F2452)*C2453,2)+ROUND(SUM(F2433:F2452),2)</f>
        <v>0</v>
      </c>
      <c r="N2404" s="50" t="str">
        <f>IF(M2404=F2404,"SIM","NÃO")</f>
        <v>SIM</v>
      </c>
      <c r="O2404" s="51" t="str">
        <f>VLOOKUP(A2404,'3.A'!$A$8:$E$279,3,FALSE)</f>
        <v>M</v>
      </c>
      <c r="P2404" s="51" t="str">
        <f>IF(O2404=E2404,"SIM","NÃO")</f>
        <v>SIM</v>
      </c>
      <c r="Q2404" s="53">
        <f>ROUND(G2404*F2418,2)+ROUND(G2404*F2431,2)+ROUND(G2404*F2454,2)</f>
        <v>0</v>
      </c>
      <c r="R2404" s="59">
        <f>VLOOKUP(A2404,'3.A'!$A$17:$L$279,12,FALSE)</f>
        <v>0</v>
      </c>
      <c r="S2404" s="60" t="str">
        <f>IF(Q2404=R2404,"si","no")</f>
        <v>si</v>
      </c>
      <c r="T2404" s="61">
        <f>SUM(L2406:L2415)+SUM(L2420:L2429)+SUM(L2433:L2452)</f>
        <v>12.600000000000001</v>
      </c>
      <c r="U2404" s="52">
        <f>G2404*C2412+G2404*C2414+G2404*C2407+G2404*C2408+G2404*C2410+G2404*C2413+G2404*C2411+G2404*C2406+G2404*C2409+G2404*C2415+G2404*C2426+G2404*C2420+G2404*C2428+G2404*C2427+G2404*C2425+G2404*C2422+G2404*C2421+G2404*C2423+G2404*C2429+G2404*C2424+G2404*C2433+G2404*C2434+G2404*C2435+G2404*C2443+G2404*C2444+G2404*C2445+G2404*C2446+G2404*C2447+G2404*C2448+G2404*C2449+G2404*C2450+G2404*C2451+G2404*C2452+G2404*C2441+G2404*C2442+G2404*C2436+G2404*C2437+G2404*C2438+G2404*C2439+G2404*C2440</f>
        <v>12.600000000000001</v>
      </c>
      <c r="V2404" s="54" t="str">
        <f>IF(T2404=U2404,"si","no")</f>
        <v>si</v>
      </c>
    </row>
    <row r="2405" spans="1:22" s="137" customFormat="1" ht="12.75" customHeight="1" x14ac:dyDescent="0.2">
      <c r="A2405" s="152" t="s">
        <v>3</v>
      </c>
      <c r="B2405" s="153" t="s">
        <v>58</v>
      </c>
      <c r="C2405" s="140" t="s">
        <v>59</v>
      </c>
      <c r="D2405" s="140" t="s">
        <v>16</v>
      </c>
      <c r="E2405" s="154" t="s">
        <v>60</v>
      </c>
      <c r="F2405" s="148" t="s">
        <v>61</v>
      </c>
      <c r="G2405" s="21"/>
      <c r="H2405" s="52"/>
      <c r="I2405" s="57"/>
      <c r="J2405" s="57"/>
      <c r="K2405" s="57"/>
      <c r="L2405" s="52"/>
      <c r="M2405" s="57"/>
      <c r="N2405" s="57"/>
      <c r="O2405" s="56"/>
      <c r="P2405" s="56"/>
      <c r="Q2405" s="48"/>
      <c r="R2405" s="48"/>
      <c r="S2405" s="65"/>
      <c r="T2405" s="2"/>
      <c r="U2405" s="2"/>
      <c r="V2405" s="2"/>
    </row>
    <row r="2406" spans="1:22" s="137" customFormat="1" ht="12.75" customHeight="1" x14ac:dyDescent="0.2">
      <c r="A2406" s="155">
        <f>'6.A'!$A$18</f>
        <v>88264</v>
      </c>
      <c r="B2406" s="138" t="str">
        <f>IF(A2406="","",VLOOKUP(A2406,'6.A'!$A$11:$G$180,2,FALSE))</f>
        <v>ELETRICISTA COM ENCARGOS COMPLEMENTARES</v>
      </c>
      <c r="C2406" s="156">
        <v>2</v>
      </c>
      <c r="D2406" s="157" t="str">
        <f>IF(A2406="","",VLOOKUP(A2406,'6.A'!$A$11:$G$180,4,FALSE))</f>
        <v>H</v>
      </c>
      <c r="E2406" s="158">
        <f>IF(A2406="","",VLOOKUP(A2406,'6.A'!$A$11:$G$180,5,FALSE))</f>
        <v>0</v>
      </c>
      <c r="F2406" s="159">
        <f t="shared" ref="F2406:F2415" si="1021">IF(A2406="","0,00",ROUND(C2406*E2406,2))</f>
        <v>0</v>
      </c>
      <c r="G2406" s="52"/>
      <c r="H2406" s="52">
        <f>IF(A2406="","",VLOOKUP(A2406,'6.A'!$A$11:$E$7984,5,FALSE))</f>
        <v>0</v>
      </c>
      <c r="I2406" s="52" t="str">
        <f>IF(H2406="","",IF(E2406=H2406,"SIM","NÃO"))</f>
        <v>SIM</v>
      </c>
      <c r="J2406" s="52" t="str">
        <f>IF(H2406="","",VLOOKUP(A2406,'6.A'!$A$11:$E$564,4,FALSE))</f>
        <v>H</v>
      </c>
      <c r="K2406" s="52" t="str">
        <f>IF(H2406="","",IF(J2406=D2406,"SIM","NÃO"))</f>
        <v>SIM</v>
      </c>
      <c r="L2406" s="52">
        <f>IF(H2406="","",IF(C2406="","",G2404*C2406))</f>
        <v>6</v>
      </c>
      <c r="M2406" s="117" t="str">
        <f>IF(A2406="","",VLOOKUP(A2406,'6.A'!$A$11:$C$564,2,FALSE))</f>
        <v>ELETRICISTA COM ENCARGOS COMPLEMENTARES</v>
      </c>
      <c r="N2406" s="57" t="str">
        <f>IF(A2406="","",IF(M2406=B2406,"si","no"))</f>
        <v>si</v>
      </c>
      <c r="O2406" s="56"/>
      <c r="P2406" s="56"/>
      <c r="Q2406" s="48"/>
      <c r="R2406" s="48"/>
      <c r="S2406" s="65"/>
      <c r="T2406" s="2"/>
      <c r="U2406" s="2"/>
      <c r="V2406" s="2"/>
    </row>
    <row r="2407" spans="1:22" s="137" customFormat="1" ht="12.75" customHeight="1" x14ac:dyDescent="0.2">
      <c r="A2407" s="155"/>
      <c r="B2407" s="138" t="str">
        <f>IF(A2407="","",VLOOKUP(A2407,'6.A'!$A$11:$G$180,2,FALSE))</f>
        <v/>
      </c>
      <c r="C2407" s="156"/>
      <c r="D2407" s="157" t="str">
        <f>IF(A2407="","",VLOOKUP(A2407,'6.A'!$A$11:$G$180,4,FALSE))</f>
        <v/>
      </c>
      <c r="E2407" s="158" t="str">
        <f>IF(A2407="","",VLOOKUP(A2407,'6.A'!$A$11:$G$180,5,FALSE))</f>
        <v/>
      </c>
      <c r="F2407" s="159" t="str">
        <f t="shared" si="1021"/>
        <v>0,00</v>
      </c>
      <c r="G2407" s="52"/>
      <c r="H2407" s="52" t="str">
        <f>IF(A2407="","",VLOOKUP(A2407,'6.A'!$A$11:$E$7984,5,FALSE))</f>
        <v/>
      </c>
      <c r="I2407" s="52" t="str">
        <f>IF(H2407="","",IF(E2407=H2407,"SIM","NÃO"))</f>
        <v/>
      </c>
      <c r="J2407" s="52" t="str">
        <f>IF(H2407="","",VLOOKUP(A2407,'6.A'!$A$11:$E$564,4,FALSE))</f>
        <v/>
      </c>
      <c r="K2407" s="52" t="str">
        <f>IF(H2407="","",IF(J2407=D2407,"SIM","NÃO"))</f>
        <v/>
      </c>
      <c r="L2407" s="52" t="str">
        <f>IF(H2407="","",IF(C2407="","",G2404*C2407))</f>
        <v/>
      </c>
      <c r="M2407" s="117" t="str">
        <f>IF(A2407="","",VLOOKUP(A2407,'6.A'!$A$11:$C$564,2,FALSE))</f>
        <v/>
      </c>
      <c r="N2407" s="57" t="str">
        <f>IF(A2407="","",IF(M2407=B2407,"si","no"))</f>
        <v/>
      </c>
      <c r="O2407" s="56"/>
      <c r="P2407" s="56"/>
      <c r="Q2407" s="48"/>
      <c r="R2407" s="48"/>
      <c r="S2407" s="65"/>
      <c r="T2407" s="2"/>
      <c r="U2407" s="2"/>
      <c r="V2407" s="2"/>
    </row>
    <row r="2408" spans="1:22" s="137" customFormat="1" ht="12.75" customHeight="1" x14ac:dyDescent="0.2">
      <c r="A2408" s="155"/>
      <c r="B2408" s="138" t="str">
        <f>IF(A2408="","",VLOOKUP(A2408,'6.A'!$A$11:$G$180,2,FALSE))</f>
        <v/>
      </c>
      <c r="C2408" s="156"/>
      <c r="D2408" s="157" t="str">
        <f>IF(A2408="","",VLOOKUP(A2408,'6.A'!$A$11:$G$180,4,FALSE))</f>
        <v/>
      </c>
      <c r="E2408" s="158" t="str">
        <f>IF(A2408="","",VLOOKUP(A2408,'6.A'!$A$11:$G$180,5,FALSE))</f>
        <v/>
      </c>
      <c r="F2408" s="159" t="str">
        <f t="shared" si="1021"/>
        <v>0,00</v>
      </c>
      <c r="G2408" s="52"/>
      <c r="H2408" s="52" t="str">
        <f>IF(A2408="","",VLOOKUP(A2408,'6.A'!$A$11:$E$7984,5,FALSE))</f>
        <v/>
      </c>
      <c r="I2408" s="52" t="str">
        <f>IF(H2408="","",IF(E2408=H2408,"SIM","NÃO"))</f>
        <v/>
      </c>
      <c r="J2408" s="52" t="str">
        <f>IF(H2408="","",VLOOKUP(A2408,'6.A'!$A$11:$E$564,4,FALSE))</f>
        <v/>
      </c>
      <c r="K2408" s="52" t="str">
        <f t="shared" ref="K2408" si="1022">IF(H2408="","",IF(J2408=D2408,"SIM","NÃO"))</f>
        <v/>
      </c>
      <c r="L2408" s="52" t="str">
        <f>IF(H2408="","",IF(C2408="","",G2404*C2408))</f>
        <v/>
      </c>
      <c r="M2408" s="117" t="str">
        <f>IF(A2408="","",VLOOKUP(A2408,'6.A'!$A$11:$C$564,2,FALSE))</f>
        <v/>
      </c>
      <c r="N2408" s="57" t="str">
        <f t="shared" ref="N2408" si="1023">IF(A2408="","",IF(M2408=B2408,"si","no"))</f>
        <v/>
      </c>
      <c r="O2408" s="56"/>
      <c r="P2408" s="56"/>
      <c r="Q2408" s="48"/>
      <c r="R2408" s="48"/>
      <c r="S2408" s="65"/>
      <c r="T2408" s="2"/>
      <c r="U2408" s="2"/>
      <c r="V2408" s="2"/>
    </row>
    <row r="2409" spans="1:22" s="137" customFormat="1" ht="12.75" customHeight="1" x14ac:dyDescent="0.2">
      <c r="A2409" s="155"/>
      <c r="B2409" s="138" t="str">
        <f>IF(A2409="","",VLOOKUP(A2409,'6.A'!$A$11:$G$180,2,FALSE))</f>
        <v/>
      </c>
      <c r="C2409" s="156"/>
      <c r="D2409" s="157" t="str">
        <f>IF(A2409="","",VLOOKUP(A2409,'6.A'!$A$11:$G$180,4,FALSE))</f>
        <v/>
      </c>
      <c r="E2409" s="158" t="str">
        <f>IF(A2409="","",VLOOKUP(A2409,'6.A'!$A$11:$G$180,5,FALSE))</f>
        <v/>
      </c>
      <c r="F2409" s="159" t="str">
        <f t="shared" si="1021"/>
        <v>0,00</v>
      </c>
      <c r="G2409" s="52"/>
      <c r="H2409" s="52" t="str">
        <f>IF(A2409="","",VLOOKUP(A2409,'6.A'!$A$11:$E$7984,5,FALSE))</f>
        <v/>
      </c>
      <c r="I2409" s="52" t="str">
        <f>IF(H2409="","",IF(E2409=H2409,"SIM","NÃO"))</f>
        <v/>
      </c>
      <c r="J2409" s="52" t="str">
        <f>IF(H2409="","",VLOOKUP(A2409,'6.A'!$A$11:$E$564,4,FALSE))</f>
        <v/>
      </c>
      <c r="K2409" s="52" t="str">
        <f>IF(H2409="","",IF(J2409=D2409,"SIM","NÃO"))</f>
        <v/>
      </c>
      <c r="L2409" s="52" t="str">
        <f>IF(H2409="","",IF(C2409="","",G2404*C2409))</f>
        <v/>
      </c>
      <c r="M2409" s="117" t="str">
        <f>IF(A2409="","",VLOOKUP(A2409,'6.A'!$A$11:$C$564,2,FALSE))</f>
        <v/>
      </c>
      <c r="N2409" s="57" t="str">
        <f>IF(A2409="","",IF(M2409=B2409,"si","no"))</f>
        <v/>
      </c>
      <c r="O2409" s="56"/>
      <c r="P2409" s="56"/>
      <c r="Q2409" s="48"/>
      <c r="R2409" s="48"/>
      <c r="S2409" s="65"/>
      <c r="T2409" s="2"/>
      <c r="U2409" s="2"/>
      <c r="V2409" s="2"/>
    </row>
    <row r="2410" spans="1:22" s="137" customFormat="1" ht="12.75" customHeight="1" x14ac:dyDescent="0.2">
      <c r="A2410" s="155"/>
      <c r="B2410" s="138" t="str">
        <f>IF(A2410="","",VLOOKUP(A2410,'6.A'!$A$11:$G$180,2,FALSE))</f>
        <v/>
      </c>
      <c r="C2410" s="156"/>
      <c r="D2410" s="157" t="str">
        <f>IF(A2410="","",VLOOKUP(A2410,'6.A'!$A$11:$G$180,4,FALSE))</f>
        <v/>
      </c>
      <c r="E2410" s="158" t="str">
        <f>IF(A2410="","",VLOOKUP(A2410,'6.A'!$A$11:$G$180,5,FALSE))</f>
        <v/>
      </c>
      <c r="F2410" s="159" t="str">
        <f t="shared" si="1021"/>
        <v>0,00</v>
      </c>
      <c r="G2410" s="52"/>
      <c r="H2410" s="52" t="str">
        <f>IF(A2410="","",VLOOKUP(A2410,'6.A'!$A$11:$E$7984,5,FALSE))</f>
        <v/>
      </c>
      <c r="I2410" s="52" t="str">
        <f t="shared" ref="I2410" si="1024">IF(H2410="","",IF(E2410=H2410,"SIM","NÃO"))</f>
        <v/>
      </c>
      <c r="J2410" s="52" t="str">
        <f>IF(H2410="","",VLOOKUP(A2410,'6.A'!$A$11:$E$564,4,FALSE))</f>
        <v/>
      </c>
      <c r="K2410" s="52" t="str">
        <f t="shared" ref="K2410" si="1025">IF(H2410="","",IF(J2410=D2410,"SIM","NÃO"))</f>
        <v/>
      </c>
      <c r="L2410" s="52" t="str">
        <f>IF(H2410="","",IF(C2410="","",G2404*C2410))</f>
        <v/>
      </c>
      <c r="M2410" s="117" t="str">
        <f>IF(A2410="","",VLOOKUP(A2410,'6.A'!$A$11:$C$564,2,FALSE))</f>
        <v/>
      </c>
      <c r="N2410" s="57" t="str">
        <f t="shared" ref="N2410" si="1026">IF(A2410="","",IF(M2410=B2410,"si","no"))</f>
        <v/>
      </c>
      <c r="O2410" s="56"/>
      <c r="P2410" s="56"/>
      <c r="Q2410" s="48"/>
      <c r="R2410" s="48"/>
      <c r="S2410" s="65"/>
      <c r="T2410" s="2"/>
      <c r="U2410" s="2"/>
      <c r="V2410" s="2"/>
    </row>
    <row r="2411" spans="1:22" s="137" customFormat="1" ht="12.75" customHeight="1" x14ac:dyDescent="0.2">
      <c r="A2411" s="155"/>
      <c r="B2411" s="138" t="str">
        <f>IF(A2411="","",VLOOKUP(A2411,'6.A'!$A$11:$G$180,2,FALSE))</f>
        <v/>
      </c>
      <c r="C2411" s="156"/>
      <c r="D2411" s="157" t="str">
        <f>IF(A2411="","",VLOOKUP(A2411,'6.A'!$A$11:$G$180,4,FALSE))</f>
        <v/>
      </c>
      <c r="E2411" s="158" t="str">
        <f>IF(A2411="","",VLOOKUP(A2411,'6.A'!$A$11:$G$180,5,FALSE))</f>
        <v/>
      </c>
      <c r="F2411" s="159" t="str">
        <f t="shared" si="1021"/>
        <v>0,00</v>
      </c>
      <c r="G2411" s="52"/>
      <c r="H2411" s="52" t="str">
        <f>IF(A2411="","",VLOOKUP(A2411,'6.A'!$A$11:$E$7984,5,FALSE))</f>
        <v/>
      </c>
      <c r="I2411" s="52" t="str">
        <f>IF(H2411="","",IF(E2411=H2411,"SIM","NÃO"))</f>
        <v/>
      </c>
      <c r="J2411" s="52" t="str">
        <f>IF(H2411="","",VLOOKUP(A2411,'6.A'!$A$11:$E$564,4,FALSE))</f>
        <v/>
      </c>
      <c r="K2411" s="52" t="str">
        <f>IF(H2411="","",IF(J2411=D2411,"SIM","NÃO"))</f>
        <v/>
      </c>
      <c r="L2411" s="52" t="str">
        <f>IF(H2411="","",IF(C2411="","",G2404*C2411))</f>
        <v/>
      </c>
      <c r="M2411" s="117" t="str">
        <f>IF(A2411="","",VLOOKUP(A2411,'6.A'!$A$11:$C$564,2,FALSE))</f>
        <v/>
      </c>
      <c r="N2411" s="57" t="str">
        <f>IF(A2411="","",IF(M2411=B2411,"si","no"))</f>
        <v/>
      </c>
      <c r="O2411" s="56"/>
      <c r="P2411" s="56"/>
      <c r="Q2411" s="48"/>
      <c r="R2411" s="48"/>
      <c r="S2411" s="65"/>
      <c r="T2411" s="2"/>
      <c r="U2411" s="2"/>
      <c r="V2411" s="2"/>
    </row>
    <row r="2412" spans="1:22" s="137" customFormat="1" ht="12.75" customHeight="1" x14ac:dyDescent="0.2">
      <c r="A2412" s="155"/>
      <c r="B2412" s="138" t="str">
        <f>IF(A2412="","",VLOOKUP(A2412,'6.A'!$A$11:$G$180,2,FALSE))</f>
        <v/>
      </c>
      <c r="C2412" s="156"/>
      <c r="D2412" s="141" t="str">
        <f>IF(A2412="","",VLOOKUP(A2412,'6.A'!$A$11:$G$180,4,FALSE))</f>
        <v/>
      </c>
      <c r="E2412" s="160" t="str">
        <f>IF(A2412="","",VLOOKUP(A2412,'6.A'!$A$11:$G$180,5,FALSE))</f>
        <v/>
      </c>
      <c r="F2412" s="159" t="str">
        <f t="shared" si="1021"/>
        <v>0,00</v>
      </c>
      <c r="G2412" s="52"/>
      <c r="H2412" s="52" t="str">
        <f>IF(A2412="","",VLOOKUP(A2412,'6.A'!$A$11:$E$7984,5,FALSE))</f>
        <v/>
      </c>
      <c r="I2412" s="52" t="str">
        <f>IF(H2412="","",IF(E2412=H2412,"SIM","NÃO"))</f>
        <v/>
      </c>
      <c r="J2412" s="52" t="str">
        <f>IF(H2412="","",VLOOKUP(A2412,'6.A'!$A$11:$E$564,4,FALSE))</f>
        <v/>
      </c>
      <c r="K2412" s="52" t="str">
        <f>IF(H2412="","",IF(J2412=D2412,"SIM","NÃO"))</f>
        <v/>
      </c>
      <c r="L2412" s="52" t="str">
        <f>IF(H2412="","",IF(C2412="","",G2404*C2412))</f>
        <v/>
      </c>
      <c r="M2412" s="117" t="str">
        <f>IF(A2412="","",VLOOKUP(A2412,'6.A'!$A$11:$C$564,2,FALSE))</f>
        <v/>
      </c>
      <c r="N2412" s="57" t="str">
        <f>IF(A2412="","",IF(M2412=B2412,"si","no"))</f>
        <v/>
      </c>
      <c r="O2412" s="56"/>
      <c r="P2412" s="56"/>
      <c r="Q2412" s="48"/>
      <c r="R2412" s="48"/>
      <c r="S2412" s="65"/>
      <c r="T2412" s="2"/>
      <c r="U2412" s="2"/>
      <c r="V2412" s="2"/>
    </row>
    <row r="2413" spans="1:22" s="137" customFormat="1" ht="12.75" customHeight="1" x14ac:dyDescent="0.2">
      <c r="A2413" s="155"/>
      <c r="B2413" s="138" t="str">
        <f>IF(A2413="","",VLOOKUP(A2413,'6.A'!$A$11:$G$180,2,FALSE))</f>
        <v/>
      </c>
      <c r="C2413" s="156"/>
      <c r="D2413" s="141" t="str">
        <f>IF(A2413="","",VLOOKUP(A2413,'6.A'!$A$11:$G$180,4,FALSE))</f>
        <v/>
      </c>
      <c r="E2413" s="158" t="str">
        <f>IF(A2413="","",VLOOKUP(A2413,'6.A'!$A$11:$G$180,5,FALSE))</f>
        <v/>
      </c>
      <c r="F2413" s="159" t="str">
        <f t="shared" si="1021"/>
        <v>0,00</v>
      </c>
      <c r="G2413" s="52"/>
      <c r="H2413" s="52" t="str">
        <f>IF(A2413="","",VLOOKUP(A2413,'6.A'!$A$11:$E$7984,5,FALSE))</f>
        <v/>
      </c>
      <c r="I2413" s="52" t="str">
        <f t="shared" ref="I2413" si="1027">IF(H2413="","",IF(E2413=H2413,"SIM","NÃO"))</f>
        <v/>
      </c>
      <c r="J2413" s="52" t="str">
        <f>IF(H2413="","",VLOOKUP(A2413,'6.A'!$A$11:$E$564,4,FALSE))</f>
        <v/>
      </c>
      <c r="K2413" s="52" t="str">
        <f t="shared" ref="K2413" si="1028">IF(H2413="","",IF(J2413=D2413,"SIM","NÃO"))</f>
        <v/>
      </c>
      <c r="L2413" s="52" t="str">
        <f>IF(H2413="","",IF(C2413="","",G2404*C2413))</f>
        <v/>
      </c>
      <c r="M2413" s="117" t="str">
        <f>IF(A2413="","",VLOOKUP(A2413,'6.A'!$A$11:$C$564,2,FALSE))</f>
        <v/>
      </c>
      <c r="N2413" s="57" t="str">
        <f t="shared" ref="N2413" si="1029">IF(A2413="","",IF(M2413=B2413,"si","no"))</f>
        <v/>
      </c>
      <c r="O2413" s="56"/>
      <c r="P2413" s="56"/>
      <c r="Q2413" s="48"/>
      <c r="R2413" s="48"/>
      <c r="S2413" s="65"/>
      <c r="T2413" s="2"/>
      <c r="U2413" s="2"/>
      <c r="V2413" s="2"/>
    </row>
    <row r="2414" spans="1:22" s="137" customFormat="1" ht="12.75" customHeight="1" x14ac:dyDescent="0.2">
      <c r="A2414" s="155"/>
      <c r="B2414" s="138" t="str">
        <f>IF(A2414="","",VLOOKUP(A2414,'6.A'!$A$11:$G$180,2,FALSE))</f>
        <v/>
      </c>
      <c r="C2414" s="156"/>
      <c r="D2414" s="141" t="str">
        <f>IF(A2414="","",VLOOKUP(A2414,'6.A'!$A$11:$G$180,4,FALSE))</f>
        <v/>
      </c>
      <c r="E2414" s="158" t="str">
        <f>IF(A2414="","",VLOOKUP(A2414,'6.A'!$A$11:$G$180,5,FALSE))</f>
        <v/>
      </c>
      <c r="F2414" s="159" t="str">
        <f t="shared" si="1021"/>
        <v>0,00</v>
      </c>
      <c r="G2414" s="52"/>
      <c r="H2414" s="52" t="str">
        <f>IF(A2414="","",VLOOKUP(A2414,'6.A'!$A$11:$E$7984,5,FALSE))</f>
        <v/>
      </c>
      <c r="I2414" s="52" t="str">
        <f>IF(H2414="","",IF(E2414=H2414,"SIM","NÃO"))</f>
        <v/>
      </c>
      <c r="J2414" s="52" t="str">
        <f>IF(H2414="","",VLOOKUP(A2414,'6.A'!$A$11:$E$564,4,FALSE))</f>
        <v/>
      </c>
      <c r="K2414" s="52" t="str">
        <f>IF(H2414="","",IF(J2414=D2414,"SIM","NÃO"))</f>
        <v/>
      </c>
      <c r="L2414" s="52" t="str">
        <f>IF(H2414="","",IF(C2414="","",G2404*C2414))</f>
        <v/>
      </c>
      <c r="M2414" s="117" t="str">
        <f>IF(A2414="","",VLOOKUP(A2414,'6.A'!$A$11:$C$564,2,FALSE))</f>
        <v/>
      </c>
      <c r="N2414" s="57" t="str">
        <f>IF(A2414="","",IF(M2414=B2414,"si","no"))</f>
        <v/>
      </c>
      <c r="O2414" s="56"/>
      <c r="P2414" s="56"/>
      <c r="Q2414" s="48"/>
      <c r="R2414" s="48"/>
      <c r="S2414" s="65"/>
      <c r="T2414" s="2"/>
      <c r="U2414" s="2"/>
      <c r="V2414" s="2"/>
    </row>
    <row r="2415" spans="1:22" s="137" customFormat="1" ht="12.75" customHeight="1" x14ac:dyDescent="0.2">
      <c r="A2415" s="155"/>
      <c r="B2415" s="138" t="str">
        <f>IF(A2415="","",VLOOKUP(A2415,'6.A'!$A$11:$G$180,2,FALSE))</f>
        <v/>
      </c>
      <c r="C2415" s="156"/>
      <c r="D2415" s="161" t="str">
        <f>IF(A2415="","",VLOOKUP(A2415,'6.A'!$A$11:$G$180,4,FALSE))</f>
        <v/>
      </c>
      <c r="E2415" s="158" t="str">
        <f>IF(A2415="","",VLOOKUP(A2415,'6.A'!$A$11:$G$180,5,FALSE))</f>
        <v/>
      </c>
      <c r="F2415" s="159" t="str">
        <f t="shared" si="1021"/>
        <v>0,00</v>
      </c>
      <c r="G2415" s="52"/>
      <c r="H2415" s="52" t="str">
        <f>IF(A2415="","",VLOOKUP(A2415,'6.A'!$A$11:$E$7984,5,FALSE))</f>
        <v/>
      </c>
      <c r="I2415" s="52" t="str">
        <f t="shared" ref="I2415" si="1030">IF(H2415="","",IF(E2415=H2415,"SIM","NÃO"))</f>
        <v/>
      </c>
      <c r="J2415" s="52" t="str">
        <f>IF(H2415="","",VLOOKUP(A2415,'6.A'!$A$11:$E$564,4,FALSE))</f>
        <v/>
      </c>
      <c r="K2415" s="52" t="str">
        <f t="shared" ref="K2415" si="1031">IF(H2415="","",IF(J2415=D2415,"SIM","NÃO"))</f>
        <v/>
      </c>
      <c r="L2415" s="52" t="str">
        <f>IF(H2415="","",IF(C2415="","",G2404*C2415))</f>
        <v/>
      </c>
      <c r="M2415" s="117" t="str">
        <f>IF(A2415="","",VLOOKUP(A2415,'6.A'!$A$11:$C$564,2,FALSE))</f>
        <v/>
      </c>
      <c r="N2415" s="57" t="str">
        <f t="shared" ref="N2415" si="1032">IF(A2415="","",IF(M2415=B2415,"si","no"))</f>
        <v/>
      </c>
      <c r="O2415" s="56"/>
      <c r="P2415" s="56"/>
      <c r="Q2415" s="48"/>
      <c r="R2415" s="48"/>
      <c r="S2415" s="65"/>
      <c r="T2415" s="2"/>
      <c r="U2415" s="2"/>
      <c r="V2415" s="2"/>
    </row>
    <row r="2416" spans="1:22" s="137" customFormat="1" ht="12.75" customHeight="1" x14ac:dyDescent="0.2">
      <c r="A2416" s="152"/>
      <c r="B2416" s="26" t="str">
        <f>$A$8</f>
        <v>LEIS SOCIAIS HORISTA - JORNADA NORMAL</v>
      </c>
      <c r="C2416" s="27">
        <f>$C$8</f>
        <v>0</v>
      </c>
      <c r="D2416" s="141"/>
      <c r="E2416" s="147"/>
      <c r="F2416" s="162">
        <f>ROUND(SUM(F2406:F2415)*C2416,2)</f>
        <v>0</v>
      </c>
      <c r="G2416" s="63"/>
      <c r="H2416" s="52"/>
      <c r="I2416" s="57"/>
      <c r="J2416" s="57"/>
      <c r="K2416" s="57"/>
      <c r="L2416" s="52"/>
      <c r="M2416" s="62"/>
      <c r="N2416" s="57"/>
      <c r="O2416" s="56"/>
      <c r="P2416" s="56"/>
      <c r="Q2416" s="48"/>
      <c r="R2416" s="48"/>
      <c r="S2416" s="65"/>
      <c r="T2416" s="2"/>
      <c r="U2416" s="2"/>
      <c r="V2416" s="2"/>
    </row>
    <row r="2417" spans="1:22" s="137" customFormat="1" ht="12.75" customHeight="1" x14ac:dyDescent="0.2">
      <c r="A2417" s="155"/>
      <c r="B2417" s="26" t="str">
        <f>$A$9</f>
        <v>BDI</v>
      </c>
      <c r="C2417" s="27">
        <f>$C$9</f>
        <v>0</v>
      </c>
      <c r="D2417" s="136"/>
      <c r="E2417" s="147"/>
      <c r="F2417" s="162">
        <f>ROUND(SUM(F2406:F2416)*C2417,2)</f>
        <v>0</v>
      </c>
      <c r="G2417" s="63"/>
      <c r="H2417" s="52"/>
      <c r="I2417" s="57"/>
      <c r="J2417" s="57"/>
      <c r="K2417" s="57"/>
      <c r="L2417" s="52"/>
      <c r="M2417" s="62"/>
      <c r="N2417" s="57"/>
      <c r="O2417" s="56"/>
      <c r="P2417" s="56"/>
      <c r="Q2417" s="48"/>
      <c r="R2417" s="48"/>
      <c r="S2417" s="65"/>
      <c r="T2417" s="2"/>
      <c r="U2417" s="2"/>
      <c r="V2417" s="2"/>
    </row>
    <row r="2418" spans="1:22" s="149" customFormat="1" ht="12.75" customHeight="1" x14ac:dyDescent="0.2">
      <c r="A2418" s="163"/>
      <c r="B2418" s="164" t="s">
        <v>56</v>
      </c>
      <c r="C2418" s="165"/>
      <c r="D2418" s="166"/>
      <c r="E2418" s="167"/>
      <c r="F2418" s="168">
        <f>ROUND(SUM(F2406:F2417),2)</f>
        <v>0</v>
      </c>
      <c r="G2418" s="63"/>
      <c r="H2418" s="52"/>
      <c r="I2418" s="57"/>
      <c r="J2418" s="57"/>
      <c r="K2418" s="57"/>
      <c r="L2418" s="52"/>
      <c r="M2418" s="62"/>
      <c r="N2418" s="57"/>
      <c r="O2418" s="56"/>
      <c r="P2418" s="56"/>
      <c r="Q2418" s="48"/>
      <c r="R2418" s="48"/>
      <c r="S2418" s="65"/>
      <c r="T2418" s="2"/>
      <c r="U2418" s="2"/>
      <c r="V2418" s="2"/>
    </row>
    <row r="2419" spans="1:22" s="149" customFormat="1" ht="12.75" customHeight="1" x14ac:dyDescent="0.2">
      <c r="A2419" s="152" t="s">
        <v>5</v>
      </c>
      <c r="B2419" s="153" t="s">
        <v>130</v>
      </c>
      <c r="C2419" s="140" t="s">
        <v>59</v>
      </c>
      <c r="D2419" s="140" t="s">
        <v>16</v>
      </c>
      <c r="E2419" s="154" t="s">
        <v>60</v>
      </c>
      <c r="F2419" s="148" t="s">
        <v>61</v>
      </c>
      <c r="G2419" s="21"/>
      <c r="H2419" s="52"/>
      <c r="I2419" s="57"/>
      <c r="J2419" s="57"/>
      <c r="K2419" s="57"/>
      <c r="L2419" s="52"/>
      <c r="M2419" s="62"/>
      <c r="N2419" s="57"/>
      <c r="O2419" s="56"/>
      <c r="P2419" s="56"/>
      <c r="Q2419" s="48"/>
      <c r="R2419" s="48"/>
      <c r="S2419" s="65"/>
      <c r="T2419" s="2"/>
      <c r="U2419" s="2"/>
      <c r="V2419" s="2"/>
    </row>
    <row r="2420" spans="1:22" s="149" customFormat="1" ht="12.75" customHeight="1" x14ac:dyDescent="0.2">
      <c r="A2420" s="155"/>
      <c r="B2420" s="138" t="str">
        <f>IF(A2420="","",VLOOKUP(A2420,'6.A'!$A$11:$G$180,2,FALSE))</f>
        <v/>
      </c>
      <c r="C2420" s="156"/>
      <c r="D2420" s="157" t="str">
        <f>IF(A2420="","",VLOOKUP(A2420,'6.A'!$A$11:$G$180,4,FALSE))</f>
        <v/>
      </c>
      <c r="E2420" s="158" t="str">
        <f>IF(A2420="","",VLOOKUP(A2420,'6.A'!$A$11:$G$180,5,FALSE))</f>
        <v/>
      </c>
      <c r="F2420" s="159" t="str">
        <f t="shared" ref="F2420:F2429" si="1033">IF(A2420="","0,00",ROUND(C2420*E2420,2))</f>
        <v>0,00</v>
      </c>
      <c r="G2420" s="52"/>
      <c r="H2420" s="52" t="str">
        <f>IF(A2420="","",VLOOKUP(A2420,'6.A'!$A$11:$E$7984,5,FALSE))</f>
        <v/>
      </c>
      <c r="I2420" s="52" t="str">
        <f t="shared" ref="I2420:I2429" si="1034">IF(H2420="","",IF(E2420=H2420,"SIM","NÃO"))</f>
        <v/>
      </c>
      <c r="J2420" s="52" t="str">
        <f>IF(H2420="","",VLOOKUP(A2420,'6.A'!$A$11:$E$564,4,FALSE))</f>
        <v/>
      </c>
      <c r="K2420" s="52" t="str">
        <f t="shared" ref="K2420:K2429" si="1035">IF(H2420="","",IF(J2420=D2420,"SIM","NÃO"))</f>
        <v/>
      </c>
      <c r="L2420" s="52" t="str">
        <f>IF(H2420="","",IF(C2420="","",G2404*C2420))</f>
        <v/>
      </c>
      <c r="M2420" s="117" t="str">
        <f>IF(A2420="","",VLOOKUP(A2420,'6.A'!$A$11:$C$564,2,FALSE))</f>
        <v/>
      </c>
      <c r="N2420" s="57" t="str">
        <f t="shared" ref="N2420:N2425" si="1036">IF(A2420="","",IF(M2420=B2420,"si","no"))</f>
        <v/>
      </c>
      <c r="O2420" s="56"/>
      <c r="P2420" s="56"/>
      <c r="Q2420" s="48"/>
      <c r="R2420" s="48"/>
      <c r="S2420" s="65"/>
      <c r="T2420" s="2"/>
      <c r="U2420" s="2"/>
      <c r="V2420" s="2"/>
    </row>
    <row r="2421" spans="1:22" s="149" customFormat="1" ht="12.75" customHeight="1" x14ac:dyDescent="0.2">
      <c r="A2421" s="155"/>
      <c r="B2421" s="138" t="str">
        <f>IF(A2421="","",VLOOKUP(A2421,'6.A'!$A$11:$G$180,2,FALSE))</f>
        <v/>
      </c>
      <c r="C2421" s="156"/>
      <c r="D2421" s="157" t="str">
        <f>IF(A2421="","",VLOOKUP(A2421,'6.A'!$A$11:$G$180,4,FALSE))</f>
        <v/>
      </c>
      <c r="E2421" s="158" t="str">
        <f>IF(A2421="","",VLOOKUP(A2421,'6.A'!$A$11:$G$180,5,FALSE))</f>
        <v/>
      </c>
      <c r="F2421" s="159" t="str">
        <f t="shared" si="1033"/>
        <v>0,00</v>
      </c>
      <c r="G2421" s="52"/>
      <c r="H2421" s="52" t="str">
        <f>IF(A2421="","",VLOOKUP(A2421,'6.A'!$A$11:$E$7984,5,FALSE))</f>
        <v/>
      </c>
      <c r="I2421" s="52" t="str">
        <f t="shared" si="1034"/>
        <v/>
      </c>
      <c r="J2421" s="52" t="str">
        <f>IF(H2421="","",VLOOKUP(A2421,'6.A'!$A$11:$E$564,4,FALSE))</f>
        <v/>
      </c>
      <c r="K2421" s="52" t="str">
        <f t="shared" si="1035"/>
        <v/>
      </c>
      <c r="L2421" s="52" t="str">
        <f>IF(H2421="","",IF(C2421="","",G2404*C2421))</f>
        <v/>
      </c>
      <c r="M2421" s="117" t="str">
        <f>IF(A2421="","",VLOOKUP(A2421,'6.A'!$A$11:$C$564,2,FALSE))</f>
        <v/>
      </c>
      <c r="N2421" s="57" t="str">
        <f t="shared" si="1036"/>
        <v/>
      </c>
      <c r="O2421" s="56"/>
      <c r="P2421" s="56"/>
      <c r="Q2421" s="48"/>
      <c r="R2421" s="48"/>
      <c r="S2421" s="65"/>
      <c r="T2421" s="2"/>
      <c r="U2421" s="2"/>
      <c r="V2421" s="2"/>
    </row>
    <row r="2422" spans="1:22" s="149" customFormat="1" ht="12.75" customHeight="1" x14ac:dyDescent="0.2">
      <c r="A2422" s="155"/>
      <c r="B2422" s="138" t="str">
        <f>IF(A2422="","",VLOOKUP(A2422,'6.A'!$A$11:$G$180,2,FALSE))</f>
        <v/>
      </c>
      <c r="C2422" s="156"/>
      <c r="D2422" s="157" t="str">
        <f>IF(A2422="","",VLOOKUP(A2422,'6.A'!$A$11:$G$180,4,FALSE))</f>
        <v/>
      </c>
      <c r="E2422" s="158" t="str">
        <f>IF(A2422="","",VLOOKUP(A2422,'6.A'!$A$11:$G$180,5,FALSE))</f>
        <v/>
      </c>
      <c r="F2422" s="159" t="str">
        <f t="shared" si="1033"/>
        <v>0,00</v>
      </c>
      <c r="G2422" s="52"/>
      <c r="H2422" s="52" t="str">
        <f>IF(A2422="","",VLOOKUP(A2422,'6.A'!$A$11:$E$7984,5,FALSE))</f>
        <v/>
      </c>
      <c r="I2422" s="52" t="str">
        <f t="shared" si="1034"/>
        <v/>
      </c>
      <c r="J2422" s="52" t="str">
        <f>IF(H2422="","",VLOOKUP(A2422,'6.A'!$A$11:$E$564,4,FALSE))</f>
        <v/>
      </c>
      <c r="K2422" s="52" t="str">
        <f t="shared" si="1035"/>
        <v/>
      </c>
      <c r="L2422" s="52" t="str">
        <f>IF(H2422="","",IF(C2422="","",G2404*C2422))</f>
        <v/>
      </c>
      <c r="M2422" s="117" t="str">
        <f>IF(A2422="","",VLOOKUP(A2422,'6.A'!$A$11:$C$564,2,FALSE))</f>
        <v/>
      </c>
      <c r="N2422" s="57" t="str">
        <f t="shared" si="1036"/>
        <v/>
      </c>
      <c r="O2422" s="56"/>
      <c r="P2422" s="56"/>
      <c r="Q2422" s="48"/>
      <c r="R2422" s="48"/>
      <c r="S2422" s="65"/>
      <c r="T2422" s="2"/>
      <c r="U2422" s="2"/>
      <c r="V2422" s="2"/>
    </row>
    <row r="2423" spans="1:22" s="149" customFormat="1" ht="12.75" customHeight="1" x14ac:dyDescent="0.2">
      <c r="A2423" s="155"/>
      <c r="B2423" s="176" t="str">
        <f>IF(A2423="","",VLOOKUP(A2423,'6.A'!$A$11:$G$180,2,FALSE))</f>
        <v/>
      </c>
      <c r="C2423" s="156"/>
      <c r="D2423" s="141" t="str">
        <f>IF(A2423="","",VLOOKUP(A2423,'6.A'!$A$11:$G$180,4,FALSE))</f>
        <v/>
      </c>
      <c r="E2423" s="160" t="str">
        <f>IF(A2423="","",VLOOKUP(A2423,'6.A'!$A$11:$G$180,5,FALSE))</f>
        <v/>
      </c>
      <c r="F2423" s="159" t="str">
        <f t="shared" si="1033"/>
        <v>0,00</v>
      </c>
      <c r="G2423" s="52"/>
      <c r="H2423" s="52" t="str">
        <f>IF(A2423="","",VLOOKUP(A2423,'6.A'!$A$11:$E$7984,5,FALSE))</f>
        <v/>
      </c>
      <c r="I2423" s="52" t="str">
        <f t="shared" si="1034"/>
        <v/>
      </c>
      <c r="J2423" s="52" t="str">
        <f>IF(H2423="","",VLOOKUP(A2423,'6.A'!$A$11:$E$564,4,FALSE))</f>
        <v/>
      </c>
      <c r="K2423" s="52" t="str">
        <f t="shared" si="1035"/>
        <v/>
      </c>
      <c r="L2423" s="52" t="str">
        <f>IF(H2423="","",IF(C2423="","",G2404*C2423))</f>
        <v/>
      </c>
      <c r="M2423" s="117" t="str">
        <f>IF(A2423="","",VLOOKUP(A2423,'6.A'!$A$11:$C$564,2,FALSE))</f>
        <v/>
      </c>
      <c r="N2423" s="57" t="str">
        <f t="shared" si="1036"/>
        <v/>
      </c>
      <c r="O2423" s="56"/>
      <c r="P2423" s="56"/>
      <c r="Q2423" s="48"/>
      <c r="R2423" s="48"/>
      <c r="S2423" s="65"/>
      <c r="T2423" s="2"/>
      <c r="U2423" s="2"/>
      <c r="V2423" s="2"/>
    </row>
    <row r="2424" spans="1:22" s="149" customFormat="1" ht="12.75" customHeight="1" x14ac:dyDescent="0.2">
      <c r="A2424" s="155"/>
      <c r="B2424" s="176" t="str">
        <f>IF(A2424="","",VLOOKUP(A2424,'6.A'!$A$11:$G$180,2,FALSE))</f>
        <v/>
      </c>
      <c r="C2424" s="156"/>
      <c r="D2424" s="141" t="str">
        <f>IF(A2424="","",VLOOKUP(A2424,'6.A'!$A$11:$G$180,4,FALSE))</f>
        <v/>
      </c>
      <c r="E2424" s="160" t="str">
        <f>IF(A2424="","",VLOOKUP(A2424,'6.A'!$A$11:$G$180,5,FALSE))</f>
        <v/>
      </c>
      <c r="F2424" s="159" t="str">
        <f t="shared" si="1033"/>
        <v>0,00</v>
      </c>
      <c r="G2424" s="52"/>
      <c r="H2424" s="52" t="str">
        <f>IF(A2424="","",VLOOKUP(A2424,'6.A'!$A$11:$E$7984,5,FALSE))</f>
        <v/>
      </c>
      <c r="I2424" s="52" t="str">
        <f t="shared" si="1034"/>
        <v/>
      </c>
      <c r="J2424" s="52" t="str">
        <f>IF(H2424="","",VLOOKUP(A2424,'6.A'!$A$11:$E$564,4,FALSE))</f>
        <v/>
      </c>
      <c r="K2424" s="52" t="str">
        <f t="shared" si="1035"/>
        <v/>
      </c>
      <c r="L2424" s="52" t="str">
        <f>IF(H2424="","",IF(C2424="","",G2404*C2424))</f>
        <v/>
      </c>
      <c r="M2424" s="117" t="str">
        <f>IF(A2424="","",VLOOKUP(A2424,'6.A'!$A$11:$C$564,2,FALSE))</f>
        <v/>
      </c>
      <c r="N2424" s="57" t="str">
        <f t="shared" si="1036"/>
        <v/>
      </c>
      <c r="O2424" s="56"/>
      <c r="P2424" s="56"/>
      <c r="Q2424" s="48"/>
      <c r="R2424" s="48"/>
      <c r="S2424" s="65"/>
      <c r="T2424" s="2"/>
      <c r="U2424" s="2"/>
      <c r="V2424" s="2"/>
    </row>
    <row r="2425" spans="1:22" s="149" customFormat="1" ht="12.75" customHeight="1" x14ac:dyDescent="0.2">
      <c r="A2425" s="155"/>
      <c r="B2425" s="176" t="str">
        <f>IF(A2425="","",VLOOKUP(A2425,'6.A'!$A$11:$G$180,2,FALSE))</f>
        <v/>
      </c>
      <c r="C2425" s="156"/>
      <c r="D2425" s="141" t="str">
        <f>IF(A2425="","",VLOOKUP(A2425,'6.A'!$A$11:$G$180,4,FALSE))</f>
        <v/>
      </c>
      <c r="E2425" s="160" t="str">
        <f>IF(A2425="","",VLOOKUP(A2425,'6.A'!$A$11:$G$180,5,FALSE))</f>
        <v/>
      </c>
      <c r="F2425" s="159" t="str">
        <f t="shared" si="1033"/>
        <v>0,00</v>
      </c>
      <c r="G2425" s="52"/>
      <c r="H2425" s="52" t="str">
        <f>IF(A2425="","",VLOOKUP(A2425,'6.A'!$A$11:$E$7984,5,FALSE))</f>
        <v/>
      </c>
      <c r="I2425" s="52" t="str">
        <f t="shared" si="1034"/>
        <v/>
      </c>
      <c r="J2425" s="52" t="str">
        <f>IF(H2425="","",VLOOKUP(A2425,'6.A'!$A$11:$E$564,4,FALSE))</f>
        <v/>
      </c>
      <c r="K2425" s="52" t="str">
        <f t="shared" si="1035"/>
        <v/>
      </c>
      <c r="L2425" s="52" t="str">
        <f>IF(H2425="","",IF(C2425="","",G2404*C2425))</f>
        <v/>
      </c>
      <c r="M2425" s="117" t="str">
        <f>IF(A2425="","",VLOOKUP(A2425,'6.A'!$A$11:$C$564,2,FALSE))</f>
        <v/>
      </c>
      <c r="N2425" s="57" t="str">
        <f t="shared" si="1036"/>
        <v/>
      </c>
      <c r="O2425" s="56"/>
      <c r="P2425" s="56"/>
      <c r="Q2425" s="48"/>
      <c r="R2425" s="48"/>
      <c r="S2425" s="65"/>
      <c r="T2425" s="2"/>
      <c r="U2425" s="2"/>
      <c r="V2425" s="2"/>
    </row>
    <row r="2426" spans="1:22" s="149" customFormat="1" ht="12.75" customHeight="1" x14ac:dyDescent="0.2">
      <c r="A2426" s="155"/>
      <c r="B2426" s="176" t="str">
        <f>IF(A2426="","",VLOOKUP(A2426,'6.A'!$A$11:$G$180,2,FALSE))</f>
        <v/>
      </c>
      <c r="C2426" s="156"/>
      <c r="D2426" s="141" t="str">
        <f>IF(A2426="","",VLOOKUP(A2426,'6.A'!$A$11:$G$180,4,FALSE))</f>
        <v/>
      </c>
      <c r="E2426" s="160" t="str">
        <f>IF(A2426="","",VLOOKUP(A2426,'6.A'!$A$11:$G$180,5,FALSE))</f>
        <v/>
      </c>
      <c r="F2426" s="159" t="str">
        <f t="shared" si="1033"/>
        <v>0,00</v>
      </c>
      <c r="G2426" s="52"/>
      <c r="H2426" s="52" t="str">
        <f>IF(A2426="","",VLOOKUP(A2426,'6.A'!$A$11:$E$7984,5,FALSE))</f>
        <v/>
      </c>
      <c r="I2426" s="52" t="str">
        <f t="shared" si="1034"/>
        <v/>
      </c>
      <c r="J2426" s="52" t="str">
        <f>IF(H2426="","",VLOOKUP(A2426,'6.A'!$A$11:$E$564,4,FALSE))</f>
        <v/>
      </c>
      <c r="K2426" s="52" t="str">
        <f t="shared" si="1035"/>
        <v/>
      </c>
      <c r="L2426" s="52" t="str">
        <f>IF(H2426="","",IF(C2426="","",G2404*C2426))</f>
        <v/>
      </c>
      <c r="M2426" s="117" t="str">
        <f>IF(A2426="","",VLOOKUP(A2426,'6.A'!$A$11:$C$564,2,FALSE))</f>
        <v/>
      </c>
      <c r="N2426" s="57" t="str">
        <f>IF(A2426="","",IF(M2426=B2426,"si","no"))</f>
        <v/>
      </c>
      <c r="O2426" s="56"/>
      <c r="P2426" s="56"/>
      <c r="Q2426" s="48"/>
      <c r="R2426" s="48"/>
      <c r="S2426" s="65"/>
      <c r="T2426" s="2"/>
      <c r="U2426" s="2"/>
      <c r="V2426" s="2"/>
    </row>
    <row r="2427" spans="1:22" s="149" customFormat="1" ht="12.75" customHeight="1" x14ac:dyDescent="0.2">
      <c r="A2427" s="155"/>
      <c r="B2427" s="138" t="str">
        <f>IF(A2427="","",VLOOKUP(A2427,'6.A'!$A$11:$G$180,2,FALSE))</f>
        <v/>
      </c>
      <c r="C2427" s="156"/>
      <c r="D2427" s="141" t="str">
        <f>IF(A2427="","",VLOOKUP(A2427,'6.A'!$A$11:$G$180,4,FALSE))</f>
        <v/>
      </c>
      <c r="E2427" s="160" t="str">
        <f>IF(A2427="","",VLOOKUP(A2427,'6.A'!$A$11:$G$180,5,FALSE))</f>
        <v/>
      </c>
      <c r="F2427" s="159" t="str">
        <f t="shared" si="1033"/>
        <v>0,00</v>
      </c>
      <c r="G2427" s="52"/>
      <c r="H2427" s="52" t="str">
        <f>IF(A2427="","",VLOOKUP(A2427,'6.A'!$A$11:$E$7984,5,FALSE))</f>
        <v/>
      </c>
      <c r="I2427" s="52" t="str">
        <f t="shared" si="1034"/>
        <v/>
      </c>
      <c r="J2427" s="52" t="str">
        <f>IF(H2427="","",VLOOKUP(A2427,'6.A'!$A$11:$E$564,4,FALSE))</f>
        <v/>
      </c>
      <c r="K2427" s="52" t="str">
        <f t="shared" si="1035"/>
        <v/>
      </c>
      <c r="L2427" s="52" t="str">
        <f>IF(H2427="","",IF(C2427="","",G2404*C2427))</f>
        <v/>
      </c>
      <c r="M2427" s="117" t="str">
        <f>IF(A2427="","",VLOOKUP(A2427,'6.A'!$A$11:$C$564,2,FALSE))</f>
        <v/>
      </c>
      <c r="N2427" s="57" t="str">
        <f>IF(A2427="","",IF(M2427=B2427,"si","no"))</f>
        <v/>
      </c>
      <c r="O2427" s="56"/>
      <c r="P2427" s="56"/>
      <c r="Q2427" s="48"/>
      <c r="R2427" s="48"/>
      <c r="S2427" s="65"/>
      <c r="T2427" s="2"/>
      <c r="U2427" s="2"/>
      <c r="V2427" s="2"/>
    </row>
    <row r="2428" spans="1:22" s="149" customFormat="1" ht="12.75" customHeight="1" x14ac:dyDescent="0.2">
      <c r="A2428" s="155"/>
      <c r="B2428" s="138" t="str">
        <f>IF(A2428="","",VLOOKUP(A2428,'6.A'!$A$11:$G$180,2,FALSE))</f>
        <v/>
      </c>
      <c r="C2428" s="156"/>
      <c r="D2428" s="141" t="str">
        <f>IF(A2428="","",VLOOKUP(A2428,'6.A'!$A$11:$G$180,4,FALSE))</f>
        <v/>
      </c>
      <c r="E2428" s="160" t="str">
        <f>IF(A2428="","",VLOOKUP(A2428,'6.A'!$A$11:$G$180,5,FALSE))</f>
        <v/>
      </c>
      <c r="F2428" s="159" t="str">
        <f t="shared" si="1033"/>
        <v>0,00</v>
      </c>
      <c r="G2428" s="52"/>
      <c r="H2428" s="52" t="str">
        <f>IF(A2428="","",VLOOKUP(A2428,'6.A'!$A$11:$E$7984,5,FALSE))</f>
        <v/>
      </c>
      <c r="I2428" s="52" t="str">
        <f t="shared" si="1034"/>
        <v/>
      </c>
      <c r="J2428" s="52" t="str">
        <f>IF(H2428="","",VLOOKUP(A2428,'6.A'!$A$11:$E$564,4,FALSE))</f>
        <v/>
      </c>
      <c r="K2428" s="52" t="str">
        <f t="shared" si="1035"/>
        <v/>
      </c>
      <c r="L2428" s="52" t="str">
        <f>IF(H2428="","",IF(C2428="","",G2404*C2428))</f>
        <v/>
      </c>
      <c r="M2428" s="117" t="str">
        <f>IF(A2428="","",VLOOKUP(A2428,'6.A'!$A$11:$C$564,2,FALSE))</f>
        <v/>
      </c>
      <c r="N2428" s="57" t="str">
        <f t="shared" ref="N2428:N2429" si="1037">IF(A2428="","",IF(M2428=B2428,"si","no"))</f>
        <v/>
      </c>
      <c r="O2428" s="56"/>
      <c r="P2428" s="56"/>
      <c r="Q2428" s="48"/>
      <c r="R2428" s="48"/>
      <c r="S2428" s="65"/>
      <c r="T2428" s="2"/>
      <c r="U2428" s="2"/>
      <c r="V2428" s="2"/>
    </row>
    <row r="2429" spans="1:22" s="149" customFormat="1" ht="12.75" customHeight="1" x14ac:dyDescent="0.2">
      <c r="A2429" s="155"/>
      <c r="B2429" s="138" t="str">
        <f>IF(A2429="","",VLOOKUP(A2429,'6.A'!$A$11:$G$180,2,FALSE))</f>
        <v/>
      </c>
      <c r="C2429" s="156"/>
      <c r="D2429" s="141" t="str">
        <f>IF(A2429="","",VLOOKUP(A2429,'6.A'!$A$11:$G$180,4,FALSE))</f>
        <v/>
      </c>
      <c r="E2429" s="160" t="str">
        <f>IF(A2429="","",VLOOKUP(A2429,'6.A'!$A$11:$G$180,5,FALSE))</f>
        <v/>
      </c>
      <c r="F2429" s="159" t="str">
        <f t="shared" si="1033"/>
        <v>0,00</v>
      </c>
      <c r="G2429" s="52"/>
      <c r="H2429" s="52" t="str">
        <f>IF(A2429="","",VLOOKUP(A2429,'6.A'!$A$11:$E$7984,5,FALSE))</f>
        <v/>
      </c>
      <c r="I2429" s="52" t="str">
        <f t="shared" si="1034"/>
        <v/>
      </c>
      <c r="J2429" s="52" t="str">
        <f>IF(H2429="","",VLOOKUP(A2429,'6.A'!$A$11:$E$564,4,FALSE))</f>
        <v/>
      </c>
      <c r="K2429" s="52" t="str">
        <f t="shared" si="1035"/>
        <v/>
      </c>
      <c r="L2429" s="52" t="str">
        <f>IF(H2429="","",IF(C2429="","",G2404*C2429))</f>
        <v/>
      </c>
      <c r="M2429" s="117" t="str">
        <f>IF(A2429="","",VLOOKUP(A2429,'6.A'!$A$11:$C$564,2,FALSE))</f>
        <v/>
      </c>
      <c r="N2429" s="57" t="str">
        <f t="shared" si="1037"/>
        <v/>
      </c>
      <c r="O2429" s="56"/>
      <c r="P2429" s="56"/>
      <c r="Q2429" s="48"/>
      <c r="R2429" s="48"/>
      <c r="S2429" s="65"/>
      <c r="T2429" s="2"/>
      <c r="U2429" s="2"/>
      <c r="V2429" s="2"/>
    </row>
    <row r="2430" spans="1:22" s="149" customFormat="1" ht="12.75" customHeight="1" x14ac:dyDescent="0.2">
      <c r="A2430" s="155"/>
      <c r="B2430" s="26" t="str">
        <f>$A$9</f>
        <v>BDI</v>
      </c>
      <c r="C2430" s="27">
        <f>$C$9</f>
        <v>0</v>
      </c>
      <c r="D2430" s="141"/>
      <c r="E2430" s="147"/>
      <c r="F2430" s="162">
        <f>ROUND(SUM(F2420:F2429)*C2430,2)</f>
        <v>0</v>
      </c>
      <c r="G2430" s="63"/>
      <c r="H2430" s="52"/>
      <c r="I2430" s="57"/>
      <c r="J2430" s="57"/>
      <c r="K2430" s="57"/>
      <c r="L2430" s="52"/>
      <c r="M2430" s="62"/>
      <c r="N2430" s="57"/>
      <c r="O2430" s="56"/>
      <c r="P2430" s="56"/>
      <c r="Q2430" s="48"/>
      <c r="R2430" s="48"/>
      <c r="S2430" s="65"/>
      <c r="T2430" s="2"/>
      <c r="U2430" s="2"/>
      <c r="V2430" s="2"/>
    </row>
    <row r="2431" spans="1:22" s="149" customFormat="1" ht="12.75" customHeight="1" x14ac:dyDescent="0.2">
      <c r="A2431" s="163"/>
      <c r="B2431" s="31" t="s">
        <v>117</v>
      </c>
      <c r="C2431" s="36"/>
      <c r="D2431" s="169"/>
      <c r="E2431" s="170"/>
      <c r="F2431" s="168">
        <f>ROUND(SUM(F2420:F2430),2)</f>
        <v>0</v>
      </c>
      <c r="G2431" s="63"/>
      <c r="H2431" s="52"/>
      <c r="I2431" s="57"/>
      <c r="J2431" s="57"/>
      <c r="K2431" s="57"/>
      <c r="L2431" s="52"/>
      <c r="M2431" s="62"/>
      <c r="N2431" s="57"/>
      <c r="O2431" s="56"/>
      <c r="P2431" s="56"/>
      <c r="Q2431" s="48"/>
      <c r="R2431" s="48"/>
      <c r="S2431" s="65"/>
      <c r="T2431" s="2"/>
      <c r="U2431" s="2"/>
      <c r="V2431" s="2"/>
    </row>
    <row r="2432" spans="1:22" s="149" customFormat="1" ht="12.75" customHeight="1" x14ac:dyDescent="0.2">
      <c r="A2432" s="152" t="s">
        <v>6</v>
      </c>
      <c r="B2432" s="153" t="s">
        <v>17</v>
      </c>
      <c r="C2432" s="140" t="s">
        <v>59</v>
      </c>
      <c r="D2432" s="140" t="s">
        <v>16</v>
      </c>
      <c r="E2432" s="154" t="s">
        <v>60</v>
      </c>
      <c r="F2432" s="148" t="s">
        <v>61</v>
      </c>
      <c r="G2432" s="21"/>
      <c r="H2432" s="52"/>
      <c r="I2432" s="57"/>
      <c r="J2432" s="57"/>
      <c r="K2432" s="57"/>
      <c r="L2432" s="52"/>
      <c r="M2432" s="62"/>
      <c r="N2432" s="57"/>
      <c r="O2432" s="56"/>
      <c r="P2432" s="56"/>
      <c r="Q2432" s="48"/>
      <c r="R2432" s="48"/>
      <c r="S2432" s="65"/>
      <c r="T2432" s="2"/>
      <c r="U2432" s="2"/>
      <c r="V2432" s="2"/>
    </row>
    <row r="2433" spans="1:22" s="149" customFormat="1" ht="12.75" customHeight="1" x14ac:dyDescent="0.2">
      <c r="A2433" s="155">
        <f>'6.A'!$A$173</f>
        <v>49627</v>
      </c>
      <c r="B2433" s="138" t="str">
        <f>IF(A2433="","",VLOOKUP(A2433,'6.A'!$A$11:$G$180,2,FALSE))</f>
        <v>BARRAMENTO DE COBRE NU (QUALQUER BITOLA)</v>
      </c>
      <c r="C2433" s="156">
        <v>2.2000000000000002</v>
      </c>
      <c r="D2433" s="157" t="str">
        <f>IF(A2433="","",VLOOKUP(A2433,'6.A'!$A$11:$G$180,4,FALSE))</f>
        <v>KG</v>
      </c>
      <c r="E2433" s="158">
        <f>IF(A2433="","",VLOOKUP(A2433,'6.A'!$A$11:$G$180,5,FALSE))</f>
        <v>0</v>
      </c>
      <c r="F2433" s="159">
        <f t="shared" ref="F2433:F2452" si="1038">IF(A2433="","0,00",ROUND(C2433*E2433,2))</f>
        <v>0</v>
      </c>
      <c r="G2433" s="52"/>
      <c r="H2433" s="52">
        <f>IF(A2433="","",VLOOKUP(A2433,'6.A'!$A$11:$E$7984,5,FALSE))</f>
        <v>0</v>
      </c>
      <c r="I2433" s="52" t="str">
        <f t="shared" ref="I2433:I2452" si="1039">IF(H2433="","",IF(E2433=H2433,"SIM","NÃO"))</f>
        <v>SIM</v>
      </c>
      <c r="J2433" s="52" t="str">
        <f>IF(H2433="","",VLOOKUP(A2433,'6.A'!$A$11:$E$564,4,FALSE))</f>
        <v>KG</v>
      </c>
      <c r="K2433" s="52" t="str">
        <f t="shared" ref="K2433:K2452" si="1040">IF(H2433="","",IF(J2433=D2433,"SIM","NÃO"))</f>
        <v>SIM</v>
      </c>
      <c r="L2433" s="52">
        <f>IF(H2433="","",IF(C2433="","",G2404*C2433))</f>
        <v>6.6000000000000005</v>
      </c>
      <c r="M2433" s="117" t="str">
        <f>IF(A2433="","",VLOOKUP(A2433,'6.A'!$A$11:$C$564,2,FALSE))</f>
        <v>BARRAMENTO DE COBRE NU (QUALQUER BITOLA)</v>
      </c>
      <c r="N2433" s="57" t="str">
        <f t="shared" ref="N2433:N2452" si="1041">IF(A2433="","",IF(M2433=B2433,"si","no"))</f>
        <v>si</v>
      </c>
      <c r="O2433" s="56"/>
      <c r="P2433" s="56"/>
      <c r="Q2433" s="48"/>
      <c r="R2433" s="48"/>
      <c r="S2433" s="65"/>
      <c r="T2433" s="2"/>
      <c r="U2433" s="2"/>
      <c r="V2433" s="2"/>
    </row>
    <row r="2434" spans="1:22" s="149" customFormat="1" ht="12.75" customHeight="1" x14ac:dyDescent="0.2">
      <c r="A2434" s="155"/>
      <c r="B2434" s="138" t="str">
        <f>IF(A2434="","",VLOOKUP(A2434,'6.A'!$A$11:$G$180,2,FALSE))</f>
        <v/>
      </c>
      <c r="C2434" s="156"/>
      <c r="D2434" s="157" t="str">
        <f>IF(A2434="","",VLOOKUP(A2434,'6.A'!$A$11:$G$180,4,FALSE))</f>
        <v/>
      </c>
      <c r="E2434" s="158" t="str">
        <f>IF(A2434="","",VLOOKUP(A2434,'6.A'!$A$11:$G$180,5,FALSE))</f>
        <v/>
      </c>
      <c r="F2434" s="159" t="str">
        <f t="shared" si="1038"/>
        <v>0,00</v>
      </c>
      <c r="G2434" s="52"/>
      <c r="H2434" s="52" t="str">
        <f>IF(A2434="","",VLOOKUP(A2434,'6.A'!$A$11:$E$7984,5,FALSE))</f>
        <v/>
      </c>
      <c r="I2434" s="52" t="str">
        <f t="shared" si="1039"/>
        <v/>
      </c>
      <c r="J2434" s="52" t="str">
        <f>IF(H2434="","",VLOOKUP(A2434,'6.A'!$A$11:$E$564,4,FALSE))</f>
        <v/>
      </c>
      <c r="K2434" s="52" t="str">
        <f t="shared" si="1040"/>
        <v/>
      </c>
      <c r="L2434" s="52" t="str">
        <f>IF(H2434="","",IF(C2434="","",G2404*C2434))</f>
        <v/>
      </c>
      <c r="M2434" s="117" t="str">
        <f>IF(A2434="","",VLOOKUP(A2434,'6.A'!$A$11:$C$564,2,FALSE))</f>
        <v/>
      </c>
      <c r="N2434" s="57" t="str">
        <f t="shared" si="1041"/>
        <v/>
      </c>
      <c r="O2434" s="56"/>
      <c r="P2434" s="56"/>
      <c r="Q2434" s="48"/>
      <c r="R2434" s="48"/>
      <c r="S2434" s="65"/>
      <c r="T2434" s="2"/>
      <c r="U2434" s="2"/>
      <c r="V2434" s="2"/>
    </row>
    <row r="2435" spans="1:22" s="149" customFormat="1" ht="12.75" customHeight="1" x14ac:dyDescent="0.2">
      <c r="A2435" s="155"/>
      <c r="B2435" s="138" t="str">
        <f>IF(A2435="","",VLOOKUP(A2435,'6.A'!$A$11:$G$180,2,FALSE))</f>
        <v/>
      </c>
      <c r="C2435" s="156"/>
      <c r="D2435" s="157" t="str">
        <f>IF(A2435="","",VLOOKUP(A2435,'6.A'!$A$11:$G$180,4,FALSE))</f>
        <v/>
      </c>
      <c r="E2435" s="158" t="str">
        <f>IF(A2435="","",VLOOKUP(A2435,'6.A'!$A$11:$G$180,5,FALSE))</f>
        <v/>
      </c>
      <c r="F2435" s="159" t="str">
        <f t="shared" si="1038"/>
        <v>0,00</v>
      </c>
      <c r="G2435" s="52"/>
      <c r="H2435" s="52" t="str">
        <f>IF(A2435="","",VLOOKUP(A2435,'6.A'!$A$11:$E$7984,5,FALSE))</f>
        <v/>
      </c>
      <c r="I2435" s="52" t="str">
        <f t="shared" si="1039"/>
        <v/>
      </c>
      <c r="J2435" s="52" t="str">
        <f>IF(H2435="","",VLOOKUP(A2435,'6.A'!$A$11:$E$564,4,FALSE))</f>
        <v/>
      </c>
      <c r="K2435" s="52" t="str">
        <f t="shared" si="1040"/>
        <v/>
      </c>
      <c r="L2435" s="52" t="str">
        <f>IF(H2435="","",IF(C2435="","",G2404*C2435))</f>
        <v/>
      </c>
      <c r="M2435" s="117" t="str">
        <f>IF(A2435="","",VLOOKUP(A2435,'6.A'!$A$11:$C$564,2,FALSE))</f>
        <v/>
      </c>
      <c r="N2435" s="57" t="str">
        <f t="shared" si="1041"/>
        <v/>
      </c>
      <c r="O2435" s="56"/>
      <c r="P2435" s="56"/>
      <c r="Q2435" s="48"/>
      <c r="R2435" s="48"/>
      <c r="S2435" s="65"/>
      <c r="T2435" s="2"/>
      <c r="U2435" s="2"/>
      <c r="V2435" s="2"/>
    </row>
    <row r="2436" spans="1:22" s="149" customFormat="1" ht="12.75" customHeight="1" x14ac:dyDescent="0.2">
      <c r="A2436" s="155"/>
      <c r="B2436" s="138" t="str">
        <f>IF(A2436="","",VLOOKUP(A2436,'6.A'!$A$11:$G$180,2,FALSE))</f>
        <v/>
      </c>
      <c r="C2436" s="156"/>
      <c r="D2436" s="157" t="str">
        <f>IF(A2436="","",VLOOKUP(A2436,'6.A'!$A$11:$G$180,4,FALSE))</f>
        <v/>
      </c>
      <c r="E2436" s="158" t="str">
        <f>IF(A2436="","",VLOOKUP(A2436,'6.A'!$A$11:$G$180,5,FALSE))</f>
        <v/>
      </c>
      <c r="F2436" s="159" t="str">
        <f t="shared" si="1038"/>
        <v>0,00</v>
      </c>
      <c r="G2436" s="52"/>
      <c r="H2436" s="52" t="str">
        <f>IF(A2436="","",VLOOKUP(A2436,'6.A'!$A$11:$E$7984,5,FALSE))</f>
        <v/>
      </c>
      <c r="I2436" s="52" t="str">
        <f t="shared" si="1039"/>
        <v/>
      </c>
      <c r="J2436" s="52" t="str">
        <f>IF(H2436="","",VLOOKUP(A2436,'6.A'!$A$11:$E$564,4,FALSE))</f>
        <v/>
      </c>
      <c r="K2436" s="52" t="str">
        <f t="shared" si="1040"/>
        <v/>
      </c>
      <c r="L2436" s="52" t="str">
        <f>IF(H2436="","",IF(C2436="","",G2404*C2436))</f>
        <v/>
      </c>
      <c r="M2436" s="117" t="str">
        <f>IF(A2436="","",VLOOKUP(A2436,'6.A'!$A$11:$C$564,2,FALSE))</f>
        <v/>
      </c>
      <c r="N2436" s="57" t="str">
        <f t="shared" si="1041"/>
        <v/>
      </c>
      <c r="O2436" s="56"/>
      <c r="P2436" s="56"/>
      <c r="Q2436" s="48"/>
      <c r="R2436" s="48"/>
      <c r="S2436" s="65"/>
      <c r="T2436" s="2"/>
      <c r="U2436" s="2"/>
      <c r="V2436" s="2"/>
    </row>
    <row r="2437" spans="1:22" s="149" customFormat="1" ht="12.75" customHeight="1" x14ac:dyDescent="0.2">
      <c r="A2437" s="155"/>
      <c r="B2437" s="138" t="str">
        <f>IF(A2437="","",VLOOKUP(A2437,'6.A'!$A$11:$G$180,2,FALSE))</f>
        <v/>
      </c>
      <c r="C2437" s="156"/>
      <c r="D2437" s="141" t="str">
        <f>IF(A2437="","",VLOOKUP(A2437,'6.A'!$A$11:$G$180,4,FALSE))</f>
        <v/>
      </c>
      <c r="E2437" s="160" t="str">
        <f>IF(A2437="","",VLOOKUP(A2437,'6.A'!$A$11:$G$180,5,FALSE))</f>
        <v/>
      </c>
      <c r="F2437" s="159" t="str">
        <f t="shared" si="1038"/>
        <v>0,00</v>
      </c>
      <c r="G2437" s="52"/>
      <c r="H2437" s="52" t="str">
        <f>IF(A2437="","",VLOOKUP(A2437,'6.A'!$A$11:$E$7984,5,FALSE))</f>
        <v/>
      </c>
      <c r="I2437" s="52" t="str">
        <f t="shared" si="1039"/>
        <v/>
      </c>
      <c r="J2437" s="52" t="str">
        <f>IF(H2437="","",VLOOKUP(A2437,'6.A'!$A$11:$E$564,4,FALSE))</f>
        <v/>
      </c>
      <c r="K2437" s="52" t="str">
        <f t="shared" si="1040"/>
        <v/>
      </c>
      <c r="L2437" s="52" t="str">
        <f>IF(H2437="","",IF(C2437="","",G2404*C2437))</f>
        <v/>
      </c>
      <c r="M2437" s="117" t="str">
        <f>IF(A2437="","",VLOOKUP(A2437,'6.A'!$A$11:$C$564,2,FALSE))</f>
        <v/>
      </c>
      <c r="N2437" s="57" t="str">
        <f t="shared" si="1041"/>
        <v/>
      </c>
      <c r="O2437" s="56"/>
      <c r="P2437" s="56"/>
      <c r="Q2437" s="48"/>
      <c r="R2437" s="48"/>
      <c r="S2437" s="65"/>
      <c r="T2437" s="2"/>
      <c r="U2437" s="2"/>
      <c r="V2437" s="2"/>
    </row>
    <row r="2438" spans="1:22" s="149" customFormat="1" ht="12.75" customHeight="1" x14ac:dyDescent="0.2">
      <c r="A2438" s="155"/>
      <c r="B2438" s="138" t="str">
        <f>IF(A2438="","",VLOOKUP(A2438,'6.A'!$A$11:$G$180,2,FALSE))</f>
        <v/>
      </c>
      <c r="C2438" s="156"/>
      <c r="D2438" s="141" t="str">
        <f>IF(A2438="","",VLOOKUP(A2438,'6.A'!$A$11:$G$180,4,FALSE))</f>
        <v/>
      </c>
      <c r="E2438" s="160" t="str">
        <f>IF(A2438="","",VLOOKUP(A2438,'6.A'!$A$11:$G$180,5,FALSE))</f>
        <v/>
      </c>
      <c r="F2438" s="159" t="str">
        <f t="shared" si="1038"/>
        <v>0,00</v>
      </c>
      <c r="G2438" s="52"/>
      <c r="H2438" s="52" t="str">
        <f>IF(A2438="","",VLOOKUP(A2438,'6.A'!$A$11:$E$7984,5,FALSE))</f>
        <v/>
      </c>
      <c r="I2438" s="52" t="str">
        <f t="shared" si="1039"/>
        <v/>
      </c>
      <c r="J2438" s="52" t="str">
        <f>IF(H2438="","",VLOOKUP(A2438,'6.A'!$A$11:$E$564,4,FALSE))</f>
        <v/>
      </c>
      <c r="K2438" s="52" t="str">
        <f t="shared" si="1040"/>
        <v/>
      </c>
      <c r="L2438" s="52" t="str">
        <f>IF(H2438="","",IF(C2438="","",G2404*C2438))</f>
        <v/>
      </c>
      <c r="M2438" s="117" t="str">
        <f>IF(A2438="","",VLOOKUP(A2438,'6.A'!$A$11:$C$564,2,FALSE))</f>
        <v/>
      </c>
      <c r="N2438" s="57" t="str">
        <f t="shared" si="1041"/>
        <v/>
      </c>
      <c r="O2438" s="56"/>
      <c r="P2438" s="56"/>
      <c r="Q2438" s="48"/>
      <c r="R2438" s="48"/>
      <c r="S2438" s="65"/>
      <c r="T2438" s="2"/>
      <c r="U2438" s="2"/>
      <c r="V2438" s="2"/>
    </row>
    <row r="2439" spans="1:22" s="149" customFormat="1" ht="12.75" customHeight="1" x14ac:dyDescent="0.2">
      <c r="A2439" s="155"/>
      <c r="B2439" s="138" t="str">
        <f>IF(A2439="","",VLOOKUP(A2439,'6.A'!$A$11:$G$180,2,FALSE))</f>
        <v/>
      </c>
      <c r="C2439" s="156"/>
      <c r="D2439" s="157" t="str">
        <f>IF(A2439="","",VLOOKUP(A2439,'6.A'!$A$11:$G$180,4,FALSE))</f>
        <v/>
      </c>
      <c r="E2439" s="158" t="str">
        <f>IF(A2439="","",VLOOKUP(A2439,'6.A'!$A$11:$G$180,5,FALSE))</f>
        <v/>
      </c>
      <c r="F2439" s="159" t="str">
        <f t="shared" si="1038"/>
        <v>0,00</v>
      </c>
      <c r="G2439" s="52"/>
      <c r="H2439" s="52" t="str">
        <f>IF(A2439="","",VLOOKUP(A2439,'6.A'!$A$11:$E$7984,5,FALSE))</f>
        <v/>
      </c>
      <c r="I2439" s="52" t="str">
        <f t="shared" si="1039"/>
        <v/>
      </c>
      <c r="J2439" s="52" t="str">
        <f>IF(H2439="","",VLOOKUP(A2439,'6.A'!$A$11:$E$564,4,FALSE))</f>
        <v/>
      </c>
      <c r="K2439" s="52" t="str">
        <f t="shared" si="1040"/>
        <v/>
      </c>
      <c r="L2439" s="52" t="str">
        <f>IF(H2439="","",IF(C2439="","",G2404*C2439))</f>
        <v/>
      </c>
      <c r="M2439" s="117" t="str">
        <f>IF(A2439="","",VLOOKUP(A2439,'6.A'!$A$11:$C$564,2,FALSE))</f>
        <v/>
      </c>
      <c r="N2439" s="57" t="str">
        <f t="shared" si="1041"/>
        <v/>
      </c>
      <c r="O2439" s="56"/>
      <c r="P2439" s="56"/>
      <c r="Q2439" s="48"/>
      <c r="R2439" s="48"/>
      <c r="S2439" s="65"/>
      <c r="T2439" s="2"/>
      <c r="U2439" s="2"/>
      <c r="V2439" s="2"/>
    </row>
    <row r="2440" spans="1:22" s="149" customFormat="1" ht="12.75" customHeight="1" x14ac:dyDescent="0.2">
      <c r="A2440" s="155"/>
      <c r="B2440" s="138" t="str">
        <f>IF(A2440="","",VLOOKUP(A2440,'6.A'!$A$11:$G$180,2,FALSE))</f>
        <v/>
      </c>
      <c r="C2440" s="156"/>
      <c r="D2440" s="157" t="str">
        <f>IF(A2440="","",VLOOKUP(A2440,'6.A'!$A$11:$G$180,4,FALSE))</f>
        <v/>
      </c>
      <c r="E2440" s="158" t="str">
        <f>IF(A2440="","",VLOOKUP(A2440,'6.A'!$A$11:$G$180,5,FALSE))</f>
        <v/>
      </c>
      <c r="F2440" s="159" t="str">
        <f t="shared" si="1038"/>
        <v>0,00</v>
      </c>
      <c r="G2440" s="52"/>
      <c r="H2440" s="52" t="str">
        <f>IF(A2440="","",VLOOKUP(A2440,'6.A'!$A$11:$E$7984,5,FALSE))</f>
        <v/>
      </c>
      <c r="I2440" s="52" t="str">
        <f t="shared" si="1039"/>
        <v/>
      </c>
      <c r="J2440" s="52" t="str">
        <f>IF(H2440="","",VLOOKUP(A2440,'6.A'!$A$11:$E$564,4,FALSE))</f>
        <v/>
      </c>
      <c r="K2440" s="52" t="str">
        <f t="shared" si="1040"/>
        <v/>
      </c>
      <c r="L2440" s="52" t="str">
        <f>IF(H2440="","",IF(C2440="","",G2404*C2440))</f>
        <v/>
      </c>
      <c r="M2440" s="117" t="str">
        <f>IF(A2440="","",VLOOKUP(A2440,'6.A'!$A$11:$C$564,2,FALSE))</f>
        <v/>
      </c>
      <c r="N2440" s="57" t="str">
        <f t="shared" si="1041"/>
        <v/>
      </c>
      <c r="O2440" s="56"/>
      <c r="P2440" s="56"/>
      <c r="Q2440" s="48"/>
      <c r="R2440" s="48"/>
      <c r="S2440" s="65"/>
      <c r="T2440" s="2"/>
      <c r="U2440" s="2"/>
      <c r="V2440" s="2"/>
    </row>
    <row r="2441" spans="1:22" s="149" customFormat="1" ht="12.75" customHeight="1" x14ac:dyDescent="0.2">
      <c r="A2441" s="155"/>
      <c r="B2441" s="138" t="str">
        <f>IF(A2441="","",VLOOKUP(A2441,'6.A'!$A$11:$G$180,2,FALSE))</f>
        <v/>
      </c>
      <c r="C2441" s="156"/>
      <c r="D2441" s="141" t="str">
        <f>IF(A2441="","",VLOOKUP(A2441,'6.A'!$A$11:$G$180,4,FALSE))</f>
        <v/>
      </c>
      <c r="E2441" s="160" t="str">
        <f>IF(A2441="","",VLOOKUP(A2441,'6.A'!$A$11:$G$180,5,FALSE))</f>
        <v/>
      </c>
      <c r="F2441" s="159" t="str">
        <f t="shared" si="1038"/>
        <v>0,00</v>
      </c>
      <c r="G2441" s="52"/>
      <c r="H2441" s="52" t="str">
        <f>IF(A2441="","",VLOOKUP(A2441,'6.A'!$A$11:$E$7984,5,FALSE))</f>
        <v/>
      </c>
      <c r="I2441" s="52" t="str">
        <f t="shared" si="1039"/>
        <v/>
      </c>
      <c r="J2441" s="52" t="str">
        <f>IF(H2441="","",VLOOKUP(A2441,'6.A'!$A$11:$E$564,4,FALSE))</f>
        <v/>
      </c>
      <c r="K2441" s="52" t="str">
        <f t="shared" si="1040"/>
        <v/>
      </c>
      <c r="L2441" s="52" t="str">
        <f>IF(H2441="","",IF(C2441="","",G2404*C2441))</f>
        <v/>
      </c>
      <c r="M2441" s="117" t="str">
        <f>IF(A2441="","",VLOOKUP(A2441,'6.A'!$A$11:$C$564,2,FALSE))</f>
        <v/>
      </c>
      <c r="N2441" s="57" t="str">
        <f t="shared" si="1041"/>
        <v/>
      </c>
      <c r="O2441" s="56"/>
      <c r="P2441" s="56"/>
      <c r="Q2441" s="48"/>
      <c r="R2441" s="48"/>
      <c r="S2441" s="65"/>
      <c r="T2441" s="2"/>
      <c r="U2441" s="2"/>
      <c r="V2441" s="2"/>
    </row>
    <row r="2442" spans="1:22" s="149" customFormat="1" ht="12.75" customHeight="1" x14ac:dyDescent="0.2">
      <c r="A2442" s="155"/>
      <c r="B2442" s="138" t="str">
        <f>IF(A2442="","",VLOOKUP(A2442,'6.A'!$A$11:$G$180,2,FALSE))</f>
        <v/>
      </c>
      <c r="C2442" s="156"/>
      <c r="D2442" s="141" t="str">
        <f>IF(A2442="","",VLOOKUP(A2442,'6.A'!$A$11:$G$180,4,FALSE))</f>
        <v/>
      </c>
      <c r="E2442" s="160" t="str">
        <f>IF(A2442="","",VLOOKUP(A2442,'6.A'!$A$11:$G$180,5,FALSE))</f>
        <v/>
      </c>
      <c r="F2442" s="159" t="str">
        <f t="shared" si="1038"/>
        <v>0,00</v>
      </c>
      <c r="G2442" s="52"/>
      <c r="H2442" s="52" t="str">
        <f>IF(A2442="","",VLOOKUP(A2442,'6.A'!$A$11:$E$7984,5,FALSE))</f>
        <v/>
      </c>
      <c r="I2442" s="52" t="str">
        <f t="shared" si="1039"/>
        <v/>
      </c>
      <c r="J2442" s="52" t="str">
        <f>IF(H2442="","",VLOOKUP(A2442,'6.A'!$A$11:$E$564,4,FALSE))</f>
        <v/>
      </c>
      <c r="K2442" s="52" t="str">
        <f t="shared" si="1040"/>
        <v/>
      </c>
      <c r="L2442" s="52" t="str">
        <f>IF(H2442="","",IF(C2442="","",G2404*C2442))</f>
        <v/>
      </c>
      <c r="M2442" s="117" t="str">
        <f>IF(A2442="","",VLOOKUP(A2442,'6.A'!$A$11:$C$564,2,FALSE))</f>
        <v/>
      </c>
      <c r="N2442" s="57" t="str">
        <f t="shared" si="1041"/>
        <v/>
      </c>
      <c r="O2442" s="56"/>
      <c r="P2442" s="56"/>
      <c r="Q2442" s="48"/>
      <c r="R2442" s="48"/>
      <c r="S2442" s="65"/>
      <c r="T2442" s="2"/>
      <c r="U2442" s="2"/>
      <c r="V2442" s="2"/>
    </row>
    <row r="2443" spans="1:22" s="149" customFormat="1" ht="12.75" customHeight="1" x14ac:dyDescent="0.2">
      <c r="A2443" s="155"/>
      <c r="B2443" s="138" t="str">
        <f>IF(A2443="","",VLOOKUP(A2443,'6.A'!$A$11:$G$180,2,FALSE))</f>
        <v/>
      </c>
      <c r="C2443" s="156"/>
      <c r="D2443" s="141" t="str">
        <f>IF(A2443="","",VLOOKUP(A2443,'6.A'!$A$11:$G$180,4,FALSE))</f>
        <v/>
      </c>
      <c r="E2443" s="160" t="str">
        <f>IF(A2443="","",VLOOKUP(A2443,'6.A'!$A$11:$G$180,5,FALSE))</f>
        <v/>
      </c>
      <c r="F2443" s="159" t="str">
        <f t="shared" si="1038"/>
        <v>0,00</v>
      </c>
      <c r="G2443" s="52"/>
      <c r="H2443" s="52" t="str">
        <f>IF(A2443="","",VLOOKUP(A2443,'6.A'!$A$11:$E$7984,5,FALSE))</f>
        <v/>
      </c>
      <c r="I2443" s="52" t="str">
        <f t="shared" si="1039"/>
        <v/>
      </c>
      <c r="J2443" s="52" t="str">
        <f>IF(H2443="","",VLOOKUP(A2443,'6.A'!$A$11:$E$564,4,FALSE))</f>
        <v/>
      </c>
      <c r="K2443" s="52" t="str">
        <f t="shared" si="1040"/>
        <v/>
      </c>
      <c r="L2443" s="52" t="str">
        <f>IF(H2443="","",IF(C2443="","",G2404*C2443))</f>
        <v/>
      </c>
      <c r="M2443" s="117" t="str">
        <f>IF(A2443="","",VLOOKUP(A2443,'6.A'!$A$11:$C$564,2,FALSE))</f>
        <v/>
      </c>
      <c r="N2443" s="57" t="str">
        <f t="shared" si="1041"/>
        <v/>
      </c>
      <c r="O2443" s="56"/>
      <c r="P2443" s="56"/>
      <c r="Q2443" s="48"/>
      <c r="R2443" s="48"/>
      <c r="S2443" s="65"/>
      <c r="T2443" s="2"/>
      <c r="U2443" s="2"/>
      <c r="V2443" s="2"/>
    </row>
    <row r="2444" spans="1:22" s="149" customFormat="1" ht="12.75" customHeight="1" x14ac:dyDescent="0.2">
      <c r="A2444" s="155"/>
      <c r="B2444" s="138" t="str">
        <f>IF(A2444="","",VLOOKUP(A2444,'6.A'!$A$11:$G$180,2,FALSE))</f>
        <v/>
      </c>
      <c r="C2444" s="156"/>
      <c r="D2444" s="141" t="str">
        <f>IF(A2444="","",VLOOKUP(A2444,'6.A'!$A$11:$G$180,4,FALSE))</f>
        <v/>
      </c>
      <c r="E2444" s="160" t="str">
        <f>IF(A2444="","",VLOOKUP(A2444,'6.A'!$A$11:$G$180,5,FALSE))</f>
        <v/>
      </c>
      <c r="F2444" s="159" t="str">
        <f t="shared" si="1038"/>
        <v>0,00</v>
      </c>
      <c r="G2444" s="52"/>
      <c r="H2444" s="52" t="str">
        <f>IF(A2444="","",VLOOKUP(A2444,'6.A'!$A$11:$E$7984,5,FALSE))</f>
        <v/>
      </c>
      <c r="I2444" s="52" t="str">
        <f t="shared" si="1039"/>
        <v/>
      </c>
      <c r="J2444" s="52" t="str">
        <f>IF(H2444="","",VLOOKUP(A2444,'6.A'!$A$11:$E$564,4,FALSE))</f>
        <v/>
      </c>
      <c r="K2444" s="52" t="str">
        <f t="shared" si="1040"/>
        <v/>
      </c>
      <c r="L2444" s="52" t="str">
        <f>IF(H2444="","",IF(C2444="","",G2404*C2444))</f>
        <v/>
      </c>
      <c r="M2444" s="117" t="str">
        <f>IF(A2444="","",VLOOKUP(A2444,'6.A'!$A$11:$C$564,2,FALSE))</f>
        <v/>
      </c>
      <c r="N2444" s="57" t="str">
        <f t="shared" si="1041"/>
        <v/>
      </c>
      <c r="O2444" s="56"/>
      <c r="P2444" s="56"/>
      <c r="Q2444" s="48"/>
      <c r="R2444" s="48"/>
      <c r="S2444" s="65"/>
      <c r="T2444" s="2"/>
      <c r="U2444" s="2"/>
      <c r="V2444" s="2"/>
    </row>
    <row r="2445" spans="1:22" s="149" customFormat="1" ht="12.75" customHeight="1" x14ac:dyDescent="0.2">
      <c r="A2445" s="155"/>
      <c r="B2445" s="138" t="str">
        <f>IF(A2445="","",VLOOKUP(A2445,'6.A'!$A$11:$G$180,2,FALSE))</f>
        <v/>
      </c>
      <c r="C2445" s="156"/>
      <c r="D2445" s="141" t="str">
        <f>IF(A2445="","",VLOOKUP(A2445,'6.A'!$A$11:$G$180,4,FALSE))</f>
        <v/>
      </c>
      <c r="E2445" s="160" t="str">
        <f>IF(A2445="","",VLOOKUP(A2445,'6.A'!$A$11:$G$180,5,FALSE))</f>
        <v/>
      </c>
      <c r="F2445" s="159" t="str">
        <f t="shared" si="1038"/>
        <v>0,00</v>
      </c>
      <c r="G2445" s="52"/>
      <c r="H2445" s="52" t="str">
        <f>IF(A2445="","",VLOOKUP(A2445,'6.A'!$A$11:$E$7984,5,FALSE))</f>
        <v/>
      </c>
      <c r="I2445" s="52" t="str">
        <f t="shared" si="1039"/>
        <v/>
      </c>
      <c r="J2445" s="52" t="str">
        <f>IF(H2445="","",VLOOKUP(A2445,'6.A'!$A$11:$E$564,4,FALSE))</f>
        <v/>
      </c>
      <c r="K2445" s="52" t="str">
        <f t="shared" si="1040"/>
        <v/>
      </c>
      <c r="L2445" s="52" t="str">
        <f>IF(H2445="","",IF(C2445="","",G2404*C2445))</f>
        <v/>
      </c>
      <c r="M2445" s="117" t="str">
        <f>IF(A2445="","",VLOOKUP(A2445,'6.A'!$A$11:$C$564,2,FALSE))</f>
        <v/>
      </c>
      <c r="N2445" s="57" t="str">
        <f t="shared" si="1041"/>
        <v/>
      </c>
      <c r="O2445" s="56"/>
      <c r="P2445" s="56"/>
      <c r="Q2445" s="48"/>
      <c r="R2445" s="48"/>
      <c r="S2445" s="65"/>
      <c r="T2445" s="2"/>
      <c r="U2445" s="2"/>
      <c r="V2445" s="2"/>
    </row>
    <row r="2446" spans="1:22" s="149" customFormat="1" ht="12.75" customHeight="1" x14ac:dyDescent="0.2">
      <c r="A2446" s="155"/>
      <c r="B2446" s="138" t="str">
        <f>IF(A2446="","",VLOOKUP(A2446,'6.A'!$A$11:$G$180,2,FALSE))</f>
        <v/>
      </c>
      <c r="C2446" s="156"/>
      <c r="D2446" s="141" t="str">
        <f>IF(A2446="","",VLOOKUP(A2446,'6.A'!$A$11:$G$180,4,FALSE))</f>
        <v/>
      </c>
      <c r="E2446" s="160" t="str">
        <f>IF(A2446="","",VLOOKUP(A2446,'6.A'!$A$11:$G$180,5,FALSE))</f>
        <v/>
      </c>
      <c r="F2446" s="159" t="str">
        <f t="shared" si="1038"/>
        <v>0,00</v>
      </c>
      <c r="G2446" s="52"/>
      <c r="H2446" s="52" t="str">
        <f>IF(A2446="","",VLOOKUP(A2446,'6.A'!$A$11:$E$7984,5,FALSE))</f>
        <v/>
      </c>
      <c r="I2446" s="52" t="str">
        <f t="shared" si="1039"/>
        <v/>
      </c>
      <c r="J2446" s="52" t="str">
        <f>IF(H2446="","",VLOOKUP(A2446,'6.A'!$A$11:$E$564,4,FALSE))</f>
        <v/>
      </c>
      <c r="K2446" s="52" t="str">
        <f t="shared" si="1040"/>
        <v/>
      </c>
      <c r="L2446" s="52" t="str">
        <f>IF(H2446="","",IF(C2446="","",G2404*C2446))</f>
        <v/>
      </c>
      <c r="M2446" s="117" t="str">
        <f>IF(A2446="","",VLOOKUP(A2446,'6.A'!$A$11:$C$564,2,FALSE))</f>
        <v/>
      </c>
      <c r="N2446" s="57" t="str">
        <f t="shared" si="1041"/>
        <v/>
      </c>
      <c r="O2446" s="56"/>
      <c r="P2446" s="56"/>
      <c r="Q2446" s="48"/>
      <c r="R2446" s="48"/>
      <c r="S2446" s="65"/>
      <c r="T2446" s="2"/>
      <c r="U2446" s="2"/>
      <c r="V2446" s="2"/>
    </row>
    <row r="2447" spans="1:22" s="149" customFormat="1" ht="12.75" customHeight="1" x14ac:dyDescent="0.2">
      <c r="A2447" s="155"/>
      <c r="B2447" s="138" t="str">
        <f>IF(A2447="","",VLOOKUP(A2447,'6.A'!$A$11:$G$180,2,FALSE))</f>
        <v/>
      </c>
      <c r="C2447" s="156"/>
      <c r="D2447" s="141" t="str">
        <f>IF(A2447="","",VLOOKUP(A2447,'6.A'!$A$11:$G$180,4,FALSE))</f>
        <v/>
      </c>
      <c r="E2447" s="160" t="str">
        <f>IF(A2447="","",VLOOKUP(A2447,'6.A'!$A$11:$G$180,5,FALSE))</f>
        <v/>
      </c>
      <c r="F2447" s="159" t="str">
        <f t="shared" si="1038"/>
        <v>0,00</v>
      </c>
      <c r="G2447" s="52"/>
      <c r="H2447" s="52" t="str">
        <f>IF(A2447="","",VLOOKUP(A2447,'6.A'!$A$11:$E$7984,5,FALSE))</f>
        <v/>
      </c>
      <c r="I2447" s="52" t="str">
        <f t="shared" si="1039"/>
        <v/>
      </c>
      <c r="J2447" s="52" t="str">
        <f>IF(H2447="","",VLOOKUP(A2447,'6.A'!$A$11:$E$564,4,FALSE))</f>
        <v/>
      </c>
      <c r="K2447" s="52" t="str">
        <f t="shared" si="1040"/>
        <v/>
      </c>
      <c r="L2447" s="52" t="str">
        <f>IF(H2447="","",IF(C2447="","",G2404*C2447))</f>
        <v/>
      </c>
      <c r="M2447" s="117" t="str">
        <f>IF(A2447="","",VLOOKUP(A2447,'6.A'!$A$11:$C$564,2,FALSE))</f>
        <v/>
      </c>
      <c r="N2447" s="57" t="str">
        <f t="shared" si="1041"/>
        <v/>
      </c>
      <c r="O2447" s="56"/>
      <c r="P2447" s="56"/>
      <c r="Q2447" s="48"/>
      <c r="R2447" s="48"/>
      <c r="S2447" s="65"/>
      <c r="T2447" s="2"/>
      <c r="U2447" s="2"/>
      <c r="V2447" s="2"/>
    </row>
    <row r="2448" spans="1:22" s="149" customFormat="1" ht="12.75" customHeight="1" x14ac:dyDescent="0.2">
      <c r="A2448" s="155"/>
      <c r="B2448" s="138" t="str">
        <f>IF(A2448="","",VLOOKUP(A2448,'6.A'!$A$11:$G$180,2,FALSE))</f>
        <v/>
      </c>
      <c r="C2448" s="156"/>
      <c r="D2448" s="141" t="str">
        <f>IF(A2448="","",VLOOKUP(A2448,'6.A'!$A$11:$G$180,4,FALSE))</f>
        <v/>
      </c>
      <c r="E2448" s="160" t="str">
        <f>IF(A2448="","",VLOOKUP(A2448,'6.A'!$A$11:$G$180,5,FALSE))</f>
        <v/>
      </c>
      <c r="F2448" s="159" t="str">
        <f t="shared" si="1038"/>
        <v>0,00</v>
      </c>
      <c r="G2448" s="52"/>
      <c r="H2448" s="52" t="str">
        <f>IF(A2448="","",VLOOKUP(A2448,'6.A'!$A$11:$E$7984,5,FALSE))</f>
        <v/>
      </c>
      <c r="I2448" s="52" t="str">
        <f t="shared" si="1039"/>
        <v/>
      </c>
      <c r="J2448" s="52" t="str">
        <f>IF(H2448="","",VLOOKUP(A2448,'6.A'!$A$11:$E$564,4,FALSE))</f>
        <v/>
      </c>
      <c r="K2448" s="52" t="str">
        <f t="shared" si="1040"/>
        <v/>
      </c>
      <c r="L2448" s="52" t="str">
        <f>IF(H2448="","",IF(C2448="","",G2404*C2448))</f>
        <v/>
      </c>
      <c r="M2448" s="117" t="str">
        <f>IF(A2448="","",VLOOKUP(A2448,'6.A'!$A$11:$C$564,2,FALSE))</f>
        <v/>
      </c>
      <c r="N2448" s="57" t="str">
        <f t="shared" si="1041"/>
        <v/>
      </c>
      <c r="O2448" s="56"/>
      <c r="P2448" s="56"/>
      <c r="Q2448" s="48"/>
      <c r="R2448" s="48"/>
      <c r="S2448" s="65"/>
      <c r="T2448" s="2"/>
      <c r="U2448" s="2"/>
      <c r="V2448" s="2"/>
    </row>
    <row r="2449" spans="1:22" s="137" customFormat="1" ht="12.75" customHeight="1" x14ac:dyDescent="0.2">
      <c r="A2449" s="155"/>
      <c r="B2449" s="171" t="str">
        <f>IF(A2449="","",VLOOKUP(A2449,'6.A'!$A$11:$G$180,2,FALSE))</f>
        <v/>
      </c>
      <c r="C2449" s="156"/>
      <c r="D2449" s="141" t="str">
        <f>IF(A2449="","",VLOOKUP(A2449,'6.A'!$A$11:$G$180,4,FALSE))</f>
        <v/>
      </c>
      <c r="E2449" s="160" t="str">
        <f>IF(A2449="","",VLOOKUP(A2449,'6.A'!$A$11:$G$180,5,FALSE))</f>
        <v/>
      </c>
      <c r="F2449" s="159" t="str">
        <f t="shared" si="1038"/>
        <v>0,00</v>
      </c>
      <c r="G2449" s="52"/>
      <c r="H2449" s="52" t="str">
        <f>IF(A2449="","",VLOOKUP(A2449,'6.A'!$A$11:$E$7984,5,FALSE))</f>
        <v/>
      </c>
      <c r="I2449" s="52" t="str">
        <f t="shared" si="1039"/>
        <v/>
      </c>
      <c r="J2449" s="52" t="str">
        <f>IF(H2449="","",VLOOKUP(A2449,'6.A'!$A$11:$E$564,4,FALSE))</f>
        <v/>
      </c>
      <c r="K2449" s="52" t="str">
        <f t="shared" si="1040"/>
        <v/>
      </c>
      <c r="L2449" s="52" t="str">
        <f>IF(H2449="","",IF(C2449="","",G2404*C2449))</f>
        <v/>
      </c>
      <c r="M2449" s="117" t="str">
        <f>IF(A2449="","",VLOOKUP(A2449,'6.A'!$A$11:$C$564,2,FALSE))</f>
        <v/>
      </c>
      <c r="N2449" s="57" t="str">
        <f t="shared" si="1041"/>
        <v/>
      </c>
      <c r="O2449" s="56"/>
      <c r="P2449" s="56"/>
      <c r="Q2449" s="48"/>
      <c r="R2449" s="48"/>
      <c r="S2449" s="65"/>
      <c r="T2449" s="2"/>
      <c r="U2449" s="2"/>
      <c r="V2449" s="2"/>
    </row>
    <row r="2450" spans="1:22" s="137" customFormat="1" ht="12.75" customHeight="1" x14ac:dyDescent="0.2">
      <c r="A2450" s="155"/>
      <c r="B2450" s="171" t="str">
        <f>IF(A2450="","",VLOOKUP(A2450,'6.A'!$A$11:$G$180,2,FALSE))</f>
        <v/>
      </c>
      <c r="C2450" s="156"/>
      <c r="D2450" s="141" t="str">
        <f>IF(A2450="","",VLOOKUP(A2450,'6.A'!$A$11:$G$180,4,FALSE))</f>
        <v/>
      </c>
      <c r="E2450" s="160" t="str">
        <f>IF(A2450="","",VLOOKUP(A2450,'6.A'!$A$11:$G$180,5,FALSE))</f>
        <v/>
      </c>
      <c r="F2450" s="159" t="str">
        <f t="shared" si="1038"/>
        <v>0,00</v>
      </c>
      <c r="G2450" s="52"/>
      <c r="H2450" s="52" t="str">
        <f>IF(A2450="","",VLOOKUP(A2450,'6.A'!$A$11:$E$7984,5,FALSE))</f>
        <v/>
      </c>
      <c r="I2450" s="52" t="str">
        <f t="shared" si="1039"/>
        <v/>
      </c>
      <c r="J2450" s="52" t="str">
        <f>IF(H2450="","",VLOOKUP(A2450,'6.A'!$A$11:$E$564,4,FALSE))</f>
        <v/>
      </c>
      <c r="K2450" s="52" t="str">
        <f t="shared" si="1040"/>
        <v/>
      </c>
      <c r="L2450" s="52" t="str">
        <f>IF(H2450="","",IF(C2450="","",G2404*C2450))</f>
        <v/>
      </c>
      <c r="M2450" s="117" t="str">
        <f>IF(A2450="","",VLOOKUP(A2450,'6.A'!$A$11:$C$564,2,FALSE))</f>
        <v/>
      </c>
      <c r="N2450" s="57" t="str">
        <f t="shared" si="1041"/>
        <v/>
      </c>
      <c r="O2450" s="56"/>
      <c r="P2450" s="56"/>
      <c r="Q2450" s="48"/>
      <c r="R2450" s="48"/>
      <c r="S2450" s="65"/>
      <c r="T2450" s="2"/>
      <c r="U2450" s="2"/>
      <c r="V2450" s="2"/>
    </row>
    <row r="2451" spans="1:22" s="137" customFormat="1" ht="12.75" customHeight="1" x14ac:dyDescent="0.2">
      <c r="A2451" s="155"/>
      <c r="B2451" s="171" t="str">
        <f>IF(A2451="","",VLOOKUP(A2451,'6.A'!$A$11:$G$180,2,FALSE))</f>
        <v/>
      </c>
      <c r="C2451" s="156"/>
      <c r="D2451" s="141" t="str">
        <f>IF(A2451="","",VLOOKUP(A2451,'6.A'!$A$11:$G$180,4,FALSE))</f>
        <v/>
      </c>
      <c r="E2451" s="160" t="str">
        <f>IF(A2451="","",VLOOKUP(A2451,'6.A'!$A$11:$G$180,5,FALSE))</f>
        <v/>
      </c>
      <c r="F2451" s="159" t="str">
        <f t="shared" si="1038"/>
        <v>0,00</v>
      </c>
      <c r="G2451" s="52"/>
      <c r="H2451" s="52" t="str">
        <f>IF(A2451="","",VLOOKUP(A2451,'6.A'!$A$11:$E$7984,5,FALSE))</f>
        <v/>
      </c>
      <c r="I2451" s="52" t="str">
        <f t="shared" si="1039"/>
        <v/>
      </c>
      <c r="J2451" s="52" t="str">
        <f>IF(H2451="","",VLOOKUP(A2451,'6.A'!$A$11:$E$564,4,FALSE))</f>
        <v/>
      </c>
      <c r="K2451" s="52" t="str">
        <f t="shared" si="1040"/>
        <v/>
      </c>
      <c r="L2451" s="52" t="str">
        <f>IF(H2451="","",IF(C2451="","",G2404*C2451))</f>
        <v/>
      </c>
      <c r="M2451" s="117" t="str">
        <f>IF(A2451="","",VLOOKUP(A2451,'6.A'!$A$11:$C$564,2,FALSE))</f>
        <v/>
      </c>
      <c r="N2451" s="57" t="str">
        <f t="shared" si="1041"/>
        <v/>
      </c>
      <c r="O2451" s="56"/>
      <c r="P2451" s="56"/>
      <c r="Q2451" s="48"/>
      <c r="R2451" s="48"/>
      <c r="S2451" s="65"/>
      <c r="T2451" s="2"/>
      <c r="U2451" s="2"/>
      <c r="V2451" s="2"/>
    </row>
    <row r="2452" spans="1:22" s="137" customFormat="1" ht="12.75" customHeight="1" x14ac:dyDescent="0.2">
      <c r="A2452" s="155"/>
      <c r="B2452" s="171" t="str">
        <f>IF(A2452="","",VLOOKUP(A2452,'6.A'!$A$11:$G$180,2,FALSE))</f>
        <v/>
      </c>
      <c r="C2452" s="156"/>
      <c r="D2452" s="141" t="str">
        <f>IF(A2452="","",VLOOKUP(A2452,'6.A'!$A$11:$G$180,4,FALSE))</f>
        <v/>
      </c>
      <c r="E2452" s="160" t="str">
        <f>IF(A2452="","",VLOOKUP(A2452,'6.A'!$A$11:$G$180,5,FALSE))</f>
        <v/>
      </c>
      <c r="F2452" s="159" t="str">
        <f t="shared" si="1038"/>
        <v>0,00</v>
      </c>
      <c r="G2452" s="52"/>
      <c r="H2452" s="52" t="str">
        <f>IF(A2452="","",VLOOKUP(A2452,'6.A'!$A$11:$E$7984,5,FALSE))</f>
        <v/>
      </c>
      <c r="I2452" s="52" t="str">
        <f t="shared" si="1039"/>
        <v/>
      </c>
      <c r="J2452" s="52" t="str">
        <f>IF(H2452="","",VLOOKUP(A2452,'6.A'!$A$11:$E$564,4,FALSE))</f>
        <v/>
      </c>
      <c r="K2452" s="52" t="str">
        <f t="shared" si="1040"/>
        <v/>
      </c>
      <c r="L2452" s="52" t="str">
        <f>IF(H2452="","",IF(C2452="","",G2404*C2452))</f>
        <v/>
      </c>
      <c r="M2452" s="117" t="str">
        <f>IF(A2452="","",VLOOKUP(A2452,'6.A'!$A$11:$C$564,2,FALSE))</f>
        <v/>
      </c>
      <c r="N2452" s="57" t="str">
        <f t="shared" si="1041"/>
        <v/>
      </c>
      <c r="O2452" s="56"/>
      <c r="P2452" s="56"/>
      <c r="Q2452" s="48"/>
      <c r="R2452" s="48"/>
      <c r="S2452" s="65"/>
      <c r="T2452" s="2"/>
      <c r="U2452" s="2"/>
      <c r="V2452" s="2"/>
    </row>
    <row r="2453" spans="1:22" s="137" customFormat="1" ht="12.75" customHeight="1" x14ac:dyDescent="0.2">
      <c r="A2453" s="155"/>
      <c r="B2453" s="26" t="str">
        <f>$A$9</f>
        <v>BDI</v>
      </c>
      <c r="C2453" s="40">
        <f>$C$9</f>
        <v>0</v>
      </c>
      <c r="D2453" s="141"/>
      <c r="E2453" s="147"/>
      <c r="F2453" s="162">
        <f>ROUND(SUM(F2433:F2452)*C2453,2)</f>
        <v>0</v>
      </c>
      <c r="G2453" s="63"/>
      <c r="H2453" s="52"/>
      <c r="I2453" s="57"/>
      <c r="J2453" s="57"/>
      <c r="K2453" s="57"/>
      <c r="L2453" s="52"/>
      <c r="M2453" s="57"/>
      <c r="N2453" s="57"/>
      <c r="O2453" s="56"/>
      <c r="P2453" s="56"/>
      <c r="Q2453" s="48"/>
      <c r="R2453" s="48"/>
      <c r="S2453" s="65"/>
      <c r="T2453" s="2"/>
      <c r="U2453" s="2"/>
      <c r="V2453" s="2"/>
    </row>
    <row r="2454" spans="1:22" s="137" customFormat="1" ht="12.75" customHeight="1" thickBot="1" x14ac:dyDescent="0.25">
      <c r="A2454" s="172"/>
      <c r="B2454" s="42" t="s">
        <v>57</v>
      </c>
      <c r="C2454" s="43"/>
      <c r="D2454" s="173"/>
      <c r="E2454" s="174"/>
      <c r="F2454" s="175">
        <f>ROUND(SUM(F2433:F2453),2)</f>
        <v>0</v>
      </c>
      <c r="G2454" s="63"/>
      <c r="H2454" s="52"/>
      <c r="I2454" s="57"/>
      <c r="J2454" s="57"/>
      <c r="K2454" s="57"/>
      <c r="L2454" s="52"/>
      <c r="M2454" s="57"/>
      <c r="N2454" s="57"/>
      <c r="O2454" s="56"/>
      <c r="P2454" s="56"/>
      <c r="Q2454" s="48"/>
      <c r="R2454" s="48"/>
      <c r="S2454" s="65"/>
      <c r="T2454" s="2"/>
      <c r="U2454" s="2"/>
      <c r="V2454" s="2"/>
    </row>
    <row r="2455" spans="1:22" s="149" customFormat="1" ht="12" customHeight="1" thickBot="1" x14ac:dyDescent="0.25">
      <c r="A2455" s="150"/>
      <c r="B2455" s="145"/>
      <c r="C2455" s="146"/>
      <c r="D2455" s="141"/>
      <c r="E2455" s="147"/>
      <c r="F2455" s="142"/>
      <c r="G2455" s="142"/>
      <c r="H2455" s="139"/>
      <c r="I2455" s="141"/>
      <c r="J2455" s="141"/>
      <c r="K2455" s="141"/>
      <c r="L2455" s="139"/>
      <c r="M2455" s="143"/>
      <c r="N2455" s="143"/>
      <c r="O2455" s="144"/>
      <c r="P2455" s="144"/>
      <c r="Q2455" s="135"/>
      <c r="R2455" s="135"/>
      <c r="T2455" s="137"/>
      <c r="U2455" s="137"/>
      <c r="V2455" s="137"/>
    </row>
    <row r="2456" spans="1:22" s="137" customFormat="1" ht="50.1" customHeight="1" x14ac:dyDescent="0.2">
      <c r="A2456" s="151" t="str">
        <f>'3.A'!$A$58</f>
        <v>3.3.4</v>
      </c>
      <c r="B2456" s="14" t="str">
        <f>IF(A2456="","",VLOOKUP(A2456,'3.A'!$A$17:$M$279,2,FALSE))</f>
        <v>QUADRO GERAL - BARRAMENTO DE 150 A</v>
      </c>
      <c r="C2456" s="413" t="s">
        <v>62</v>
      </c>
      <c r="D2456" s="413"/>
      <c r="E2456" s="15" t="str">
        <f>IF(A2456="","",VLOOKUP(A2456,'3.A'!$A$17:$M$279,3,FALSE))</f>
        <v>M</v>
      </c>
      <c r="F2456" s="16">
        <f>ROUND(F2470+F2483+F2506,2)</f>
        <v>0</v>
      </c>
      <c r="G2456" s="118">
        <f>VLOOKUP(A2456,'3.A'!$A$19:$I$279,4,FALSE)</f>
        <v>5</v>
      </c>
      <c r="H2456" s="47">
        <f>SUM(F2458:F2469)</f>
        <v>0</v>
      </c>
      <c r="I2456" s="47">
        <f>SUM(F2472:F2482)</f>
        <v>0</v>
      </c>
      <c r="J2456" s="47">
        <f>SUM(F2485:F2505)</f>
        <v>0</v>
      </c>
      <c r="K2456" s="47">
        <f>SUM(H2456:J2456)</f>
        <v>0</v>
      </c>
      <c r="L2456" s="47" t="str">
        <f>IF(K2456=F2456,"SIM","NÃO")</f>
        <v>SIM</v>
      </c>
      <c r="M2456" s="58">
        <f>ROUND(SUM(F2458:F2467)*C2468,2)+ROUND(SUM(F2458:F2468)*C2469,2)+ROUND(SUM(F2458:F2467),2)+ROUND(SUM(F2472:F2481)*C2482,2)+ROUND(SUM(F2472:F2481),2)+ROUND(SUM(F2485:F2504)*C2505,2)+ROUND(SUM(F2485:F2504),2)</f>
        <v>0</v>
      </c>
      <c r="N2456" s="50" t="str">
        <f>IF(M2456=F2456,"SIM","NÃO")</f>
        <v>SIM</v>
      </c>
      <c r="O2456" s="51" t="str">
        <f>VLOOKUP(A2456,'3.A'!$A$8:$E$279,3,FALSE)</f>
        <v>M</v>
      </c>
      <c r="P2456" s="51" t="str">
        <f>IF(O2456=E2456,"SIM","NÃO")</f>
        <v>SIM</v>
      </c>
      <c r="Q2456" s="53">
        <f>ROUND(G2456*F2470,2)+ROUND(G2456*F2483,2)+ROUND(G2456*F2506,2)</f>
        <v>0</v>
      </c>
      <c r="R2456" s="59">
        <f>VLOOKUP(A2456,'3.A'!$A$17:$L$279,12,FALSE)</f>
        <v>0</v>
      </c>
      <c r="S2456" s="60" t="str">
        <f>IF(Q2456=R2456,"si","no")</f>
        <v>si</v>
      </c>
      <c r="T2456" s="61">
        <f>SUM(L2458:L2467)+SUM(L2472:L2481)+SUM(L2485:L2504)</f>
        <v>3.25</v>
      </c>
      <c r="U2456" s="52">
        <f>G2456*C2464+G2456*C2466+G2456*C2459+G2456*C2460+G2456*C2462+G2456*C2465+G2456*C2463+G2456*C2458+G2456*C2461+G2456*C2467+G2456*C2478+G2456*C2472+G2456*C2480+G2456*C2479+G2456*C2477+G2456*C2474+G2456*C2473+G2456*C2475+G2456*C2481+G2456*C2476+G2456*C2485+G2456*C2486+G2456*C2487+G2456*C2495+G2456*C2496+G2456*C2497+G2456*C2498+G2456*C2499+G2456*C2500+G2456*C2501+G2456*C2502+G2456*C2503+G2456*C2504+G2456*C2493+G2456*C2494+G2456*C2488+G2456*C2489+G2456*C2490+G2456*C2491+G2456*C2492</f>
        <v>3.25</v>
      </c>
      <c r="V2456" s="54" t="str">
        <f>IF(T2456=U2456,"si","no")</f>
        <v>si</v>
      </c>
    </row>
    <row r="2457" spans="1:22" s="137" customFormat="1" ht="12.75" customHeight="1" x14ac:dyDescent="0.2">
      <c r="A2457" s="152" t="s">
        <v>3</v>
      </c>
      <c r="B2457" s="153" t="s">
        <v>58</v>
      </c>
      <c r="C2457" s="140" t="s">
        <v>59</v>
      </c>
      <c r="D2457" s="140" t="s">
        <v>16</v>
      </c>
      <c r="E2457" s="154" t="s">
        <v>60</v>
      </c>
      <c r="F2457" s="148" t="s">
        <v>61</v>
      </c>
      <c r="G2457" s="21"/>
      <c r="H2457" s="52"/>
      <c r="I2457" s="57"/>
      <c r="J2457" s="57"/>
      <c r="K2457" s="57"/>
      <c r="L2457" s="52"/>
      <c r="M2457" s="57"/>
      <c r="N2457" s="57"/>
      <c r="O2457" s="56"/>
      <c r="P2457" s="56"/>
      <c r="Q2457" s="48"/>
      <c r="R2457" s="48"/>
      <c r="S2457" s="65"/>
      <c r="T2457" s="2"/>
      <c r="U2457" s="2"/>
      <c r="V2457" s="2"/>
    </row>
    <row r="2458" spans="1:22" s="137" customFormat="1" ht="12.75" customHeight="1" x14ac:dyDescent="0.2">
      <c r="A2458" s="155">
        <f>'6.A'!$A$18</f>
        <v>88264</v>
      </c>
      <c r="B2458" s="138" t="str">
        <f>IF(A2458="","",VLOOKUP(A2458,'6.A'!$A$11:$G$180,2,FALSE))</f>
        <v>ELETRICISTA COM ENCARGOS COMPLEMENTARES</v>
      </c>
      <c r="C2458" s="156">
        <v>0.3</v>
      </c>
      <c r="D2458" s="57" t="str">
        <f>IF(A2458="","",VLOOKUP(A2458,'6.A'!$A$11:$G$180,4,FALSE))</f>
        <v>H</v>
      </c>
      <c r="E2458" s="100">
        <f>IF(A2458="","",VLOOKUP(A2458,'6.A'!$A$11:$G$180,5,FALSE))</f>
        <v>0</v>
      </c>
      <c r="F2458" s="159">
        <f t="shared" ref="F2458:F2467" si="1042">IF(A2458="","0,00",ROUND(C2458*E2458,2))</f>
        <v>0</v>
      </c>
      <c r="G2458" s="52"/>
      <c r="H2458" s="52">
        <f>IF(A2458="","",VLOOKUP(A2458,'6.A'!$A$11:$E$7984,5,FALSE))</f>
        <v>0</v>
      </c>
      <c r="I2458" s="52" t="str">
        <f>IF(H2458="","",IF(E2458=H2458,"SIM","NÃO"))</f>
        <v>SIM</v>
      </c>
      <c r="J2458" s="52" t="str">
        <f>IF(H2458="","",VLOOKUP(A2458,'6.A'!$A$11:$E$564,4,FALSE))</f>
        <v>H</v>
      </c>
      <c r="K2458" s="52" t="str">
        <f>IF(H2458="","",IF(J2458=D2458,"SIM","NÃO"))</f>
        <v>SIM</v>
      </c>
      <c r="L2458" s="52">
        <f>IF(H2458="","",IF(C2458="","",G2456*C2458))</f>
        <v>1.5</v>
      </c>
      <c r="M2458" s="117" t="str">
        <f>IF(A2458="","",VLOOKUP(A2458,'6.A'!$A$11:$C$564,2,FALSE))</f>
        <v>ELETRICISTA COM ENCARGOS COMPLEMENTARES</v>
      </c>
      <c r="N2458" s="57" t="str">
        <f>IF(A2458="","",IF(M2458=B2458,"si","no"))</f>
        <v>si</v>
      </c>
      <c r="O2458" s="56"/>
      <c r="P2458" s="56"/>
      <c r="Q2458" s="48"/>
      <c r="R2458" s="48"/>
      <c r="S2458" s="65"/>
      <c r="T2458" s="2"/>
      <c r="U2458" s="2"/>
      <c r="V2458" s="2"/>
    </row>
    <row r="2459" spans="1:22" s="137" customFormat="1" ht="12.75" customHeight="1" x14ac:dyDescent="0.2">
      <c r="A2459" s="155"/>
      <c r="B2459" s="138" t="str">
        <f>IF(A2459="","",VLOOKUP(A2459,'6.A'!$A$11:$G$180,2,FALSE))</f>
        <v/>
      </c>
      <c r="C2459" s="156"/>
      <c r="D2459" s="57" t="str">
        <f>IF(A2459="","",VLOOKUP(A2459,'6.A'!$A$11:$G$180,4,FALSE))</f>
        <v/>
      </c>
      <c r="E2459" s="100" t="str">
        <f>IF(A2459="","",VLOOKUP(A2459,'6.A'!$A$11:$G$180,5,FALSE))</f>
        <v/>
      </c>
      <c r="F2459" s="159" t="str">
        <f t="shared" si="1042"/>
        <v>0,00</v>
      </c>
      <c r="G2459" s="52"/>
      <c r="H2459" s="52" t="str">
        <f>IF(A2459="","",VLOOKUP(A2459,'6.A'!$A$11:$E$7984,5,FALSE))</f>
        <v/>
      </c>
      <c r="I2459" s="52" t="str">
        <f>IF(H2459="","",IF(E2459=H2459,"SIM","NÃO"))</f>
        <v/>
      </c>
      <c r="J2459" s="52" t="str">
        <f>IF(H2459="","",VLOOKUP(A2459,'6.A'!$A$11:$E$564,4,FALSE))</f>
        <v/>
      </c>
      <c r="K2459" s="52" t="str">
        <f>IF(H2459="","",IF(J2459=D2459,"SIM","NÃO"))</f>
        <v/>
      </c>
      <c r="L2459" s="52" t="str">
        <f>IF(H2459="","",IF(C2459="","",G2456*C2459))</f>
        <v/>
      </c>
      <c r="M2459" s="117" t="str">
        <f>IF(A2459="","",VLOOKUP(A2459,'6.A'!$A$11:$C$564,2,FALSE))</f>
        <v/>
      </c>
      <c r="N2459" s="57" t="str">
        <f>IF(A2459="","",IF(M2459=B2459,"si","no"))</f>
        <v/>
      </c>
      <c r="O2459" s="56"/>
      <c r="P2459" s="56"/>
      <c r="Q2459" s="48"/>
      <c r="R2459" s="48"/>
      <c r="S2459" s="65"/>
      <c r="T2459" s="2"/>
      <c r="U2459" s="2"/>
      <c r="V2459" s="2"/>
    </row>
    <row r="2460" spans="1:22" s="137" customFormat="1" ht="12.75" customHeight="1" x14ac:dyDescent="0.2">
      <c r="A2460" s="155"/>
      <c r="B2460" s="138" t="str">
        <f>IF(A2460="","",VLOOKUP(A2460,'6.A'!$A$11:$G$180,2,FALSE))</f>
        <v/>
      </c>
      <c r="C2460" s="156"/>
      <c r="D2460" s="57" t="str">
        <f>IF(A2460="","",VLOOKUP(A2460,'6.A'!$A$11:$G$180,4,FALSE))</f>
        <v/>
      </c>
      <c r="E2460" s="100" t="str">
        <f>IF(A2460="","",VLOOKUP(A2460,'6.A'!$A$11:$G$180,5,FALSE))</f>
        <v/>
      </c>
      <c r="F2460" s="159" t="str">
        <f t="shared" si="1042"/>
        <v>0,00</v>
      </c>
      <c r="G2460" s="52"/>
      <c r="H2460" s="52" t="str">
        <f>IF(A2460="","",VLOOKUP(A2460,'6.A'!$A$11:$E$7984,5,FALSE))</f>
        <v/>
      </c>
      <c r="I2460" s="52" t="str">
        <f>IF(H2460="","",IF(E2460=H2460,"SIM","NÃO"))</f>
        <v/>
      </c>
      <c r="J2460" s="52" t="str">
        <f>IF(H2460="","",VLOOKUP(A2460,'6.A'!$A$11:$E$564,4,FALSE))</f>
        <v/>
      </c>
      <c r="K2460" s="52" t="str">
        <f t="shared" ref="K2460" si="1043">IF(H2460="","",IF(J2460=D2460,"SIM","NÃO"))</f>
        <v/>
      </c>
      <c r="L2460" s="52" t="str">
        <f>IF(H2460="","",IF(C2460="","",G2456*C2460))</f>
        <v/>
      </c>
      <c r="M2460" s="117" t="str">
        <f>IF(A2460="","",VLOOKUP(A2460,'6.A'!$A$11:$C$564,2,FALSE))</f>
        <v/>
      </c>
      <c r="N2460" s="57" t="str">
        <f t="shared" ref="N2460" si="1044">IF(A2460="","",IF(M2460=B2460,"si","no"))</f>
        <v/>
      </c>
      <c r="O2460" s="56"/>
      <c r="P2460" s="56"/>
      <c r="Q2460" s="48"/>
      <c r="R2460" s="48"/>
      <c r="S2460" s="65"/>
      <c r="T2460" s="2"/>
      <c r="U2460" s="2"/>
      <c r="V2460" s="2"/>
    </row>
    <row r="2461" spans="1:22" s="137" customFormat="1" ht="12.75" customHeight="1" x14ac:dyDescent="0.2">
      <c r="A2461" s="155"/>
      <c r="B2461" s="138" t="str">
        <f>IF(A2461="","",VLOOKUP(A2461,'6.A'!$A$11:$G$180,2,FALSE))</f>
        <v/>
      </c>
      <c r="C2461" s="156"/>
      <c r="D2461" s="57" t="str">
        <f>IF(A2461="","",VLOOKUP(A2461,'6.A'!$A$11:$G$180,4,FALSE))</f>
        <v/>
      </c>
      <c r="E2461" s="100" t="str">
        <f>IF(A2461="","",VLOOKUP(A2461,'6.A'!$A$11:$G$180,5,FALSE))</f>
        <v/>
      </c>
      <c r="F2461" s="159" t="str">
        <f t="shared" si="1042"/>
        <v>0,00</v>
      </c>
      <c r="G2461" s="52"/>
      <c r="H2461" s="52" t="str">
        <f>IF(A2461="","",VLOOKUP(A2461,'6.A'!$A$11:$E$7984,5,FALSE))</f>
        <v/>
      </c>
      <c r="I2461" s="52" t="str">
        <f>IF(H2461="","",IF(E2461=H2461,"SIM","NÃO"))</f>
        <v/>
      </c>
      <c r="J2461" s="52" t="str">
        <f>IF(H2461="","",VLOOKUP(A2461,'6.A'!$A$11:$E$564,4,FALSE))</f>
        <v/>
      </c>
      <c r="K2461" s="52" t="str">
        <f>IF(H2461="","",IF(J2461=D2461,"SIM","NÃO"))</f>
        <v/>
      </c>
      <c r="L2461" s="52" t="str">
        <f>IF(H2461="","",IF(C2461="","",G2456*C2461))</f>
        <v/>
      </c>
      <c r="M2461" s="117" t="str">
        <f>IF(A2461="","",VLOOKUP(A2461,'6.A'!$A$11:$C$564,2,FALSE))</f>
        <v/>
      </c>
      <c r="N2461" s="57" t="str">
        <f>IF(A2461="","",IF(M2461=B2461,"si","no"))</f>
        <v/>
      </c>
      <c r="O2461" s="56"/>
      <c r="P2461" s="56"/>
      <c r="Q2461" s="48"/>
      <c r="R2461" s="48"/>
      <c r="S2461" s="65"/>
      <c r="T2461" s="2"/>
      <c r="U2461" s="2"/>
      <c r="V2461" s="2"/>
    </row>
    <row r="2462" spans="1:22" s="137" customFormat="1" ht="12.75" customHeight="1" x14ac:dyDescent="0.2">
      <c r="A2462" s="155"/>
      <c r="B2462" s="138" t="str">
        <f>IF(A2462="","",VLOOKUP(A2462,'6.A'!$A$11:$G$180,2,FALSE))</f>
        <v/>
      </c>
      <c r="C2462" s="156"/>
      <c r="D2462" s="57" t="str">
        <f>IF(A2462="","",VLOOKUP(A2462,'6.A'!$A$11:$G$180,4,FALSE))</f>
        <v/>
      </c>
      <c r="E2462" s="100" t="str">
        <f>IF(A2462="","",VLOOKUP(A2462,'6.A'!$A$11:$G$180,5,FALSE))</f>
        <v/>
      </c>
      <c r="F2462" s="159" t="str">
        <f t="shared" si="1042"/>
        <v>0,00</v>
      </c>
      <c r="G2462" s="52"/>
      <c r="H2462" s="52" t="str">
        <f>IF(A2462="","",VLOOKUP(A2462,'6.A'!$A$11:$E$7984,5,FALSE))</f>
        <v/>
      </c>
      <c r="I2462" s="52" t="str">
        <f t="shared" ref="I2462" si="1045">IF(H2462="","",IF(E2462=H2462,"SIM","NÃO"))</f>
        <v/>
      </c>
      <c r="J2462" s="52" t="str">
        <f>IF(H2462="","",VLOOKUP(A2462,'6.A'!$A$11:$E$564,4,FALSE))</f>
        <v/>
      </c>
      <c r="K2462" s="52" t="str">
        <f t="shared" ref="K2462" si="1046">IF(H2462="","",IF(J2462=D2462,"SIM","NÃO"))</f>
        <v/>
      </c>
      <c r="L2462" s="52" t="str">
        <f>IF(H2462="","",IF(C2462="","",G2456*C2462))</f>
        <v/>
      </c>
      <c r="M2462" s="117" t="str">
        <f>IF(A2462="","",VLOOKUP(A2462,'6.A'!$A$11:$C$564,2,FALSE))</f>
        <v/>
      </c>
      <c r="N2462" s="57" t="str">
        <f t="shared" ref="N2462" si="1047">IF(A2462="","",IF(M2462=B2462,"si","no"))</f>
        <v/>
      </c>
      <c r="O2462" s="56"/>
      <c r="P2462" s="56"/>
      <c r="Q2462" s="48"/>
      <c r="R2462" s="48"/>
      <c r="S2462" s="65"/>
      <c r="T2462" s="2"/>
      <c r="U2462" s="2"/>
      <c r="V2462" s="2"/>
    </row>
    <row r="2463" spans="1:22" s="137" customFormat="1" ht="12.75" customHeight="1" x14ac:dyDescent="0.2">
      <c r="A2463" s="155"/>
      <c r="B2463" s="138" t="str">
        <f>IF(A2463="","",VLOOKUP(A2463,'6.A'!$A$11:$G$180,2,FALSE))</f>
        <v/>
      </c>
      <c r="C2463" s="156"/>
      <c r="D2463" s="57" t="str">
        <f>IF(A2463="","",VLOOKUP(A2463,'6.A'!$A$11:$G$180,4,FALSE))</f>
        <v/>
      </c>
      <c r="E2463" s="101" t="str">
        <f>IF(A2463="","",VLOOKUP(A2463,'6.A'!$A$11:$G$180,5,FALSE))</f>
        <v/>
      </c>
      <c r="F2463" s="159" t="str">
        <f t="shared" si="1042"/>
        <v>0,00</v>
      </c>
      <c r="G2463" s="52"/>
      <c r="H2463" s="52" t="str">
        <f>IF(A2463="","",VLOOKUP(A2463,'6.A'!$A$11:$E$7984,5,FALSE))</f>
        <v/>
      </c>
      <c r="I2463" s="52" t="str">
        <f>IF(H2463="","",IF(E2463=H2463,"SIM","NÃO"))</f>
        <v/>
      </c>
      <c r="J2463" s="52" t="str">
        <f>IF(H2463="","",VLOOKUP(A2463,'6.A'!$A$11:$E$564,4,FALSE))</f>
        <v/>
      </c>
      <c r="K2463" s="52" t="str">
        <f>IF(H2463="","",IF(J2463=D2463,"SIM","NÃO"))</f>
        <v/>
      </c>
      <c r="L2463" s="52" t="str">
        <f>IF(H2463="","",IF(C2463="","",G2456*C2463))</f>
        <v/>
      </c>
      <c r="M2463" s="117" t="str">
        <f>IF(A2463="","",VLOOKUP(A2463,'6.A'!$A$11:$C$564,2,FALSE))</f>
        <v/>
      </c>
      <c r="N2463" s="57" t="str">
        <f>IF(A2463="","",IF(M2463=B2463,"si","no"))</f>
        <v/>
      </c>
      <c r="O2463" s="56"/>
      <c r="P2463" s="56"/>
      <c r="Q2463" s="48"/>
      <c r="R2463" s="48"/>
      <c r="S2463" s="65"/>
      <c r="T2463" s="2"/>
      <c r="U2463" s="2"/>
      <c r="V2463" s="2"/>
    </row>
    <row r="2464" spans="1:22" s="137" customFormat="1" ht="12.75" customHeight="1" x14ac:dyDescent="0.2">
      <c r="A2464" s="155"/>
      <c r="B2464" s="138" t="str">
        <f>IF(A2464="","",VLOOKUP(A2464,'6.A'!$A$11:$G$180,2,FALSE))</f>
        <v/>
      </c>
      <c r="C2464" s="156"/>
      <c r="D2464" s="57" t="str">
        <f>IF(A2464="","",VLOOKUP(A2464,'6.A'!$A$11:$G$180,4,FALSE))</f>
        <v/>
      </c>
      <c r="E2464" s="100" t="str">
        <f>IF(A2464="","",VLOOKUP(A2464,'6.A'!$A$11:$G$180,5,FALSE))</f>
        <v/>
      </c>
      <c r="F2464" s="159" t="str">
        <f t="shared" si="1042"/>
        <v>0,00</v>
      </c>
      <c r="G2464" s="52"/>
      <c r="H2464" s="52" t="str">
        <f>IF(A2464="","",VLOOKUP(A2464,'6.A'!$A$11:$E$7984,5,FALSE))</f>
        <v/>
      </c>
      <c r="I2464" s="52" t="str">
        <f>IF(H2464="","",IF(E2464=H2464,"SIM","NÃO"))</f>
        <v/>
      </c>
      <c r="J2464" s="52" t="str">
        <f>IF(H2464="","",VLOOKUP(A2464,'6.A'!$A$11:$E$564,4,FALSE))</f>
        <v/>
      </c>
      <c r="K2464" s="52" t="str">
        <f>IF(H2464="","",IF(J2464=D2464,"SIM","NÃO"))</f>
        <v/>
      </c>
      <c r="L2464" s="52" t="str">
        <f>IF(H2464="","",IF(C2464="","",G2456*C2464))</f>
        <v/>
      </c>
      <c r="M2464" s="117" t="str">
        <f>IF(A2464="","",VLOOKUP(A2464,'6.A'!$A$11:$C$564,2,FALSE))</f>
        <v/>
      </c>
      <c r="N2464" s="57" t="str">
        <f>IF(A2464="","",IF(M2464=B2464,"si","no"))</f>
        <v/>
      </c>
      <c r="O2464" s="56"/>
      <c r="P2464" s="56"/>
      <c r="Q2464" s="48"/>
      <c r="R2464" s="48"/>
      <c r="S2464" s="65"/>
      <c r="T2464" s="2"/>
      <c r="U2464" s="2"/>
      <c r="V2464" s="2"/>
    </row>
    <row r="2465" spans="1:22" s="137" customFormat="1" ht="12.75" customHeight="1" x14ac:dyDescent="0.2">
      <c r="A2465" s="155"/>
      <c r="B2465" s="138" t="str">
        <f>IF(A2465="","",VLOOKUP(A2465,'6.A'!$A$11:$G$180,2,FALSE))</f>
        <v/>
      </c>
      <c r="C2465" s="156"/>
      <c r="D2465" s="57" t="str">
        <f>IF(A2465="","",VLOOKUP(A2465,'6.A'!$A$11:$G$180,4,FALSE))</f>
        <v/>
      </c>
      <c r="E2465" s="100" t="str">
        <f>IF(A2465="","",VLOOKUP(A2465,'6.A'!$A$11:$G$180,5,FALSE))</f>
        <v/>
      </c>
      <c r="F2465" s="159" t="str">
        <f t="shared" si="1042"/>
        <v>0,00</v>
      </c>
      <c r="G2465" s="52"/>
      <c r="H2465" s="52" t="str">
        <f>IF(A2465="","",VLOOKUP(A2465,'6.A'!$A$11:$E$7984,5,FALSE))</f>
        <v/>
      </c>
      <c r="I2465" s="52" t="str">
        <f t="shared" ref="I2465" si="1048">IF(H2465="","",IF(E2465=H2465,"SIM","NÃO"))</f>
        <v/>
      </c>
      <c r="J2465" s="52" t="str">
        <f>IF(H2465="","",VLOOKUP(A2465,'6.A'!$A$11:$E$564,4,FALSE))</f>
        <v/>
      </c>
      <c r="K2465" s="52" t="str">
        <f t="shared" ref="K2465" si="1049">IF(H2465="","",IF(J2465=D2465,"SIM","NÃO"))</f>
        <v/>
      </c>
      <c r="L2465" s="52" t="str">
        <f>IF(H2465="","",IF(C2465="","",G2456*C2465))</f>
        <v/>
      </c>
      <c r="M2465" s="117" t="str">
        <f>IF(A2465="","",VLOOKUP(A2465,'6.A'!$A$11:$C$564,2,FALSE))</f>
        <v/>
      </c>
      <c r="N2465" s="57" t="str">
        <f t="shared" ref="N2465" si="1050">IF(A2465="","",IF(M2465=B2465,"si","no"))</f>
        <v/>
      </c>
      <c r="O2465" s="56"/>
      <c r="P2465" s="56"/>
      <c r="Q2465" s="48"/>
      <c r="R2465" s="48"/>
      <c r="S2465" s="65"/>
      <c r="T2465" s="2"/>
      <c r="U2465" s="2"/>
      <c r="V2465" s="2"/>
    </row>
    <row r="2466" spans="1:22" s="137" customFormat="1" ht="12.75" customHeight="1" x14ac:dyDescent="0.2">
      <c r="A2466" s="155"/>
      <c r="B2466" s="138" t="str">
        <f>IF(A2466="","",VLOOKUP(A2466,'6.A'!$A$11:$G$180,2,FALSE))</f>
        <v/>
      </c>
      <c r="C2466" s="156"/>
      <c r="D2466" s="73" t="str">
        <f>IF(A2466="","",VLOOKUP(A2466,'6.A'!$A$11:$G$180,4,FALSE))</f>
        <v/>
      </c>
      <c r="E2466" s="101" t="str">
        <f>IF(A2466="","",VLOOKUP(A2466,'6.A'!$A$11:$G$180,5,FALSE))</f>
        <v/>
      </c>
      <c r="F2466" s="159" t="str">
        <f t="shared" si="1042"/>
        <v>0,00</v>
      </c>
      <c r="G2466" s="52"/>
      <c r="H2466" s="52" t="str">
        <f>IF(A2466="","",VLOOKUP(A2466,'6.A'!$A$11:$E$7984,5,FALSE))</f>
        <v/>
      </c>
      <c r="I2466" s="52" t="str">
        <f>IF(H2466="","",IF(E2466=H2466,"SIM","NÃO"))</f>
        <v/>
      </c>
      <c r="J2466" s="52" t="str">
        <f>IF(H2466="","",VLOOKUP(A2466,'6.A'!$A$11:$E$564,4,FALSE))</f>
        <v/>
      </c>
      <c r="K2466" s="52" t="str">
        <f>IF(H2466="","",IF(J2466=D2466,"SIM","NÃO"))</f>
        <v/>
      </c>
      <c r="L2466" s="52" t="str">
        <f>IF(H2466="","",IF(C2466="","",G2456*C2466))</f>
        <v/>
      </c>
      <c r="M2466" s="117" t="str">
        <f>IF(A2466="","",VLOOKUP(A2466,'6.A'!$A$11:$C$564,2,FALSE))</f>
        <v/>
      </c>
      <c r="N2466" s="57" t="str">
        <f>IF(A2466="","",IF(M2466=B2466,"si","no"))</f>
        <v/>
      </c>
      <c r="O2466" s="56"/>
      <c r="P2466" s="56"/>
      <c r="Q2466" s="48"/>
      <c r="R2466" s="48"/>
      <c r="S2466" s="65"/>
      <c r="T2466" s="2"/>
      <c r="U2466" s="2"/>
      <c r="V2466" s="2"/>
    </row>
    <row r="2467" spans="1:22" s="137" customFormat="1" ht="12.75" customHeight="1" x14ac:dyDescent="0.2">
      <c r="A2467" s="155"/>
      <c r="B2467" s="138" t="str">
        <f>IF(A2467="","",VLOOKUP(A2467,'6.A'!$A$11:$G$180,2,FALSE))</f>
        <v/>
      </c>
      <c r="C2467" s="156"/>
      <c r="D2467" s="25" t="str">
        <f>IF(A2467="","",VLOOKUP(A2467,'6.A'!$A$11:$G$180,4,FALSE))</f>
        <v/>
      </c>
      <c r="E2467" s="101" t="str">
        <f>IF(A2467="","",VLOOKUP(A2467,'6.A'!$A$11:$G$180,5,FALSE))</f>
        <v/>
      </c>
      <c r="F2467" s="159" t="str">
        <f t="shared" si="1042"/>
        <v>0,00</v>
      </c>
      <c r="G2467" s="52"/>
      <c r="H2467" s="52" t="str">
        <f>IF(A2467="","",VLOOKUP(A2467,'6.A'!$A$11:$E$7984,5,FALSE))</f>
        <v/>
      </c>
      <c r="I2467" s="52" t="str">
        <f t="shared" ref="I2467" si="1051">IF(H2467="","",IF(E2467=H2467,"SIM","NÃO"))</f>
        <v/>
      </c>
      <c r="J2467" s="52" t="str">
        <f>IF(H2467="","",VLOOKUP(A2467,'6.A'!$A$11:$E$564,4,FALSE))</f>
        <v/>
      </c>
      <c r="K2467" s="52" t="str">
        <f t="shared" ref="K2467" si="1052">IF(H2467="","",IF(J2467=D2467,"SIM","NÃO"))</f>
        <v/>
      </c>
      <c r="L2467" s="52" t="str">
        <f>IF(H2467="","",IF(C2467="","",G2456*C2467))</f>
        <v/>
      </c>
      <c r="M2467" s="117" t="str">
        <f>IF(A2467="","",VLOOKUP(A2467,'6.A'!$A$11:$C$564,2,FALSE))</f>
        <v/>
      </c>
      <c r="N2467" s="57" t="str">
        <f t="shared" ref="N2467" si="1053">IF(A2467="","",IF(M2467=B2467,"si","no"))</f>
        <v/>
      </c>
      <c r="O2467" s="56"/>
      <c r="P2467" s="56"/>
      <c r="Q2467" s="48"/>
      <c r="R2467" s="48"/>
      <c r="S2467" s="65"/>
      <c r="T2467" s="2"/>
      <c r="U2467" s="2"/>
      <c r="V2467" s="2"/>
    </row>
    <row r="2468" spans="1:22" s="137" customFormat="1" ht="12.75" customHeight="1" x14ac:dyDescent="0.2">
      <c r="A2468" s="152"/>
      <c r="B2468" s="26" t="str">
        <f>$A$8</f>
        <v>LEIS SOCIAIS HORISTA - JORNADA NORMAL</v>
      </c>
      <c r="C2468" s="27">
        <f>$C$8</f>
        <v>0</v>
      </c>
      <c r="D2468" s="57"/>
      <c r="E2468" s="11"/>
      <c r="F2468" s="162">
        <f>ROUND(SUM(F2458:F2467)*C2468,2)</f>
        <v>0</v>
      </c>
      <c r="G2468" s="63"/>
      <c r="H2468" s="52"/>
      <c r="I2468" s="57"/>
      <c r="J2468" s="57"/>
      <c r="K2468" s="57"/>
      <c r="L2468" s="52"/>
      <c r="M2468" s="62"/>
      <c r="N2468" s="57"/>
      <c r="O2468" s="56"/>
      <c r="P2468" s="56"/>
      <c r="Q2468" s="48"/>
      <c r="R2468" s="48"/>
      <c r="S2468" s="65"/>
      <c r="T2468" s="2"/>
      <c r="U2468" s="2"/>
      <c r="V2468" s="2"/>
    </row>
    <row r="2469" spans="1:22" s="137" customFormat="1" ht="12.75" customHeight="1" x14ac:dyDescent="0.2">
      <c r="A2469" s="155"/>
      <c r="B2469" s="26" t="str">
        <f>$A$9</f>
        <v>BDI</v>
      </c>
      <c r="C2469" s="27">
        <f>$C$9</f>
        <v>0</v>
      </c>
      <c r="D2469" s="29"/>
      <c r="E2469" s="11"/>
      <c r="F2469" s="162">
        <f>ROUND(SUM(F2458:F2468)*C2469,2)</f>
        <v>0</v>
      </c>
      <c r="G2469" s="63"/>
      <c r="H2469" s="52"/>
      <c r="I2469" s="57"/>
      <c r="J2469" s="57"/>
      <c r="K2469" s="57"/>
      <c r="L2469" s="52"/>
      <c r="M2469" s="62"/>
      <c r="N2469" s="57"/>
      <c r="O2469" s="56"/>
      <c r="P2469" s="56"/>
      <c r="Q2469" s="48"/>
      <c r="R2469" s="48"/>
      <c r="S2469" s="65"/>
      <c r="T2469" s="2"/>
      <c r="U2469" s="2"/>
      <c r="V2469" s="2"/>
    </row>
    <row r="2470" spans="1:22" s="149" customFormat="1" ht="12.75" customHeight="1" x14ac:dyDescent="0.2">
      <c r="A2470" s="163"/>
      <c r="B2470" s="164" t="s">
        <v>56</v>
      </c>
      <c r="C2470" s="165"/>
      <c r="D2470" s="33"/>
      <c r="E2470" s="34"/>
      <c r="F2470" s="168">
        <f>ROUND(SUM(F2458:F2469),2)</f>
        <v>0</v>
      </c>
      <c r="G2470" s="63"/>
      <c r="H2470" s="52"/>
      <c r="I2470" s="57"/>
      <c r="J2470" s="57"/>
      <c r="K2470" s="57"/>
      <c r="L2470" s="52"/>
      <c r="M2470" s="62"/>
      <c r="N2470" s="57"/>
      <c r="O2470" s="56"/>
      <c r="P2470" s="56"/>
      <c r="Q2470" s="48"/>
      <c r="R2470" s="48"/>
      <c r="S2470" s="65"/>
      <c r="T2470" s="2"/>
      <c r="U2470" s="2"/>
      <c r="V2470" s="2"/>
    </row>
    <row r="2471" spans="1:22" s="149" customFormat="1" ht="12.75" customHeight="1" x14ac:dyDescent="0.2">
      <c r="A2471" s="152" t="s">
        <v>5</v>
      </c>
      <c r="B2471" s="153" t="s">
        <v>130</v>
      </c>
      <c r="C2471" s="140" t="s">
        <v>59</v>
      </c>
      <c r="D2471" s="56" t="s">
        <v>16</v>
      </c>
      <c r="E2471" s="19" t="s">
        <v>60</v>
      </c>
      <c r="F2471" s="148" t="s">
        <v>61</v>
      </c>
      <c r="G2471" s="21"/>
      <c r="H2471" s="52"/>
      <c r="I2471" s="57"/>
      <c r="J2471" s="57"/>
      <c r="K2471" s="57"/>
      <c r="L2471" s="52"/>
      <c r="M2471" s="62"/>
      <c r="N2471" s="57"/>
      <c r="O2471" s="56"/>
      <c r="P2471" s="56"/>
      <c r="Q2471" s="48"/>
      <c r="R2471" s="48"/>
      <c r="S2471" s="65"/>
      <c r="T2471" s="2"/>
      <c r="U2471" s="2"/>
      <c r="V2471" s="2"/>
    </row>
    <row r="2472" spans="1:22" s="149" customFormat="1" ht="12.75" customHeight="1" x14ac:dyDescent="0.2">
      <c r="A2472" s="155"/>
      <c r="B2472" s="138" t="str">
        <f>IF(A2472="","",VLOOKUP(A2472,'6.A'!$A$11:$G$180,2,FALSE))</f>
        <v/>
      </c>
      <c r="C2472" s="156"/>
      <c r="D2472" s="57" t="str">
        <f>IF(A2472="","",VLOOKUP(A2472,'6.A'!$A$11:$G$180,4,FALSE))</f>
        <v/>
      </c>
      <c r="E2472" s="100" t="str">
        <f>IF(A2472="","",VLOOKUP(A2472,'6.A'!$A$11:$G$180,5,FALSE))</f>
        <v/>
      </c>
      <c r="F2472" s="159" t="str">
        <f t="shared" ref="F2472:F2481" si="1054">IF(A2472="","0,00",ROUND(C2472*E2472,2))</f>
        <v>0,00</v>
      </c>
      <c r="G2472" s="52"/>
      <c r="H2472" s="52" t="str">
        <f>IF(A2472="","",VLOOKUP(A2472,'6.A'!$A$11:$E$7984,5,FALSE))</f>
        <v/>
      </c>
      <c r="I2472" s="52" t="str">
        <f t="shared" ref="I2472:I2481" si="1055">IF(H2472="","",IF(E2472=H2472,"SIM","NÃO"))</f>
        <v/>
      </c>
      <c r="J2472" s="52" t="str">
        <f>IF(H2472="","",VLOOKUP(A2472,'6.A'!$A$11:$E$564,4,FALSE))</f>
        <v/>
      </c>
      <c r="K2472" s="52" t="str">
        <f t="shared" ref="K2472:K2481" si="1056">IF(H2472="","",IF(J2472=D2472,"SIM","NÃO"))</f>
        <v/>
      </c>
      <c r="L2472" s="52" t="str">
        <f>IF(H2472="","",IF(C2472="","",G2456*C2472))</f>
        <v/>
      </c>
      <c r="M2472" s="117" t="str">
        <f>IF(A2472="","",VLOOKUP(A2472,'6.A'!$A$11:$C$564,2,FALSE))</f>
        <v/>
      </c>
      <c r="N2472" s="57" t="str">
        <f t="shared" ref="N2472:N2477" si="1057">IF(A2472="","",IF(M2472=B2472,"si","no"))</f>
        <v/>
      </c>
      <c r="O2472" s="56"/>
      <c r="P2472" s="56"/>
      <c r="Q2472" s="48"/>
      <c r="R2472" s="48"/>
      <c r="S2472" s="65"/>
      <c r="T2472" s="2"/>
      <c r="U2472" s="2"/>
      <c r="V2472" s="2"/>
    </row>
    <row r="2473" spans="1:22" s="149" customFormat="1" ht="12.75" customHeight="1" x14ac:dyDescent="0.2">
      <c r="A2473" s="155"/>
      <c r="B2473" s="138" t="str">
        <f>IF(A2473="","",VLOOKUP(A2473,'6.A'!$A$11:$G$180,2,FALSE))</f>
        <v/>
      </c>
      <c r="C2473" s="156"/>
      <c r="D2473" s="57" t="str">
        <f>IF(A2473="","",VLOOKUP(A2473,'6.A'!$A$11:$G$180,4,FALSE))</f>
        <v/>
      </c>
      <c r="E2473" s="100" t="str">
        <f>IF(A2473="","",VLOOKUP(A2473,'6.A'!$A$11:$G$180,5,FALSE))</f>
        <v/>
      </c>
      <c r="F2473" s="159" t="str">
        <f t="shared" si="1054"/>
        <v>0,00</v>
      </c>
      <c r="G2473" s="52"/>
      <c r="H2473" s="52" t="str">
        <f>IF(A2473="","",VLOOKUP(A2473,'6.A'!$A$11:$E$7984,5,FALSE))</f>
        <v/>
      </c>
      <c r="I2473" s="52" t="str">
        <f t="shared" si="1055"/>
        <v/>
      </c>
      <c r="J2473" s="52" t="str">
        <f>IF(H2473="","",VLOOKUP(A2473,'6.A'!$A$11:$E$564,4,FALSE))</f>
        <v/>
      </c>
      <c r="K2473" s="52" t="str">
        <f t="shared" si="1056"/>
        <v/>
      </c>
      <c r="L2473" s="52" t="str">
        <f>IF(H2473="","",IF(C2473="","",G2456*C2473))</f>
        <v/>
      </c>
      <c r="M2473" s="117" t="str">
        <f>IF(A2473="","",VLOOKUP(A2473,'6.A'!$A$11:$C$564,2,FALSE))</f>
        <v/>
      </c>
      <c r="N2473" s="57" t="str">
        <f t="shared" si="1057"/>
        <v/>
      </c>
      <c r="O2473" s="56"/>
      <c r="P2473" s="56"/>
      <c r="Q2473" s="48"/>
      <c r="R2473" s="48"/>
      <c r="S2473" s="65"/>
      <c r="T2473" s="2"/>
      <c r="U2473" s="2"/>
      <c r="V2473" s="2"/>
    </row>
    <row r="2474" spans="1:22" s="149" customFormat="1" ht="12.75" customHeight="1" x14ac:dyDescent="0.2">
      <c r="A2474" s="155"/>
      <c r="B2474" s="138" t="str">
        <f>IF(A2474="","",VLOOKUP(A2474,'6.A'!$A$11:$G$180,2,FALSE))</f>
        <v/>
      </c>
      <c r="C2474" s="156"/>
      <c r="D2474" s="57" t="str">
        <f>IF(A2474="","",VLOOKUP(A2474,'6.A'!$A$11:$G$180,4,FALSE))</f>
        <v/>
      </c>
      <c r="E2474" s="100" t="str">
        <f>IF(A2474="","",VLOOKUP(A2474,'6.A'!$A$11:$G$180,5,FALSE))</f>
        <v/>
      </c>
      <c r="F2474" s="159" t="str">
        <f t="shared" si="1054"/>
        <v>0,00</v>
      </c>
      <c r="G2474" s="52"/>
      <c r="H2474" s="52" t="str">
        <f>IF(A2474="","",VLOOKUP(A2474,'6.A'!$A$11:$E$7984,5,FALSE))</f>
        <v/>
      </c>
      <c r="I2474" s="52" t="str">
        <f t="shared" si="1055"/>
        <v/>
      </c>
      <c r="J2474" s="52" t="str">
        <f>IF(H2474="","",VLOOKUP(A2474,'6.A'!$A$11:$E$564,4,FALSE))</f>
        <v/>
      </c>
      <c r="K2474" s="52" t="str">
        <f t="shared" si="1056"/>
        <v/>
      </c>
      <c r="L2474" s="52" t="str">
        <f>IF(H2474="","",IF(C2474="","",G2456*C2474))</f>
        <v/>
      </c>
      <c r="M2474" s="117" t="str">
        <f>IF(A2474="","",VLOOKUP(A2474,'6.A'!$A$11:$C$564,2,FALSE))</f>
        <v/>
      </c>
      <c r="N2474" s="57" t="str">
        <f t="shared" si="1057"/>
        <v/>
      </c>
      <c r="O2474" s="56"/>
      <c r="P2474" s="56"/>
      <c r="Q2474" s="48"/>
      <c r="R2474" s="48"/>
      <c r="S2474" s="65"/>
      <c r="T2474" s="2"/>
      <c r="U2474" s="2"/>
      <c r="V2474" s="2"/>
    </row>
    <row r="2475" spans="1:22" s="149" customFormat="1" ht="12.75" customHeight="1" x14ac:dyDescent="0.2">
      <c r="A2475" s="155"/>
      <c r="B2475" s="176" t="str">
        <f>IF(A2475="","",VLOOKUP(A2475,'6.A'!$A$11:$G$180,2,FALSE))</f>
        <v/>
      </c>
      <c r="C2475" s="156"/>
      <c r="D2475" s="57" t="str">
        <f>IF(A2475="","",VLOOKUP(A2475,'6.A'!$A$11:$G$180,4,FALSE))</f>
        <v/>
      </c>
      <c r="E2475" s="100" t="str">
        <f>IF(A2475="","",VLOOKUP(A2475,'6.A'!$A$11:$G$180,5,FALSE))</f>
        <v/>
      </c>
      <c r="F2475" s="159" t="str">
        <f t="shared" si="1054"/>
        <v>0,00</v>
      </c>
      <c r="G2475" s="52"/>
      <c r="H2475" s="52" t="str">
        <f>IF(A2475="","",VLOOKUP(A2475,'6.A'!$A$11:$E$7984,5,FALSE))</f>
        <v/>
      </c>
      <c r="I2475" s="52" t="str">
        <f t="shared" si="1055"/>
        <v/>
      </c>
      <c r="J2475" s="52" t="str">
        <f>IF(H2475="","",VLOOKUP(A2475,'6.A'!$A$11:$E$564,4,FALSE))</f>
        <v/>
      </c>
      <c r="K2475" s="52" t="str">
        <f t="shared" si="1056"/>
        <v/>
      </c>
      <c r="L2475" s="52" t="str">
        <f>IF(H2475="","",IF(C2475="","",G2456*C2475))</f>
        <v/>
      </c>
      <c r="M2475" s="117" t="str">
        <f>IF(A2475="","",VLOOKUP(A2475,'6.A'!$A$11:$C$564,2,FALSE))</f>
        <v/>
      </c>
      <c r="N2475" s="57" t="str">
        <f t="shared" si="1057"/>
        <v/>
      </c>
      <c r="O2475" s="56"/>
      <c r="P2475" s="56"/>
      <c r="Q2475" s="48"/>
      <c r="R2475" s="48"/>
      <c r="S2475" s="65"/>
      <c r="T2475" s="2"/>
      <c r="U2475" s="2"/>
      <c r="V2475" s="2"/>
    </row>
    <row r="2476" spans="1:22" s="149" customFormat="1" ht="12.75" customHeight="1" x14ac:dyDescent="0.2">
      <c r="A2476" s="155"/>
      <c r="B2476" s="176" t="str">
        <f>IF(A2476="","",VLOOKUP(A2476,'6.A'!$A$11:$G$180,2,FALSE))</f>
        <v/>
      </c>
      <c r="C2476" s="156"/>
      <c r="D2476" s="57" t="str">
        <f>IF(A2476="","",VLOOKUP(A2476,'6.A'!$A$11:$G$180,4,FALSE))</f>
        <v/>
      </c>
      <c r="E2476" s="100" t="str">
        <f>IF(A2476="","",VLOOKUP(A2476,'6.A'!$A$11:$G$180,5,FALSE))</f>
        <v/>
      </c>
      <c r="F2476" s="159" t="str">
        <f t="shared" si="1054"/>
        <v>0,00</v>
      </c>
      <c r="G2476" s="52"/>
      <c r="H2476" s="52" t="str">
        <f>IF(A2476="","",VLOOKUP(A2476,'6.A'!$A$11:$E$7984,5,FALSE))</f>
        <v/>
      </c>
      <c r="I2476" s="52" t="str">
        <f t="shared" si="1055"/>
        <v/>
      </c>
      <c r="J2476" s="52" t="str">
        <f>IF(H2476="","",VLOOKUP(A2476,'6.A'!$A$11:$E$564,4,FALSE))</f>
        <v/>
      </c>
      <c r="K2476" s="52" t="str">
        <f t="shared" si="1056"/>
        <v/>
      </c>
      <c r="L2476" s="52" t="str">
        <f>IF(H2476="","",IF(C2476="","",G2456*C2476))</f>
        <v/>
      </c>
      <c r="M2476" s="117" t="str">
        <f>IF(A2476="","",VLOOKUP(A2476,'6.A'!$A$11:$C$564,2,FALSE))</f>
        <v/>
      </c>
      <c r="N2476" s="57" t="str">
        <f t="shared" si="1057"/>
        <v/>
      </c>
      <c r="O2476" s="56"/>
      <c r="P2476" s="56"/>
      <c r="Q2476" s="48"/>
      <c r="R2476" s="48"/>
      <c r="S2476" s="65"/>
      <c r="T2476" s="2"/>
      <c r="U2476" s="2"/>
      <c r="V2476" s="2"/>
    </row>
    <row r="2477" spans="1:22" s="149" customFormat="1" ht="12.75" customHeight="1" x14ac:dyDescent="0.2">
      <c r="A2477" s="155"/>
      <c r="B2477" s="176" t="str">
        <f>IF(A2477="","",VLOOKUP(A2477,'6.A'!$A$11:$G$180,2,FALSE))</f>
        <v/>
      </c>
      <c r="C2477" s="156"/>
      <c r="D2477" s="57" t="str">
        <f>IF(A2477="","",VLOOKUP(A2477,'6.A'!$A$11:$G$180,4,FALSE))</f>
        <v/>
      </c>
      <c r="E2477" s="100" t="str">
        <f>IF(A2477="","",VLOOKUP(A2477,'6.A'!$A$11:$G$180,5,FALSE))</f>
        <v/>
      </c>
      <c r="F2477" s="159" t="str">
        <f t="shared" si="1054"/>
        <v>0,00</v>
      </c>
      <c r="G2477" s="52"/>
      <c r="H2477" s="52" t="str">
        <f>IF(A2477="","",VLOOKUP(A2477,'6.A'!$A$11:$E$7984,5,FALSE))</f>
        <v/>
      </c>
      <c r="I2477" s="52" t="str">
        <f t="shared" si="1055"/>
        <v/>
      </c>
      <c r="J2477" s="52" t="str">
        <f>IF(H2477="","",VLOOKUP(A2477,'6.A'!$A$11:$E$564,4,FALSE))</f>
        <v/>
      </c>
      <c r="K2477" s="52" t="str">
        <f t="shared" si="1056"/>
        <v/>
      </c>
      <c r="L2477" s="52" t="str">
        <f>IF(H2477="","",IF(C2477="","",G2456*C2477))</f>
        <v/>
      </c>
      <c r="M2477" s="117" t="str">
        <f>IF(A2477="","",VLOOKUP(A2477,'6.A'!$A$11:$C$564,2,FALSE))</f>
        <v/>
      </c>
      <c r="N2477" s="57" t="str">
        <f t="shared" si="1057"/>
        <v/>
      </c>
      <c r="O2477" s="56"/>
      <c r="P2477" s="56"/>
      <c r="Q2477" s="48"/>
      <c r="R2477" s="48"/>
      <c r="S2477" s="65"/>
      <c r="T2477" s="2"/>
      <c r="U2477" s="2"/>
      <c r="V2477" s="2"/>
    </row>
    <row r="2478" spans="1:22" s="149" customFormat="1" ht="12.75" customHeight="1" x14ac:dyDescent="0.2">
      <c r="A2478" s="155"/>
      <c r="B2478" s="176" t="str">
        <f>IF(A2478="","",VLOOKUP(A2478,'6.A'!$A$11:$G$180,2,FALSE))</f>
        <v/>
      </c>
      <c r="C2478" s="156"/>
      <c r="D2478" s="57" t="str">
        <f>IF(A2478="","",VLOOKUP(A2478,'6.A'!$A$11:$G$180,4,FALSE))</f>
        <v/>
      </c>
      <c r="E2478" s="100" t="str">
        <f>IF(A2478="","",VLOOKUP(A2478,'6.A'!$A$11:$G$180,5,FALSE))</f>
        <v/>
      </c>
      <c r="F2478" s="159" t="str">
        <f t="shared" si="1054"/>
        <v>0,00</v>
      </c>
      <c r="G2478" s="52"/>
      <c r="H2478" s="52" t="str">
        <f>IF(A2478="","",VLOOKUP(A2478,'6.A'!$A$11:$E$7984,5,FALSE))</f>
        <v/>
      </c>
      <c r="I2478" s="52" t="str">
        <f t="shared" si="1055"/>
        <v/>
      </c>
      <c r="J2478" s="52" t="str">
        <f>IF(H2478="","",VLOOKUP(A2478,'6.A'!$A$11:$E$564,4,FALSE))</f>
        <v/>
      </c>
      <c r="K2478" s="52" t="str">
        <f t="shared" si="1056"/>
        <v/>
      </c>
      <c r="L2478" s="52" t="str">
        <f>IF(H2478="","",IF(C2478="","",G2456*C2478))</f>
        <v/>
      </c>
      <c r="M2478" s="117" t="str">
        <f>IF(A2478="","",VLOOKUP(A2478,'6.A'!$A$11:$C$564,2,FALSE))</f>
        <v/>
      </c>
      <c r="N2478" s="57" t="str">
        <f>IF(A2478="","",IF(M2478=B2478,"si","no"))</f>
        <v/>
      </c>
      <c r="O2478" s="56"/>
      <c r="P2478" s="56"/>
      <c r="Q2478" s="48"/>
      <c r="R2478" s="48"/>
      <c r="S2478" s="65"/>
      <c r="T2478" s="2"/>
      <c r="U2478" s="2"/>
      <c r="V2478" s="2"/>
    </row>
    <row r="2479" spans="1:22" s="149" customFormat="1" ht="12.75" customHeight="1" x14ac:dyDescent="0.2">
      <c r="A2479" s="155"/>
      <c r="B2479" s="138" t="str">
        <f>IF(A2479="","",VLOOKUP(A2479,'6.A'!$A$11:$G$180,2,FALSE))</f>
        <v/>
      </c>
      <c r="C2479" s="156"/>
      <c r="D2479" s="57" t="str">
        <f>IF(A2479="","",VLOOKUP(A2479,'6.A'!$A$11:$G$180,4,FALSE))</f>
        <v/>
      </c>
      <c r="E2479" s="100" t="str">
        <f>IF(A2479="","",VLOOKUP(A2479,'6.A'!$A$11:$G$180,5,FALSE))</f>
        <v/>
      </c>
      <c r="F2479" s="159" t="str">
        <f t="shared" si="1054"/>
        <v>0,00</v>
      </c>
      <c r="G2479" s="52"/>
      <c r="H2479" s="52" t="str">
        <f>IF(A2479="","",VLOOKUP(A2479,'6.A'!$A$11:$E$7984,5,FALSE))</f>
        <v/>
      </c>
      <c r="I2479" s="52" t="str">
        <f t="shared" si="1055"/>
        <v/>
      </c>
      <c r="J2479" s="52" t="str">
        <f>IF(H2479="","",VLOOKUP(A2479,'6.A'!$A$11:$E$564,4,FALSE))</f>
        <v/>
      </c>
      <c r="K2479" s="52" t="str">
        <f t="shared" si="1056"/>
        <v/>
      </c>
      <c r="L2479" s="52" t="str">
        <f>IF(H2479="","",IF(C2479="","",G2456*C2479))</f>
        <v/>
      </c>
      <c r="M2479" s="117" t="str">
        <f>IF(A2479="","",VLOOKUP(A2479,'6.A'!$A$11:$C$564,2,FALSE))</f>
        <v/>
      </c>
      <c r="N2479" s="57" t="str">
        <f>IF(A2479="","",IF(M2479=B2479,"si","no"))</f>
        <v/>
      </c>
      <c r="O2479" s="56"/>
      <c r="P2479" s="56"/>
      <c r="Q2479" s="48"/>
      <c r="R2479" s="48"/>
      <c r="S2479" s="65"/>
      <c r="T2479" s="2"/>
      <c r="U2479" s="2"/>
      <c r="V2479" s="2"/>
    </row>
    <row r="2480" spans="1:22" s="149" customFormat="1" ht="12.75" customHeight="1" x14ac:dyDescent="0.2">
      <c r="A2480" s="155"/>
      <c r="B2480" s="138" t="str">
        <f>IF(A2480="","",VLOOKUP(A2480,'6.A'!$A$11:$G$180,2,FALSE))</f>
        <v/>
      </c>
      <c r="C2480" s="156"/>
      <c r="D2480" s="57" t="str">
        <f>IF(A2480="","",VLOOKUP(A2480,'6.A'!$A$11:$G$180,4,FALSE))</f>
        <v/>
      </c>
      <c r="E2480" s="100" t="str">
        <f>IF(A2480="","",VLOOKUP(A2480,'6.A'!$A$11:$G$180,5,FALSE))</f>
        <v/>
      </c>
      <c r="F2480" s="159" t="str">
        <f t="shared" si="1054"/>
        <v>0,00</v>
      </c>
      <c r="G2480" s="52"/>
      <c r="H2480" s="52" t="str">
        <f>IF(A2480="","",VLOOKUP(A2480,'6.A'!$A$11:$E$7984,5,FALSE))</f>
        <v/>
      </c>
      <c r="I2480" s="52" t="str">
        <f t="shared" si="1055"/>
        <v/>
      </c>
      <c r="J2480" s="52" t="str">
        <f>IF(H2480="","",VLOOKUP(A2480,'6.A'!$A$11:$E$564,4,FALSE))</f>
        <v/>
      </c>
      <c r="K2480" s="52" t="str">
        <f t="shared" si="1056"/>
        <v/>
      </c>
      <c r="L2480" s="52" t="str">
        <f>IF(H2480="","",IF(C2480="","",G2456*C2480))</f>
        <v/>
      </c>
      <c r="M2480" s="117" t="str">
        <f>IF(A2480="","",VLOOKUP(A2480,'6.A'!$A$11:$C$564,2,FALSE))</f>
        <v/>
      </c>
      <c r="N2480" s="57" t="str">
        <f t="shared" ref="N2480:N2481" si="1058">IF(A2480="","",IF(M2480=B2480,"si","no"))</f>
        <v/>
      </c>
      <c r="O2480" s="56"/>
      <c r="P2480" s="56"/>
      <c r="Q2480" s="48"/>
      <c r="R2480" s="48"/>
      <c r="S2480" s="65"/>
      <c r="T2480" s="2"/>
      <c r="U2480" s="2"/>
      <c r="V2480" s="2"/>
    </row>
    <row r="2481" spans="1:22" s="149" customFormat="1" ht="12.75" customHeight="1" x14ac:dyDescent="0.2">
      <c r="A2481" s="155"/>
      <c r="B2481" s="138" t="str">
        <f>IF(A2481="","",VLOOKUP(A2481,'6.A'!$A$11:$G$180,2,FALSE))</f>
        <v/>
      </c>
      <c r="C2481" s="156"/>
      <c r="D2481" s="57" t="str">
        <f>IF(A2481="","",VLOOKUP(A2481,'6.A'!$A$11:$G$180,4,FALSE))</f>
        <v/>
      </c>
      <c r="E2481" s="100" t="str">
        <f>IF(A2481="","",VLOOKUP(A2481,'6.A'!$A$11:$G$180,5,FALSE))</f>
        <v/>
      </c>
      <c r="F2481" s="159" t="str">
        <f t="shared" si="1054"/>
        <v>0,00</v>
      </c>
      <c r="G2481" s="52"/>
      <c r="H2481" s="52" t="str">
        <f>IF(A2481="","",VLOOKUP(A2481,'6.A'!$A$11:$E$7984,5,FALSE))</f>
        <v/>
      </c>
      <c r="I2481" s="52" t="str">
        <f t="shared" si="1055"/>
        <v/>
      </c>
      <c r="J2481" s="52" t="str">
        <f>IF(H2481="","",VLOOKUP(A2481,'6.A'!$A$11:$E$564,4,FALSE))</f>
        <v/>
      </c>
      <c r="K2481" s="52" t="str">
        <f t="shared" si="1056"/>
        <v/>
      </c>
      <c r="L2481" s="52" t="str">
        <f>IF(H2481="","",IF(C2481="","",G2456*C2481))</f>
        <v/>
      </c>
      <c r="M2481" s="117" t="str">
        <f>IF(A2481="","",VLOOKUP(A2481,'6.A'!$A$11:$C$564,2,FALSE))</f>
        <v/>
      </c>
      <c r="N2481" s="57" t="str">
        <f t="shared" si="1058"/>
        <v/>
      </c>
      <c r="O2481" s="56"/>
      <c r="P2481" s="56"/>
      <c r="Q2481" s="48"/>
      <c r="R2481" s="48"/>
      <c r="S2481" s="65"/>
      <c r="T2481" s="2"/>
      <c r="U2481" s="2"/>
      <c r="V2481" s="2"/>
    </row>
    <row r="2482" spans="1:22" s="149" customFormat="1" ht="12.75" customHeight="1" x14ac:dyDescent="0.2">
      <c r="A2482" s="155"/>
      <c r="B2482" s="26" t="str">
        <f>$A$9</f>
        <v>BDI</v>
      </c>
      <c r="C2482" s="27">
        <f>$C$9</f>
        <v>0</v>
      </c>
      <c r="D2482" s="57"/>
      <c r="E2482" s="11"/>
      <c r="F2482" s="162">
        <f>ROUND(SUM(F2472:F2481)*C2482,2)</f>
        <v>0</v>
      </c>
      <c r="G2482" s="63"/>
      <c r="H2482" s="52"/>
      <c r="I2482" s="57"/>
      <c r="J2482" s="57"/>
      <c r="K2482" s="57"/>
      <c r="L2482" s="52"/>
      <c r="M2482" s="62"/>
      <c r="N2482" s="57"/>
      <c r="O2482" s="56"/>
      <c r="P2482" s="56"/>
      <c r="Q2482" s="48"/>
      <c r="R2482" s="48"/>
      <c r="S2482" s="65"/>
      <c r="T2482" s="2"/>
      <c r="U2482" s="2"/>
      <c r="V2482" s="2"/>
    </row>
    <row r="2483" spans="1:22" s="149" customFormat="1" ht="12.75" customHeight="1" x14ac:dyDescent="0.2">
      <c r="A2483" s="163"/>
      <c r="B2483" s="31" t="s">
        <v>117</v>
      </c>
      <c r="C2483" s="36"/>
      <c r="D2483" s="37"/>
      <c r="E2483" s="38"/>
      <c r="F2483" s="168">
        <f>ROUND(SUM(F2472:F2482),2)</f>
        <v>0</v>
      </c>
      <c r="G2483" s="63"/>
      <c r="H2483" s="52"/>
      <c r="I2483" s="57"/>
      <c r="J2483" s="57"/>
      <c r="K2483" s="57"/>
      <c r="L2483" s="52"/>
      <c r="M2483" s="62"/>
      <c r="N2483" s="57"/>
      <c r="O2483" s="56"/>
      <c r="P2483" s="56"/>
      <c r="Q2483" s="48"/>
      <c r="R2483" s="48"/>
      <c r="S2483" s="65"/>
      <c r="T2483" s="2"/>
      <c r="U2483" s="2"/>
      <c r="V2483" s="2"/>
    </row>
    <row r="2484" spans="1:22" s="149" customFormat="1" ht="12.75" customHeight="1" x14ac:dyDescent="0.2">
      <c r="A2484" s="152" t="s">
        <v>6</v>
      </c>
      <c r="B2484" s="153" t="s">
        <v>17</v>
      </c>
      <c r="C2484" s="140" t="s">
        <v>59</v>
      </c>
      <c r="D2484" s="56" t="s">
        <v>16</v>
      </c>
      <c r="E2484" s="19" t="s">
        <v>60</v>
      </c>
      <c r="F2484" s="148" t="s">
        <v>61</v>
      </c>
      <c r="G2484" s="21"/>
      <c r="H2484" s="52"/>
      <c r="I2484" s="57"/>
      <c r="J2484" s="57"/>
      <c r="K2484" s="57"/>
      <c r="L2484" s="52"/>
      <c r="M2484" s="62"/>
      <c r="N2484" s="57"/>
      <c r="O2484" s="56"/>
      <c r="P2484" s="56"/>
      <c r="Q2484" s="48"/>
      <c r="R2484" s="48"/>
      <c r="S2484" s="65"/>
      <c r="T2484" s="2"/>
      <c r="U2484" s="2"/>
      <c r="V2484" s="2"/>
    </row>
    <row r="2485" spans="1:22" s="149" customFormat="1" ht="12.75" customHeight="1" x14ac:dyDescent="0.2">
      <c r="A2485" s="155">
        <f>'6.A'!$A$173</f>
        <v>49627</v>
      </c>
      <c r="B2485" s="138" t="str">
        <f>IF(A2485="","",VLOOKUP(A2485,'6.A'!$A$11:$G$180,2,FALSE))</f>
        <v>BARRAMENTO DE COBRE NU (QUALQUER BITOLA)</v>
      </c>
      <c r="C2485" s="156">
        <v>0.35</v>
      </c>
      <c r="D2485" s="57" t="str">
        <f>IF(A2485="","",VLOOKUP(A2485,'6.A'!$A$11:$G$180,4,FALSE))</f>
        <v>KG</v>
      </c>
      <c r="E2485" s="100">
        <f>IF(A2485="","",VLOOKUP(A2485,'6.A'!$A$11:$G$180,5,FALSE))</f>
        <v>0</v>
      </c>
      <c r="F2485" s="159">
        <f t="shared" ref="F2485:F2504" si="1059">IF(A2485="","0,00",ROUND(C2485*E2485,2))</f>
        <v>0</v>
      </c>
      <c r="G2485" s="52"/>
      <c r="H2485" s="52">
        <f>IF(A2485="","",VLOOKUP(A2485,'6.A'!$A$11:$E$7984,5,FALSE))</f>
        <v>0</v>
      </c>
      <c r="I2485" s="52" t="str">
        <f t="shared" ref="I2485:I2504" si="1060">IF(H2485="","",IF(E2485=H2485,"SIM","NÃO"))</f>
        <v>SIM</v>
      </c>
      <c r="J2485" s="52" t="str">
        <f>IF(H2485="","",VLOOKUP(A2485,'6.A'!$A$11:$E$564,4,FALSE))</f>
        <v>KG</v>
      </c>
      <c r="K2485" s="52" t="str">
        <f t="shared" ref="K2485:K2504" si="1061">IF(H2485="","",IF(J2485=D2485,"SIM","NÃO"))</f>
        <v>SIM</v>
      </c>
      <c r="L2485" s="52">
        <f>IF(H2485="","",IF(C2485="","",G2456*C2485))</f>
        <v>1.75</v>
      </c>
      <c r="M2485" s="117" t="str">
        <f>IF(A2485="","",VLOOKUP(A2485,'6.A'!$A$11:$C$564,2,FALSE))</f>
        <v>BARRAMENTO DE COBRE NU (QUALQUER BITOLA)</v>
      </c>
      <c r="N2485" s="57" t="str">
        <f t="shared" ref="N2485:N2504" si="1062">IF(A2485="","",IF(M2485=B2485,"si","no"))</f>
        <v>si</v>
      </c>
      <c r="O2485" s="56"/>
      <c r="P2485" s="56"/>
      <c r="Q2485" s="48"/>
      <c r="R2485" s="48"/>
      <c r="S2485" s="65"/>
      <c r="T2485" s="2"/>
      <c r="U2485" s="2"/>
      <c r="V2485" s="2"/>
    </row>
    <row r="2486" spans="1:22" s="149" customFormat="1" ht="12.75" customHeight="1" x14ac:dyDescent="0.2">
      <c r="A2486" s="155"/>
      <c r="B2486" s="138" t="str">
        <f>IF(A2486="","",VLOOKUP(A2486,'6.A'!$A$11:$G$180,2,FALSE))</f>
        <v/>
      </c>
      <c r="C2486" s="156"/>
      <c r="D2486" s="57" t="str">
        <f>IF(A2486="","",VLOOKUP(A2486,'6.A'!$A$11:$G$180,4,FALSE))</f>
        <v/>
      </c>
      <c r="E2486" s="100" t="str">
        <f>IF(A2486="","",VLOOKUP(A2486,'6.A'!$A$11:$G$180,5,FALSE))</f>
        <v/>
      </c>
      <c r="F2486" s="159" t="str">
        <f t="shared" si="1059"/>
        <v>0,00</v>
      </c>
      <c r="G2486" s="52"/>
      <c r="H2486" s="52" t="str">
        <f>IF(A2486="","",VLOOKUP(A2486,'6.A'!$A$11:$E$7984,5,FALSE))</f>
        <v/>
      </c>
      <c r="I2486" s="52" t="str">
        <f t="shared" si="1060"/>
        <v/>
      </c>
      <c r="J2486" s="52" t="str">
        <f>IF(H2486="","",VLOOKUP(A2486,'6.A'!$A$11:$E$564,4,FALSE))</f>
        <v/>
      </c>
      <c r="K2486" s="52" t="str">
        <f t="shared" si="1061"/>
        <v/>
      </c>
      <c r="L2486" s="52" t="str">
        <f>IF(H2486="","",IF(C2486="","",G2456*C2486))</f>
        <v/>
      </c>
      <c r="M2486" s="117" t="str">
        <f>IF(A2486="","",VLOOKUP(A2486,'6.A'!$A$11:$C$564,2,FALSE))</f>
        <v/>
      </c>
      <c r="N2486" s="57" t="str">
        <f t="shared" si="1062"/>
        <v/>
      </c>
      <c r="O2486" s="56"/>
      <c r="P2486" s="56"/>
      <c r="Q2486" s="48"/>
      <c r="R2486" s="48"/>
      <c r="S2486" s="65"/>
      <c r="T2486" s="2"/>
      <c r="U2486" s="2"/>
      <c r="V2486" s="2"/>
    </row>
    <row r="2487" spans="1:22" s="149" customFormat="1" ht="12.75" customHeight="1" x14ac:dyDescent="0.2">
      <c r="A2487" s="155"/>
      <c r="B2487" s="138" t="str">
        <f>IF(A2487="","",VLOOKUP(A2487,'6.A'!$A$11:$G$180,2,FALSE))</f>
        <v/>
      </c>
      <c r="C2487" s="156"/>
      <c r="D2487" s="57" t="str">
        <f>IF(A2487="","",VLOOKUP(A2487,'6.A'!$A$11:$G$180,4,FALSE))</f>
        <v/>
      </c>
      <c r="E2487" s="100" t="str">
        <f>IF(A2487="","",VLOOKUP(A2487,'6.A'!$A$11:$G$180,5,FALSE))</f>
        <v/>
      </c>
      <c r="F2487" s="159" t="str">
        <f t="shared" si="1059"/>
        <v>0,00</v>
      </c>
      <c r="G2487" s="52"/>
      <c r="H2487" s="52" t="str">
        <f>IF(A2487="","",VLOOKUP(A2487,'6.A'!$A$11:$E$7984,5,FALSE))</f>
        <v/>
      </c>
      <c r="I2487" s="52" t="str">
        <f t="shared" si="1060"/>
        <v/>
      </c>
      <c r="J2487" s="52" t="str">
        <f>IF(H2487="","",VLOOKUP(A2487,'6.A'!$A$11:$E$564,4,FALSE))</f>
        <v/>
      </c>
      <c r="K2487" s="52" t="str">
        <f t="shared" si="1061"/>
        <v/>
      </c>
      <c r="L2487" s="52" t="str">
        <f>IF(H2487="","",IF(C2487="","",G2456*C2487))</f>
        <v/>
      </c>
      <c r="M2487" s="117" t="str">
        <f>IF(A2487="","",VLOOKUP(A2487,'6.A'!$A$11:$C$564,2,FALSE))</f>
        <v/>
      </c>
      <c r="N2487" s="57" t="str">
        <f t="shared" si="1062"/>
        <v/>
      </c>
      <c r="O2487" s="56"/>
      <c r="P2487" s="56"/>
      <c r="Q2487" s="48"/>
      <c r="R2487" s="48"/>
      <c r="S2487" s="65"/>
      <c r="T2487" s="2"/>
      <c r="U2487" s="2"/>
      <c r="V2487" s="2"/>
    </row>
    <row r="2488" spans="1:22" s="149" customFormat="1" ht="12.75" customHeight="1" x14ac:dyDescent="0.2">
      <c r="A2488" s="155"/>
      <c r="B2488" s="138" t="str">
        <f>IF(A2488="","",VLOOKUP(A2488,'6.A'!$A$11:$G$180,2,FALSE))</f>
        <v/>
      </c>
      <c r="C2488" s="156"/>
      <c r="D2488" s="57" t="str">
        <f>IF(A2488="","",VLOOKUP(A2488,'6.A'!$A$11:$G$180,4,FALSE))</f>
        <v/>
      </c>
      <c r="E2488" s="100" t="str">
        <f>IF(A2488="","",VLOOKUP(A2488,'6.A'!$A$11:$G$180,5,FALSE))</f>
        <v/>
      </c>
      <c r="F2488" s="159" t="str">
        <f t="shared" si="1059"/>
        <v>0,00</v>
      </c>
      <c r="G2488" s="52"/>
      <c r="H2488" s="52" t="str">
        <f>IF(A2488="","",VLOOKUP(A2488,'6.A'!$A$11:$E$7984,5,FALSE))</f>
        <v/>
      </c>
      <c r="I2488" s="52" t="str">
        <f t="shared" si="1060"/>
        <v/>
      </c>
      <c r="J2488" s="52" t="str">
        <f>IF(H2488="","",VLOOKUP(A2488,'6.A'!$A$11:$E$564,4,FALSE))</f>
        <v/>
      </c>
      <c r="K2488" s="52" t="str">
        <f t="shared" si="1061"/>
        <v/>
      </c>
      <c r="L2488" s="52" t="str">
        <f>IF(H2488="","",IF(C2488="","",G2456*C2488))</f>
        <v/>
      </c>
      <c r="M2488" s="117" t="str">
        <f>IF(A2488="","",VLOOKUP(A2488,'6.A'!$A$11:$C$564,2,FALSE))</f>
        <v/>
      </c>
      <c r="N2488" s="57" t="str">
        <f t="shared" si="1062"/>
        <v/>
      </c>
      <c r="O2488" s="56"/>
      <c r="P2488" s="56"/>
      <c r="Q2488" s="48"/>
      <c r="R2488" s="48"/>
      <c r="S2488" s="65"/>
      <c r="T2488" s="2"/>
      <c r="U2488" s="2"/>
      <c r="V2488" s="2"/>
    </row>
    <row r="2489" spans="1:22" s="149" customFormat="1" ht="12.75" customHeight="1" x14ac:dyDescent="0.2">
      <c r="A2489" s="155"/>
      <c r="B2489" s="138" t="str">
        <f>IF(A2489="","",VLOOKUP(A2489,'6.A'!$A$11:$G$180,2,FALSE))</f>
        <v/>
      </c>
      <c r="C2489" s="156"/>
      <c r="D2489" s="57" t="str">
        <f>IF(A2489="","",VLOOKUP(A2489,'6.A'!$A$11:$G$180,4,FALSE))</f>
        <v/>
      </c>
      <c r="E2489" s="100" t="str">
        <f>IF(A2489="","",VLOOKUP(A2489,'6.A'!$A$11:$G$180,5,FALSE))</f>
        <v/>
      </c>
      <c r="F2489" s="159" t="str">
        <f t="shared" si="1059"/>
        <v>0,00</v>
      </c>
      <c r="G2489" s="52"/>
      <c r="H2489" s="52" t="str">
        <f>IF(A2489="","",VLOOKUP(A2489,'6.A'!$A$11:$E$7984,5,FALSE))</f>
        <v/>
      </c>
      <c r="I2489" s="52" t="str">
        <f t="shared" si="1060"/>
        <v/>
      </c>
      <c r="J2489" s="52" t="str">
        <f>IF(H2489="","",VLOOKUP(A2489,'6.A'!$A$11:$E$564,4,FALSE))</f>
        <v/>
      </c>
      <c r="K2489" s="52" t="str">
        <f t="shared" si="1061"/>
        <v/>
      </c>
      <c r="L2489" s="52" t="str">
        <f>IF(H2489="","",IF(C2489="","",G2456*C2489))</f>
        <v/>
      </c>
      <c r="M2489" s="117" t="str">
        <f>IF(A2489="","",VLOOKUP(A2489,'6.A'!$A$11:$C$564,2,FALSE))</f>
        <v/>
      </c>
      <c r="N2489" s="57" t="str">
        <f t="shared" si="1062"/>
        <v/>
      </c>
      <c r="O2489" s="56"/>
      <c r="P2489" s="56"/>
      <c r="Q2489" s="48"/>
      <c r="R2489" s="48"/>
      <c r="S2489" s="65"/>
      <c r="T2489" s="2"/>
      <c r="U2489" s="2"/>
      <c r="V2489" s="2"/>
    </row>
    <row r="2490" spans="1:22" s="149" customFormat="1" ht="12.75" customHeight="1" x14ac:dyDescent="0.2">
      <c r="A2490" s="155"/>
      <c r="B2490" s="138" t="str">
        <f>IF(A2490="","",VLOOKUP(A2490,'6.A'!$A$11:$G$180,2,FALSE))</f>
        <v/>
      </c>
      <c r="C2490" s="156"/>
      <c r="D2490" s="57" t="str">
        <f>IF(A2490="","",VLOOKUP(A2490,'6.A'!$A$11:$G$180,4,FALSE))</f>
        <v/>
      </c>
      <c r="E2490" s="100" t="str">
        <f>IF(A2490="","",VLOOKUP(A2490,'6.A'!$A$11:$G$180,5,FALSE))</f>
        <v/>
      </c>
      <c r="F2490" s="159" t="str">
        <f t="shared" si="1059"/>
        <v>0,00</v>
      </c>
      <c r="G2490" s="52"/>
      <c r="H2490" s="52" t="str">
        <f>IF(A2490="","",VLOOKUP(A2490,'6.A'!$A$11:$E$7984,5,FALSE))</f>
        <v/>
      </c>
      <c r="I2490" s="52" t="str">
        <f t="shared" si="1060"/>
        <v/>
      </c>
      <c r="J2490" s="52" t="str">
        <f>IF(H2490="","",VLOOKUP(A2490,'6.A'!$A$11:$E$564,4,FALSE))</f>
        <v/>
      </c>
      <c r="K2490" s="52" t="str">
        <f t="shared" si="1061"/>
        <v/>
      </c>
      <c r="L2490" s="52" t="str">
        <f>IF(H2490="","",IF(C2490="","",G2456*C2490))</f>
        <v/>
      </c>
      <c r="M2490" s="117" t="str">
        <f>IF(A2490="","",VLOOKUP(A2490,'6.A'!$A$11:$C$564,2,FALSE))</f>
        <v/>
      </c>
      <c r="N2490" s="57" t="str">
        <f t="shared" si="1062"/>
        <v/>
      </c>
      <c r="O2490" s="56"/>
      <c r="P2490" s="56"/>
      <c r="Q2490" s="48"/>
      <c r="R2490" s="48"/>
      <c r="S2490" s="65"/>
      <c r="T2490" s="2"/>
      <c r="U2490" s="2"/>
      <c r="V2490" s="2"/>
    </row>
    <row r="2491" spans="1:22" s="149" customFormat="1" ht="12.75" customHeight="1" x14ac:dyDescent="0.2">
      <c r="A2491" s="155"/>
      <c r="B2491" s="138" t="str">
        <f>IF(A2491="","",VLOOKUP(A2491,'6.A'!$A$11:$G$180,2,FALSE))</f>
        <v/>
      </c>
      <c r="C2491" s="156"/>
      <c r="D2491" s="157" t="str">
        <f>IF(A2491="","",VLOOKUP(A2491,'6.A'!$A$11:$G$180,4,FALSE))</f>
        <v/>
      </c>
      <c r="E2491" s="158" t="str">
        <f>IF(A2491="","",VLOOKUP(A2491,'6.A'!$A$11:$G$180,5,FALSE))</f>
        <v/>
      </c>
      <c r="F2491" s="159" t="str">
        <f t="shared" si="1059"/>
        <v>0,00</v>
      </c>
      <c r="G2491" s="52"/>
      <c r="H2491" s="52" t="str">
        <f>IF(A2491="","",VLOOKUP(A2491,'6.A'!$A$11:$E$7984,5,FALSE))</f>
        <v/>
      </c>
      <c r="I2491" s="52" t="str">
        <f t="shared" si="1060"/>
        <v/>
      </c>
      <c r="J2491" s="52" t="str">
        <f>IF(H2491="","",VLOOKUP(A2491,'6.A'!$A$11:$E$564,4,FALSE))</f>
        <v/>
      </c>
      <c r="K2491" s="52" t="str">
        <f t="shared" si="1061"/>
        <v/>
      </c>
      <c r="L2491" s="52" t="str">
        <f>IF(H2491="","",IF(C2491="","",G2456*C2491))</f>
        <v/>
      </c>
      <c r="M2491" s="117" t="str">
        <f>IF(A2491="","",VLOOKUP(A2491,'6.A'!$A$11:$C$564,2,FALSE))</f>
        <v/>
      </c>
      <c r="N2491" s="57" t="str">
        <f t="shared" si="1062"/>
        <v/>
      </c>
      <c r="O2491" s="56"/>
      <c r="P2491" s="56"/>
      <c r="Q2491" s="48"/>
      <c r="R2491" s="48"/>
      <c r="S2491" s="65"/>
      <c r="T2491" s="2"/>
      <c r="U2491" s="2"/>
      <c r="V2491" s="2"/>
    </row>
    <row r="2492" spans="1:22" s="149" customFormat="1" ht="12.75" customHeight="1" x14ac:dyDescent="0.2">
      <c r="A2492" s="155"/>
      <c r="B2492" s="138" t="str">
        <f>IF(A2492="","",VLOOKUP(A2492,'6.A'!$A$11:$G$180,2,FALSE))</f>
        <v/>
      </c>
      <c r="C2492" s="156"/>
      <c r="D2492" s="157" t="str">
        <f>IF(A2492="","",VLOOKUP(A2492,'6.A'!$A$11:$G$180,4,FALSE))</f>
        <v/>
      </c>
      <c r="E2492" s="158" t="str">
        <f>IF(A2492="","",VLOOKUP(A2492,'6.A'!$A$11:$G$180,5,FALSE))</f>
        <v/>
      </c>
      <c r="F2492" s="159" t="str">
        <f t="shared" si="1059"/>
        <v>0,00</v>
      </c>
      <c r="G2492" s="52"/>
      <c r="H2492" s="52" t="str">
        <f>IF(A2492="","",VLOOKUP(A2492,'6.A'!$A$11:$E$7984,5,FALSE))</f>
        <v/>
      </c>
      <c r="I2492" s="52" t="str">
        <f t="shared" si="1060"/>
        <v/>
      </c>
      <c r="J2492" s="52" t="str">
        <f>IF(H2492="","",VLOOKUP(A2492,'6.A'!$A$11:$E$564,4,FALSE))</f>
        <v/>
      </c>
      <c r="K2492" s="52" t="str">
        <f t="shared" si="1061"/>
        <v/>
      </c>
      <c r="L2492" s="52" t="str">
        <f>IF(H2492="","",IF(C2492="","",G2456*C2492))</f>
        <v/>
      </c>
      <c r="M2492" s="117" t="str">
        <f>IF(A2492="","",VLOOKUP(A2492,'6.A'!$A$11:$C$564,2,FALSE))</f>
        <v/>
      </c>
      <c r="N2492" s="57" t="str">
        <f t="shared" si="1062"/>
        <v/>
      </c>
      <c r="O2492" s="56"/>
      <c r="P2492" s="56"/>
      <c r="Q2492" s="48"/>
      <c r="R2492" s="48"/>
      <c r="S2492" s="65"/>
      <c r="T2492" s="2"/>
      <c r="U2492" s="2"/>
      <c r="V2492" s="2"/>
    </row>
    <row r="2493" spans="1:22" s="149" customFormat="1" ht="12.75" customHeight="1" x14ac:dyDescent="0.2">
      <c r="A2493" s="155"/>
      <c r="B2493" s="138" t="str">
        <f>IF(A2493="","",VLOOKUP(A2493,'6.A'!$A$11:$G$180,2,FALSE))</f>
        <v/>
      </c>
      <c r="C2493" s="156"/>
      <c r="D2493" s="141" t="str">
        <f>IF(A2493="","",VLOOKUP(A2493,'6.A'!$A$11:$G$180,4,FALSE))</f>
        <v/>
      </c>
      <c r="E2493" s="160" t="str">
        <f>IF(A2493="","",VLOOKUP(A2493,'6.A'!$A$11:$G$180,5,FALSE))</f>
        <v/>
      </c>
      <c r="F2493" s="159" t="str">
        <f t="shared" si="1059"/>
        <v>0,00</v>
      </c>
      <c r="G2493" s="52"/>
      <c r="H2493" s="52" t="str">
        <f>IF(A2493="","",VLOOKUP(A2493,'6.A'!$A$11:$E$7984,5,FALSE))</f>
        <v/>
      </c>
      <c r="I2493" s="52" t="str">
        <f t="shared" si="1060"/>
        <v/>
      </c>
      <c r="J2493" s="52" t="str">
        <f>IF(H2493="","",VLOOKUP(A2493,'6.A'!$A$11:$E$564,4,FALSE))</f>
        <v/>
      </c>
      <c r="K2493" s="52" t="str">
        <f t="shared" si="1061"/>
        <v/>
      </c>
      <c r="L2493" s="52" t="str">
        <f>IF(H2493="","",IF(C2493="","",G2456*C2493))</f>
        <v/>
      </c>
      <c r="M2493" s="117" t="str">
        <f>IF(A2493="","",VLOOKUP(A2493,'6.A'!$A$11:$C$564,2,FALSE))</f>
        <v/>
      </c>
      <c r="N2493" s="57" t="str">
        <f t="shared" si="1062"/>
        <v/>
      </c>
      <c r="O2493" s="56"/>
      <c r="P2493" s="56"/>
      <c r="Q2493" s="48"/>
      <c r="R2493" s="48"/>
      <c r="S2493" s="65"/>
      <c r="T2493" s="2"/>
      <c r="U2493" s="2"/>
      <c r="V2493" s="2"/>
    </row>
    <row r="2494" spans="1:22" s="149" customFormat="1" ht="12.75" customHeight="1" x14ac:dyDescent="0.2">
      <c r="A2494" s="155"/>
      <c r="B2494" s="138" t="str">
        <f>IF(A2494="","",VLOOKUP(A2494,'6.A'!$A$11:$G$180,2,FALSE))</f>
        <v/>
      </c>
      <c r="C2494" s="156"/>
      <c r="D2494" s="141" t="str">
        <f>IF(A2494="","",VLOOKUP(A2494,'6.A'!$A$11:$G$180,4,FALSE))</f>
        <v/>
      </c>
      <c r="E2494" s="160" t="str">
        <f>IF(A2494="","",VLOOKUP(A2494,'6.A'!$A$11:$G$180,5,FALSE))</f>
        <v/>
      </c>
      <c r="F2494" s="159" t="str">
        <f t="shared" si="1059"/>
        <v>0,00</v>
      </c>
      <c r="G2494" s="52"/>
      <c r="H2494" s="52" t="str">
        <f>IF(A2494="","",VLOOKUP(A2494,'6.A'!$A$11:$E$7984,5,FALSE))</f>
        <v/>
      </c>
      <c r="I2494" s="52" t="str">
        <f t="shared" si="1060"/>
        <v/>
      </c>
      <c r="J2494" s="52" t="str">
        <f>IF(H2494="","",VLOOKUP(A2494,'6.A'!$A$11:$E$564,4,FALSE))</f>
        <v/>
      </c>
      <c r="K2494" s="52" t="str">
        <f t="shared" si="1061"/>
        <v/>
      </c>
      <c r="L2494" s="52" t="str">
        <f>IF(H2494="","",IF(C2494="","",G2456*C2494))</f>
        <v/>
      </c>
      <c r="M2494" s="117" t="str">
        <f>IF(A2494="","",VLOOKUP(A2494,'6.A'!$A$11:$C$564,2,FALSE))</f>
        <v/>
      </c>
      <c r="N2494" s="57" t="str">
        <f t="shared" si="1062"/>
        <v/>
      </c>
      <c r="O2494" s="56"/>
      <c r="P2494" s="56"/>
      <c r="Q2494" s="48"/>
      <c r="R2494" s="48"/>
      <c r="S2494" s="65"/>
      <c r="T2494" s="2"/>
      <c r="U2494" s="2"/>
      <c r="V2494" s="2"/>
    </row>
    <row r="2495" spans="1:22" s="149" customFormat="1" ht="12.75" customHeight="1" x14ac:dyDescent="0.2">
      <c r="A2495" s="155"/>
      <c r="B2495" s="138" t="str">
        <f>IF(A2495="","",VLOOKUP(A2495,'6.A'!$A$11:$G$180,2,FALSE))</f>
        <v/>
      </c>
      <c r="C2495" s="156"/>
      <c r="D2495" s="141" t="str">
        <f>IF(A2495="","",VLOOKUP(A2495,'6.A'!$A$11:$G$180,4,FALSE))</f>
        <v/>
      </c>
      <c r="E2495" s="160" t="str">
        <f>IF(A2495="","",VLOOKUP(A2495,'6.A'!$A$11:$G$180,5,FALSE))</f>
        <v/>
      </c>
      <c r="F2495" s="159" t="str">
        <f t="shared" si="1059"/>
        <v>0,00</v>
      </c>
      <c r="G2495" s="52"/>
      <c r="H2495" s="52" t="str">
        <f>IF(A2495="","",VLOOKUP(A2495,'6.A'!$A$11:$E$7984,5,FALSE))</f>
        <v/>
      </c>
      <c r="I2495" s="52" t="str">
        <f t="shared" si="1060"/>
        <v/>
      </c>
      <c r="J2495" s="52" t="str">
        <f>IF(H2495="","",VLOOKUP(A2495,'6.A'!$A$11:$E$564,4,FALSE))</f>
        <v/>
      </c>
      <c r="K2495" s="52" t="str">
        <f t="shared" si="1061"/>
        <v/>
      </c>
      <c r="L2495" s="52" t="str">
        <f>IF(H2495="","",IF(C2495="","",G2456*C2495))</f>
        <v/>
      </c>
      <c r="M2495" s="117" t="str">
        <f>IF(A2495="","",VLOOKUP(A2495,'6.A'!$A$11:$C$564,2,FALSE))</f>
        <v/>
      </c>
      <c r="N2495" s="57" t="str">
        <f t="shared" si="1062"/>
        <v/>
      </c>
      <c r="O2495" s="56"/>
      <c r="P2495" s="56"/>
      <c r="Q2495" s="48"/>
      <c r="R2495" s="48"/>
      <c r="S2495" s="65"/>
      <c r="T2495" s="2"/>
      <c r="U2495" s="2"/>
      <c r="V2495" s="2"/>
    </row>
    <row r="2496" spans="1:22" s="149" customFormat="1" ht="12.75" customHeight="1" x14ac:dyDescent="0.2">
      <c r="A2496" s="155"/>
      <c r="B2496" s="138" t="str">
        <f>IF(A2496="","",VLOOKUP(A2496,'6.A'!$A$11:$G$180,2,FALSE))</f>
        <v/>
      </c>
      <c r="C2496" s="156"/>
      <c r="D2496" s="141" t="str">
        <f>IF(A2496="","",VLOOKUP(A2496,'6.A'!$A$11:$G$180,4,FALSE))</f>
        <v/>
      </c>
      <c r="E2496" s="160" t="str">
        <f>IF(A2496="","",VLOOKUP(A2496,'6.A'!$A$11:$G$180,5,FALSE))</f>
        <v/>
      </c>
      <c r="F2496" s="159" t="str">
        <f t="shared" si="1059"/>
        <v>0,00</v>
      </c>
      <c r="G2496" s="52"/>
      <c r="H2496" s="52" t="str">
        <f>IF(A2496="","",VLOOKUP(A2496,'6.A'!$A$11:$E$7984,5,FALSE))</f>
        <v/>
      </c>
      <c r="I2496" s="52" t="str">
        <f t="shared" si="1060"/>
        <v/>
      </c>
      <c r="J2496" s="52" t="str">
        <f>IF(H2496="","",VLOOKUP(A2496,'6.A'!$A$11:$E$564,4,FALSE))</f>
        <v/>
      </c>
      <c r="K2496" s="52" t="str">
        <f t="shared" si="1061"/>
        <v/>
      </c>
      <c r="L2496" s="52" t="str">
        <f>IF(H2496="","",IF(C2496="","",G2456*C2496))</f>
        <v/>
      </c>
      <c r="M2496" s="117" t="str">
        <f>IF(A2496="","",VLOOKUP(A2496,'6.A'!$A$11:$C$564,2,FALSE))</f>
        <v/>
      </c>
      <c r="N2496" s="57" t="str">
        <f t="shared" si="1062"/>
        <v/>
      </c>
      <c r="O2496" s="56"/>
      <c r="P2496" s="56"/>
      <c r="Q2496" s="48"/>
      <c r="R2496" s="48"/>
      <c r="S2496" s="65"/>
      <c r="T2496" s="2"/>
      <c r="U2496" s="2"/>
      <c r="V2496" s="2"/>
    </row>
    <row r="2497" spans="1:22" s="149" customFormat="1" ht="12.75" customHeight="1" x14ac:dyDescent="0.2">
      <c r="A2497" s="155"/>
      <c r="B2497" s="138" t="str">
        <f>IF(A2497="","",VLOOKUP(A2497,'6.A'!$A$11:$G$180,2,FALSE))</f>
        <v/>
      </c>
      <c r="C2497" s="156"/>
      <c r="D2497" s="141" t="str">
        <f>IF(A2497="","",VLOOKUP(A2497,'6.A'!$A$11:$G$180,4,FALSE))</f>
        <v/>
      </c>
      <c r="E2497" s="160" t="str">
        <f>IF(A2497="","",VLOOKUP(A2497,'6.A'!$A$11:$G$180,5,FALSE))</f>
        <v/>
      </c>
      <c r="F2497" s="159" t="str">
        <f t="shared" si="1059"/>
        <v>0,00</v>
      </c>
      <c r="G2497" s="52"/>
      <c r="H2497" s="52" t="str">
        <f>IF(A2497="","",VLOOKUP(A2497,'6.A'!$A$11:$E$7984,5,FALSE))</f>
        <v/>
      </c>
      <c r="I2497" s="52" t="str">
        <f t="shared" si="1060"/>
        <v/>
      </c>
      <c r="J2497" s="52" t="str">
        <f>IF(H2497="","",VLOOKUP(A2497,'6.A'!$A$11:$E$564,4,FALSE))</f>
        <v/>
      </c>
      <c r="K2497" s="52" t="str">
        <f t="shared" si="1061"/>
        <v/>
      </c>
      <c r="L2497" s="52" t="str">
        <f>IF(H2497="","",IF(C2497="","",G2456*C2497))</f>
        <v/>
      </c>
      <c r="M2497" s="117" t="str">
        <f>IF(A2497="","",VLOOKUP(A2497,'6.A'!$A$11:$C$564,2,FALSE))</f>
        <v/>
      </c>
      <c r="N2497" s="57" t="str">
        <f t="shared" si="1062"/>
        <v/>
      </c>
      <c r="O2497" s="56"/>
      <c r="P2497" s="56"/>
      <c r="Q2497" s="48"/>
      <c r="R2497" s="48"/>
      <c r="S2497" s="65"/>
      <c r="T2497" s="2"/>
      <c r="U2497" s="2"/>
      <c r="V2497" s="2"/>
    </row>
    <row r="2498" spans="1:22" s="149" customFormat="1" ht="12.75" customHeight="1" x14ac:dyDescent="0.2">
      <c r="A2498" s="155"/>
      <c r="B2498" s="138" t="str">
        <f>IF(A2498="","",VLOOKUP(A2498,'6.A'!$A$11:$G$180,2,FALSE))</f>
        <v/>
      </c>
      <c r="C2498" s="156"/>
      <c r="D2498" s="141" t="str">
        <f>IF(A2498="","",VLOOKUP(A2498,'6.A'!$A$11:$G$180,4,FALSE))</f>
        <v/>
      </c>
      <c r="E2498" s="160" t="str">
        <f>IF(A2498="","",VLOOKUP(A2498,'6.A'!$A$11:$G$180,5,FALSE))</f>
        <v/>
      </c>
      <c r="F2498" s="159" t="str">
        <f t="shared" si="1059"/>
        <v>0,00</v>
      </c>
      <c r="G2498" s="52"/>
      <c r="H2498" s="52" t="str">
        <f>IF(A2498="","",VLOOKUP(A2498,'6.A'!$A$11:$E$7984,5,FALSE))</f>
        <v/>
      </c>
      <c r="I2498" s="52" t="str">
        <f t="shared" si="1060"/>
        <v/>
      </c>
      <c r="J2498" s="52" t="str">
        <f>IF(H2498="","",VLOOKUP(A2498,'6.A'!$A$11:$E$564,4,FALSE))</f>
        <v/>
      </c>
      <c r="K2498" s="52" t="str">
        <f t="shared" si="1061"/>
        <v/>
      </c>
      <c r="L2498" s="52" t="str">
        <f>IF(H2498="","",IF(C2498="","",G2456*C2498))</f>
        <v/>
      </c>
      <c r="M2498" s="117" t="str">
        <f>IF(A2498="","",VLOOKUP(A2498,'6.A'!$A$11:$C$564,2,FALSE))</f>
        <v/>
      </c>
      <c r="N2498" s="57" t="str">
        <f t="shared" si="1062"/>
        <v/>
      </c>
      <c r="O2498" s="56"/>
      <c r="P2498" s="56"/>
      <c r="Q2498" s="48"/>
      <c r="R2498" s="48"/>
      <c r="S2498" s="65"/>
      <c r="T2498" s="2"/>
      <c r="U2498" s="2"/>
      <c r="V2498" s="2"/>
    </row>
    <row r="2499" spans="1:22" s="149" customFormat="1" ht="12.75" customHeight="1" x14ac:dyDescent="0.2">
      <c r="A2499" s="155"/>
      <c r="B2499" s="138" t="str">
        <f>IF(A2499="","",VLOOKUP(A2499,'6.A'!$A$11:$G$180,2,FALSE))</f>
        <v/>
      </c>
      <c r="C2499" s="156"/>
      <c r="D2499" s="141" t="str">
        <f>IF(A2499="","",VLOOKUP(A2499,'6.A'!$A$11:$G$180,4,FALSE))</f>
        <v/>
      </c>
      <c r="E2499" s="160" t="str">
        <f>IF(A2499="","",VLOOKUP(A2499,'6.A'!$A$11:$G$180,5,FALSE))</f>
        <v/>
      </c>
      <c r="F2499" s="159" t="str">
        <f t="shared" si="1059"/>
        <v>0,00</v>
      </c>
      <c r="G2499" s="52"/>
      <c r="H2499" s="52" t="str">
        <f>IF(A2499="","",VLOOKUP(A2499,'6.A'!$A$11:$E$7984,5,FALSE))</f>
        <v/>
      </c>
      <c r="I2499" s="52" t="str">
        <f t="shared" si="1060"/>
        <v/>
      </c>
      <c r="J2499" s="52" t="str">
        <f>IF(H2499="","",VLOOKUP(A2499,'6.A'!$A$11:$E$564,4,FALSE))</f>
        <v/>
      </c>
      <c r="K2499" s="52" t="str">
        <f t="shared" si="1061"/>
        <v/>
      </c>
      <c r="L2499" s="52" t="str">
        <f>IF(H2499="","",IF(C2499="","",G2456*C2499))</f>
        <v/>
      </c>
      <c r="M2499" s="117" t="str">
        <f>IF(A2499="","",VLOOKUP(A2499,'6.A'!$A$11:$C$564,2,FALSE))</f>
        <v/>
      </c>
      <c r="N2499" s="57" t="str">
        <f t="shared" si="1062"/>
        <v/>
      </c>
      <c r="O2499" s="56"/>
      <c r="P2499" s="56"/>
      <c r="Q2499" s="48"/>
      <c r="R2499" s="48"/>
      <c r="S2499" s="65"/>
      <c r="T2499" s="2"/>
      <c r="U2499" s="2"/>
      <c r="V2499" s="2"/>
    </row>
    <row r="2500" spans="1:22" s="149" customFormat="1" ht="12.75" customHeight="1" x14ac:dyDescent="0.2">
      <c r="A2500" s="155"/>
      <c r="B2500" s="138" t="str">
        <f>IF(A2500="","",VLOOKUP(A2500,'6.A'!$A$11:$G$180,2,FALSE))</f>
        <v/>
      </c>
      <c r="C2500" s="156"/>
      <c r="D2500" s="141" t="str">
        <f>IF(A2500="","",VLOOKUP(A2500,'6.A'!$A$11:$G$180,4,FALSE))</f>
        <v/>
      </c>
      <c r="E2500" s="160" t="str">
        <f>IF(A2500="","",VLOOKUP(A2500,'6.A'!$A$11:$G$180,5,FALSE))</f>
        <v/>
      </c>
      <c r="F2500" s="159" t="str">
        <f t="shared" si="1059"/>
        <v>0,00</v>
      </c>
      <c r="G2500" s="52"/>
      <c r="H2500" s="52" t="str">
        <f>IF(A2500="","",VLOOKUP(A2500,'6.A'!$A$11:$E$7984,5,FALSE))</f>
        <v/>
      </c>
      <c r="I2500" s="52" t="str">
        <f t="shared" si="1060"/>
        <v/>
      </c>
      <c r="J2500" s="52" t="str">
        <f>IF(H2500="","",VLOOKUP(A2500,'6.A'!$A$11:$E$564,4,FALSE))</f>
        <v/>
      </c>
      <c r="K2500" s="52" t="str">
        <f t="shared" si="1061"/>
        <v/>
      </c>
      <c r="L2500" s="52" t="str">
        <f>IF(H2500="","",IF(C2500="","",G2456*C2500))</f>
        <v/>
      </c>
      <c r="M2500" s="117" t="str">
        <f>IF(A2500="","",VLOOKUP(A2500,'6.A'!$A$11:$C$564,2,FALSE))</f>
        <v/>
      </c>
      <c r="N2500" s="57" t="str">
        <f t="shared" si="1062"/>
        <v/>
      </c>
      <c r="O2500" s="56"/>
      <c r="P2500" s="56"/>
      <c r="Q2500" s="48"/>
      <c r="R2500" s="48"/>
      <c r="S2500" s="65"/>
      <c r="T2500" s="2"/>
      <c r="U2500" s="2"/>
      <c r="V2500" s="2"/>
    </row>
    <row r="2501" spans="1:22" s="137" customFormat="1" ht="12.75" customHeight="1" x14ac:dyDescent="0.2">
      <c r="A2501" s="155"/>
      <c r="B2501" s="171" t="str">
        <f>IF(A2501="","",VLOOKUP(A2501,'6.A'!$A$11:$G$180,2,FALSE))</f>
        <v/>
      </c>
      <c r="C2501" s="156"/>
      <c r="D2501" s="141" t="str">
        <f>IF(A2501="","",VLOOKUP(A2501,'6.A'!$A$11:$G$180,4,FALSE))</f>
        <v/>
      </c>
      <c r="E2501" s="160" t="str">
        <f>IF(A2501="","",VLOOKUP(A2501,'6.A'!$A$11:$G$180,5,FALSE))</f>
        <v/>
      </c>
      <c r="F2501" s="159" t="str">
        <f t="shared" si="1059"/>
        <v>0,00</v>
      </c>
      <c r="G2501" s="52"/>
      <c r="H2501" s="52" t="str">
        <f>IF(A2501="","",VLOOKUP(A2501,'6.A'!$A$11:$E$7984,5,FALSE))</f>
        <v/>
      </c>
      <c r="I2501" s="52" t="str">
        <f t="shared" si="1060"/>
        <v/>
      </c>
      <c r="J2501" s="52" t="str">
        <f>IF(H2501="","",VLOOKUP(A2501,'6.A'!$A$11:$E$564,4,FALSE))</f>
        <v/>
      </c>
      <c r="K2501" s="52" t="str">
        <f t="shared" si="1061"/>
        <v/>
      </c>
      <c r="L2501" s="52" t="str">
        <f>IF(H2501="","",IF(C2501="","",G2456*C2501))</f>
        <v/>
      </c>
      <c r="M2501" s="117" t="str">
        <f>IF(A2501="","",VLOOKUP(A2501,'6.A'!$A$11:$C$564,2,FALSE))</f>
        <v/>
      </c>
      <c r="N2501" s="57" t="str">
        <f t="shared" si="1062"/>
        <v/>
      </c>
      <c r="O2501" s="56"/>
      <c r="P2501" s="56"/>
      <c r="Q2501" s="48"/>
      <c r="R2501" s="48"/>
      <c r="S2501" s="65"/>
      <c r="T2501" s="2"/>
      <c r="U2501" s="2"/>
      <c r="V2501" s="2"/>
    </row>
    <row r="2502" spans="1:22" s="137" customFormat="1" ht="12.75" customHeight="1" x14ac:dyDescent="0.2">
      <c r="A2502" s="155"/>
      <c r="B2502" s="171" t="str">
        <f>IF(A2502="","",VLOOKUP(A2502,'6.A'!$A$11:$G$180,2,FALSE))</f>
        <v/>
      </c>
      <c r="C2502" s="156"/>
      <c r="D2502" s="141" t="str">
        <f>IF(A2502="","",VLOOKUP(A2502,'6.A'!$A$11:$G$180,4,FALSE))</f>
        <v/>
      </c>
      <c r="E2502" s="160" t="str">
        <f>IF(A2502="","",VLOOKUP(A2502,'6.A'!$A$11:$G$180,5,FALSE))</f>
        <v/>
      </c>
      <c r="F2502" s="159" t="str">
        <f t="shared" si="1059"/>
        <v>0,00</v>
      </c>
      <c r="G2502" s="52"/>
      <c r="H2502" s="52" t="str">
        <f>IF(A2502="","",VLOOKUP(A2502,'6.A'!$A$11:$E$7984,5,FALSE))</f>
        <v/>
      </c>
      <c r="I2502" s="52" t="str">
        <f t="shared" si="1060"/>
        <v/>
      </c>
      <c r="J2502" s="52" t="str">
        <f>IF(H2502="","",VLOOKUP(A2502,'6.A'!$A$11:$E$564,4,FALSE))</f>
        <v/>
      </c>
      <c r="K2502" s="52" t="str">
        <f t="shared" si="1061"/>
        <v/>
      </c>
      <c r="L2502" s="52" t="str">
        <f>IF(H2502="","",IF(C2502="","",G2456*C2502))</f>
        <v/>
      </c>
      <c r="M2502" s="117" t="str">
        <f>IF(A2502="","",VLOOKUP(A2502,'6.A'!$A$11:$C$564,2,FALSE))</f>
        <v/>
      </c>
      <c r="N2502" s="57" t="str">
        <f t="shared" si="1062"/>
        <v/>
      </c>
      <c r="O2502" s="56"/>
      <c r="P2502" s="56"/>
      <c r="Q2502" s="48"/>
      <c r="R2502" s="48"/>
      <c r="S2502" s="65"/>
      <c r="T2502" s="2"/>
      <c r="U2502" s="2"/>
      <c r="V2502" s="2"/>
    </row>
    <row r="2503" spans="1:22" s="137" customFormat="1" ht="12.75" customHeight="1" x14ac:dyDescent="0.2">
      <c r="A2503" s="155"/>
      <c r="B2503" s="171" t="str">
        <f>IF(A2503="","",VLOOKUP(A2503,'6.A'!$A$11:$G$180,2,FALSE))</f>
        <v/>
      </c>
      <c r="C2503" s="156"/>
      <c r="D2503" s="141" t="str">
        <f>IF(A2503="","",VLOOKUP(A2503,'6.A'!$A$11:$G$180,4,FALSE))</f>
        <v/>
      </c>
      <c r="E2503" s="160" t="str">
        <f>IF(A2503="","",VLOOKUP(A2503,'6.A'!$A$11:$G$180,5,FALSE))</f>
        <v/>
      </c>
      <c r="F2503" s="159" t="str">
        <f t="shared" si="1059"/>
        <v>0,00</v>
      </c>
      <c r="G2503" s="52"/>
      <c r="H2503" s="52" t="str">
        <f>IF(A2503="","",VLOOKUP(A2503,'6.A'!$A$11:$E$7984,5,FALSE))</f>
        <v/>
      </c>
      <c r="I2503" s="52" t="str">
        <f t="shared" si="1060"/>
        <v/>
      </c>
      <c r="J2503" s="52" t="str">
        <f>IF(H2503="","",VLOOKUP(A2503,'6.A'!$A$11:$E$564,4,FALSE))</f>
        <v/>
      </c>
      <c r="K2503" s="52" t="str">
        <f t="shared" si="1061"/>
        <v/>
      </c>
      <c r="L2503" s="52" t="str">
        <f>IF(H2503="","",IF(C2503="","",G2456*C2503))</f>
        <v/>
      </c>
      <c r="M2503" s="117" t="str">
        <f>IF(A2503="","",VLOOKUP(A2503,'6.A'!$A$11:$C$564,2,FALSE))</f>
        <v/>
      </c>
      <c r="N2503" s="57" t="str">
        <f t="shared" si="1062"/>
        <v/>
      </c>
      <c r="O2503" s="56"/>
      <c r="P2503" s="56"/>
      <c r="Q2503" s="48"/>
      <c r="R2503" s="48"/>
      <c r="S2503" s="65"/>
      <c r="T2503" s="2"/>
      <c r="U2503" s="2"/>
      <c r="V2503" s="2"/>
    </row>
    <row r="2504" spans="1:22" s="137" customFormat="1" ht="12.75" customHeight="1" x14ac:dyDescent="0.2">
      <c r="A2504" s="155"/>
      <c r="B2504" s="171" t="str">
        <f>IF(A2504="","",VLOOKUP(A2504,'6.A'!$A$11:$G$180,2,FALSE))</f>
        <v/>
      </c>
      <c r="C2504" s="156"/>
      <c r="D2504" s="141" t="str">
        <f>IF(A2504="","",VLOOKUP(A2504,'6.A'!$A$11:$G$180,4,FALSE))</f>
        <v/>
      </c>
      <c r="E2504" s="160" t="str">
        <f>IF(A2504="","",VLOOKUP(A2504,'6.A'!$A$11:$G$180,5,FALSE))</f>
        <v/>
      </c>
      <c r="F2504" s="159" t="str">
        <f t="shared" si="1059"/>
        <v>0,00</v>
      </c>
      <c r="G2504" s="52"/>
      <c r="H2504" s="52" t="str">
        <f>IF(A2504="","",VLOOKUP(A2504,'6.A'!$A$11:$E$7984,5,FALSE))</f>
        <v/>
      </c>
      <c r="I2504" s="52" t="str">
        <f t="shared" si="1060"/>
        <v/>
      </c>
      <c r="J2504" s="52" t="str">
        <f>IF(H2504="","",VLOOKUP(A2504,'6.A'!$A$11:$E$564,4,FALSE))</f>
        <v/>
      </c>
      <c r="K2504" s="52" t="str">
        <f t="shared" si="1061"/>
        <v/>
      </c>
      <c r="L2504" s="52" t="str">
        <f>IF(H2504="","",IF(C2504="","",G2456*C2504))</f>
        <v/>
      </c>
      <c r="M2504" s="117" t="str">
        <f>IF(A2504="","",VLOOKUP(A2504,'6.A'!$A$11:$C$564,2,FALSE))</f>
        <v/>
      </c>
      <c r="N2504" s="57" t="str">
        <f t="shared" si="1062"/>
        <v/>
      </c>
      <c r="O2504" s="56"/>
      <c r="P2504" s="56"/>
      <c r="Q2504" s="48"/>
      <c r="R2504" s="48"/>
      <c r="S2504" s="65"/>
      <c r="T2504" s="2"/>
      <c r="U2504" s="2"/>
      <c r="V2504" s="2"/>
    </row>
    <row r="2505" spans="1:22" s="137" customFormat="1" ht="12.75" customHeight="1" x14ac:dyDescent="0.2">
      <c r="A2505" s="155"/>
      <c r="B2505" s="26" t="str">
        <f>$A$9</f>
        <v>BDI</v>
      </c>
      <c r="C2505" s="40">
        <f>$C$9</f>
        <v>0</v>
      </c>
      <c r="D2505" s="141"/>
      <c r="E2505" s="147"/>
      <c r="F2505" s="162">
        <f>ROUND(SUM(F2485:F2504)*C2505,2)</f>
        <v>0</v>
      </c>
      <c r="G2505" s="63"/>
      <c r="H2505" s="52"/>
      <c r="I2505" s="57"/>
      <c r="J2505" s="57"/>
      <c r="K2505" s="57"/>
      <c r="L2505" s="52"/>
      <c r="M2505" s="57"/>
      <c r="N2505" s="57"/>
      <c r="O2505" s="56"/>
      <c r="P2505" s="56"/>
      <c r="Q2505" s="48"/>
      <c r="R2505" s="48"/>
      <c r="S2505" s="65"/>
      <c r="T2505" s="2"/>
      <c r="U2505" s="2"/>
      <c r="V2505" s="2"/>
    </row>
    <row r="2506" spans="1:22" s="137" customFormat="1" ht="12.75" customHeight="1" thickBot="1" x14ac:dyDescent="0.25">
      <c r="A2506" s="172"/>
      <c r="B2506" s="42" t="s">
        <v>57</v>
      </c>
      <c r="C2506" s="43"/>
      <c r="D2506" s="173"/>
      <c r="E2506" s="174"/>
      <c r="F2506" s="175">
        <f>ROUND(SUM(F2485:F2505),2)</f>
        <v>0</v>
      </c>
      <c r="G2506" s="63"/>
      <c r="H2506" s="52"/>
      <c r="I2506" s="57"/>
      <c r="J2506" s="57"/>
      <c r="K2506" s="57"/>
      <c r="L2506" s="52"/>
      <c r="M2506" s="57"/>
      <c r="N2506" s="57"/>
      <c r="O2506" s="56"/>
      <c r="P2506" s="56"/>
      <c r="Q2506" s="48"/>
      <c r="R2506" s="48"/>
      <c r="S2506" s="65"/>
      <c r="T2506" s="2"/>
      <c r="U2506" s="2"/>
      <c r="V2506" s="2"/>
    </row>
    <row r="2507" spans="1:22" s="137" customFormat="1" ht="12" customHeight="1" thickBot="1" x14ac:dyDescent="0.25">
      <c r="A2507" s="150"/>
      <c r="B2507" s="145"/>
      <c r="C2507" s="146"/>
      <c r="D2507" s="141"/>
      <c r="E2507" s="147"/>
      <c r="F2507" s="142"/>
      <c r="G2507" s="142"/>
      <c r="H2507" s="139"/>
      <c r="I2507" s="141"/>
      <c r="J2507" s="141"/>
      <c r="K2507" s="141"/>
      <c r="L2507" s="139"/>
      <c r="M2507" s="143"/>
      <c r="N2507" s="143"/>
      <c r="O2507" s="144"/>
      <c r="P2507" s="144"/>
      <c r="Q2507" s="135"/>
      <c r="R2507" s="135"/>
      <c r="S2507" s="149"/>
    </row>
    <row r="2508" spans="1:22" s="137" customFormat="1" ht="50.1" customHeight="1" x14ac:dyDescent="0.2">
      <c r="A2508" s="151" t="str">
        <f>'3.A'!$A$59</f>
        <v>3.3.5</v>
      </c>
      <c r="B2508" s="14" t="str">
        <f>IF(A2508="","",VLOOKUP(A2508,'3.A'!$A$17:$M$279,2,FALSE))</f>
        <v>QUADRO GERAL - BARRAMENTO DE 100 A</v>
      </c>
      <c r="C2508" s="413" t="s">
        <v>62</v>
      </c>
      <c r="D2508" s="413"/>
      <c r="E2508" s="15" t="str">
        <f>IF(A2508="","",VLOOKUP(A2508,'3.A'!$A$17:$M$279,3,FALSE))</f>
        <v>M</v>
      </c>
      <c r="F2508" s="16">
        <f>ROUND(F2522+F2535+F2558,2)</f>
        <v>0</v>
      </c>
      <c r="G2508" s="118">
        <f>VLOOKUP(A2508,'3.A'!$A$19:$I$279,4,FALSE)</f>
        <v>12</v>
      </c>
      <c r="H2508" s="47">
        <f>SUM(F2510:F2521)</f>
        <v>0</v>
      </c>
      <c r="I2508" s="47">
        <f>SUM(F2524:F2534)</f>
        <v>0</v>
      </c>
      <c r="J2508" s="47">
        <f>SUM(F2537:F2557)</f>
        <v>0</v>
      </c>
      <c r="K2508" s="47">
        <f>SUM(H2508:J2508)</f>
        <v>0</v>
      </c>
      <c r="L2508" s="47" t="str">
        <f>IF(K2508=F2508,"SIM","NÃO")</f>
        <v>SIM</v>
      </c>
      <c r="M2508" s="58">
        <f>ROUND(SUM(F2510:F2519)*C2520,2)+ROUND(SUM(F2510:F2520)*C2521,2)+ROUND(SUM(F2510:F2519),2)+ROUND(SUM(F2524:F2533)*C2534,2)+ROUND(SUM(F2524:F2533),2)+ROUND(SUM(F2537:F2556)*C2557,2)+ROUND(SUM(F2537:F2556),2)</f>
        <v>0</v>
      </c>
      <c r="N2508" s="50" t="str">
        <f>IF(M2508=F2508,"SIM","NÃO")</f>
        <v>SIM</v>
      </c>
      <c r="O2508" s="51" t="str">
        <f>VLOOKUP(A2508,'3.A'!$A$8:$E$279,3,FALSE)</f>
        <v>M</v>
      </c>
      <c r="P2508" s="51" t="str">
        <f>IF(O2508=E2508,"SIM","NÃO")</f>
        <v>SIM</v>
      </c>
      <c r="Q2508" s="53">
        <f>ROUND(G2508*F2522,2)+ROUND(G2508*F2535,2)+ROUND(G2508*F2558,2)</f>
        <v>0</v>
      </c>
      <c r="R2508" s="59">
        <f>VLOOKUP(A2508,'3.A'!$A$17:$L$279,12,FALSE)</f>
        <v>0</v>
      </c>
      <c r="S2508" s="60" t="str">
        <f>IF(Q2508=R2508,"si","no")</f>
        <v>si</v>
      </c>
      <c r="T2508" s="61">
        <f>SUM(L2510:L2519)+SUM(L2524:L2533)+SUM(L2537:L2556)</f>
        <v>6.6</v>
      </c>
      <c r="U2508" s="52">
        <f>G2508*C2516+G2508*C2518+G2508*C2511+G2508*C2512+G2508*C2514+G2508*C2517+G2508*C2515+G2508*C2510+G2508*C2513+G2508*C2519+G2508*C2530+G2508*C2524+G2508*C2532+G2508*C2531+G2508*C2529+G2508*C2526+G2508*C2525+G2508*C2527+G2508*C2533+G2508*C2528+G2508*C2537+G2508*C2538+G2508*C2539+G2508*C2547+G2508*C2548+G2508*C2549+G2508*C2550+G2508*C2551+G2508*C2552+G2508*C2553+G2508*C2554+G2508*C2555+G2508*C2556+G2508*C2545+G2508*C2546+G2508*C2540+G2508*C2541+G2508*C2542+G2508*C2543+G2508*C2544</f>
        <v>6.6</v>
      </c>
      <c r="V2508" s="54" t="str">
        <f>IF(T2508=U2508,"si","no")</f>
        <v>si</v>
      </c>
    </row>
    <row r="2509" spans="1:22" s="137" customFormat="1" ht="12.75" customHeight="1" x14ac:dyDescent="0.2">
      <c r="A2509" s="152" t="s">
        <v>3</v>
      </c>
      <c r="B2509" s="153" t="s">
        <v>58</v>
      </c>
      <c r="C2509" s="140" t="s">
        <v>59</v>
      </c>
      <c r="D2509" s="140" t="s">
        <v>16</v>
      </c>
      <c r="E2509" s="154" t="s">
        <v>60</v>
      </c>
      <c r="F2509" s="148" t="s">
        <v>61</v>
      </c>
      <c r="G2509" s="21"/>
      <c r="H2509" s="52"/>
      <c r="I2509" s="57"/>
      <c r="J2509" s="57"/>
      <c r="K2509" s="57"/>
      <c r="L2509" s="52"/>
      <c r="M2509" s="57"/>
      <c r="N2509" s="57"/>
      <c r="O2509" s="56"/>
      <c r="P2509" s="56"/>
      <c r="Q2509" s="48"/>
      <c r="R2509" s="48"/>
      <c r="S2509" s="65"/>
      <c r="T2509" s="2"/>
      <c r="U2509" s="2"/>
      <c r="V2509" s="2"/>
    </row>
    <row r="2510" spans="1:22" s="149" customFormat="1" ht="12.75" customHeight="1" x14ac:dyDescent="0.2">
      <c r="A2510" s="155">
        <f>'6.A'!$A$18</f>
        <v>88264</v>
      </c>
      <c r="B2510" s="138" t="str">
        <f>IF(A2510="","",VLOOKUP(A2510,'6.A'!$A$11:$G$180,2,FALSE))</f>
        <v>ELETRICISTA COM ENCARGOS COMPLEMENTARES</v>
      </c>
      <c r="C2510" s="156">
        <v>0.25</v>
      </c>
      <c r="D2510" s="57" t="str">
        <f>IF(A2510="","",VLOOKUP(A2510,'6.A'!$A$11:$G$180,4,FALSE))</f>
        <v>H</v>
      </c>
      <c r="E2510" s="100">
        <f>IF(A2510="","",VLOOKUP(A2510,'6.A'!$A$11:$G$180,5,FALSE))</f>
        <v>0</v>
      </c>
      <c r="F2510" s="24">
        <f t="shared" ref="F2510" si="1063">IF(A2510="","0,00",ROUND(C2510*E2510,2))</f>
        <v>0</v>
      </c>
      <c r="G2510" s="52"/>
      <c r="H2510" s="52">
        <f>IF(A2510="","",VLOOKUP(A2510,'6.A'!$A$11:$E$7984,5,FALSE))</f>
        <v>0</v>
      </c>
      <c r="I2510" s="52" t="str">
        <f t="shared" ref="I2510:I2517" si="1064">IF(H2510="","",IF(E2510=H2510,"SIM","NÃO"))</f>
        <v>SIM</v>
      </c>
      <c r="J2510" s="52" t="str">
        <f>IF(H2510="","",VLOOKUP(A2510,'6.A'!$A$11:$E$564,4,FALSE))</f>
        <v>H</v>
      </c>
      <c r="K2510" s="52" t="str">
        <f t="shared" ref="K2510:K2511" si="1065">IF(H2510="","",IF(J2510=D2510,"SIM","NÃO"))</f>
        <v>SIM</v>
      </c>
      <c r="L2510" s="52">
        <f>IF(H2510="","",IF(C2510="","",G2508*C2510))</f>
        <v>3</v>
      </c>
      <c r="M2510" s="117" t="str">
        <f>IF(A2510="","",VLOOKUP(A2510,'6.A'!$A$11:$C$564,2,FALSE))</f>
        <v>ELETRICISTA COM ENCARGOS COMPLEMENTARES</v>
      </c>
      <c r="N2510" s="57" t="str">
        <f t="shared" ref="N2510:N2511" si="1066">IF(A2510="","",IF(M2510=B2510,"si","no"))</f>
        <v>si</v>
      </c>
      <c r="O2510" s="56"/>
      <c r="P2510" s="56"/>
      <c r="Q2510" s="48"/>
      <c r="R2510" s="48"/>
      <c r="S2510" s="65"/>
      <c r="T2510" s="2"/>
      <c r="U2510" s="2"/>
      <c r="V2510" s="2"/>
    </row>
    <row r="2511" spans="1:22" s="149" customFormat="1" ht="12.75" customHeight="1" x14ac:dyDescent="0.2">
      <c r="A2511" s="155"/>
      <c r="B2511" s="138" t="str">
        <f>IF(A2511="","",VLOOKUP(A2511,'6.A'!$A$11:$G$180,2,FALSE))</f>
        <v/>
      </c>
      <c r="C2511" s="156"/>
      <c r="D2511" s="57" t="str">
        <f>IF(A2511="","",VLOOKUP(A2511,'6.A'!$A$11:$G$180,4,FALSE))</f>
        <v/>
      </c>
      <c r="E2511" s="100" t="str">
        <f>IF(A2511="","",VLOOKUP(A2511,'6.A'!$A$11:$G$180,5,FALSE))</f>
        <v/>
      </c>
      <c r="F2511" s="24" t="str">
        <f>IF(A2511="","0,00",ROUND(C2511*E2511,2))</f>
        <v>0,00</v>
      </c>
      <c r="G2511" s="52"/>
      <c r="H2511" s="52" t="str">
        <f>IF(A2511="","",VLOOKUP(A2511,'6.A'!$A$11:$E$7984,5,FALSE))</f>
        <v/>
      </c>
      <c r="I2511" s="52" t="str">
        <f t="shared" si="1064"/>
        <v/>
      </c>
      <c r="J2511" s="52" t="str">
        <f>IF(H2511="","",VLOOKUP(A2511,'6.A'!$A$11:$E$564,4,FALSE))</f>
        <v/>
      </c>
      <c r="K2511" s="52" t="str">
        <f t="shared" si="1065"/>
        <v/>
      </c>
      <c r="L2511" s="52" t="str">
        <f>IF(H2511="","",IF(C2511="","",G2508*C2511))</f>
        <v/>
      </c>
      <c r="M2511" s="117" t="str">
        <f>IF(A2511="","",VLOOKUP(A2511,'6.A'!$A$11:$C$564,2,FALSE))</f>
        <v/>
      </c>
      <c r="N2511" s="57" t="str">
        <f t="shared" si="1066"/>
        <v/>
      </c>
      <c r="O2511" s="56"/>
      <c r="P2511" s="56"/>
      <c r="Q2511" s="48"/>
      <c r="R2511" s="48"/>
      <c r="S2511" s="65"/>
      <c r="T2511" s="2"/>
      <c r="U2511" s="2"/>
      <c r="V2511" s="2"/>
    </row>
    <row r="2512" spans="1:22" s="149" customFormat="1" ht="12.75" customHeight="1" x14ac:dyDescent="0.2">
      <c r="A2512" s="155"/>
      <c r="B2512" s="138" t="str">
        <f>IF(A2512="","",VLOOKUP(A2512,'6.A'!$A$11:$G$180,2,FALSE))</f>
        <v/>
      </c>
      <c r="C2512" s="156"/>
      <c r="D2512" s="157" t="str">
        <f>IF(A2512="","",VLOOKUP(A2512,'6.A'!$A$11:$G$180,4,FALSE))</f>
        <v/>
      </c>
      <c r="E2512" s="158" t="str">
        <f>IF(A2512="","",VLOOKUP(A2512,'6.A'!$A$11:$G$180,5,FALSE))</f>
        <v/>
      </c>
      <c r="F2512" s="24" t="str">
        <f>IF(A2512="","0,00",ROUND(C2512*E2512,2))</f>
        <v>0,00</v>
      </c>
      <c r="G2512" s="52"/>
      <c r="H2512" s="52" t="str">
        <f>IF(A2512="","",VLOOKUP(A2512,'6.A'!$A$11:$E$7984,5,FALSE))</f>
        <v/>
      </c>
      <c r="I2512" s="52" t="str">
        <f t="shared" si="1064"/>
        <v/>
      </c>
      <c r="J2512" s="52" t="str">
        <f>IF(H2512="","",VLOOKUP(A2512,'6.A'!$A$11:$E$564,4,FALSE))</f>
        <v/>
      </c>
      <c r="K2512" s="52" t="str">
        <f>IF(H2512="","",IF(J2512=D2512,"SIM","NÃO"))</f>
        <v/>
      </c>
      <c r="L2512" s="52" t="str">
        <f>IF(H2512="","",IF(C2512="","",G2508*C2512))</f>
        <v/>
      </c>
      <c r="M2512" s="117" t="str">
        <f>IF(A2512="","",VLOOKUP(A2512,'6.A'!$A$11:$C$564,2,FALSE))</f>
        <v/>
      </c>
      <c r="N2512" s="57" t="str">
        <f>IF(A2512="","",IF(M2512=B2512,"si","no"))</f>
        <v/>
      </c>
      <c r="O2512" s="56"/>
      <c r="P2512" s="56"/>
      <c r="Q2512" s="48"/>
      <c r="R2512" s="48"/>
      <c r="S2512" s="65"/>
      <c r="T2512" s="2"/>
      <c r="U2512" s="2"/>
      <c r="V2512" s="2"/>
    </row>
    <row r="2513" spans="1:22" s="149" customFormat="1" ht="12.75" customHeight="1" x14ac:dyDescent="0.2">
      <c r="A2513" s="155"/>
      <c r="B2513" s="138" t="str">
        <f>IF(A2513="","",VLOOKUP(A2513,'6.A'!$A$11:$G$180,2,FALSE))</f>
        <v/>
      </c>
      <c r="C2513" s="156"/>
      <c r="D2513" s="157"/>
      <c r="E2513" s="158"/>
      <c r="F2513" s="24" t="str">
        <f t="shared" ref="F2513" si="1067">IF(A2513="","0,00",ROUND(C2513*E2513,2))</f>
        <v>0,00</v>
      </c>
      <c r="G2513" s="52"/>
      <c r="H2513" s="52" t="str">
        <f>IF(A2513="","",VLOOKUP(A2513,'6.A'!$A$11:$E$7984,5,FALSE))</f>
        <v/>
      </c>
      <c r="I2513" s="52" t="str">
        <f t="shared" si="1064"/>
        <v/>
      </c>
      <c r="J2513" s="52" t="str">
        <f>IF(H2513="","",VLOOKUP(A2513,'6.A'!$A$11:$E$564,4,FALSE))</f>
        <v/>
      </c>
      <c r="K2513" s="52" t="str">
        <f>IF(H2513="","",IF(J2513=D2513,"SIM","NÃO"))</f>
        <v/>
      </c>
      <c r="L2513" s="52" t="str">
        <f>IF(H2513="","",IF(C2513="","",G2508*C2513))</f>
        <v/>
      </c>
      <c r="M2513" s="117" t="str">
        <f>IF(A2513="","",VLOOKUP(A2513,'6.A'!$A$11:$C$564,2,FALSE))</f>
        <v/>
      </c>
      <c r="N2513" s="57" t="str">
        <f>IF(A2513="","",IF(M2513=B2513,"si","no"))</f>
        <v/>
      </c>
      <c r="O2513" s="56"/>
      <c r="P2513" s="56"/>
      <c r="Q2513" s="48"/>
      <c r="R2513" s="48"/>
      <c r="S2513" s="65"/>
      <c r="T2513" s="2"/>
      <c r="U2513" s="2"/>
      <c r="V2513" s="2"/>
    </row>
    <row r="2514" spans="1:22" s="149" customFormat="1" ht="12.75" customHeight="1" x14ac:dyDescent="0.2">
      <c r="A2514" s="155"/>
      <c r="B2514" s="138" t="str">
        <f>IF(A2514="","",VLOOKUP(A2514,'6.A'!$A$11:$G$180,2,FALSE))</f>
        <v/>
      </c>
      <c r="C2514" s="156"/>
      <c r="D2514" s="57"/>
      <c r="E2514" s="100"/>
      <c r="F2514" s="24" t="str">
        <f>IF(A2514="","0,00",ROUND(C2514*E2514,2))</f>
        <v>0,00</v>
      </c>
      <c r="G2514" s="52"/>
      <c r="H2514" s="52" t="str">
        <f>IF(A2514="","",VLOOKUP(A2514,'6.A'!$A$11:$E$7984,5,FALSE))</f>
        <v/>
      </c>
      <c r="I2514" s="52" t="str">
        <f t="shared" si="1064"/>
        <v/>
      </c>
      <c r="J2514" s="52" t="str">
        <f>IF(H2514="","",VLOOKUP(A2514,'6.A'!$A$11:$E$564,4,FALSE))</f>
        <v/>
      </c>
      <c r="K2514" s="52" t="str">
        <f>IF(H2514="","",IF(J2514=D2514,"SIM","NÃO"))</f>
        <v/>
      </c>
      <c r="L2514" s="52" t="str">
        <f>IF(H2514="","",IF(C2514="","",G2508*C2514))</f>
        <v/>
      </c>
      <c r="M2514" s="117" t="str">
        <f>IF(A2514="","",VLOOKUP(A2514,'6.A'!$A$11:$C$564,2,FALSE))</f>
        <v/>
      </c>
      <c r="N2514" s="57" t="str">
        <f>IF(A2514="","",IF(M2514=B2514,"si","no"))</f>
        <v/>
      </c>
      <c r="O2514" s="56"/>
      <c r="P2514" s="56"/>
      <c r="Q2514" s="48"/>
      <c r="R2514" s="48"/>
      <c r="S2514" s="65"/>
      <c r="T2514" s="2"/>
      <c r="U2514" s="2"/>
      <c r="V2514" s="2"/>
    </row>
    <row r="2515" spans="1:22" s="149" customFormat="1" ht="12.75" customHeight="1" x14ac:dyDescent="0.2">
      <c r="A2515" s="155"/>
      <c r="B2515" s="138" t="str">
        <f>IF(A2515="","",VLOOKUP(A2515,'6.A'!$A$11:$G$180,2,FALSE))</f>
        <v/>
      </c>
      <c r="C2515" s="156"/>
      <c r="D2515" s="157"/>
      <c r="E2515" s="158"/>
      <c r="F2515" s="24" t="str">
        <f t="shared" ref="F2515:F2519" si="1068">IF(A2515="","0,00",ROUND(C2515*E2515,2))</f>
        <v>0,00</v>
      </c>
      <c r="G2515" s="52"/>
      <c r="H2515" s="52" t="str">
        <f>IF(A2515="","",VLOOKUP(A2515,'6.A'!$A$11:$E$7984,5,FALSE))</f>
        <v/>
      </c>
      <c r="I2515" s="52" t="str">
        <f t="shared" si="1064"/>
        <v/>
      </c>
      <c r="J2515" s="52" t="str">
        <f>IF(H2515="","",VLOOKUP(A2515,'6.A'!$A$11:$E$564,4,FALSE))</f>
        <v/>
      </c>
      <c r="K2515" s="52" t="str">
        <f>IF(H2515="","",IF(J2515=D2515,"SIM","NÃO"))</f>
        <v/>
      </c>
      <c r="L2515" s="52" t="str">
        <f>IF(H2515="","",IF(C2515="","",G2508*C2515))</f>
        <v/>
      </c>
      <c r="M2515" s="117" t="str">
        <f>IF(A2515="","",VLOOKUP(A2515,'6.A'!$A$11:$C$564,2,FALSE))</f>
        <v/>
      </c>
      <c r="N2515" s="57" t="str">
        <f>IF(A2515="","",IF(M2515=B2515,"si","no"))</f>
        <v/>
      </c>
      <c r="O2515" s="56"/>
      <c r="P2515" s="56"/>
      <c r="Q2515" s="48"/>
      <c r="R2515" s="48"/>
      <c r="S2515" s="65"/>
      <c r="T2515" s="2"/>
      <c r="U2515" s="2"/>
      <c r="V2515" s="2"/>
    </row>
    <row r="2516" spans="1:22" s="149" customFormat="1" ht="12.75" customHeight="1" x14ac:dyDescent="0.2">
      <c r="A2516" s="155"/>
      <c r="B2516" s="138" t="str">
        <f>IF(A2516="","",VLOOKUP(A2516,'6.A'!$A$11:$G$180,2,FALSE))</f>
        <v/>
      </c>
      <c r="C2516" s="156"/>
      <c r="D2516" s="157" t="str">
        <f>IF(A2516="","",VLOOKUP(A2516,'6.A'!$A$11:$G$180,4,FALSE))</f>
        <v/>
      </c>
      <c r="E2516" s="158" t="str">
        <f>IF(A2516="","",VLOOKUP(A2516,'6.A'!$A$11:$G$180,5,FALSE))</f>
        <v/>
      </c>
      <c r="F2516" s="24" t="str">
        <f t="shared" si="1068"/>
        <v>0,00</v>
      </c>
      <c r="G2516" s="52"/>
      <c r="H2516" s="52" t="str">
        <f>IF(A2516="","",VLOOKUP(A2516,'6.A'!$A$11:$E$7984,5,FALSE))</f>
        <v/>
      </c>
      <c r="I2516" s="52" t="str">
        <f t="shared" si="1064"/>
        <v/>
      </c>
      <c r="J2516" s="52" t="str">
        <f>IF(H2516="","",VLOOKUP(A2516,'6.A'!$A$11:$E$564,4,FALSE))</f>
        <v/>
      </c>
      <c r="K2516" s="52" t="str">
        <f>IF(H2516="","",IF(J2516=D2516,"SIM","NÃO"))</f>
        <v/>
      </c>
      <c r="L2516" s="52" t="str">
        <f>IF(H2516="","",IF(C2516="","",G2508*C2516))</f>
        <v/>
      </c>
      <c r="M2516" s="117" t="str">
        <f>IF(A2516="","",VLOOKUP(A2516,'6.A'!$A$11:$C$564,2,FALSE))</f>
        <v/>
      </c>
      <c r="N2516" s="57" t="str">
        <f>IF(A2516="","",IF(M2516=B2516,"si","no"))</f>
        <v/>
      </c>
      <c r="O2516" s="56"/>
      <c r="P2516" s="56"/>
      <c r="Q2516" s="48"/>
      <c r="R2516" s="48"/>
      <c r="S2516" s="65"/>
      <c r="T2516" s="2"/>
      <c r="U2516" s="2"/>
      <c r="V2516" s="2"/>
    </row>
    <row r="2517" spans="1:22" s="149" customFormat="1" ht="12.75" customHeight="1" x14ac:dyDescent="0.2">
      <c r="A2517" s="155"/>
      <c r="B2517" s="138" t="str">
        <f>IF(A2517="","",VLOOKUP(A2517,'6.A'!$A$11:$G$180,2,FALSE))</f>
        <v/>
      </c>
      <c r="C2517" s="156"/>
      <c r="D2517" s="157" t="str">
        <f>IF(A2517="","",VLOOKUP(A2517,'6.A'!$A$11:$G$180,4,FALSE))</f>
        <v/>
      </c>
      <c r="E2517" s="158" t="str">
        <f>IF(A2517="","",VLOOKUP(A2517,'6.A'!$A$11:$G$180,5,FALSE))</f>
        <v/>
      </c>
      <c r="F2517" s="24" t="str">
        <f t="shared" si="1068"/>
        <v>0,00</v>
      </c>
      <c r="G2517" s="52"/>
      <c r="H2517" s="52" t="str">
        <f>IF(A2517="","",VLOOKUP(A2517,'6.A'!$A$11:$E$7984,5,FALSE))</f>
        <v/>
      </c>
      <c r="I2517" s="52" t="str">
        <f t="shared" si="1064"/>
        <v/>
      </c>
      <c r="J2517" s="52" t="str">
        <f>IF(H2517="","",VLOOKUP(A2517,'6.A'!$A$11:$E$564,4,FALSE))</f>
        <v/>
      </c>
      <c r="K2517" s="52" t="str">
        <f t="shared" ref="K2517" si="1069">IF(H2517="","",IF(J2517=D2517,"SIM","NÃO"))</f>
        <v/>
      </c>
      <c r="L2517" s="52" t="str">
        <f>IF(H2517="","",IF(C2517="","",G2508*C2517))</f>
        <v/>
      </c>
      <c r="M2517" s="117" t="str">
        <f>IF(A2517="","",VLOOKUP(A2517,'6.A'!$A$11:$C$564,2,FALSE))</f>
        <v/>
      </c>
      <c r="N2517" s="57" t="str">
        <f t="shared" ref="N2517" si="1070">IF(A2517="","",IF(M2517=B2517,"si","no"))</f>
        <v/>
      </c>
      <c r="O2517" s="56"/>
      <c r="P2517" s="56"/>
      <c r="Q2517" s="48"/>
      <c r="R2517" s="48"/>
      <c r="S2517" s="65"/>
      <c r="T2517" s="2"/>
      <c r="U2517" s="2"/>
      <c r="V2517" s="2"/>
    </row>
    <row r="2518" spans="1:22" s="149" customFormat="1" ht="12.75" customHeight="1" x14ac:dyDescent="0.2">
      <c r="A2518" s="155"/>
      <c r="B2518" s="138" t="str">
        <f>IF(A2518="","",VLOOKUP(A2518,'6.A'!$A$11:$G$180,2,FALSE))</f>
        <v/>
      </c>
      <c r="C2518" s="156"/>
      <c r="D2518" s="157" t="str">
        <f>IF(A2518="","",VLOOKUP(A2518,'6.A'!$A$11:$G$180,4,FALSE))</f>
        <v/>
      </c>
      <c r="E2518" s="158" t="str">
        <f>IF(A2518="","",VLOOKUP(A2518,'6.A'!$A$11:$G$180,5,FALSE))</f>
        <v/>
      </c>
      <c r="F2518" s="24" t="str">
        <f t="shared" si="1068"/>
        <v>0,00</v>
      </c>
      <c r="G2518" s="52"/>
      <c r="H2518" s="52" t="str">
        <f>IF(A2518="","",VLOOKUP(A2518,'6.A'!$A$11:$E$7984,5,FALSE))</f>
        <v/>
      </c>
      <c r="I2518" s="52" t="str">
        <f>IF(H2518="","",IF(E2518=H2518,"SIM","NÃO"))</f>
        <v/>
      </c>
      <c r="J2518" s="52" t="str">
        <f>IF(H2518="","",VLOOKUP(A2518,'6.A'!$A$11:$E$564,4,FALSE))</f>
        <v/>
      </c>
      <c r="K2518" s="52" t="str">
        <f>IF(H2518="","",IF(J2518=D2518,"SIM","NÃO"))</f>
        <v/>
      </c>
      <c r="L2518" s="52" t="str">
        <f>IF(H2518="","",IF(C2518="","",G2508*C2518))</f>
        <v/>
      </c>
      <c r="M2518" s="117" t="str">
        <f>IF(A2518="","",VLOOKUP(A2518,'6.A'!$A$11:$C$564,2,FALSE))</f>
        <v/>
      </c>
      <c r="N2518" s="57" t="str">
        <f>IF(A2518="","",IF(M2518=B2518,"si","no"))</f>
        <v/>
      </c>
      <c r="O2518" s="56"/>
      <c r="P2518" s="56"/>
      <c r="Q2518" s="48"/>
      <c r="R2518" s="48"/>
      <c r="S2518" s="65"/>
      <c r="T2518" s="2"/>
      <c r="U2518" s="2"/>
      <c r="V2518" s="2"/>
    </row>
    <row r="2519" spans="1:22" s="149" customFormat="1" ht="12.75" customHeight="1" x14ac:dyDescent="0.2">
      <c r="A2519" s="155"/>
      <c r="B2519" s="138" t="str">
        <f>IF(A2519="","",VLOOKUP(A2519,'6.A'!$A$11:$G$180,2,FALSE))</f>
        <v/>
      </c>
      <c r="C2519" s="156"/>
      <c r="D2519" s="157" t="str">
        <f>IF(A2519="","",VLOOKUP(A2519,'6.A'!$A$11:$G$180,4,FALSE))</f>
        <v/>
      </c>
      <c r="E2519" s="158" t="str">
        <f>IF(A2519="","",VLOOKUP(A2519,'6.A'!$A$11:$G$180,5,FALSE))</f>
        <v/>
      </c>
      <c r="F2519" s="24" t="str">
        <f t="shared" si="1068"/>
        <v>0,00</v>
      </c>
      <c r="G2519" s="52"/>
      <c r="H2519" s="52" t="str">
        <f>IF(A2519="","",VLOOKUP(A2519,'6.A'!$A$11:$E$7984,5,FALSE))</f>
        <v/>
      </c>
      <c r="I2519" s="52" t="str">
        <f t="shared" ref="I2519" si="1071">IF(H2519="","",IF(E2519=H2519,"SIM","NÃO"))</f>
        <v/>
      </c>
      <c r="J2519" s="52" t="str">
        <f>IF(H2519="","",VLOOKUP(A2519,'6.A'!$A$11:$E$564,4,FALSE))</f>
        <v/>
      </c>
      <c r="K2519" s="52" t="str">
        <f t="shared" ref="K2519" si="1072">IF(H2519="","",IF(J2519=D2519,"SIM","NÃO"))</f>
        <v/>
      </c>
      <c r="L2519" s="52" t="str">
        <f>IF(H2519="","",IF(C2519="","",G2508*C2519))</f>
        <v/>
      </c>
      <c r="M2519" s="117" t="str">
        <f>IF(A2519="","",VLOOKUP(A2519,'6.A'!$A$11:$C$564,2,FALSE))</f>
        <v/>
      </c>
      <c r="N2519" s="57" t="str">
        <f t="shared" ref="N2519" si="1073">IF(A2519="","",IF(M2519=B2519,"si","no"))</f>
        <v/>
      </c>
      <c r="O2519" s="56"/>
      <c r="P2519" s="56"/>
      <c r="Q2519" s="48"/>
      <c r="R2519" s="48"/>
      <c r="S2519" s="65"/>
      <c r="T2519" s="2"/>
      <c r="U2519" s="2"/>
      <c r="V2519" s="2"/>
    </row>
    <row r="2520" spans="1:22" s="149" customFormat="1" ht="12.75" customHeight="1" x14ac:dyDescent="0.2">
      <c r="A2520" s="152"/>
      <c r="B2520" s="26" t="str">
        <f>$A$8</f>
        <v>LEIS SOCIAIS HORISTA - JORNADA NORMAL</v>
      </c>
      <c r="C2520" s="27">
        <f>$C$8</f>
        <v>0</v>
      </c>
      <c r="D2520" s="141"/>
      <c r="E2520" s="147"/>
      <c r="F2520" s="162">
        <f>ROUND(SUM(F2510:F2519)*C2520,2)</f>
        <v>0</v>
      </c>
      <c r="G2520" s="63"/>
      <c r="H2520" s="52"/>
      <c r="I2520" s="57"/>
      <c r="J2520" s="57"/>
      <c r="K2520" s="57"/>
      <c r="L2520" s="52"/>
      <c r="M2520" s="62"/>
      <c r="N2520" s="57"/>
      <c r="O2520" s="56"/>
      <c r="P2520" s="56"/>
      <c r="Q2520" s="48"/>
      <c r="R2520" s="48"/>
      <c r="S2520" s="65"/>
      <c r="T2520" s="2"/>
      <c r="U2520" s="2"/>
      <c r="V2520" s="2"/>
    </row>
    <row r="2521" spans="1:22" s="149" customFormat="1" ht="12.75" customHeight="1" x14ac:dyDescent="0.2">
      <c r="A2521" s="155"/>
      <c r="B2521" s="26" t="str">
        <f>$A$9</f>
        <v>BDI</v>
      </c>
      <c r="C2521" s="27">
        <f>$C$9</f>
        <v>0</v>
      </c>
      <c r="D2521" s="136"/>
      <c r="E2521" s="147"/>
      <c r="F2521" s="162">
        <f>ROUND(SUM(F2510:F2520)*C2521,2)</f>
        <v>0</v>
      </c>
      <c r="G2521" s="63"/>
      <c r="H2521" s="52"/>
      <c r="I2521" s="57"/>
      <c r="J2521" s="57"/>
      <c r="K2521" s="57"/>
      <c r="L2521" s="52"/>
      <c r="M2521" s="62"/>
      <c r="N2521" s="57"/>
      <c r="O2521" s="56"/>
      <c r="P2521" s="56"/>
      <c r="Q2521" s="48"/>
      <c r="R2521" s="48"/>
      <c r="S2521" s="65"/>
      <c r="T2521" s="2"/>
      <c r="U2521" s="2"/>
      <c r="V2521" s="2"/>
    </row>
    <row r="2522" spans="1:22" s="149" customFormat="1" ht="12.75" customHeight="1" x14ac:dyDescent="0.2">
      <c r="A2522" s="163"/>
      <c r="B2522" s="164" t="s">
        <v>56</v>
      </c>
      <c r="C2522" s="165"/>
      <c r="D2522" s="166"/>
      <c r="E2522" s="167"/>
      <c r="F2522" s="168">
        <f>ROUND(SUM(F2510:F2521),2)</f>
        <v>0</v>
      </c>
      <c r="G2522" s="63"/>
      <c r="H2522" s="52"/>
      <c r="I2522" s="57"/>
      <c r="J2522" s="57"/>
      <c r="K2522" s="57"/>
      <c r="L2522" s="52"/>
      <c r="M2522" s="62"/>
      <c r="N2522" s="57"/>
      <c r="O2522" s="56"/>
      <c r="P2522" s="56"/>
      <c r="Q2522" s="48"/>
      <c r="R2522" s="48"/>
      <c r="S2522" s="65"/>
      <c r="T2522" s="2"/>
      <c r="U2522" s="2"/>
      <c r="V2522" s="2"/>
    </row>
    <row r="2523" spans="1:22" s="149" customFormat="1" ht="12.75" customHeight="1" x14ac:dyDescent="0.2">
      <c r="A2523" s="152" t="s">
        <v>5</v>
      </c>
      <c r="B2523" s="153" t="s">
        <v>130</v>
      </c>
      <c r="C2523" s="140" t="s">
        <v>59</v>
      </c>
      <c r="D2523" s="140" t="s">
        <v>16</v>
      </c>
      <c r="E2523" s="154" t="s">
        <v>60</v>
      </c>
      <c r="F2523" s="148" t="s">
        <v>61</v>
      </c>
      <c r="G2523" s="21"/>
      <c r="H2523" s="52"/>
      <c r="I2523" s="57"/>
      <c r="J2523" s="57"/>
      <c r="K2523" s="57"/>
      <c r="L2523" s="52"/>
      <c r="M2523" s="62"/>
      <c r="N2523" s="57"/>
      <c r="O2523" s="56"/>
      <c r="P2523" s="56"/>
      <c r="Q2523" s="48"/>
      <c r="R2523" s="48"/>
      <c r="S2523" s="65"/>
      <c r="T2523" s="2"/>
      <c r="U2523" s="2"/>
      <c r="V2523" s="2"/>
    </row>
    <row r="2524" spans="1:22" s="149" customFormat="1" ht="12.75" customHeight="1" x14ac:dyDescent="0.2">
      <c r="A2524" s="155"/>
      <c r="B2524" s="138" t="str">
        <f>IF(A2524="","",VLOOKUP(A2524,'6.A'!$A$11:$G$180,2,FALSE))</f>
        <v/>
      </c>
      <c r="C2524" s="156"/>
      <c r="D2524" s="57" t="str">
        <f>IF(A2524="","",VLOOKUP(A2524,'6.A'!$A$11:$G$180,4,FALSE))</f>
        <v/>
      </c>
      <c r="E2524" s="100" t="str">
        <f>IF(A2524="","",VLOOKUP(A2524,'6.A'!$A$11:$G$180,5,FALSE))</f>
        <v/>
      </c>
      <c r="F2524" s="24" t="str">
        <f t="shared" ref="F2524:F2533" si="1074">IF(A2524="","0,00",ROUND(C2524*E2524,2))</f>
        <v>0,00</v>
      </c>
      <c r="G2524" s="52"/>
      <c r="H2524" s="52" t="str">
        <f>IF(A2524="","",VLOOKUP(A2524,'6.A'!$A$11:$E$7984,5,FALSE))</f>
        <v/>
      </c>
      <c r="I2524" s="52" t="str">
        <f t="shared" ref="I2524:I2533" si="1075">IF(H2524="","",IF(E2524=H2524,"SIM","NÃO"))</f>
        <v/>
      </c>
      <c r="J2524" s="52" t="str">
        <f>IF(H2524="","",VLOOKUP(A2524,'6.A'!$A$11:$E$564,4,FALSE))</f>
        <v/>
      </c>
      <c r="K2524" s="52" t="str">
        <f t="shared" ref="K2524:K2533" si="1076">IF(H2524="","",IF(J2524=D2524,"SIM","NÃO"))</f>
        <v/>
      </c>
      <c r="L2524" s="52" t="str">
        <f>IF(H2524="","",IF(C2524="","",G2508*C2524))</f>
        <v/>
      </c>
      <c r="M2524" s="117" t="str">
        <f>IF(A2524="","",VLOOKUP(A2524,'6.A'!$A$11:$C$564,2,FALSE))</f>
        <v/>
      </c>
      <c r="N2524" s="57" t="str">
        <f t="shared" ref="N2524:N2529" si="1077">IF(A2524="","",IF(M2524=B2524,"si","no"))</f>
        <v/>
      </c>
      <c r="O2524" s="56"/>
      <c r="P2524" s="56"/>
      <c r="Q2524" s="48"/>
      <c r="R2524" s="48"/>
      <c r="S2524" s="65"/>
      <c r="T2524" s="2"/>
      <c r="U2524" s="2"/>
      <c r="V2524" s="2"/>
    </row>
    <row r="2525" spans="1:22" s="149" customFormat="1" ht="12.75" customHeight="1" x14ac:dyDescent="0.2">
      <c r="A2525" s="155"/>
      <c r="B2525" s="138" t="str">
        <f>IF(A2525="","",VLOOKUP(A2525,'6.A'!$A$11:$G$180,2,FALSE))</f>
        <v/>
      </c>
      <c r="C2525" s="156"/>
      <c r="D2525" s="57" t="str">
        <f>IF(A2525="","",VLOOKUP(A2525,'6.A'!$A$11:$G$180,4,FALSE))</f>
        <v/>
      </c>
      <c r="E2525" s="100" t="str">
        <f>IF(A2525="","",VLOOKUP(A2525,'6.A'!$A$11:$G$180,5,FALSE))</f>
        <v/>
      </c>
      <c r="F2525" s="24" t="str">
        <f t="shared" si="1074"/>
        <v>0,00</v>
      </c>
      <c r="G2525" s="52"/>
      <c r="H2525" s="52" t="str">
        <f>IF(A2525="","",VLOOKUP(A2525,'6.A'!$A$11:$E$7984,5,FALSE))</f>
        <v/>
      </c>
      <c r="I2525" s="52" t="str">
        <f t="shared" si="1075"/>
        <v/>
      </c>
      <c r="J2525" s="52" t="str">
        <f>IF(H2525="","",VLOOKUP(A2525,'6.A'!$A$11:$E$564,4,FALSE))</f>
        <v/>
      </c>
      <c r="K2525" s="52" t="str">
        <f t="shared" si="1076"/>
        <v/>
      </c>
      <c r="L2525" s="52" t="str">
        <f>IF(H2525="","",IF(C2525="","",G2508*C2525))</f>
        <v/>
      </c>
      <c r="M2525" s="117" t="str">
        <f>IF(A2525="","",VLOOKUP(A2525,'6.A'!$A$11:$C$564,2,FALSE))</f>
        <v/>
      </c>
      <c r="N2525" s="57" t="str">
        <f t="shared" si="1077"/>
        <v/>
      </c>
      <c r="O2525" s="56"/>
      <c r="P2525" s="56"/>
      <c r="Q2525" s="48"/>
      <c r="R2525" s="48"/>
      <c r="S2525" s="65"/>
      <c r="T2525" s="2"/>
      <c r="U2525" s="2"/>
      <c r="V2525" s="2"/>
    </row>
    <row r="2526" spans="1:22" s="149" customFormat="1" ht="12.75" customHeight="1" x14ac:dyDescent="0.2">
      <c r="A2526" s="155"/>
      <c r="B2526" s="138" t="str">
        <f>IF(A2526="","",VLOOKUP(A2526,'6.A'!$A$11:$G$180,2,FALSE))</f>
        <v/>
      </c>
      <c r="C2526" s="156"/>
      <c r="D2526" s="157"/>
      <c r="E2526" s="158"/>
      <c r="F2526" s="24" t="str">
        <f t="shared" si="1074"/>
        <v>0,00</v>
      </c>
      <c r="G2526" s="52"/>
      <c r="H2526" s="52" t="str">
        <f>IF(A2526="","",VLOOKUP(A2526,'6.A'!$A$11:$E$7984,5,FALSE))</f>
        <v/>
      </c>
      <c r="I2526" s="52" t="str">
        <f t="shared" si="1075"/>
        <v/>
      </c>
      <c r="J2526" s="52" t="str">
        <f>IF(H2526="","",VLOOKUP(A2526,'6.A'!$A$11:$E$564,4,FALSE))</f>
        <v/>
      </c>
      <c r="K2526" s="52" t="str">
        <f t="shared" si="1076"/>
        <v/>
      </c>
      <c r="L2526" s="52" t="str">
        <f>IF(H2526="","",IF(C2526="","",G2508*C2526))</f>
        <v/>
      </c>
      <c r="M2526" s="117" t="str">
        <f>IF(A2526="","",VLOOKUP(A2526,'6.A'!$A$11:$C$564,2,FALSE))</f>
        <v/>
      </c>
      <c r="N2526" s="57" t="str">
        <f t="shared" si="1077"/>
        <v/>
      </c>
      <c r="O2526" s="56"/>
      <c r="P2526" s="56"/>
      <c r="Q2526" s="48"/>
      <c r="R2526" s="48"/>
      <c r="S2526" s="65"/>
      <c r="T2526" s="2"/>
      <c r="U2526" s="2"/>
      <c r="V2526" s="2"/>
    </row>
    <row r="2527" spans="1:22" s="149" customFormat="1" ht="12.75" customHeight="1" x14ac:dyDescent="0.2">
      <c r="A2527" s="155"/>
      <c r="B2527" s="176" t="str">
        <f>IF(A2527="","",VLOOKUP(A2527,'6.A'!$A$11:$G$180,2,FALSE))</f>
        <v/>
      </c>
      <c r="C2527" s="156"/>
      <c r="D2527" s="157"/>
      <c r="E2527" s="158"/>
      <c r="F2527" s="24" t="str">
        <f t="shared" si="1074"/>
        <v>0,00</v>
      </c>
      <c r="G2527" s="52"/>
      <c r="H2527" s="52" t="str">
        <f>IF(A2527="","",VLOOKUP(A2527,'6.A'!$A$11:$E$7984,5,FALSE))</f>
        <v/>
      </c>
      <c r="I2527" s="52" t="str">
        <f t="shared" si="1075"/>
        <v/>
      </c>
      <c r="J2527" s="52" t="str">
        <f>IF(H2527="","",VLOOKUP(A2527,'6.A'!$A$11:$E$564,4,FALSE))</f>
        <v/>
      </c>
      <c r="K2527" s="52" t="str">
        <f t="shared" si="1076"/>
        <v/>
      </c>
      <c r="L2527" s="52" t="str">
        <f>IF(H2527="","",IF(C2527="","",G2508*C2527))</f>
        <v/>
      </c>
      <c r="M2527" s="117" t="str">
        <f>IF(A2527="","",VLOOKUP(A2527,'6.A'!$A$11:$C$564,2,FALSE))</f>
        <v/>
      </c>
      <c r="N2527" s="57" t="str">
        <f t="shared" si="1077"/>
        <v/>
      </c>
      <c r="O2527" s="56"/>
      <c r="P2527" s="56"/>
      <c r="Q2527" s="48"/>
      <c r="R2527" s="48"/>
      <c r="S2527" s="65"/>
      <c r="T2527" s="2"/>
      <c r="U2527" s="2"/>
      <c r="V2527" s="2"/>
    </row>
    <row r="2528" spans="1:22" s="149" customFormat="1" ht="12.75" customHeight="1" x14ac:dyDescent="0.2">
      <c r="A2528" s="155"/>
      <c r="B2528" s="176" t="str">
        <f>IF(A2528="","",VLOOKUP(A2528,'6.A'!$A$11:$G$180,2,FALSE))</f>
        <v/>
      </c>
      <c r="C2528" s="156"/>
      <c r="D2528" s="157"/>
      <c r="E2528" s="158"/>
      <c r="F2528" s="24" t="str">
        <f t="shared" si="1074"/>
        <v>0,00</v>
      </c>
      <c r="G2528" s="52"/>
      <c r="H2528" s="52" t="str">
        <f>IF(A2528="","",VLOOKUP(A2528,'6.A'!$A$11:$E$7984,5,FALSE))</f>
        <v/>
      </c>
      <c r="I2528" s="52" t="str">
        <f t="shared" si="1075"/>
        <v/>
      </c>
      <c r="J2528" s="52" t="str">
        <f>IF(H2528="","",VLOOKUP(A2528,'6.A'!$A$11:$E$564,4,FALSE))</f>
        <v/>
      </c>
      <c r="K2528" s="52" t="str">
        <f t="shared" si="1076"/>
        <v/>
      </c>
      <c r="L2528" s="52" t="str">
        <f>IF(H2528="","",IF(C2528="","",G2508*C2528))</f>
        <v/>
      </c>
      <c r="M2528" s="117" t="str">
        <f>IF(A2528="","",VLOOKUP(A2528,'6.A'!$A$11:$C$564,2,FALSE))</f>
        <v/>
      </c>
      <c r="N2528" s="57" t="str">
        <f t="shared" si="1077"/>
        <v/>
      </c>
      <c r="O2528" s="56"/>
      <c r="P2528" s="56"/>
      <c r="Q2528" s="48"/>
      <c r="R2528" s="48"/>
      <c r="S2528" s="65"/>
      <c r="T2528" s="2"/>
      <c r="U2528" s="2"/>
      <c r="V2528" s="2"/>
    </row>
    <row r="2529" spans="1:22" s="149" customFormat="1" ht="12.75" customHeight="1" x14ac:dyDescent="0.2">
      <c r="A2529" s="155"/>
      <c r="B2529" s="176" t="str">
        <f>IF(A2529="","",VLOOKUP(A2529,'6.A'!$A$11:$G$180,2,FALSE))</f>
        <v/>
      </c>
      <c r="C2529" s="156"/>
      <c r="D2529" s="157"/>
      <c r="E2529" s="158"/>
      <c r="F2529" s="24" t="str">
        <f t="shared" si="1074"/>
        <v>0,00</v>
      </c>
      <c r="G2529" s="52"/>
      <c r="H2529" s="52" t="str">
        <f>IF(A2529="","",VLOOKUP(A2529,'6.A'!$A$11:$E$7984,5,FALSE))</f>
        <v/>
      </c>
      <c r="I2529" s="52" t="str">
        <f t="shared" si="1075"/>
        <v/>
      </c>
      <c r="J2529" s="52" t="str">
        <f>IF(H2529="","",VLOOKUP(A2529,'6.A'!$A$11:$E$564,4,FALSE))</f>
        <v/>
      </c>
      <c r="K2529" s="52" t="str">
        <f t="shared" si="1076"/>
        <v/>
      </c>
      <c r="L2529" s="52" t="str">
        <f>IF(H2529="","",IF(C2529="","",G2508*C2529))</f>
        <v/>
      </c>
      <c r="M2529" s="117" t="str">
        <f>IF(A2529="","",VLOOKUP(A2529,'6.A'!$A$11:$C$564,2,FALSE))</f>
        <v/>
      </c>
      <c r="N2529" s="57" t="str">
        <f t="shared" si="1077"/>
        <v/>
      </c>
      <c r="O2529" s="56"/>
      <c r="P2529" s="56"/>
      <c r="Q2529" s="48"/>
      <c r="R2529" s="48"/>
      <c r="S2529" s="65"/>
      <c r="T2529" s="2"/>
      <c r="U2529" s="2"/>
      <c r="V2529" s="2"/>
    </row>
    <row r="2530" spans="1:22" s="149" customFormat="1" ht="12.75" customHeight="1" x14ac:dyDescent="0.2">
      <c r="A2530" s="155"/>
      <c r="B2530" s="176" t="str">
        <f>IF(A2530="","",VLOOKUP(A2530,'6.A'!$A$11:$G$180,2,FALSE))</f>
        <v/>
      </c>
      <c r="C2530" s="156"/>
      <c r="D2530" s="157" t="str">
        <f>IF(A2530="","",VLOOKUP(A2530,'6.A'!$A$11:$G$180,4,FALSE))</f>
        <v/>
      </c>
      <c r="E2530" s="158" t="str">
        <f>IF(A2530="","",VLOOKUP(A2530,'6.A'!$A$11:$G$180,5,FALSE))</f>
        <v/>
      </c>
      <c r="F2530" s="24" t="str">
        <f t="shared" si="1074"/>
        <v>0,00</v>
      </c>
      <c r="G2530" s="52"/>
      <c r="H2530" s="52" t="str">
        <f>IF(A2530="","",VLOOKUP(A2530,'6.A'!$A$11:$E$7984,5,FALSE))</f>
        <v/>
      </c>
      <c r="I2530" s="52" t="str">
        <f t="shared" si="1075"/>
        <v/>
      </c>
      <c r="J2530" s="52" t="str">
        <f>IF(H2530="","",VLOOKUP(A2530,'6.A'!$A$11:$E$564,4,FALSE))</f>
        <v/>
      </c>
      <c r="K2530" s="52" t="str">
        <f t="shared" si="1076"/>
        <v/>
      </c>
      <c r="L2530" s="52" t="str">
        <f>IF(H2530="","",IF(C2530="","",G2508*C2530))</f>
        <v/>
      </c>
      <c r="M2530" s="117" t="str">
        <f>IF(A2530="","",VLOOKUP(A2530,'6.A'!$A$11:$C$564,2,FALSE))</f>
        <v/>
      </c>
      <c r="N2530" s="57" t="str">
        <f>IF(A2530="","",IF(M2530=B2530,"si","no"))</f>
        <v/>
      </c>
      <c r="O2530" s="56"/>
      <c r="P2530" s="56"/>
      <c r="Q2530" s="48"/>
      <c r="R2530" s="48"/>
      <c r="S2530" s="65"/>
      <c r="T2530" s="2"/>
      <c r="U2530" s="2"/>
      <c r="V2530" s="2"/>
    </row>
    <row r="2531" spans="1:22" s="149" customFormat="1" ht="12.75" customHeight="1" x14ac:dyDescent="0.2">
      <c r="A2531" s="155"/>
      <c r="B2531" s="138" t="str">
        <f>IF(A2531="","",VLOOKUP(A2531,'6.A'!$A$11:$G$180,2,FALSE))</f>
        <v/>
      </c>
      <c r="C2531" s="156"/>
      <c r="D2531" s="157" t="str">
        <f>IF(A2531="","",VLOOKUP(A2531,'6.A'!$A$11:$G$180,4,FALSE))</f>
        <v/>
      </c>
      <c r="E2531" s="158" t="str">
        <f>IF(A2531="","",VLOOKUP(A2531,'6.A'!$A$11:$G$180,5,FALSE))</f>
        <v/>
      </c>
      <c r="F2531" s="24" t="str">
        <f t="shared" si="1074"/>
        <v>0,00</v>
      </c>
      <c r="G2531" s="52"/>
      <c r="H2531" s="52" t="str">
        <f>IF(A2531="","",VLOOKUP(A2531,'6.A'!$A$11:$E$7984,5,FALSE))</f>
        <v/>
      </c>
      <c r="I2531" s="52" t="str">
        <f t="shared" si="1075"/>
        <v/>
      </c>
      <c r="J2531" s="52" t="str">
        <f>IF(H2531="","",VLOOKUP(A2531,'6.A'!$A$11:$E$564,4,FALSE))</f>
        <v/>
      </c>
      <c r="K2531" s="52" t="str">
        <f t="shared" si="1076"/>
        <v/>
      </c>
      <c r="L2531" s="52" t="str">
        <f>IF(H2531="","",IF(C2531="","",G2508*C2531))</f>
        <v/>
      </c>
      <c r="M2531" s="117" t="str">
        <f>IF(A2531="","",VLOOKUP(A2531,'6.A'!$A$11:$C$564,2,FALSE))</f>
        <v/>
      </c>
      <c r="N2531" s="57" t="str">
        <f>IF(A2531="","",IF(M2531=B2531,"si","no"))</f>
        <v/>
      </c>
      <c r="O2531" s="56"/>
      <c r="P2531" s="56"/>
      <c r="Q2531" s="48"/>
      <c r="R2531" s="48"/>
      <c r="S2531" s="65"/>
      <c r="T2531" s="2"/>
      <c r="U2531" s="2"/>
      <c r="V2531" s="2"/>
    </row>
    <row r="2532" spans="1:22" s="149" customFormat="1" ht="12.75" customHeight="1" x14ac:dyDescent="0.2">
      <c r="A2532" s="155"/>
      <c r="B2532" s="138" t="str">
        <f>IF(A2532="","",VLOOKUP(A2532,'6.A'!$A$11:$G$180,2,FALSE))</f>
        <v/>
      </c>
      <c r="C2532" s="156"/>
      <c r="D2532" s="157" t="str">
        <f>IF(A2532="","",VLOOKUP(A2532,'6.A'!$A$11:$G$180,4,FALSE))</f>
        <v/>
      </c>
      <c r="E2532" s="158" t="str">
        <f>IF(A2532="","",VLOOKUP(A2532,'6.A'!$A$11:$G$180,5,FALSE))</f>
        <v/>
      </c>
      <c r="F2532" s="24" t="str">
        <f t="shared" si="1074"/>
        <v>0,00</v>
      </c>
      <c r="G2532" s="52"/>
      <c r="H2532" s="52" t="str">
        <f>IF(A2532="","",VLOOKUP(A2532,'6.A'!$A$11:$E$7984,5,FALSE))</f>
        <v/>
      </c>
      <c r="I2532" s="52" t="str">
        <f t="shared" si="1075"/>
        <v/>
      </c>
      <c r="J2532" s="52" t="str">
        <f>IF(H2532="","",VLOOKUP(A2532,'6.A'!$A$11:$E$564,4,FALSE))</f>
        <v/>
      </c>
      <c r="K2532" s="52" t="str">
        <f t="shared" si="1076"/>
        <v/>
      </c>
      <c r="L2532" s="52" t="str">
        <f>IF(H2532="","",IF(C2532="","",G2508*C2532))</f>
        <v/>
      </c>
      <c r="M2532" s="117" t="str">
        <f>IF(A2532="","",VLOOKUP(A2532,'6.A'!$A$11:$C$564,2,FALSE))</f>
        <v/>
      </c>
      <c r="N2532" s="57" t="str">
        <f t="shared" ref="N2532:N2533" si="1078">IF(A2532="","",IF(M2532=B2532,"si","no"))</f>
        <v/>
      </c>
      <c r="O2532" s="56"/>
      <c r="P2532" s="56"/>
      <c r="Q2532" s="48"/>
      <c r="R2532" s="48"/>
      <c r="S2532" s="65"/>
      <c r="T2532" s="2"/>
      <c r="U2532" s="2"/>
      <c r="V2532" s="2"/>
    </row>
    <row r="2533" spans="1:22" s="149" customFormat="1" ht="12.75" customHeight="1" x14ac:dyDescent="0.2">
      <c r="A2533" s="155"/>
      <c r="B2533" s="138" t="str">
        <f>IF(A2533="","",VLOOKUP(A2533,'6.A'!$A$11:$G$180,2,FALSE))</f>
        <v/>
      </c>
      <c r="C2533" s="156"/>
      <c r="D2533" s="157" t="str">
        <f>IF(A2533="","",VLOOKUP(A2533,'6.A'!$A$11:$G$180,4,FALSE))</f>
        <v/>
      </c>
      <c r="E2533" s="158" t="str">
        <f>IF(A2533="","",VLOOKUP(A2533,'6.A'!$A$11:$G$180,5,FALSE))</f>
        <v/>
      </c>
      <c r="F2533" s="24" t="str">
        <f t="shared" si="1074"/>
        <v>0,00</v>
      </c>
      <c r="G2533" s="52"/>
      <c r="H2533" s="52" t="str">
        <f>IF(A2533="","",VLOOKUP(A2533,'6.A'!$A$11:$E$7984,5,FALSE))</f>
        <v/>
      </c>
      <c r="I2533" s="52" t="str">
        <f t="shared" si="1075"/>
        <v/>
      </c>
      <c r="J2533" s="52" t="str">
        <f>IF(H2533="","",VLOOKUP(A2533,'6.A'!$A$11:$E$564,4,FALSE))</f>
        <v/>
      </c>
      <c r="K2533" s="52" t="str">
        <f t="shared" si="1076"/>
        <v/>
      </c>
      <c r="L2533" s="52" t="str">
        <f>IF(H2533="","",IF(C2533="","",G2508*C2533))</f>
        <v/>
      </c>
      <c r="M2533" s="117" t="str">
        <f>IF(A2533="","",VLOOKUP(A2533,'6.A'!$A$11:$C$564,2,FALSE))</f>
        <v/>
      </c>
      <c r="N2533" s="57" t="str">
        <f t="shared" si="1078"/>
        <v/>
      </c>
      <c r="O2533" s="56"/>
      <c r="P2533" s="56"/>
      <c r="Q2533" s="48"/>
      <c r="R2533" s="48"/>
      <c r="S2533" s="65"/>
      <c r="T2533" s="2"/>
      <c r="U2533" s="2"/>
      <c r="V2533" s="2"/>
    </row>
    <row r="2534" spans="1:22" s="149" customFormat="1" ht="12.75" customHeight="1" x14ac:dyDescent="0.2">
      <c r="A2534" s="155"/>
      <c r="B2534" s="26" t="str">
        <f>$A$9</f>
        <v>BDI</v>
      </c>
      <c r="C2534" s="27">
        <f>$C$9</f>
        <v>0</v>
      </c>
      <c r="D2534" s="141"/>
      <c r="E2534" s="147"/>
      <c r="F2534" s="162">
        <f>ROUND(SUM(F2524:F2533)*C2534,2)</f>
        <v>0</v>
      </c>
      <c r="G2534" s="63"/>
      <c r="H2534" s="52"/>
      <c r="I2534" s="57"/>
      <c r="J2534" s="57"/>
      <c r="K2534" s="57"/>
      <c r="L2534" s="52"/>
      <c r="M2534" s="62"/>
      <c r="N2534" s="57"/>
      <c r="O2534" s="56"/>
      <c r="P2534" s="56"/>
      <c r="Q2534" s="48"/>
      <c r="R2534" s="48"/>
      <c r="S2534" s="65"/>
      <c r="T2534" s="2"/>
      <c r="U2534" s="2"/>
      <c r="V2534" s="2"/>
    </row>
    <row r="2535" spans="1:22" s="149" customFormat="1" ht="12.75" customHeight="1" x14ac:dyDescent="0.2">
      <c r="A2535" s="163"/>
      <c r="B2535" s="31" t="s">
        <v>117</v>
      </c>
      <c r="C2535" s="36"/>
      <c r="D2535" s="169"/>
      <c r="E2535" s="170"/>
      <c r="F2535" s="168">
        <f>ROUND(SUM(F2524:F2534),2)</f>
        <v>0</v>
      </c>
      <c r="G2535" s="63"/>
      <c r="H2535" s="52"/>
      <c r="I2535" s="57"/>
      <c r="J2535" s="57"/>
      <c r="K2535" s="57"/>
      <c r="L2535" s="52"/>
      <c r="M2535" s="62"/>
      <c r="N2535" s="57"/>
      <c r="O2535" s="56"/>
      <c r="P2535" s="56"/>
      <c r="Q2535" s="48"/>
      <c r="R2535" s="48"/>
      <c r="S2535" s="65"/>
      <c r="T2535" s="2"/>
      <c r="U2535" s="2"/>
      <c r="V2535" s="2"/>
    </row>
    <row r="2536" spans="1:22" s="149" customFormat="1" ht="12.75" customHeight="1" x14ac:dyDescent="0.2">
      <c r="A2536" s="152" t="s">
        <v>6</v>
      </c>
      <c r="B2536" s="153" t="s">
        <v>17</v>
      </c>
      <c r="C2536" s="140" t="s">
        <v>59</v>
      </c>
      <c r="D2536" s="140" t="s">
        <v>16</v>
      </c>
      <c r="E2536" s="154" t="s">
        <v>60</v>
      </c>
      <c r="F2536" s="148" t="s">
        <v>61</v>
      </c>
      <c r="G2536" s="21"/>
      <c r="H2536" s="52"/>
      <c r="I2536" s="57"/>
      <c r="J2536" s="57"/>
      <c r="K2536" s="57"/>
      <c r="L2536" s="52"/>
      <c r="M2536" s="62"/>
      <c r="N2536" s="57"/>
      <c r="O2536" s="56"/>
      <c r="P2536" s="56"/>
      <c r="Q2536" s="48"/>
      <c r="R2536" s="48"/>
      <c r="S2536" s="65"/>
      <c r="T2536" s="2"/>
      <c r="U2536" s="2"/>
      <c r="V2536" s="2"/>
    </row>
    <row r="2537" spans="1:22" s="149" customFormat="1" ht="12.75" customHeight="1" x14ac:dyDescent="0.2">
      <c r="A2537" s="155">
        <f>'6.A'!$A$173</f>
        <v>49627</v>
      </c>
      <c r="B2537" s="138" t="str">
        <f>IF(A2537="","",VLOOKUP(A2537,'6.A'!$A$11:$G$180,2,FALSE))</f>
        <v>BARRAMENTO DE COBRE NU (QUALQUER BITOLA)</v>
      </c>
      <c r="C2537" s="156">
        <v>0.3</v>
      </c>
      <c r="D2537" s="157" t="str">
        <f>IF(A2537="","",VLOOKUP(A2537,'6.A'!$A$11:$G$180,4,FALSE))</f>
        <v>KG</v>
      </c>
      <c r="E2537" s="158">
        <f>IF(A2537="","",VLOOKUP(A2537,'6.A'!$A$11:$G$180,5,FALSE))</f>
        <v>0</v>
      </c>
      <c r="F2537" s="24">
        <f t="shared" ref="F2537:F2556" si="1079">IF(A2537="","0,00",ROUND(C2537*E2537,2))</f>
        <v>0</v>
      </c>
      <c r="G2537" s="52"/>
      <c r="H2537" s="52">
        <f>IF(A2537="","",VLOOKUP(A2537,'6.A'!$A$11:$E$7984,5,FALSE))</f>
        <v>0</v>
      </c>
      <c r="I2537" s="52" t="str">
        <f t="shared" ref="I2537:I2556" si="1080">IF(H2537="","",IF(E2537=H2537,"SIM","NÃO"))</f>
        <v>SIM</v>
      </c>
      <c r="J2537" s="52" t="str">
        <f>IF(H2537="","",VLOOKUP(A2537,'6.A'!$A$11:$E$564,4,FALSE))</f>
        <v>KG</v>
      </c>
      <c r="K2537" s="52" t="str">
        <f t="shared" ref="K2537:K2556" si="1081">IF(H2537="","",IF(J2537=D2537,"SIM","NÃO"))</f>
        <v>SIM</v>
      </c>
      <c r="L2537" s="52">
        <f>IF(H2537="","",IF(C2537="","",G2508*C2537))</f>
        <v>3.5999999999999996</v>
      </c>
      <c r="M2537" s="117" t="str">
        <f>IF(A2537="","",VLOOKUP(A2537,'6.A'!$A$11:$C$564,2,FALSE))</f>
        <v>BARRAMENTO DE COBRE NU (QUALQUER BITOLA)</v>
      </c>
      <c r="N2537" s="57" t="str">
        <f t="shared" ref="N2537:N2556" si="1082">IF(A2537="","",IF(M2537=B2537,"si","no"))</f>
        <v>si</v>
      </c>
      <c r="O2537" s="56"/>
      <c r="P2537" s="56"/>
      <c r="Q2537" s="48"/>
      <c r="R2537" s="48"/>
      <c r="S2537" s="65"/>
      <c r="T2537" s="2"/>
      <c r="U2537" s="2"/>
      <c r="V2537" s="2"/>
    </row>
    <row r="2538" spans="1:22" s="149" customFormat="1" ht="12.75" customHeight="1" x14ac:dyDescent="0.2">
      <c r="A2538" s="155"/>
      <c r="B2538" s="138" t="str">
        <f>IF(A2538="","",VLOOKUP(A2538,'6.A'!$A$11:$G$180,2,FALSE))</f>
        <v/>
      </c>
      <c r="C2538" s="156"/>
      <c r="D2538" s="157" t="str">
        <f>IF(A2538="","",VLOOKUP(A2538,'6.A'!$A$11:$G$180,4,FALSE))</f>
        <v/>
      </c>
      <c r="E2538" s="158" t="str">
        <f>IF(A2538="","",VLOOKUP(A2538,'6.A'!$A$11:$G$180,5,FALSE))</f>
        <v/>
      </c>
      <c r="F2538" s="24" t="str">
        <f t="shared" si="1079"/>
        <v>0,00</v>
      </c>
      <c r="G2538" s="52"/>
      <c r="H2538" s="52" t="str">
        <f>IF(A2538="","",VLOOKUP(A2538,'6.A'!$A$11:$E$7984,5,FALSE))</f>
        <v/>
      </c>
      <c r="I2538" s="52" t="str">
        <f t="shared" si="1080"/>
        <v/>
      </c>
      <c r="J2538" s="52" t="str">
        <f>IF(H2538="","",VLOOKUP(A2538,'6.A'!$A$11:$E$564,4,FALSE))</f>
        <v/>
      </c>
      <c r="K2538" s="52" t="str">
        <f t="shared" si="1081"/>
        <v/>
      </c>
      <c r="L2538" s="52" t="str">
        <f>IF(H2538="","",IF(C2538="","",G2508*C2538))</f>
        <v/>
      </c>
      <c r="M2538" s="117" t="str">
        <f>IF(A2538="","",VLOOKUP(A2538,'6.A'!$A$11:$C$564,2,FALSE))</f>
        <v/>
      </c>
      <c r="N2538" s="57" t="str">
        <f t="shared" si="1082"/>
        <v/>
      </c>
      <c r="O2538" s="56"/>
      <c r="P2538" s="56"/>
      <c r="Q2538" s="48"/>
      <c r="R2538" s="48"/>
      <c r="S2538" s="65"/>
      <c r="T2538" s="2"/>
      <c r="U2538" s="2"/>
      <c r="V2538" s="2"/>
    </row>
    <row r="2539" spans="1:22" s="149" customFormat="1" ht="12.75" customHeight="1" x14ac:dyDescent="0.2">
      <c r="A2539" s="155"/>
      <c r="B2539" s="138" t="str">
        <f>IF(A2539="","",VLOOKUP(A2539,'6.A'!$A$11:$G$180,2,FALSE))</f>
        <v/>
      </c>
      <c r="C2539" s="156"/>
      <c r="D2539" s="157" t="str">
        <f>IF(A2539="","",VLOOKUP(A2539,'6.A'!$A$11:$G$180,4,FALSE))</f>
        <v/>
      </c>
      <c r="E2539" s="158" t="str">
        <f>IF(A2539="","",VLOOKUP(A2539,'6.A'!$A$11:$G$180,5,FALSE))</f>
        <v/>
      </c>
      <c r="F2539" s="24" t="str">
        <f t="shared" si="1079"/>
        <v>0,00</v>
      </c>
      <c r="G2539" s="52"/>
      <c r="H2539" s="52" t="str">
        <f>IF(A2539="","",VLOOKUP(A2539,'6.A'!$A$11:$E$7984,5,FALSE))</f>
        <v/>
      </c>
      <c r="I2539" s="52" t="str">
        <f t="shared" si="1080"/>
        <v/>
      </c>
      <c r="J2539" s="52" t="str">
        <f>IF(H2539="","",VLOOKUP(A2539,'6.A'!$A$11:$E$564,4,FALSE))</f>
        <v/>
      </c>
      <c r="K2539" s="52" t="str">
        <f t="shared" si="1081"/>
        <v/>
      </c>
      <c r="L2539" s="52" t="str">
        <f>IF(H2539="","",IF(C2539="","",G2508*C2539))</f>
        <v/>
      </c>
      <c r="M2539" s="117" t="str">
        <f>IF(A2539="","",VLOOKUP(A2539,'6.A'!$A$11:$C$564,2,FALSE))</f>
        <v/>
      </c>
      <c r="N2539" s="57" t="str">
        <f t="shared" si="1082"/>
        <v/>
      </c>
      <c r="O2539" s="56"/>
      <c r="P2539" s="56"/>
      <c r="Q2539" s="48"/>
      <c r="R2539" s="48"/>
      <c r="S2539" s="65"/>
      <c r="T2539" s="2"/>
      <c r="U2539" s="2"/>
      <c r="V2539" s="2"/>
    </row>
    <row r="2540" spans="1:22" s="149" customFormat="1" ht="12.75" customHeight="1" x14ac:dyDescent="0.2">
      <c r="A2540" s="155"/>
      <c r="B2540" s="138" t="str">
        <f>IF(A2540="","",VLOOKUP(A2540,'6.A'!$A$11:$G$180,2,FALSE))</f>
        <v/>
      </c>
      <c r="C2540" s="156"/>
      <c r="D2540" s="157" t="str">
        <f>IF(A2540="","",VLOOKUP(A2540,'6.A'!$A$11:$G$180,4,FALSE))</f>
        <v/>
      </c>
      <c r="E2540" s="158" t="str">
        <f>IF(A2540="","",VLOOKUP(A2540,'6.A'!$A$11:$G$180,5,FALSE))</f>
        <v/>
      </c>
      <c r="F2540" s="24" t="str">
        <f t="shared" si="1079"/>
        <v>0,00</v>
      </c>
      <c r="G2540" s="52"/>
      <c r="H2540" s="52" t="str">
        <f>IF(A2540="","",VLOOKUP(A2540,'6.A'!$A$11:$E$7984,5,FALSE))</f>
        <v/>
      </c>
      <c r="I2540" s="52" t="str">
        <f t="shared" si="1080"/>
        <v/>
      </c>
      <c r="J2540" s="52" t="str">
        <f>IF(H2540="","",VLOOKUP(A2540,'6.A'!$A$11:$E$564,4,FALSE))</f>
        <v/>
      </c>
      <c r="K2540" s="52" t="str">
        <f t="shared" si="1081"/>
        <v/>
      </c>
      <c r="L2540" s="52" t="str">
        <f>IF(H2540="","",IF(C2540="","",G2508*C2540))</f>
        <v/>
      </c>
      <c r="M2540" s="117" t="str">
        <f>IF(A2540="","",VLOOKUP(A2540,'6.A'!$A$11:$C$564,2,FALSE))</f>
        <v/>
      </c>
      <c r="N2540" s="57" t="str">
        <f t="shared" si="1082"/>
        <v/>
      </c>
      <c r="O2540" s="56"/>
      <c r="P2540" s="56"/>
      <c r="Q2540" s="48"/>
      <c r="R2540" s="48"/>
      <c r="S2540" s="65"/>
      <c r="T2540" s="2"/>
      <c r="U2540" s="2"/>
      <c r="V2540" s="2"/>
    </row>
    <row r="2541" spans="1:22" s="149" customFormat="1" ht="12.75" customHeight="1" x14ac:dyDescent="0.2">
      <c r="A2541" s="155"/>
      <c r="B2541" s="138" t="str">
        <f>IF(A2541="","",VLOOKUP(A2541,'6.A'!$A$11:$G$180,2,FALSE))</f>
        <v/>
      </c>
      <c r="C2541" s="156"/>
      <c r="D2541" s="157" t="str">
        <f>IF(A2541="","",VLOOKUP(A2541,'6.A'!$A$11:$G$180,4,FALSE))</f>
        <v/>
      </c>
      <c r="E2541" s="158" t="str">
        <f>IF(A2541="","",VLOOKUP(A2541,'6.A'!$A$11:$G$180,5,FALSE))</f>
        <v/>
      </c>
      <c r="F2541" s="24" t="str">
        <f t="shared" si="1079"/>
        <v>0,00</v>
      </c>
      <c r="G2541" s="52"/>
      <c r="H2541" s="52" t="str">
        <f>IF(A2541="","",VLOOKUP(A2541,'6.A'!$A$11:$E$7984,5,FALSE))</f>
        <v/>
      </c>
      <c r="I2541" s="52" t="str">
        <f t="shared" si="1080"/>
        <v/>
      </c>
      <c r="J2541" s="52" t="str">
        <f>IF(H2541="","",VLOOKUP(A2541,'6.A'!$A$11:$E$564,4,FALSE))</f>
        <v/>
      </c>
      <c r="K2541" s="52" t="str">
        <f t="shared" si="1081"/>
        <v/>
      </c>
      <c r="L2541" s="52" t="str">
        <f>IF(H2541="","",IF(C2541="","",G2508*C2541))</f>
        <v/>
      </c>
      <c r="M2541" s="117" t="str">
        <f>IF(A2541="","",VLOOKUP(A2541,'6.A'!$A$11:$C$564,2,FALSE))</f>
        <v/>
      </c>
      <c r="N2541" s="57" t="str">
        <f t="shared" si="1082"/>
        <v/>
      </c>
      <c r="O2541" s="56"/>
      <c r="P2541" s="56"/>
      <c r="Q2541" s="48"/>
      <c r="R2541" s="48"/>
      <c r="S2541" s="65"/>
      <c r="T2541" s="2"/>
      <c r="U2541" s="2"/>
      <c r="V2541" s="2"/>
    </row>
    <row r="2542" spans="1:22" s="149" customFormat="1" ht="12.75" customHeight="1" x14ac:dyDescent="0.2">
      <c r="A2542" s="155"/>
      <c r="B2542" s="138" t="str">
        <f>IF(A2542="","",VLOOKUP(A2542,'6.A'!$A$11:$G$180,2,FALSE))</f>
        <v/>
      </c>
      <c r="C2542" s="156"/>
      <c r="D2542" s="157" t="str">
        <f>IF(A2542="","",VLOOKUP(A2542,'6.A'!$A$11:$G$180,4,FALSE))</f>
        <v/>
      </c>
      <c r="E2542" s="158" t="str">
        <f>IF(A2542="","",VLOOKUP(A2542,'6.A'!$A$11:$G$180,5,FALSE))</f>
        <v/>
      </c>
      <c r="F2542" s="24" t="str">
        <f t="shared" si="1079"/>
        <v>0,00</v>
      </c>
      <c r="G2542" s="52"/>
      <c r="H2542" s="52" t="str">
        <f>IF(A2542="","",VLOOKUP(A2542,'6.A'!$A$11:$E$7984,5,FALSE))</f>
        <v/>
      </c>
      <c r="I2542" s="52" t="str">
        <f t="shared" si="1080"/>
        <v/>
      </c>
      <c r="J2542" s="52" t="str">
        <f>IF(H2542="","",VLOOKUP(A2542,'6.A'!$A$11:$E$564,4,FALSE))</f>
        <v/>
      </c>
      <c r="K2542" s="52" t="str">
        <f t="shared" si="1081"/>
        <v/>
      </c>
      <c r="L2542" s="52" t="str">
        <f>IF(H2542="","",IF(C2542="","",G2508*C2542))</f>
        <v/>
      </c>
      <c r="M2542" s="117" t="str">
        <f>IF(A2542="","",VLOOKUP(A2542,'6.A'!$A$11:$C$564,2,FALSE))</f>
        <v/>
      </c>
      <c r="N2542" s="57" t="str">
        <f t="shared" si="1082"/>
        <v/>
      </c>
      <c r="O2542" s="56"/>
      <c r="P2542" s="56"/>
      <c r="Q2542" s="48"/>
      <c r="R2542" s="48"/>
      <c r="S2542" s="65"/>
      <c r="T2542" s="2"/>
      <c r="U2542" s="2"/>
      <c r="V2542" s="2"/>
    </row>
    <row r="2543" spans="1:22" s="149" customFormat="1" ht="12.75" customHeight="1" x14ac:dyDescent="0.2">
      <c r="A2543" s="155"/>
      <c r="B2543" s="138" t="str">
        <f>IF(A2543="","",VLOOKUP(A2543,'6.A'!$A$11:$G$180,2,FALSE))</f>
        <v/>
      </c>
      <c r="C2543" s="156"/>
      <c r="D2543" s="157" t="str">
        <f>IF(A2543="","",VLOOKUP(A2543,'6.A'!$A$11:$G$180,4,FALSE))</f>
        <v/>
      </c>
      <c r="E2543" s="158" t="str">
        <f>IF(A2543="","",VLOOKUP(A2543,'6.A'!$A$11:$G$180,5,FALSE))</f>
        <v/>
      </c>
      <c r="F2543" s="24" t="str">
        <f t="shared" si="1079"/>
        <v>0,00</v>
      </c>
      <c r="G2543" s="52"/>
      <c r="H2543" s="52" t="str">
        <f>IF(A2543="","",VLOOKUP(A2543,'6.A'!$A$11:$E$7984,5,FALSE))</f>
        <v/>
      </c>
      <c r="I2543" s="52" t="str">
        <f t="shared" si="1080"/>
        <v/>
      </c>
      <c r="J2543" s="52" t="str">
        <f>IF(H2543="","",VLOOKUP(A2543,'6.A'!$A$11:$E$564,4,FALSE))</f>
        <v/>
      </c>
      <c r="K2543" s="52" t="str">
        <f t="shared" si="1081"/>
        <v/>
      </c>
      <c r="L2543" s="52" t="str">
        <f>IF(H2543="","",IF(C2543="","",G2508*C2543))</f>
        <v/>
      </c>
      <c r="M2543" s="117" t="str">
        <f>IF(A2543="","",VLOOKUP(A2543,'6.A'!$A$11:$C$564,2,FALSE))</f>
        <v/>
      </c>
      <c r="N2543" s="57" t="str">
        <f t="shared" si="1082"/>
        <v/>
      </c>
      <c r="O2543" s="56"/>
      <c r="P2543" s="56"/>
      <c r="Q2543" s="48"/>
      <c r="R2543" s="48"/>
      <c r="S2543" s="65"/>
      <c r="T2543" s="2"/>
      <c r="U2543" s="2"/>
      <c r="V2543" s="2"/>
    </row>
    <row r="2544" spans="1:22" s="149" customFormat="1" ht="12.75" customHeight="1" x14ac:dyDescent="0.2">
      <c r="A2544" s="155"/>
      <c r="B2544" s="138" t="str">
        <f>IF(A2544="","",VLOOKUP(A2544,'6.A'!$A$11:$G$180,2,FALSE))</f>
        <v/>
      </c>
      <c r="C2544" s="156"/>
      <c r="D2544" s="157" t="str">
        <f>IF(A2544="","",VLOOKUP(A2544,'6.A'!$A$11:$G$180,4,FALSE))</f>
        <v/>
      </c>
      <c r="E2544" s="158" t="str">
        <f>IF(A2544="","",VLOOKUP(A2544,'6.A'!$A$11:$G$180,5,FALSE))</f>
        <v/>
      </c>
      <c r="F2544" s="24" t="str">
        <f t="shared" si="1079"/>
        <v>0,00</v>
      </c>
      <c r="G2544" s="52"/>
      <c r="H2544" s="52" t="str">
        <f>IF(A2544="","",VLOOKUP(A2544,'6.A'!$A$11:$E$7984,5,FALSE))</f>
        <v/>
      </c>
      <c r="I2544" s="52" t="str">
        <f t="shared" si="1080"/>
        <v/>
      </c>
      <c r="J2544" s="52" t="str">
        <f>IF(H2544="","",VLOOKUP(A2544,'6.A'!$A$11:$E$564,4,FALSE))</f>
        <v/>
      </c>
      <c r="K2544" s="52" t="str">
        <f t="shared" si="1081"/>
        <v/>
      </c>
      <c r="L2544" s="52" t="str">
        <f>IF(H2544="","",IF(C2544="","",G2508*C2544))</f>
        <v/>
      </c>
      <c r="M2544" s="117" t="str">
        <f>IF(A2544="","",VLOOKUP(A2544,'6.A'!$A$11:$C$564,2,FALSE))</f>
        <v/>
      </c>
      <c r="N2544" s="57" t="str">
        <f t="shared" si="1082"/>
        <v/>
      </c>
      <c r="O2544" s="56"/>
      <c r="P2544" s="56"/>
      <c r="Q2544" s="48"/>
      <c r="R2544" s="48"/>
      <c r="S2544" s="65"/>
      <c r="T2544" s="2"/>
      <c r="U2544" s="2"/>
      <c r="V2544" s="2"/>
    </row>
    <row r="2545" spans="1:22" s="149" customFormat="1" ht="12.75" customHeight="1" x14ac:dyDescent="0.2">
      <c r="A2545" s="155"/>
      <c r="B2545" s="138" t="str">
        <f>IF(A2545="","",VLOOKUP(A2545,'6.A'!$A$11:$G$180,2,FALSE))</f>
        <v/>
      </c>
      <c r="C2545" s="156"/>
      <c r="D2545" s="157" t="str">
        <f>IF(A2545="","",VLOOKUP(A2545,'6.A'!$A$11:$G$180,4,FALSE))</f>
        <v/>
      </c>
      <c r="E2545" s="158" t="str">
        <f>IF(A2545="","",VLOOKUP(A2545,'6.A'!$A$11:$G$180,5,FALSE))</f>
        <v/>
      </c>
      <c r="F2545" s="24" t="str">
        <f t="shared" si="1079"/>
        <v>0,00</v>
      </c>
      <c r="G2545" s="52"/>
      <c r="H2545" s="52" t="str">
        <f>IF(A2545="","",VLOOKUP(A2545,'6.A'!$A$11:$E$7984,5,FALSE))</f>
        <v/>
      </c>
      <c r="I2545" s="52" t="str">
        <f t="shared" si="1080"/>
        <v/>
      </c>
      <c r="J2545" s="52" t="str">
        <f>IF(H2545="","",VLOOKUP(A2545,'6.A'!$A$11:$E$564,4,FALSE))</f>
        <v/>
      </c>
      <c r="K2545" s="52" t="str">
        <f t="shared" si="1081"/>
        <v/>
      </c>
      <c r="L2545" s="52" t="str">
        <f>IF(H2545="","",IF(C2545="","",G2508*C2545))</f>
        <v/>
      </c>
      <c r="M2545" s="117" t="str">
        <f>IF(A2545="","",VLOOKUP(A2545,'6.A'!$A$11:$C$564,2,FALSE))</f>
        <v/>
      </c>
      <c r="N2545" s="57" t="str">
        <f t="shared" si="1082"/>
        <v/>
      </c>
      <c r="O2545" s="56"/>
      <c r="P2545" s="56"/>
      <c r="Q2545" s="48"/>
      <c r="R2545" s="48"/>
      <c r="S2545" s="65"/>
      <c r="T2545" s="2"/>
      <c r="U2545" s="2"/>
      <c r="V2545" s="2"/>
    </row>
    <row r="2546" spans="1:22" s="149" customFormat="1" ht="12.75" customHeight="1" x14ac:dyDescent="0.2">
      <c r="A2546" s="155"/>
      <c r="B2546" s="138" t="str">
        <f>IF(A2546="","",VLOOKUP(A2546,'6.A'!$A$11:$G$180,2,FALSE))</f>
        <v/>
      </c>
      <c r="C2546" s="156"/>
      <c r="D2546" s="157" t="str">
        <f>IF(A2546="","",VLOOKUP(A2546,'6.A'!$A$11:$G$180,4,FALSE))</f>
        <v/>
      </c>
      <c r="E2546" s="158" t="str">
        <f>IF(A2546="","",VLOOKUP(A2546,'6.A'!$A$11:$G$180,5,FALSE))</f>
        <v/>
      </c>
      <c r="F2546" s="24" t="str">
        <f t="shared" si="1079"/>
        <v>0,00</v>
      </c>
      <c r="G2546" s="52"/>
      <c r="H2546" s="52" t="str">
        <f>IF(A2546="","",VLOOKUP(A2546,'6.A'!$A$11:$E$7984,5,FALSE))</f>
        <v/>
      </c>
      <c r="I2546" s="52" t="str">
        <f t="shared" si="1080"/>
        <v/>
      </c>
      <c r="J2546" s="52" t="str">
        <f>IF(H2546="","",VLOOKUP(A2546,'6.A'!$A$11:$E$564,4,FALSE))</f>
        <v/>
      </c>
      <c r="K2546" s="52" t="str">
        <f t="shared" si="1081"/>
        <v/>
      </c>
      <c r="L2546" s="52" t="str">
        <f>IF(H2546="","",IF(C2546="","",G2508*C2546))</f>
        <v/>
      </c>
      <c r="M2546" s="117" t="str">
        <f>IF(A2546="","",VLOOKUP(A2546,'6.A'!$A$11:$C$564,2,FALSE))</f>
        <v/>
      </c>
      <c r="N2546" s="57" t="str">
        <f t="shared" si="1082"/>
        <v/>
      </c>
      <c r="O2546" s="56"/>
      <c r="P2546" s="56"/>
      <c r="Q2546" s="48"/>
      <c r="R2546" s="48"/>
      <c r="S2546" s="65"/>
      <c r="T2546" s="2"/>
      <c r="U2546" s="2"/>
      <c r="V2546" s="2"/>
    </row>
    <row r="2547" spans="1:22" s="149" customFormat="1" ht="12.75" customHeight="1" x14ac:dyDescent="0.2">
      <c r="A2547" s="155"/>
      <c r="B2547" s="138" t="str">
        <f>IF(A2547="","",VLOOKUP(A2547,'6.A'!$A$11:$G$180,2,FALSE))</f>
        <v/>
      </c>
      <c r="C2547" s="156"/>
      <c r="D2547" s="157" t="str">
        <f>IF(A2547="","",VLOOKUP(A2547,'6.A'!$A$11:$G$180,4,FALSE))</f>
        <v/>
      </c>
      <c r="E2547" s="158" t="str">
        <f>IF(A2547="","",VLOOKUP(A2547,'6.A'!$A$11:$G$180,5,FALSE))</f>
        <v/>
      </c>
      <c r="F2547" s="24" t="str">
        <f t="shared" si="1079"/>
        <v>0,00</v>
      </c>
      <c r="G2547" s="52"/>
      <c r="H2547" s="52" t="str">
        <f>IF(A2547="","",VLOOKUP(A2547,'6.A'!$A$11:$E$7984,5,FALSE))</f>
        <v/>
      </c>
      <c r="I2547" s="52" t="str">
        <f t="shared" si="1080"/>
        <v/>
      </c>
      <c r="J2547" s="52" t="str">
        <f>IF(H2547="","",VLOOKUP(A2547,'6.A'!$A$11:$E$564,4,FALSE))</f>
        <v/>
      </c>
      <c r="K2547" s="52" t="str">
        <f t="shared" si="1081"/>
        <v/>
      </c>
      <c r="L2547" s="52" t="str">
        <f>IF(H2547="","",IF(C2547="","",G2508*C2547))</f>
        <v/>
      </c>
      <c r="M2547" s="117" t="str">
        <f>IF(A2547="","",VLOOKUP(A2547,'6.A'!$A$11:$C$564,2,FALSE))</f>
        <v/>
      </c>
      <c r="N2547" s="57" t="str">
        <f t="shared" si="1082"/>
        <v/>
      </c>
      <c r="O2547" s="56"/>
      <c r="P2547" s="56"/>
      <c r="Q2547" s="48"/>
      <c r="R2547" s="48"/>
      <c r="S2547" s="65"/>
      <c r="T2547" s="2"/>
      <c r="U2547" s="2"/>
      <c r="V2547" s="2"/>
    </row>
    <row r="2548" spans="1:22" s="149" customFormat="1" ht="12.75" customHeight="1" x14ac:dyDescent="0.2">
      <c r="A2548" s="155"/>
      <c r="B2548" s="138" t="str">
        <f>IF(A2548="","",VLOOKUP(A2548,'6.A'!$A$11:$G$180,2,FALSE))</f>
        <v/>
      </c>
      <c r="C2548" s="156"/>
      <c r="D2548" s="157" t="str">
        <f>IF(A2548="","",VLOOKUP(A2548,'6.A'!$A$11:$G$180,4,FALSE))</f>
        <v/>
      </c>
      <c r="E2548" s="158" t="str">
        <f>IF(A2548="","",VLOOKUP(A2548,'6.A'!$A$11:$G$180,5,FALSE))</f>
        <v/>
      </c>
      <c r="F2548" s="24" t="str">
        <f t="shared" si="1079"/>
        <v>0,00</v>
      </c>
      <c r="G2548" s="52"/>
      <c r="H2548" s="52" t="str">
        <f>IF(A2548="","",VLOOKUP(A2548,'6.A'!$A$11:$E$7984,5,FALSE))</f>
        <v/>
      </c>
      <c r="I2548" s="52" t="str">
        <f t="shared" si="1080"/>
        <v/>
      </c>
      <c r="J2548" s="52" t="str">
        <f>IF(H2548="","",VLOOKUP(A2548,'6.A'!$A$11:$E$564,4,FALSE))</f>
        <v/>
      </c>
      <c r="K2548" s="52" t="str">
        <f t="shared" si="1081"/>
        <v/>
      </c>
      <c r="L2548" s="52" t="str">
        <f>IF(H2548="","",IF(C2548="","",G2508*C2548))</f>
        <v/>
      </c>
      <c r="M2548" s="117" t="str">
        <f>IF(A2548="","",VLOOKUP(A2548,'6.A'!$A$11:$C$564,2,FALSE))</f>
        <v/>
      </c>
      <c r="N2548" s="57" t="str">
        <f t="shared" si="1082"/>
        <v/>
      </c>
      <c r="O2548" s="56"/>
      <c r="P2548" s="56"/>
      <c r="Q2548" s="48"/>
      <c r="R2548" s="48"/>
      <c r="S2548" s="65"/>
      <c r="T2548" s="2"/>
      <c r="U2548" s="2"/>
      <c r="V2548" s="2"/>
    </row>
    <row r="2549" spans="1:22" s="149" customFormat="1" ht="12.75" customHeight="1" x14ac:dyDescent="0.2">
      <c r="A2549" s="155"/>
      <c r="B2549" s="138" t="str">
        <f>IF(A2549="","",VLOOKUP(A2549,'6.A'!$A$11:$G$180,2,FALSE))</f>
        <v/>
      </c>
      <c r="C2549" s="156"/>
      <c r="D2549" s="157" t="str">
        <f>IF(A2549="","",VLOOKUP(A2549,'6.A'!$A$11:$G$180,4,FALSE))</f>
        <v/>
      </c>
      <c r="E2549" s="158" t="str">
        <f>IF(A2549="","",VLOOKUP(A2549,'6.A'!$A$11:$G$180,5,FALSE))</f>
        <v/>
      </c>
      <c r="F2549" s="24" t="str">
        <f t="shared" si="1079"/>
        <v>0,00</v>
      </c>
      <c r="G2549" s="52"/>
      <c r="H2549" s="52" t="str">
        <f>IF(A2549="","",VLOOKUP(A2549,'6.A'!$A$11:$E$7984,5,FALSE))</f>
        <v/>
      </c>
      <c r="I2549" s="52" t="str">
        <f t="shared" si="1080"/>
        <v/>
      </c>
      <c r="J2549" s="52" t="str">
        <f>IF(H2549="","",VLOOKUP(A2549,'6.A'!$A$11:$E$564,4,FALSE))</f>
        <v/>
      </c>
      <c r="K2549" s="52" t="str">
        <f t="shared" si="1081"/>
        <v/>
      </c>
      <c r="L2549" s="52" t="str">
        <f>IF(H2549="","",IF(C2549="","",G2508*C2549))</f>
        <v/>
      </c>
      <c r="M2549" s="117" t="str">
        <f>IF(A2549="","",VLOOKUP(A2549,'6.A'!$A$11:$C$564,2,FALSE))</f>
        <v/>
      </c>
      <c r="N2549" s="57" t="str">
        <f t="shared" si="1082"/>
        <v/>
      </c>
      <c r="O2549" s="56"/>
      <c r="P2549" s="56"/>
      <c r="Q2549" s="48"/>
      <c r="R2549" s="48"/>
      <c r="S2549" s="65"/>
      <c r="T2549" s="2"/>
      <c r="U2549" s="2"/>
      <c r="V2549" s="2"/>
    </row>
    <row r="2550" spans="1:22" s="149" customFormat="1" ht="12.75" customHeight="1" x14ac:dyDescent="0.2">
      <c r="A2550" s="155"/>
      <c r="B2550" s="138" t="str">
        <f>IF(A2550="","",VLOOKUP(A2550,'6.A'!$A$11:$G$180,2,FALSE))</f>
        <v/>
      </c>
      <c r="C2550" s="156"/>
      <c r="D2550" s="157" t="str">
        <f>IF(A2550="","",VLOOKUP(A2550,'6.A'!$A$11:$G$180,4,FALSE))</f>
        <v/>
      </c>
      <c r="E2550" s="158" t="str">
        <f>IF(A2550="","",VLOOKUP(A2550,'6.A'!$A$11:$G$180,5,FALSE))</f>
        <v/>
      </c>
      <c r="F2550" s="24" t="str">
        <f t="shared" si="1079"/>
        <v>0,00</v>
      </c>
      <c r="G2550" s="52"/>
      <c r="H2550" s="52" t="str">
        <f>IF(A2550="","",VLOOKUP(A2550,'6.A'!$A$11:$E$7984,5,FALSE))</f>
        <v/>
      </c>
      <c r="I2550" s="52" t="str">
        <f t="shared" si="1080"/>
        <v/>
      </c>
      <c r="J2550" s="52" t="str">
        <f>IF(H2550="","",VLOOKUP(A2550,'6.A'!$A$11:$E$564,4,FALSE))</f>
        <v/>
      </c>
      <c r="K2550" s="52" t="str">
        <f t="shared" si="1081"/>
        <v/>
      </c>
      <c r="L2550" s="52" t="str">
        <f>IF(H2550="","",IF(C2550="","",G2508*C2550))</f>
        <v/>
      </c>
      <c r="M2550" s="117" t="str">
        <f>IF(A2550="","",VLOOKUP(A2550,'6.A'!$A$11:$C$564,2,FALSE))</f>
        <v/>
      </c>
      <c r="N2550" s="57" t="str">
        <f t="shared" si="1082"/>
        <v/>
      </c>
      <c r="O2550" s="56"/>
      <c r="P2550" s="56"/>
      <c r="Q2550" s="48"/>
      <c r="R2550" s="48"/>
      <c r="S2550" s="65"/>
      <c r="T2550" s="2"/>
      <c r="U2550" s="2"/>
      <c r="V2550" s="2"/>
    </row>
    <row r="2551" spans="1:22" s="149" customFormat="1" ht="12.75" customHeight="1" x14ac:dyDescent="0.2">
      <c r="A2551" s="155"/>
      <c r="B2551" s="138" t="str">
        <f>IF(A2551="","",VLOOKUP(A2551,'6.A'!$A$11:$G$180,2,FALSE))</f>
        <v/>
      </c>
      <c r="C2551" s="156"/>
      <c r="D2551" s="157" t="str">
        <f>IF(A2551="","",VLOOKUP(A2551,'6.A'!$A$11:$G$180,4,FALSE))</f>
        <v/>
      </c>
      <c r="E2551" s="158" t="str">
        <f>IF(A2551="","",VLOOKUP(A2551,'6.A'!$A$11:$G$180,5,FALSE))</f>
        <v/>
      </c>
      <c r="F2551" s="24" t="str">
        <f t="shared" si="1079"/>
        <v>0,00</v>
      </c>
      <c r="G2551" s="52"/>
      <c r="H2551" s="52" t="str">
        <f>IF(A2551="","",VLOOKUP(A2551,'6.A'!$A$11:$E$7984,5,FALSE))</f>
        <v/>
      </c>
      <c r="I2551" s="52" t="str">
        <f t="shared" si="1080"/>
        <v/>
      </c>
      <c r="J2551" s="52" t="str">
        <f>IF(H2551="","",VLOOKUP(A2551,'6.A'!$A$11:$E$564,4,FALSE))</f>
        <v/>
      </c>
      <c r="K2551" s="52" t="str">
        <f t="shared" si="1081"/>
        <v/>
      </c>
      <c r="L2551" s="52" t="str">
        <f>IF(H2551="","",IF(C2551="","",G2508*C2551))</f>
        <v/>
      </c>
      <c r="M2551" s="117" t="str">
        <f>IF(A2551="","",VLOOKUP(A2551,'6.A'!$A$11:$C$564,2,FALSE))</f>
        <v/>
      </c>
      <c r="N2551" s="57" t="str">
        <f t="shared" si="1082"/>
        <v/>
      </c>
      <c r="O2551" s="56"/>
      <c r="P2551" s="56"/>
      <c r="Q2551" s="48"/>
      <c r="R2551" s="48"/>
      <c r="S2551" s="65"/>
      <c r="T2551" s="2"/>
      <c r="U2551" s="2"/>
      <c r="V2551" s="2"/>
    </row>
    <row r="2552" spans="1:22" s="149" customFormat="1" ht="12.75" customHeight="1" x14ac:dyDescent="0.2">
      <c r="A2552" s="155"/>
      <c r="B2552" s="138" t="str">
        <f>IF(A2552="","",VLOOKUP(A2552,'6.A'!$A$11:$G$180,2,FALSE))</f>
        <v/>
      </c>
      <c r="C2552" s="156"/>
      <c r="D2552" s="157" t="str">
        <f>IF(A2552="","",VLOOKUP(A2552,'6.A'!$A$11:$G$180,4,FALSE))</f>
        <v/>
      </c>
      <c r="E2552" s="158" t="str">
        <f>IF(A2552="","",VLOOKUP(A2552,'6.A'!$A$11:$G$180,5,FALSE))</f>
        <v/>
      </c>
      <c r="F2552" s="24" t="str">
        <f t="shared" si="1079"/>
        <v>0,00</v>
      </c>
      <c r="G2552" s="52"/>
      <c r="H2552" s="52" t="str">
        <f>IF(A2552="","",VLOOKUP(A2552,'6.A'!$A$11:$E$7984,5,FALSE))</f>
        <v/>
      </c>
      <c r="I2552" s="52" t="str">
        <f t="shared" si="1080"/>
        <v/>
      </c>
      <c r="J2552" s="52" t="str">
        <f>IF(H2552="","",VLOOKUP(A2552,'6.A'!$A$11:$E$564,4,FALSE))</f>
        <v/>
      </c>
      <c r="K2552" s="52" t="str">
        <f t="shared" si="1081"/>
        <v/>
      </c>
      <c r="L2552" s="52" t="str">
        <f>IF(H2552="","",IF(C2552="","",G2508*C2552))</f>
        <v/>
      </c>
      <c r="M2552" s="117" t="str">
        <f>IF(A2552="","",VLOOKUP(A2552,'6.A'!$A$11:$C$564,2,FALSE))</f>
        <v/>
      </c>
      <c r="N2552" s="57" t="str">
        <f t="shared" si="1082"/>
        <v/>
      </c>
      <c r="O2552" s="56"/>
      <c r="P2552" s="56"/>
      <c r="Q2552" s="48"/>
      <c r="R2552" s="48"/>
      <c r="S2552" s="65"/>
      <c r="T2552" s="2"/>
      <c r="U2552" s="2"/>
      <c r="V2552" s="2"/>
    </row>
    <row r="2553" spans="1:22" s="149" customFormat="1" ht="12.75" customHeight="1" x14ac:dyDescent="0.2">
      <c r="A2553" s="155"/>
      <c r="B2553" s="171" t="str">
        <f>IF(A2553="","",VLOOKUP(A2553,'6.A'!$A$11:$G$180,2,FALSE))</f>
        <v/>
      </c>
      <c r="C2553" s="156"/>
      <c r="D2553" s="157" t="str">
        <f>IF(A2553="","",VLOOKUP(A2553,'6.A'!$A$11:$G$180,4,FALSE))</f>
        <v/>
      </c>
      <c r="E2553" s="158" t="str">
        <f>IF(A2553="","",VLOOKUP(A2553,'6.A'!$A$11:$G$180,5,FALSE))</f>
        <v/>
      </c>
      <c r="F2553" s="24" t="str">
        <f t="shared" si="1079"/>
        <v>0,00</v>
      </c>
      <c r="G2553" s="52"/>
      <c r="H2553" s="52" t="str">
        <f>IF(A2553="","",VLOOKUP(A2553,'6.A'!$A$11:$E$7984,5,FALSE))</f>
        <v/>
      </c>
      <c r="I2553" s="52" t="str">
        <f t="shared" si="1080"/>
        <v/>
      </c>
      <c r="J2553" s="52" t="str">
        <f>IF(H2553="","",VLOOKUP(A2553,'6.A'!$A$11:$E$564,4,FALSE))</f>
        <v/>
      </c>
      <c r="K2553" s="52" t="str">
        <f t="shared" si="1081"/>
        <v/>
      </c>
      <c r="L2553" s="52" t="str">
        <f>IF(H2553="","",IF(C2553="","",G2508*C2553))</f>
        <v/>
      </c>
      <c r="M2553" s="117" t="str">
        <f>IF(A2553="","",VLOOKUP(A2553,'6.A'!$A$11:$C$564,2,FALSE))</f>
        <v/>
      </c>
      <c r="N2553" s="57" t="str">
        <f t="shared" si="1082"/>
        <v/>
      </c>
      <c r="O2553" s="56"/>
      <c r="P2553" s="56"/>
      <c r="Q2553" s="48"/>
      <c r="R2553" s="48"/>
      <c r="S2553" s="65"/>
      <c r="T2553" s="2"/>
      <c r="U2553" s="2"/>
      <c r="V2553" s="2"/>
    </row>
    <row r="2554" spans="1:22" s="149" customFormat="1" ht="12.75" customHeight="1" x14ac:dyDescent="0.2">
      <c r="A2554" s="155"/>
      <c r="B2554" s="171" t="str">
        <f>IF(A2554="","",VLOOKUP(A2554,'6.A'!$A$11:$G$180,2,FALSE))</f>
        <v/>
      </c>
      <c r="C2554" s="156"/>
      <c r="D2554" s="157" t="str">
        <f>IF(A2554="","",VLOOKUP(A2554,'6.A'!$A$11:$G$180,4,FALSE))</f>
        <v/>
      </c>
      <c r="E2554" s="158" t="str">
        <f>IF(A2554="","",VLOOKUP(A2554,'6.A'!$A$11:$G$180,5,FALSE))</f>
        <v/>
      </c>
      <c r="F2554" s="24" t="str">
        <f t="shared" si="1079"/>
        <v>0,00</v>
      </c>
      <c r="G2554" s="52"/>
      <c r="H2554" s="52" t="str">
        <f>IF(A2554="","",VLOOKUP(A2554,'6.A'!$A$11:$E$7984,5,FALSE))</f>
        <v/>
      </c>
      <c r="I2554" s="52" t="str">
        <f t="shared" si="1080"/>
        <v/>
      </c>
      <c r="J2554" s="52" t="str">
        <f>IF(H2554="","",VLOOKUP(A2554,'6.A'!$A$11:$E$564,4,FALSE))</f>
        <v/>
      </c>
      <c r="K2554" s="52" t="str">
        <f t="shared" si="1081"/>
        <v/>
      </c>
      <c r="L2554" s="52" t="str">
        <f>IF(H2554="","",IF(C2554="","",G2508*C2554))</f>
        <v/>
      </c>
      <c r="M2554" s="117" t="str">
        <f>IF(A2554="","",VLOOKUP(A2554,'6.A'!$A$11:$C$564,2,FALSE))</f>
        <v/>
      </c>
      <c r="N2554" s="57" t="str">
        <f t="shared" si="1082"/>
        <v/>
      </c>
      <c r="O2554" s="56"/>
      <c r="P2554" s="56"/>
      <c r="Q2554" s="48"/>
      <c r="R2554" s="48"/>
      <c r="S2554" s="65"/>
      <c r="T2554" s="2"/>
      <c r="U2554" s="2"/>
      <c r="V2554" s="2"/>
    </row>
    <row r="2555" spans="1:22" s="137" customFormat="1" ht="12.75" customHeight="1" x14ac:dyDescent="0.2">
      <c r="A2555" s="155"/>
      <c r="B2555" s="171" t="str">
        <f>IF(A2555="","",VLOOKUP(A2555,'6.A'!$A$11:$G$180,2,FALSE))</f>
        <v/>
      </c>
      <c r="C2555" s="156"/>
      <c r="D2555" s="157" t="str">
        <f>IF(A2555="","",VLOOKUP(A2555,'6.A'!$A$11:$G$180,4,FALSE))</f>
        <v/>
      </c>
      <c r="E2555" s="158" t="str">
        <f>IF(A2555="","",VLOOKUP(A2555,'6.A'!$A$11:$G$180,5,FALSE))</f>
        <v/>
      </c>
      <c r="F2555" s="24" t="str">
        <f t="shared" si="1079"/>
        <v>0,00</v>
      </c>
      <c r="G2555" s="52"/>
      <c r="H2555" s="52" t="str">
        <f>IF(A2555="","",VLOOKUP(A2555,'6.A'!$A$11:$E$7984,5,FALSE))</f>
        <v/>
      </c>
      <c r="I2555" s="52" t="str">
        <f t="shared" si="1080"/>
        <v/>
      </c>
      <c r="J2555" s="52" t="str">
        <f>IF(H2555="","",VLOOKUP(A2555,'6.A'!$A$11:$E$564,4,FALSE))</f>
        <v/>
      </c>
      <c r="K2555" s="52" t="str">
        <f t="shared" si="1081"/>
        <v/>
      </c>
      <c r="L2555" s="52" t="str">
        <f>IF(H2555="","",IF(C2555="","",G2508*C2555))</f>
        <v/>
      </c>
      <c r="M2555" s="117" t="str">
        <f>IF(A2555="","",VLOOKUP(A2555,'6.A'!$A$11:$C$564,2,FALSE))</f>
        <v/>
      </c>
      <c r="N2555" s="57" t="str">
        <f t="shared" si="1082"/>
        <v/>
      </c>
      <c r="O2555" s="56"/>
      <c r="P2555" s="56"/>
      <c r="Q2555" s="48"/>
      <c r="R2555" s="48"/>
      <c r="S2555" s="65"/>
      <c r="T2555" s="2"/>
      <c r="U2555" s="2"/>
      <c r="V2555" s="2"/>
    </row>
    <row r="2556" spans="1:22" s="137" customFormat="1" ht="12.75" customHeight="1" x14ac:dyDescent="0.2">
      <c r="A2556" s="155"/>
      <c r="B2556" s="171" t="str">
        <f>IF(A2556="","",VLOOKUP(A2556,'6.A'!$A$11:$G$180,2,FALSE))</f>
        <v/>
      </c>
      <c r="C2556" s="156"/>
      <c r="D2556" s="157" t="str">
        <f>IF(A2556="","",VLOOKUP(A2556,'6.A'!$A$11:$G$180,4,FALSE))</f>
        <v/>
      </c>
      <c r="E2556" s="158" t="str">
        <f>IF(A2556="","",VLOOKUP(A2556,'6.A'!$A$11:$G$180,5,FALSE))</f>
        <v/>
      </c>
      <c r="F2556" s="24" t="str">
        <f t="shared" si="1079"/>
        <v>0,00</v>
      </c>
      <c r="G2556" s="52"/>
      <c r="H2556" s="52" t="str">
        <f>IF(A2556="","",VLOOKUP(A2556,'6.A'!$A$11:$E$7984,5,FALSE))</f>
        <v/>
      </c>
      <c r="I2556" s="52" t="str">
        <f t="shared" si="1080"/>
        <v/>
      </c>
      <c r="J2556" s="52" t="str">
        <f>IF(H2556="","",VLOOKUP(A2556,'6.A'!$A$11:$E$564,4,FALSE))</f>
        <v/>
      </c>
      <c r="K2556" s="52" t="str">
        <f t="shared" si="1081"/>
        <v/>
      </c>
      <c r="L2556" s="52" t="str">
        <f>IF(H2556="","",IF(C2556="","",G2508*C2556))</f>
        <v/>
      </c>
      <c r="M2556" s="117" t="str">
        <f>IF(A2556="","",VLOOKUP(A2556,'6.A'!$A$11:$C$564,2,FALSE))</f>
        <v/>
      </c>
      <c r="N2556" s="57" t="str">
        <f t="shared" si="1082"/>
        <v/>
      </c>
      <c r="O2556" s="56"/>
      <c r="P2556" s="56"/>
      <c r="Q2556" s="48"/>
      <c r="R2556" s="48"/>
      <c r="S2556" s="65"/>
      <c r="T2556" s="2"/>
      <c r="U2556" s="2"/>
      <c r="V2556" s="2"/>
    </row>
    <row r="2557" spans="1:22" s="137" customFormat="1" ht="12.75" customHeight="1" x14ac:dyDescent="0.2">
      <c r="A2557" s="155"/>
      <c r="B2557" s="26" t="str">
        <f>$A$9</f>
        <v>BDI</v>
      </c>
      <c r="C2557" s="40">
        <f>$C$9</f>
        <v>0</v>
      </c>
      <c r="D2557" s="141"/>
      <c r="E2557" s="147"/>
      <c r="F2557" s="162">
        <f>ROUND(SUM(F2537:F2556)*C2557,2)</f>
        <v>0</v>
      </c>
      <c r="G2557" s="63"/>
      <c r="H2557" s="52"/>
      <c r="I2557" s="57"/>
      <c r="J2557" s="57"/>
      <c r="K2557" s="57"/>
      <c r="L2557" s="52"/>
      <c r="M2557" s="57"/>
      <c r="N2557" s="57"/>
      <c r="O2557" s="56"/>
      <c r="P2557" s="56"/>
      <c r="Q2557" s="48"/>
      <c r="R2557" s="48"/>
      <c r="S2557" s="65"/>
      <c r="T2557" s="2"/>
      <c r="U2557" s="2"/>
      <c r="V2557" s="2"/>
    </row>
    <row r="2558" spans="1:22" s="137" customFormat="1" ht="12.75" customHeight="1" thickBot="1" x14ac:dyDescent="0.25">
      <c r="A2558" s="172"/>
      <c r="B2558" s="42" t="s">
        <v>57</v>
      </c>
      <c r="C2558" s="43"/>
      <c r="D2558" s="173"/>
      <c r="E2558" s="174"/>
      <c r="F2558" s="175">
        <f>ROUND(SUM(F2537:F2557),2)</f>
        <v>0</v>
      </c>
      <c r="G2558" s="63"/>
      <c r="H2558" s="52"/>
      <c r="I2558" s="57"/>
      <c r="J2558" s="57"/>
      <c r="K2558" s="57"/>
      <c r="L2558" s="52"/>
      <c r="M2558" s="57"/>
      <c r="N2558" s="57"/>
      <c r="O2558" s="56"/>
      <c r="P2558" s="56"/>
      <c r="Q2558" s="48"/>
      <c r="R2558" s="48"/>
      <c r="S2558" s="65"/>
      <c r="T2558" s="2"/>
      <c r="U2558" s="2"/>
      <c r="V2558" s="2"/>
    </row>
    <row r="2559" spans="1:22" s="137" customFormat="1" ht="12" customHeight="1" thickBot="1" x14ac:dyDescent="0.25">
      <c r="A2559" s="150"/>
      <c r="B2559" s="145"/>
      <c r="C2559" s="146"/>
      <c r="D2559" s="141"/>
      <c r="E2559" s="147"/>
      <c r="F2559" s="142"/>
      <c r="G2559" s="142"/>
      <c r="H2559" s="139"/>
      <c r="I2559" s="141"/>
      <c r="J2559" s="141"/>
      <c r="K2559" s="141"/>
      <c r="L2559" s="139"/>
      <c r="M2559" s="143"/>
      <c r="N2559" s="143"/>
      <c r="O2559" s="144"/>
      <c r="P2559" s="144"/>
      <c r="Q2559" s="135"/>
      <c r="R2559" s="135"/>
      <c r="S2559" s="149"/>
    </row>
    <row r="2560" spans="1:22" s="137" customFormat="1" ht="50.1" customHeight="1" x14ac:dyDescent="0.2">
      <c r="A2560" s="151" t="str">
        <f>'3.A'!$A$60</f>
        <v>3.3.6</v>
      </c>
      <c r="B2560" s="14" t="str">
        <f>IF(A2560="","",VLOOKUP(A2560,'3.A'!$A$17:$M$279,2,FALSE))</f>
        <v>PLACA DE ACRILICO TRANSPARENTE ESP=5MM PROTECAO A CONTATO ACIDENTAL</v>
      </c>
      <c r="C2560" s="413" t="s">
        <v>62</v>
      </c>
      <c r="D2560" s="413"/>
      <c r="E2560" s="15" t="str">
        <f>IF(A2560="","",VLOOKUP(A2560,'3.A'!$A$17:$M$279,3,FALSE))</f>
        <v>M2</v>
      </c>
      <c r="F2560" s="16">
        <f>ROUND(F2574+F2587+F2610,2)</f>
        <v>0</v>
      </c>
      <c r="G2560" s="118">
        <f>VLOOKUP(A2560,'3.A'!$A$19:$I$279,4,FALSE)</f>
        <v>1</v>
      </c>
      <c r="H2560" s="47">
        <f>SUM(F2562:F2573)</f>
        <v>0</v>
      </c>
      <c r="I2560" s="47">
        <f>SUM(F2576:F2586)</f>
        <v>0</v>
      </c>
      <c r="J2560" s="47">
        <f>SUM(F2589:F2609)</f>
        <v>0</v>
      </c>
      <c r="K2560" s="47">
        <f>SUM(H2560:J2560)</f>
        <v>0</v>
      </c>
      <c r="L2560" s="47" t="str">
        <f>IF(K2560=F2560,"SIM","NÃO")</f>
        <v>SIM</v>
      </c>
      <c r="M2560" s="58">
        <f>ROUND(SUM(F2562:F2571)*C2572,2)+ROUND(SUM(F2562:F2572)*C2573,2)+ROUND(SUM(F2562:F2571),2)+ROUND(SUM(F2576:F2585)*C2586,2)+ROUND(SUM(F2576:F2585),2)+ROUND(SUM(F2589:F2608)*C2609,2)+ROUND(SUM(F2589:F2608),2)</f>
        <v>0</v>
      </c>
      <c r="N2560" s="50" t="str">
        <f>IF(M2560=F2560,"SIM","NÃO")</f>
        <v>SIM</v>
      </c>
      <c r="O2560" s="51" t="str">
        <f>VLOOKUP(A2560,'3.A'!$A$8:$E$279,3,FALSE)</f>
        <v>M2</v>
      </c>
      <c r="P2560" s="51" t="str">
        <f>IF(O2560=E2560,"SIM","NÃO")</f>
        <v>SIM</v>
      </c>
      <c r="Q2560" s="53">
        <f>ROUND(G2560*F2574,2)+ROUND(G2560*F2587,2)+ROUND(G2560*F2610,2)</f>
        <v>0</v>
      </c>
      <c r="R2560" s="59">
        <f>VLOOKUP(A2560,'3.A'!$A$17:$L$279,12,FALSE)</f>
        <v>0</v>
      </c>
      <c r="S2560" s="60" t="str">
        <f>IF(Q2560=R2560,"si","no")</f>
        <v>si</v>
      </c>
      <c r="T2560" s="61">
        <f>SUM(L2562:L2571)+SUM(L2576:L2585)+SUM(L2589:L2608)</f>
        <v>8.6999999999999993</v>
      </c>
      <c r="U2560" s="52">
        <f>G2560*C2568+G2560*C2570+G2560*C2563+G2560*C2564+G2560*C2566+G2560*C2569+G2560*C2567+G2560*C2562+G2560*C2565+G2560*C2571+G2560*C2582+G2560*C2576+G2560*C2584+G2560*C2583+G2560*C2581+G2560*C2578+G2560*C2577+G2560*C2579+G2560*C2585+G2560*C2580+G2560*C2589+G2560*C2590+G2560*C2591+G2560*C2599+G2560*C2600+G2560*C2601+G2560*C2602+G2560*C2603+G2560*C2604+G2560*C2605+G2560*C2606+G2560*C2607+G2560*C2608+G2560*C2597+G2560*C2598+G2560*C2592+G2560*C2593+G2560*C2594+G2560*C2595+G2560*C2596</f>
        <v>8.6999999999999993</v>
      </c>
      <c r="V2560" s="54" t="str">
        <f>IF(T2560=U2560,"si","no")</f>
        <v>si</v>
      </c>
    </row>
    <row r="2561" spans="1:22" s="137" customFormat="1" ht="12.75" customHeight="1" x14ac:dyDescent="0.2">
      <c r="A2561" s="152" t="s">
        <v>3</v>
      </c>
      <c r="B2561" s="153" t="s">
        <v>58</v>
      </c>
      <c r="C2561" s="140" t="s">
        <v>59</v>
      </c>
      <c r="D2561" s="140" t="s">
        <v>16</v>
      </c>
      <c r="E2561" s="154" t="s">
        <v>60</v>
      </c>
      <c r="F2561" s="148" t="s">
        <v>61</v>
      </c>
      <c r="G2561" s="21"/>
      <c r="H2561" s="52"/>
      <c r="I2561" s="57"/>
      <c r="J2561" s="57"/>
      <c r="K2561" s="57"/>
      <c r="L2561" s="52"/>
      <c r="M2561" s="57"/>
      <c r="N2561" s="57"/>
      <c r="O2561" s="56"/>
      <c r="P2561" s="56"/>
      <c r="Q2561" s="48"/>
      <c r="R2561" s="48"/>
      <c r="S2561" s="65"/>
      <c r="T2561" s="2"/>
      <c r="U2561" s="2"/>
      <c r="V2561" s="2"/>
    </row>
    <row r="2562" spans="1:22" s="137" customFormat="1" ht="12.75" customHeight="1" x14ac:dyDescent="0.2">
      <c r="A2562" s="155">
        <f>'6.A'!$A$18</f>
        <v>88264</v>
      </c>
      <c r="B2562" s="138" t="str">
        <f>IF(A2562="","",VLOOKUP(A2562,'6.A'!$A$11:$G$180,2,FALSE))</f>
        <v>ELETRICISTA COM ENCARGOS COMPLEMENTARES</v>
      </c>
      <c r="C2562" s="156">
        <v>0.8</v>
      </c>
      <c r="D2562" s="157" t="str">
        <f>IF(A2562="","",VLOOKUP(A2562,'6.A'!$A$11:$G$180,4,FALSE))</f>
        <v>H</v>
      </c>
      <c r="E2562" s="158">
        <f>IF(A2562="","",VLOOKUP(A2562,'6.A'!$A$11:$G$180,5,FALSE))</f>
        <v>0</v>
      </c>
      <c r="F2562" s="159">
        <f t="shared" ref="F2562" si="1083">IF(A2562="","0,00",ROUND(C2562*E2562,2))</f>
        <v>0</v>
      </c>
      <c r="G2562" s="52"/>
      <c r="H2562" s="52">
        <f>IF(A2562="","",VLOOKUP(A2562,'6.A'!$A$11:$E$7984,5,FALSE))</f>
        <v>0</v>
      </c>
      <c r="I2562" s="52" t="str">
        <f>IF(H2562="","",IF(E2562=H2562,"SIM","NÃO"))</f>
        <v>SIM</v>
      </c>
      <c r="J2562" s="52" t="str">
        <f>IF(H2562="","",VLOOKUP(A2562,'6.A'!$A$11:$E$564,4,FALSE))</f>
        <v>H</v>
      </c>
      <c r="K2562" s="52" t="str">
        <f t="shared" ref="K2562" si="1084">IF(H2562="","",IF(J2562=D2562,"SIM","NÃO"))</f>
        <v>SIM</v>
      </c>
      <c r="L2562" s="52">
        <f>IF(H2562="","",IF(C2562="","",G2560*C2562))</f>
        <v>0.8</v>
      </c>
      <c r="M2562" s="117" t="str">
        <f>IF(A2562="","",VLOOKUP(A2562,'6.A'!$A$11:$C$564,2,FALSE))</f>
        <v>ELETRICISTA COM ENCARGOS COMPLEMENTARES</v>
      </c>
      <c r="N2562" s="57" t="str">
        <f t="shared" ref="N2562" si="1085">IF(A2562="","",IF(M2562=B2562,"si","no"))</f>
        <v>si</v>
      </c>
      <c r="O2562" s="56"/>
      <c r="P2562" s="56"/>
      <c r="Q2562" s="48"/>
      <c r="R2562" s="48"/>
      <c r="S2562" s="65"/>
      <c r="T2562" s="2"/>
      <c r="U2562" s="2"/>
      <c r="V2562" s="2"/>
    </row>
    <row r="2563" spans="1:22" s="137" customFormat="1" ht="12.75" customHeight="1" x14ac:dyDescent="0.2">
      <c r="A2563" s="155">
        <f>'6.A'!$A$15</f>
        <v>88247</v>
      </c>
      <c r="B2563" s="138" t="str">
        <f>IF(A2563="","",VLOOKUP(A2563,'6.A'!$A$11:$G$180,2,FALSE))</f>
        <v>AUXILIAR DE ELETRICISTA COM ENCARGOS COMPLEMENTARES</v>
      </c>
      <c r="C2563" s="156">
        <v>0.8</v>
      </c>
      <c r="D2563" s="157" t="str">
        <f>IF(A2563="","",VLOOKUP(A2563,'6.A'!$A$11:$G$180,4,FALSE))</f>
        <v>H</v>
      </c>
      <c r="E2563" s="158">
        <f>IF(A2563="","",VLOOKUP(A2563,'6.A'!$A$11:$G$180,5,FALSE))</f>
        <v>0</v>
      </c>
      <c r="F2563" s="159">
        <f t="shared" ref="F2563:F2569" si="1086">IF(A2563="","0,00",ROUND(C2563*E2563,2))</f>
        <v>0</v>
      </c>
      <c r="G2563" s="52"/>
      <c r="H2563" s="52">
        <f>IF(A2563="","",VLOOKUP(A2563,'6.A'!$A$11:$E$7984,5,FALSE))</f>
        <v>0</v>
      </c>
      <c r="I2563" s="52" t="str">
        <f>IF(H2563="","",IF(E2563=H2563,"SIM","NÃO"))</f>
        <v>SIM</v>
      </c>
      <c r="J2563" s="52" t="str">
        <f>IF(H2563="","",VLOOKUP(A2563,'6.A'!$A$11:$E$564,4,FALSE))</f>
        <v>H</v>
      </c>
      <c r="K2563" s="52" t="str">
        <f>IF(H2563="","",IF(J2563=D2563,"SIM","NÃO"))</f>
        <v>SIM</v>
      </c>
      <c r="L2563" s="52">
        <f>IF(H2563="","",IF(C2563="","",G2560*C2563))</f>
        <v>0.8</v>
      </c>
      <c r="M2563" s="117" t="str">
        <f>IF(A2563="","",VLOOKUP(A2563,'6.A'!$A$11:$C$564,2,FALSE))</f>
        <v>AUXILIAR DE ELETRICISTA COM ENCARGOS COMPLEMENTARES</v>
      </c>
      <c r="N2563" s="57" t="str">
        <f>IF(A2563="","",IF(M2563=B2563,"si","no"))</f>
        <v>si</v>
      </c>
      <c r="O2563" s="56"/>
      <c r="P2563" s="56"/>
      <c r="Q2563" s="48"/>
      <c r="R2563" s="48"/>
      <c r="S2563" s="65"/>
      <c r="T2563" s="2"/>
      <c r="U2563" s="2"/>
      <c r="V2563" s="2"/>
    </row>
    <row r="2564" spans="1:22" s="137" customFormat="1" ht="12.75" customHeight="1" x14ac:dyDescent="0.2">
      <c r="A2564" s="155"/>
      <c r="B2564" s="138" t="str">
        <f>IF(A2564="","",VLOOKUP(A2564,'6.A'!$A$11:$G$180,2,FALSE))</f>
        <v/>
      </c>
      <c r="C2564" s="156"/>
      <c r="D2564" s="157" t="str">
        <f>IF(A2564="","",VLOOKUP(A2564,'6.A'!$A$11:$G$180,4,FALSE))</f>
        <v/>
      </c>
      <c r="E2564" s="158" t="str">
        <f>IF(A2564="","",VLOOKUP(A2564,'6.A'!$A$11:$G$180,5,FALSE))</f>
        <v/>
      </c>
      <c r="F2564" s="159" t="str">
        <f t="shared" si="1086"/>
        <v>0,00</v>
      </c>
      <c r="G2564" s="52"/>
      <c r="H2564" s="52" t="str">
        <f>IF(A2564="","",VLOOKUP(A2564,'6.A'!$A$11:$E$7984,5,FALSE))</f>
        <v/>
      </c>
      <c r="I2564" s="52" t="str">
        <f>IF(H2564="","",IF(E2564=H2564,"SIM","NÃO"))</f>
        <v/>
      </c>
      <c r="J2564" s="52" t="str">
        <f>IF(H2564="","",VLOOKUP(A2564,'6.A'!$A$11:$E$564,4,FALSE))</f>
        <v/>
      </c>
      <c r="K2564" s="52" t="str">
        <f>IF(H2564="","",IF(J2564=D2564,"SIM","NÃO"))</f>
        <v/>
      </c>
      <c r="L2564" s="52" t="str">
        <f>IF(H2564="","",IF(C2564="","",G2560*C2564))</f>
        <v/>
      </c>
      <c r="M2564" s="117" t="str">
        <f>IF(A2564="","",VLOOKUP(A2564,'6.A'!$A$11:$C$564,2,FALSE))</f>
        <v/>
      </c>
      <c r="N2564" s="57" t="str">
        <f>IF(A2564="","",IF(M2564=B2564,"si","no"))</f>
        <v/>
      </c>
      <c r="O2564" s="56"/>
      <c r="P2564" s="56"/>
      <c r="Q2564" s="48"/>
      <c r="R2564" s="48"/>
      <c r="S2564" s="65"/>
      <c r="T2564" s="2"/>
      <c r="U2564" s="2"/>
      <c r="V2564" s="2"/>
    </row>
    <row r="2565" spans="1:22" s="137" customFormat="1" ht="12.75" customHeight="1" x14ac:dyDescent="0.2">
      <c r="A2565" s="155"/>
      <c r="B2565" s="138" t="str">
        <f>IF(A2565="","",VLOOKUP(A2565,'6.A'!$A$11:$G$180,2,FALSE))</f>
        <v/>
      </c>
      <c r="C2565" s="156"/>
      <c r="D2565" s="157" t="str">
        <f>IF(A2565="","",VLOOKUP(A2565,'6.A'!$A$11:$G$180,4,FALSE))</f>
        <v/>
      </c>
      <c r="E2565" s="158" t="str">
        <f>IF(A2565="","",VLOOKUP(A2565,'6.A'!$A$11:$G$180,5,FALSE))</f>
        <v/>
      </c>
      <c r="F2565" s="159" t="str">
        <f t="shared" si="1086"/>
        <v>0,00</v>
      </c>
      <c r="G2565" s="52"/>
      <c r="H2565" s="52" t="str">
        <f>IF(A2565="","",VLOOKUP(A2565,'6.A'!$A$11:$E$7984,5,FALSE))</f>
        <v/>
      </c>
      <c r="I2565" s="52" t="str">
        <f t="shared" ref="I2565" si="1087">IF(H2565="","",IF(E2565=H2565,"SIM","NÃO"))</f>
        <v/>
      </c>
      <c r="J2565" s="52" t="str">
        <f>IF(H2565="","",VLOOKUP(A2565,'6.A'!$A$11:$E$564,4,FALSE))</f>
        <v/>
      </c>
      <c r="K2565" s="52" t="str">
        <f t="shared" ref="K2565" si="1088">IF(H2565="","",IF(J2565=D2565,"SIM","NÃO"))</f>
        <v/>
      </c>
      <c r="L2565" s="52" t="str">
        <f>IF(H2565="","",IF(C2565="","",G2560*C2565))</f>
        <v/>
      </c>
      <c r="M2565" s="117" t="str">
        <f>IF(A2565="","",VLOOKUP(A2565,'6.A'!$A$11:$C$564,2,FALSE))</f>
        <v/>
      </c>
      <c r="N2565" s="57" t="str">
        <f t="shared" ref="N2565" si="1089">IF(A2565="","",IF(M2565=B2565,"si","no"))</f>
        <v/>
      </c>
      <c r="O2565" s="56"/>
      <c r="P2565" s="56"/>
      <c r="Q2565" s="48"/>
      <c r="R2565" s="48"/>
      <c r="S2565" s="65"/>
      <c r="T2565" s="2"/>
      <c r="U2565" s="2"/>
      <c r="V2565" s="2"/>
    </row>
    <row r="2566" spans="1:22" s="137" customFormat="1" ht="12.75" customHeight="1" x14ac:dyDescent="0.2">
      <c r="A2566" s="155"/>
      <c r="B2566" s="138" t="str">
        <f>IF(A2566="","",VLOOKUP(A2566,'6.A'!$A$11:$G$180,2,FALSE))</f>
        <v/>
      </c>
      <c r="C2566" s="156"/>
      <c r="D2566" s="157" t="str">
        <f>IF(A2566="","",VLOOKUP(A2566,'6.A'!$A$11:$G$180,4,FALSE))</f>
        <v/>
      </c>
      <c r="E2566" s="158" t="str">
        <f>IF(A2566="","",VLOOKUP(A2566,'6.A'!$A$11:$G$180,5,FALSE))</f>
        <v/>
      </c>
      <c r="F2566" s="159" t="str">
        <f t="shared" si="1086"/>
        <v>0,00</v>
      </c>
      <c r="G2566" s="52"/>
      <c r="H2566" s="52" t="str">
        <f>IF(A2566="","",VLOOKUP(A2566,'6.A'!$A$11:$E$7984,5,FALSE))</f>
        <v/>
      </c>
      <c r="I2566" s="52" t="str">
        <f>IF(H2566="","",IF(E2566=H2566,"SIM","NÃO"))</f>
        <v/>
      </c>
      <c r="J2566" s="52" t="str">
        <f>IF(H2566="","",VLOOKUP(A2566,'6.A'!$A$11:$E$564,4,FALSE))</f>
        <v/>
      </c>
      <c r="K2566" s="52" t="str">
        <f>IF(H2566="","",IF(J2566=D2566,"SIM","NÃO"))</f>
        <v/>
      </c>
      <c r="L2566" s="52" t="str">
        <f>IF(H2566="","",IF(C2566="","",G2560*C2566))</f>
        <v/>
      </c>
      <c r="M2566" s="117" t="str">
        <f>IF(A2566="","",VLOOKUP(A2566,'6.A'!$A$11:$C$564,2,FALSE))</f>
        <v/>
      </c>
      <c r="N2566" s="57" t="str">
        <f>IF(A2566="","",IF(M2566=B2566,"si","no"))</f>
        <v/>
      </c>
      <c r="O2566" s="56"/>
      <c r="P2566" s="56"/>
      <c r="Q2566" s="48"/>
      <c r="R2566" s="48"/>
      <c r="S2566" s="65"/>
      <c r="T2566" s="2"/>
      <c r="U2566" s="2"/>
      <c r="V2566" s="2"/>
    </row>
    <row r="2567" spans="1:22" s="137" customFormat="1" ht="12.75" customHeight="1" x14ac:dyDescent="0.2">
      <c r="A2567" s="155"/>
      <c r="B2567" s="138" t="str">
        <f>IF(A2567="","",VLOOKUP(A2567,'6.A'!$A$11:$G$180,2,FALSE))</f>
        <v/>
      </c>
      <c r="C2567" s="156"/>
      <c r="D2567" s="157" t="str">
        <f>IF(A2567="","",VLOOKUP(A2567,'6.A'!$A$11:$G$180,4,FALSE))</f>
        <v/>
      </c>
      <c r="E2567" s="158" t="str">
        <f>IF(A2567="","",VLOOKUP(A2567,'6.A'!$A$11:$G$180,5,FALSE))</f>
        <v/>
      </c>
      <c r="F2567" s="159" t="str">
        <f t="shared" si="1086"/>
        <v>0,00</v>
      </c>
      <c r="G2567" s="52"/>
      <c r="H2567" s="52" t="str">
        <f>IF(A2567="","",VLOOKUP(A2567,'6.A'!$A$11:$E$7984,5,FALSE))</f>
        <v/>
      </c>
      <c r="I2567" s="52" t="str">
        <f>IF(H2567="","",IF(E2567=H2567,"SIM","NÃO"))</f>
        <v/>
      </c>
      <c r="J2567" s="52" t="str">
        <f>IF(H2567="","",VLOOKUP(A2567,'6.A'!$A$11:$E$564,4,FALSE))</f>
        <v/>
      </c>
      <c r="K2567" s="52" t="str">
        <f>IF(H2567="","",IF(J2567=D2567,"SIM","NÃO"))</f>
        <v/>
      </c>
      <c r="L2567" s="52" t="str">
        <f>IF(H2567="","",IF(C2567="","",G2560*C2567))</f>
        <v/>
      </c>
      <c r="M2567" s="117" t="str">
        <f>IF(A2567="","",VLOOKUP(A2567,'6.A'!$A$11:$C$564,2,FALSE))</f>
        <v/>
      </c>
      <c r="N2567" s="57" t="str">
        <f>IF(A2567="","",IF(M2567=B2567,"si","no"))</f>
        <v/>
      </c>
      <c r="O2567" s="56"/>
      <c r="P2567" s="56"/>
      <c r="Q2567" s="48"/>
      <c r="R2567" s="48"/>
      <c r="S2567" s="65"/>
      <c r="T2567" s="2"/>
      <c r="U2567" s="2"/>
      <c r="V2567" s="2"/>
    </row>
    <row r="2568" spans="1:22" s="137" customFormat="1" ht="12.75" customHeight="1" x14ac:dyDescent="0.2">
      <c r="A2568" s="155"/>
      <c r="B2568" s="138" t="str">
        <f>IF(A2568="","",VLOOKUP(A2568,'6.A'!$A$11:$G$180,2,FALSE))</f>
        <v/>
      </c>
      <c r="C2568" s="156"/>
      <c r="D2568" s="157" t="str">
        <f>IF(A2568="","",VLOOKUP(A2568,'6.A'!$A$11:$G$180,4,FALSE))</f>
        <v/>
      </c>
      <c r="E2568" s="158" t="str">
        <f>IF(A2568="","",VLOOKUP(A2568,'6.A'!$A$11:$G$180,5,FALSE))</f>
        <v/>
      </c>
      <c r="F2568" s="159" t="str">
        <f t="shared" si="1086"/>
        <v>0,00</v>
      </c>
      <c r="G2568" s="52"/>
      <c r="H2568" s="52" t="str">
        <f>IF(A2568="","",VLOOKUP(A2568,'6.A'!$A$11:$E$7984,5,FALSE))</f>
        <v/>
      </c>
      <c r="I2568" s="52" t="str">
        <f>IF(H2568="","",IF(E2568=H2568,"SIM","NÃO"))</f>
        <v/>
      </c>
      <c r="J2568" s="52" t="str">
        <f>IF(H2568="","",VLOOKUP(A2568,'6.A'!$A$11:$E$564,4,FALSE))</f>
        <v/>
      </c>
      <c r="K2568" s="52" t="str">
        <f>IF(H2568="","",IF(J2568=D2568,"SIM","NÃO"))</f>
        <v/>
      </c>
      <c r="L2568" s="52" t="str">
        <f>IF(H2568="","",IF(C2568="","",G2560*C2568))</f>
        <v/>
      </c>
      <c r="M2568" s="117" t="str">
        <f>IF(A2568="","",VLOOKUP(A2568,'6.A'!$A$11:$C$564,2,FALSE))</f>
        <v/>
      </c>
      <c r="N2568" s="57" t="str">
        <f>IF(A2568="","",IF(M2568=B2568,"si","no"))</f>
        <v/>
      </c>
      <c r="O2568" s="56"/>
      <c r="P2568" s="56"/>
      <c r="Q2568" s="48"/>
      <c r="R2568" s="48"/>
      <c r="S2568" s="65"/>
      <c r="T2568" s="2"/>
      <c r="U2568" s="2"/>
      <c r="V2568" s="2"/>
    </row>
    <row r="2569" spans="1:22" s="149" customFormat="1" ht="12.75" customHeight="1" x14ac:dyDescent="0.2">
      <c r="A2569" s="155"/>
      <c r="B2569" s="138" t="str">
        <f>IF(A2569="","",VLOOKUP(A2569,'6.A'!$A$11:$G$180,2,FALSE))</f>
        <v/>
      </c>
      <c r="C2569" s="156"/>
      <c r="D2569" s="157" t="str">
        <f>IF(A2569="","",VLOOKUP(A2569,'6.A'!$A$11:$G$180,4,FALSE))</f>
        <v/>
      </c>
      <c r="E2569" s="158" t="str">
        <f>IF(A2569="","",VLOOKUP(A2569,'6.A'!$A$11:$G$180,5,FALSE))</f>
        <v/>
      </c>
      <c r="F2569" s="159" t="str">
        <f t="shared" si="1086"/>
        <v>0,00</v>
      </c>
      <c r="G2569" s="52"/>
      <c r="H2569" s="52" t="str">
        <f>IF(A2569="","",VLOOKUP(A2569,'6.A'!$A$11:$E$7984,5,FALSE))</f>
        <v/>
      </c>
      <c r="I2569" s="52" t="str">
        <f t="shared" ref="I2569" si="1090">IF(H2569="","",IF(E2569=H2569,"SIM","NÃO"))</f>
        <v/>
      </c>
      <c r="J2569" s="52" t="str">
        <f>IF(H2569="","",VLOOKUP(A2569,'6.A'!$A$11:$E$564,4,FALSE))</f>
        <v/>
      </c>
      <c r="K2569" s="52" t="str">
        <f t="shared" ref="K2569" si="1091">IF(H2569="","",IF(J2569=D2569,"SIM","NÃO"))</f>
        <v/>
      </c>
      <c r="L2569" s="52" t="str">
        <f>IF(H2569="","",IF(C2569="","",G2560*C2569))</f>
        <v/>
      </c>
      <c r="M2569" s="117" t="str">
        <f>IF(A2569="","",VLOOKUP(A2569,'6.A'!$A$11:$C$564,2,FALSE))</f>
        <v/>
      </c>
      <c r="N2569" s="57" t="str">
        <f t="shared" ref="N2569" si="1092">IF(A2569="","",IF(M2569=B2569,"si","no"))</f>
        <v/>
      </c>
      <c r="O2569" s="56"/>
      <c r="P2569" s="56"/>
      <c r="Q2569" s="48"/>
      <c r="R2569" s="48"/>
      <c r="S2569" s="65"/>
      <c r="T2569" s="2"/>
      <c r="U2569" s="2"/>
      <c r="V2569" s="2"/>
    </row>
    <row r="2570" spans="1:22" s="149" customFormat="1" ht="12.75" customHeight="1" x14ac:dyDescent="0.2">
      <c r="A2570" s="155"/>
      <c r="B2570" s="138" t="str">
        <f>IF(A2570="","",VLOOKUP(A2570,'6.A'!$A$11:$G$180,2,FALSE))</f>
        <v/>
      </c>
      <c r="C2570" s="156"/>
      <c r="D2570" s="141" t="str">
        <f>IF(A2570="","",VLOOKUP(A2570,'6.A'!$A$11:$G$180,4,FALSE))</f>
        <v/>
      </c>
      <c r="E2570" s="158" t="str">
        <f>IF(A2570="","",VLOOKUP(A2570,'6.A'!$A$11:$G$180,5,FALSE))</f>
        <v/>
      </c>
      <c r="F2570" s="159" t="str">
        <f t="shared" ref="F2570:F2571" si="1093">IF(A2570="","0,00",ROUND(C2570*E2570,2))</f>
        <v>0,00</v>
      </c>
      <c r="G2570" s="52"/>
      <c r="H2570" s="52" t="str">
        <f>IF(A2570="","",VLOOKUP(A2570,'6.A'!$A$11:$E$7984,5,FALSE))</f>
        <v/>
      </c>
      <c r="I2570" s="52" t="str">
        <f>IF(H2570="","",IF(E2570=H2570,"SIM","NÃO"))</f>
        <v/>
      </c>
      <c r="J2570" s="52" t="str">
        <f>IF(H2570="","",VLOOKUP(A2570,'6.A'!$A$11:$E$564,4,FALSE))</f>
        <v/>
      </c>
      <c r="K2570" s="52" t="str">
        <f>IF(H2570="","",IF(J2570=D2570,"SIM","NÃO"))</f>
        <v/>
      </c>
      <c r="L2570" s="52" t="str">
        <f>IF(H2570="","",IF(C2570="","",G2560*C2570))</f>
        <v/>
      </c>
      <c r="M2570" s="117" t="str">
        <f>IF(A2570="","",VLOOKUP(A2570,'6.A'!$A$11:$C$564,2,FALSE))</f>
        <v/>
      </c>
      <c r="N2570" s="57" t="str">
        <f>IF(A2570="","",IF(M2570=B2570,"si","no"))</f>
        <v/>
      </c>
      <c r="O2570" s="56"/>
      <c r="P2570" s="56"/>
      <c r="Q2570" s="48"/>
      <c r="R2570" s="48"/>
      <c r="S2570" s="65"/>
      <c r="T2570" s="2"/>
      <c r="U2570" s="2"/>
      <c r="V2570" s="2"/>
    </row>
    <row r="2571" spans="1:22" s="149" customFormat="1" ht="12.75" customHeight="1" x14ac:dyDescent="0.2">
      <c r="A2571" s="155"/>
      <c r="B2571" s="138" t="str">
        <f>IF(A2571="","",VLOOKUP(A2571,'6.A'!$A$11:$G$180,2,FALSE))</f>
        <v/>
      </c>
      <c r="C2571" s="156"/>
      <c r="D2571" s="161" t="str">
        <f>IF(A2571="","",VLOOKUP(A2571,'6.A'!$A$11:$G$180,4,FALSE))</f>
        <v/>
      </c>
      <c r="E2571" s="158" t="str">
        <f>IF(A2571="","",VLOOKUP(A2571,'6.A'!$A$11:$G$180,5,FALSE))</f>
        <v/>
      </c>
      <c r="F2571" s="159" t="str">
        <f t="shared" si="1093"/>
        <v>0,00</v>
      </c>
      <c r="G2571" s="52"/>
      <c r="H2571" s="52" t="str">
        <f>IF(A2571="","",VLOOKUP(A2571,'6.A'!$A$11:$E$7984,5,FALSE))</f>
        <v/>
      </c>
      <c r="I2571" s="52" t="str">
        <f t="shared" ref="I2571" si="1094">IF(H2571="","",IF(E2571=H2571,"SIM","NÃO"))</f>
        <v/>
      </c>
      <c r="J2571" s="52" t="str">
        <f>IF(H2571="","",VLOOKUP(A2571,'6.A'!$A$11:$E$564,4,FALSE))</f>
        <v/>
      </c>
      <c r="K2571" s="52" t="str">
        <f t="shared" ref="K2571" si="1095">IF(H2571="","",IF(J2571=D2571,"SIM","NÃO"))</f>
        <v/>
      </c>
      <c r="L2571" s="52" t="str">
        <f>IF(H2571="","",IF(C2571="","",G2560*C2571))</f>
        <v/>
      </c>
      <c r="M2571" s="117" t="str">
        <f>IF(A2571="","",VLOOKUP(A2571,'6.A'!$A$11:$C$564,2,FALSE))</f>
        <v/>
      </c>
      <c r="N2571" s="57" t="str">
        <f t="shared" ref="N2571" si="1096">IF(A2571="","",IF(M2571=B2571,"si","no"))</f>
        <v/>
      </c>
      <c r="O2571" s="56"/>
      <c r="P2571" s="56"/>
      <c r="Q2571" s="48"/>
      <c r="R2571" s="48"/>
      <c r="S2571" s="65"/>
      <c r="T2571" s="2"/>
      <c r="U2571" s="2"/>
      <c r="V2571" s="2"/>
    </row>
    <row r="2572" spans="1:22" s="149" customFormat="1" ht="12.75" customHeight="1" x14ac:dyDescent="0.2">
      <c r="A2572" s="152"/>
      <c r="B2572" s="26" t="str">
        <f>$A$8</f>
        <v>LEIS SOCIAIS HORISTA - JORNADA NORMAL</v>
      </c>
      <c r="C2572" s="27">
        <f>$C$8</f>
        <v>0</v>
      </c>
      <c r="D2572" s="141"/>
      <c r="E2572" s="147"/>
      <c r="F2572" s="162">
        <f>ROUND(SUM(F2562:F2571)*C2572,2)</f>
        <v>0</v>
      </c>
      <c r="G2572" s="63"/>
      <c r="H2572" s="52"/>
      <c r="I2572" s="57"/>
      <c r="J2572" s="57"/>
      <c r="K2572" s="57"/>
      <c r="L2572" s="52"/>
      <c r="M2572" s="62"/>
      <c r="N2572" s="57"/>
      <c r="O2572" s="56"/>
      <c r="P2572" s="56"/>
      <c r="Q2572" s="48"/>
      <c r="R2572" s="48"/>
      <c r="S2572" s="65"/>
      <c r="T2572" s="2"/>
      <c r="U2572" s="2"/>
      <c r="V2572" s="2"/>
    </row>
    <row r="2573" spans="1:22" s="149" customFormat="1" ht="12.75" customHeight="1" x14ac:dyDescent="0.2">
      <c r="A2573" s="155"/>
      <c r="B2573" s="26" t="str">
        <f>$A$9</f>
        <v>BDI</v>
      </c>
      <c r="C2573" s="27">
        <f>$C$9</f>
        <v>0</v>
      </c>
      <c r="D2573" s="136"/>
      <c r="E2573" s="147"/>
      <c r="F2573" s="162">
        <f>ROUND(SUM(F2562:F2572)*C2573,2)</f>
        <v>0</v>
      </c>
      <c r="G2573" s="63"/>
      <c r="H2573" s="52"/>
      <c r="I2573" s="57"/>
      <c r="J2573" s="57"/>
      <c r="K2573" s="57"/>
      <c r="L2573" s="52"/>
      <c r="M2573" s="62"/>
      <c r="N2573" s="57"/>
      <c r="O2573" s="56"/>
      <c r="P2573" s="56"/>
      <c r="Q2573" s="48"/>
      <c r="R2573" s="48"/>
      <c r="S2573" s="65"/>
      <c r="T2573" s="2"/>
      <c r="U2573" s="2"/>
      <c r="V2573" s="2"/>
    </row>
    <row r="2574" spans="1:22" s="149" customFormat="1" ht="12.75" customHeight="1" x14ac:dyDescent="0.2">
      <c r="A2574" s="163"/>
      <c r="B2574" s="164" t="s">
        <v>56</v>
      </c>
      <c r="C2574" s="165"/>
      <c r="D2574" s="166"/>
      <c r="E2574" s="167"/>
      <c r="F2574" s="168">
        <f>ROUND(SUM(F2562:F2573),2)</f>
        <v>0</v>
      </c>
      <c r="G2574" s="63"/>
      <c r="H2574" s="52"/>
      <c r="I2574" s="57"/>
      <c r="J2574" s="57"/>
      <c r="K2574" s="57"/>
      <c r="L2574" s="52"/>
      <c r="M2574" s="62"/>
      <c r="N2574" s="57"/>
      <c r="O2574" s="56"/>
      <c r="P2574" s="56"/>
      <c r="Q2574" s="48"/>
      <c r="R2574" s="48"/>
      <c r="S2574" s="65"/>
      <c r="T2574" s="2"/>
      <c r="U2574" s="2"/>
      <c r="V2574" s="2"/>
    </row>
    <row r="2575" spans="1:22" s="149" customFormat="1" ht="12.75" customHeight="1" x14ac:dyDescent="0.2">
      <c r="A2575" s="152" t="s">
        <v>5</v>
      </c>
      <c r="B2575" s="153" t="s">
        <v>130</v>
      </c>
      <c r="C2575" s="140" t="s">
        <v>59</v>
      </c>
      <c r="D2575" s="140" t="s">
        <v>16</v>
      </c>
      <c r="E2575" s="154" t="s">
        <v>60</v>
      </c>
      <c r="F2575" s="148" t="s">
        <v>61</v>
      </c>
      <c r="G2575" s="21"/>
      <c r="H2575" s="52"/>
      <c r="I2575" s="57"/>
      <c r="J2575" s="57"/>
      <c r="K2575" s="57"/>
      <c r="L2575" s="52"/>
      <c r="M2575" s="62"/>
      <c r="N2575" s="57"/>
      <c r="O2575" s="56"/>
      <c r="P2575" s="56"/>
      <c r="Q2575" s="48"/>
      <c r="R2575" s="48"/>
      <c r="S2575" s="65"/>
      <c r="T2575" s="2"/>
      <c r="U2575" s="2"/>
      <c r="V2575" s="2"/>
    </row>
    <row r="2576" spans="1:22" s="149" customFormat="1" ht="12.75" customHeight="1" x14ac:dyDescent="0.2">
      <c r="A2576" s="155"/>
      <c r="B2576" s="138" t="str">
        <f>IF(A2576="","",VLOOKUP(A2576,'6.A'!$A$11:$G$180,2,FALSE))</f>
        <v/>
      </c>
      <c r="C2576" s="156"/>
      <c r="D2576" s="57" t="str">
        <f>IF(A2576="","",VLOOKUP(A2576,'6.A'!$A$11:$G$180,4,FALSE))</f>
        <v/>
      </c>
      <c r="E2576" s="100" t="str">
        <f>IF(A2576="","",VLOOKUP(A2576,'6.A'!$A$11:$G$180,5,FALSE))</f>
        <v/>
      </c>
      <c r="F2576" s="159" t="str">
        <f>IF(A2576="","0,00",ROUND(C2576*E2576,2))</f>
        <v>0,00</v>
      </c>
      <c r="G2576" s="52"/>
      <c r="H2576" s="52" t="str">
        <f>IF(A2576="","",VLOOKUP(A2576,'6.A'!$A$11:$E$7984,5,FALSE))</f>
        <v/>
      </c>
      <c r="I2576" s="52" t="str">
        <f>IF(H2576="","",IF(E2576=H2576,"SIM","NÃO"))</f>
        <v/>
      </c>
      <c r="J2576" s="52" t="str">
        <f>IF(H2576="","",VLOOKUP(A2576,'6.A'!$A$11:$E$564,4,FALSE))</f>
        <v/>
      </c>
      <c r="K2576" s="52" t="str">
        <f>IF(H2576="","",IF(J2576=D2576,"SIM","NÃO"))</f>
        <v/>
      </c>
      <c r="L2576" s="52" t="str">
        <f>IF(H2576="","",IF(C2576="","",G2560*C2576))</f>
        <v/>
      </c>
      <c r="M2576" s="117" t="str">
        <f>IF(A2576="","",VLOOKUP(A2576,'6.A'!$A$11:$C$564,2,FALSE))</f>
        <v/>
      </c>
      <c r="N2576" s="57" t="str">
        <f>IF(A2576="","",IF(M2576=B2576,"si","no"))</f>
        <v/>
      </c>
      <c r="O2576" s="56"/>
      <c r="P2576" s="56"/>
      <c r="Q2576" s="48"/>
      <c r="R2576" s="48"/>
      <c r="S2576" s="65"/>
      <c r="T2576" s="2"/>
      <c r="U2576" s="2"/>
      <c r="V2576" s="2"/>
    </row>
    <row r="2577" spans="1:22" s="149" customFormat="1" ht="12.75" customHeight="1" x14ac:dyDescent="0.2">
      <c r="A2577" s="155"/>
      <c r="B2577" s="138" t="str">
        <f>IF(A2577="","",VLOOKUP(A2577,'6.A'!$A$11:$G$180,2,FALSE))</f>
        <v/>
      </c>
      <c r="C2577" s="156"/>
      <c r="D2577" s="141"/>
      <c r="E2577" s="160"/>
      <c r="F2577" s="159" t="str">
        <f>IF(A2577="","0,00",ROUND(C2577*E2577,2))</f>
        <v>0,00</v>
      </c>
      <c r="G2577" s="52"/>
      <c r="H2577" s="52" t="str">
        <f>IF(A2577="","",VLOOKUP(A2577,'6.A'!$A$11:$E$7984,5,FALSE))</f>
        <v/>
      </c>
      <c r="I2577" s="52" t="str">
        <f>IF(H2577="","",IF(E2577=H2577,"SIM","NÃO"))</f>
        <v/>
      </c>
      <c r="J2577" s="52" t="str">
        <f>IF(H2577="","",VLOOKUP(A2577,'6.A'!$A$11:$E$564,4,FALSE))</f>
        <v/>
      </c>
      <c r="K2577" s="52" t="str">
        <f>IF(H2577="","",IF(J2577=D2577,"SIM","NÃO"))</f>
        <v/>
      </c>
      <c r="L2577" s="52" t="str">
        <f>IF(H2577="","",IF(C2577="","",G2560*C2577))</f>
        <v/>
      </c>
      <c r="M2577" s="117" t="str">
        <f>IF(A2577="","",VLOOKUP(A2577,'6.A'!$A$11:$C$564,2,FALSE))</f>
        <v/>
      </c>
      <c r="N2577" s="57" t="str">
        <f>IF(A2577="","",IF(M2577=B2577,"si","no"))</f>
        <v/>
      </c>
      <c r="O2577" s="56"/>
      <c r="P2577" s="56"/>
      <c r="Q2577" s="48"/>
      <c r="R2577" s="48"/>
      <c r="S2577" s="65"/>
      <c r="T2577" s="2"/>
      <c r="U2577" s="2"/>
      <c r="V2577" s="2"/>
    </row>
    <row r="2578" spans="1:22" s="149" customFormat="1" ht="12.75" customHeight="1" x14ac:dyDescent="0.2">
      <c r="A2578" s="155"/>
      <c r="B2578" s="138" t="str">
        <f>IF(A2578="","",VLOOKUP(A2578,'6.A'!$A$11:$G$180,2,FALSE))</f>
        <v/>
      </c>
      <c r="C2578" s="156"/>
      <c r="D2578" s="141"/>
      <c r="E2578" s="100"/>
      <c r="F2578" s="159" t="str">
        <f>IF(A2578="","0,00",ROUND(C2578*E2578,2))</f>
        <v>0,00</v>
      </c>
      <c r="G2578" s="52"/>
      <c r="H2578" s="52" t="str">
        <f>IF(A2578="","",VLOOKUP(A2578,'6.A'!$A$11:$E$7984,5,FALSE))</f>
        <v/>
      </c>
      <c r="I2578" s="52" t="str">
        <f>IF(H2578="","",IF(E2578=H2578,"SIM","NÃO"))</f>
        <v/>
      </c>
      <c r="J2578" s="52" t="str">
        <f>IF(H2578="","",VLOOKUP(A2578,'6.A'!$A$11:$E$564,4,FALSE))</f>
        <v/>
      </c>
      <c r="K2578" s="52" t="str">
        <f>IF(H2578="","",IF(J2578=D2578,"SIM","NÃO"))</f>
        <v/>
      </c>
      <c r="L2578" s="52" t="str">
        <f>IF(H2578="","",IF(C2578="","",G2560*C2578))</f>
        <v/>
      </c>
      <c r="M2578" s="117" t="str">
        <f>IF(A2578="","",VLOOKUP(A2578,'6.A'!$A$11:$C$564,2,FALSE))</f>
        <v/>
      </c>
      <c r="N2578" s="57" t="str">
        <f>IF(A2578="","",IF(M2578=B2578,"si","no"))</f>
        <v/>
      </c>
      <c r="O2578" s="56"/>
      <c r="P2578" s="56"/>
      <c r="Q2578" s="48"/>
      <c r="R2578" s="48"/>
      <c r="S2578" s="65"/>
      <c r="T2578" s="2"/>
      <c r="U2578" s="2"/>
      <c r="V2578" s="2"/>
    </row>
    <row r="2579" spans="1:22" s="149" customFormat="1" ht="12.75" customHeight="1" x14ac:dyDescent="0.2">
      <c r="A2579" s="155"/>
      <c r="B2579" s="176" t="str">
        <f>IF(A2579="","",VLOOKUP(A2579,'6.A'!$A$11:$G$180,2,FALSE))</f>
        <v/>
      </c>
      <c r="C2579" s="156"/>
      <c r="D2579" s="141"/>
      <c r="E2579" s="100"/>
      <c r="F2579" s="159" t="str">
        <f>IF(A2579="","0,00",ROUND(C2579*E2579,2))</f>
        <v>0,00</v>
      </c>
      <c r="G2579" s="52"/>
      <c r="H2579" s="52" t="str">
        <f>IF(A2579="","",VLOOKUP(A2579,'6.A'!$A$11:$E$7984,5,FALSE))</f>
        <v/>
      </c>
      <c r="I2579" s="52" t="str">
        <f>IF(H2579="","",IF(E2579=H2579,"SIM","NÃO"))</f>
        <v/>
      </c>
      <c r="J2579" s="52" t="str">
        <f>IF(H2579="","",VLOOKUP(A2579,'6.A'!$A$11:$E$564,4,FALSE))</f>
        <v/>
      </c>
      <c r="K2579" s="52" t="str">
        <f>IF(H2579="","",IF(J2579=D2579,"SIM","NÃO"))</f>
        <v/>
      </c>
      <c r="L2579" s="52" t="str">
        <f>IF(H2579="","",IF(C2579="","",G2560*C2579))</f>
        <v/>
      </c>
      <c r="M2579" s="117" t="str">
        <f>IF(A2579="","",VLOOKUP(A2579,'6.A'!$A$11:$C$564,2,FALSE))</f>
        <v/>
      </c>
      <c r="N2579" s="57" t="str">
        <f>IF(A2579="","",IF(M2579=B2579,"si","no"))</f>
        <v/>
      </c>
      <c r="O2579" s="56"/>
      <c r="P2579" s="56"/>
      <c r="Q2579" s="48"/>
      <c r="R2579" s="48"/>
      <c r="S2579" s="65"/>
      <c r="T2579" s="2"/>
      <c r="U2579" s="2"/>
      <c r="V2579" s="2"/>
    </row>
    <row r="2580" spans="1:22" s="149" customFormat="1" ht="12.75" customHeight="1" x14ac:dyDescent="0.2">
      <c r="A2580" s="155"/>
      <c r="B2580" s="176" t="str">
        <f>IF(A2580="","",VLOOKUP(A2580,'6.A'!$A$11:$G$180,2,FALSE))</f>
        <v/>
      </c>
      <c r="C2580" s="156"/>
      <c r="D2580" s="141" t="str">
        <f>IF(A2580="","",VLOOKUP(A2580,'6.A'!$A$11:$G$180,4,FALSE))</f>
        <v/>
      </c>
      <c r="E2580" s="100" t="str">
        <f>IF(A2580="","",VLOOKUP(A2580,'6.A'!$A$11:$G$180,5,FALSE))</f>
        <v/>
      </c>
      <c r="F2580" s="159" t="str">
        <f t="shared" ref="F2580:F2585" si="1097">IF(A2580="","0,00",ROUND(C2580*E2580,2))</f>
        <v>0,00</v>
      </c>
      <c r="G2580" s="52"/>
      <c r="H2580" s="52" t="str">
        <f>IF(A2580="","",VLOOKUP(A2580,'6.A'!$A$11:$E$7984,5,FALSE))</f>
        <v/>
      </c>
      <c r="I2580" s="52" t="str">
        <f t="shared" ref="I2580:I2585" si="1098">IF(H2580="","",IF(E2580=H2580,"SIM","NÃO"))</f>
        <v/>
      </c>
      <c r="J2580" s="52" t="str">
        <f>IF(H2580="","",VLOOKUP(A2580,'6.A'!$A$11:$E$564,4,FALSE))</f>
        <v/>
      </c>
      <c r="K2580" s="52" t="str">
        <f t="shared" ref="K2580:K2585" si="1099">IF(H2580="","",IF(J2580=D2580,"SIM","NÃO"))</f>
        <v/>
      </c>
      <c r="L2580" s="52" t="str">
        <f>IF(H2580="","",IF(C2580="","",G2560*C2580))</f>
        <v/>
      </c>
      <c r="M2580" s="117" t="str">
        <f>IF(A2580="","",VLOOKUP(A2580,'6.A'!$A$11:$C$564,2,FALSE))</f>
        <v/>
      </c>
      <c r="N2580" s="57" t="str">
        <f t="shared" ref="N2580:N2581" si="1100">IF(A2580="","",IF(M2580=B2580,"si","no"))</f>
        <v/>
      </c>
      <c r="O2580" s="56"/>
      <c r="P2580" s="56"/>
      <c r="Q2580" s="48"/>
      <c r="R2580" s="48"/>
      <c r="S2580" s="65"/>
      <c r="T2580" s="2"/>
      <c r="U2580" s="2"/>
      <c r="V2580" s="2"/>
    </row>
    <row r="2581" spans="1:22" s="149" customFormat="1" ht="12.75" customHeight="1" x14ac:dyDescent="0.2">
      <c r="A2581" s="155"/>
      <c r="B2581" s="176" t="str">
        <f>IF(A2581="","",VLOOKUP(A2581,'6.A'!$A$11:$G$180,2,FALSE))</f>
        <v/>
      </c>
      <c r="C2581" s="156"/>
      <c r="D2581" s="141" t="str">
        <f>IF(A2581="","",VLOOKUP(A2581,'6.A'!$A$11:$G$180,4,FALSE))</f>
        <v/>
      </c>
      <c r="E2581" s="160" t="str">
        <f>IF(A2581="","",VLOOKUP(A2581,'6.A'!$A$11:$G$180,5,FALSE))</f>
        <v/>
      </c>
      <c r="F2581" s="159" t="str">
        <f t="shared" si="1097"/>
        <v>0,00</v>
      </c>
      <c r="G2581" s="52"/>
      <c r="H2581" s="52" t="str">
        <f>IF(A2581="","",VLOOKUP(A2581,'6.A'!$A$11:$E$7984,5,FALSE))</f>
        <v/>
      </c>
      <c r="I2581" s="52" t="str">
        <f t="shared" si="1098"/>
        <v/>
      </c>
      <c r="J2581" s="52" t="str">
        <f>IF(H2581="","",VLOOKUP(A2581,'6.A'!$A$11:$E$564,4,FALSE))</f>
        <v/>
      </c>
      <c r="K2581" s="52" t="str">
        <f t="shared" si="1099"/>
        <v/>
      </c>
      <c r="L2581" s="52" t="str">
        <f>IF(H2581="","",IF(C2581="","",G2560*C2581))</f>
        <v/>
      </c>
      <c r="M2581" s="117" t="str">
        <f>IF(A2581="","",VLOOKUP(A2581,'6.A'!$A$11:$C$564,2,FALSE))</f>
        <v/>
      </c>
      <c r="N2581" s="57" t="str">
        <f t="shared" si="1100"/>
        <v/>
      </c>
      <c r="O2581" s="56"/>
      <c r="P2581" s="56"/>
      <c r="Q2581" s="48"/>
      <c r="R2581" s="48"/>
      <c r="S2581" s="65"/>
      <c r="T2581" s="2"/>
      <c r="U2581" s="2"/>
      <c r="V2581" s="2"/>
    </row>
    <row r="2582" spans="1:22" s="149" customFormat="1" ht="12.75" customHeight="1" x14ac:dyDescent="0.2">
      <c r="A2582" s="155"/>
      <c r="B2582" s="176" t="str">
        <f>IF(A2582="","",VLOOKUP(A2582,'6.A'!$A$11:$G$180,2,FALSE))</f>
        <v/>
      </c>
      <c r="C2582" s="156"/>
      <c r="D2582" s="141" t="str">
        <f>IF(A2582="","",VLOOKUP(A2582,'6.A'!$A$11:$G$180,4,FALSE))</f>
        <v/>
      </c>
      <c r="E2582" s="160" t="str">
        <f>IF(A2582="","",VLOOKUP(A2582,'6.A'!$A$11:$G$180,5,FALSE))</f>
        <v/>
      </c>
      <c r="F2582" s="159" t="str">
        <f t="shared" si="1097"/>
        <v>0,00</v>
      </c>
      <c r="G2582" s="52"/>
      <c r="H2582" s="52" t="str">
        <f>IF(A2582="","",VLOOKUP(A2582,'6.A'!$A$11:$E$7984,5,FALSE))</f>
        <v/>
      </c>
      <c r="I2582" s="52" t="str">
        <f t="shared" si="1098"/>
        <v/>
      </c>
      <c r="J2582" s="52" t="str">
        <f>IF(H2582="","",VLOOKUP(A2582,'6.A'!$A$11:$E$564,4,FALSE))</f>
        <v/>
      </c>
      <c r="K2582" s="52" t="str">
        <f t="shared" si="1099"/>
        <v/>
      </c>
      <c r="L2582" s="52" t="str">
        <f>IF(H2582="","",IF(C2582="","",G2560*C2582))</f>
        <v/>
      </c>
      <c r="M2582" s="117" t="str">
        <f>IF(A2582="","",VLOOKUP(A2582,'6.A'!$A$11:$C$564,2,FALSE))</f>
        <v/>
      </c>
      <c r="N2582" s="57" t="str">
        <f>IF(A2582="","",IF(M2582=B2582,"si","no"))</f>
        <v/>
      </c>
      <c r="O2582" s="56"/>
      <c r="P2582" s="56"/>
      <c r="Q2582" s="48"/>
      <c r="R2582" s="48"/>
      <c r="S2582" s="65"/>
      <c r="T2582" s="2"/>
      <c r="U2582" s="2"/>
      <c r="V2582" s="2"/>
    </row>
    <row r="2583" spans="1:22" s="149" customFormat="1" ht="12.75" customHeight="1" x14ac:dyDescent="0.2">
      <c r="A2583" s="155"/>
      <c r="B2583" s="138" t="str">
        <f>IF(A2583="","",VLOOKUP(A2583,'6.A'!$A$11:$G$180,2,FALSE))</f>
        <v/>
      </c>
      <c r="C2583" s="156"/>
      <c r="D2583" s="141" t="str">
        <f>IF(A2583="","",VLOOKUP(A2583,'6.A'!$A$11:$G$180,4,FALSE))</f>
        <v/>
      </c>
      <c r="E2583" s="160" t="str">
        <f>IF(A2583="","",VLOOKUP(A2583,'6.A'!$A$11:$G$180,5,FALSE))</f>
        <v/>
      </c>
      <c r="F2583" s="159" t="str">
        <f t="shared" si="1097"/>
        <v>0,00</v>
      </c>
      <c r="G2583" s="52"/>
      <c r="H2583" s="52" t="str">
        <f>IF(A2583="","",VLOOKUP(A2583,'6.A'!$A$11:$E$7984,5,FALSE))</f>
        <v/>
      </c>
      <c r="I2583" s="52" t="str">
        <f t="shared" si="1098"/>
        <v/>
      </c>
      <c r="J2583" s="52" t="str">
        <f>IF(H2583="","",VLOOKUP(A2583,'6.A'!$A$11:$E$564,4,FALSE))</f>
        <v/>
      </c>
      <c r="K2583" s="52" t="str">
        <f t="shared" si="1099"/>
        <v/>
      </c>
      <c r="L2583" s="52" t="str">
        <f>IF(H2583="","",IF(C2583="","",G2560*C2583))</f>
        <v/>
      </c>
      <c r="M2583" s="117" t="str">
        <f>IF(A2583="","",VLOOKUP(A2583,'6.A'!$A$11:$C$564,2,FALSE))</f>
        <v/>
      </c>
      <c r="N2583" s="57" t="str">
        <f>IF(A2583="","",IF(M2583=B2583,"si","no"))</f>
        <v/>
      </c>
      <c r="O2583" s="56"/>
      <c r="P2583" s="56"/>
      <c r="Q2583" s="48"/>
      <c r="R2583" s="48"/>
      <c r="S2583" s="65"/>
      <c r="T2583" s="2"/>
      <c r="U2583" s="2"/>
      <c r="V2583" s="2"/>
    </row>
    <row r="2584" spans="1:22" s="149" customFormat="1" ht="12.75" customHeight="1" x14ac:dyDescent="0.2">
      <c r="A2584" s="155"/>
      <c r="B2584" s="138" t="str">
        <f>IF(A2584="","",VLOOKUP(A2584,'6.A'!$A$11:$G$180,2,FALSE))</f>
        <v/>
      </c>
      <c r="C2584" s="156"/>
      <c r="D2584" s="141" t="str">
        <f>IF(A2584="","",VLOOKUP(A2584,'6.A'!$A$11:$G$180,4,FALSE))</f>
        <v/>
      </c>
      <c r="E2584" s="100" t="str">
        <f>IF(A2584="","",VLOOKUP(A2584,'6.A'!$A$11:$G$180,5,FALSE))</f>
        <v/>
      </c>
      <c r="F2584" s="159" t="str">
        <f t="shared" si="1097"/>
        <v>0,00</v>
      </c>
      <c r="G2584" s="52"/>
      <c r="H2584" s="52" t="str">
        <f>IF(A2584="","",VLOOKUP(A2584,'6.A'!$A$11:$E$7984,5,FALSE))</f>
        <v/>
      </c>
      <c r="I2584" s="52" t="str">
        <f t="shared" si="1098"/>
        <v/>
      </c>
      <c r="J2584" s="52" t="str">
        <f>IF(H2584="","",VLOOKUP(A2584,'6.A'!$A$11:$E$564,4,FALSE))</f>
        <v/>
      </c>
      <c r="K2584" s="52" t="str">
        <f t="shared" si="1099"/>
        <v/>
      </c>
      <c r="L2584" s="52" t="str">
        <f>IF(H2584="","",IF(C2584="","",G2560*C2584))</f>
        <v/>
      </c>
      <c r="M2584" s="117" t="str">
        <f>IF(A2584="","",VLOOKUP(A2584,'6.A'!$A$11:$C$564,2,FALSE))</f>
        <v/>
      </c>
      <c r="N2584" s="57" t="str">
        <f t="shared" ref="N2584:N2585" si="1101">IF(A2584="","",IF(M2584=B2584,"si","no"))</f>
        <v/>
      </c>
      <c r="O2584" s="56"/>
      <c r="P2584" s="56"/>
      <c r="Q2584" s="48"/>
      <c r="R2584" s="48"/>
      <c r="S2584" s="65"/>
      <c r="T2584" s="2"/>
      <c r="U2584" s="2"/>
      <c r="V2584" s="2"/>
    </row>
    <row r="2585" spans="1:22" s="149" customFormat="1" ht="12.75" customHeight="1" x14ac:dyDescent="0.2">
      <c r="A2585" s="155"/>
      <c r="B2585" s="138" t="str">
        <f>IF(A2585="","",VLOOKUP(A2585,'6.A'!$A$11:$G$180,2,FALSE))</f>
        <v/>
      </c>
      <c r="C2585" s="156"/>
      <c r="D2585" s="141" t="str">
        <f>IF(A2585="","",VLOOKUP(A2585,'6.A'!$A$11:$G$180,4,FALSE))</f>
        <v/>
      </c>
      <c r="E2585" s="160" t="str">
        <f>IF(A2585="","",VLOOKUP(A2585,'6.A'!$A$11:$G$180,5,FALSE))</f>
        <v/>
      </c>
      <c r="F2585" s="159" t="str">
        <f t="shared" si="1097"/>
        <v>0,00</v>
      </c>
      <c r="G2585" s="52"/>
      <c r="H2585" s="52" t="str">
        <f>IF(A2585="","",VLOOKUP(A2585,'6.A'!$A$11:$E$7984,5,FALSE))</f>
        <v/>
      </c>
      <c r="I2585" s="52" t="str">
        <f t="shared" si="1098"/>
        <v/>
      </c>
      <c r="J2585" s="52" t="str">
        <f>IF(H2585="","",VLOOKUP(A2585,'6.A'!$A$11:$E$564,4,FALSE))</f>
        <v/>
      </c>
      <c r="K2585" s="52" t="str">
        <f t="shared" si="1099"/>
        <v/>
      </c>
      <c r="L2585" s="52" t="str">
        <f>IF(H2585="","",IF(C2585="","",G2560*C2585))</f>
        <v/>
      </c>
      <c r="M2585" s="117" t="str">
        <f>IF(A2585="","",VLOOKUP(A2585,'6.A'!$A$11:$C$564,2,FALSE))</f>
        <v/>
      </c>
      <c r="N2585" s="57" t="str">
        <f t="shared" si="1101"/>
        <v/>
      </c>
      <c r="O2585" s="56"/>
      <c r="P2585" s="56"/>
      <c r="Q2585" s="48"/>
      <c r="R2585" s="48"/>
      <c r="S2585" s="65"/>
      <c r="T2585" s="2"/>
      <c r="U2585" s="2"/>
      <c r="V2585" s="2"/>
    </row>
    <row r="2586" spans="1:22" s="149" customFormat="1" ht="12.75" customHeight="1" x14ac:dyDescent="0.2">
      <c r="A2586" s="155"/>
      <c r="B2586" s="26" t="str">
        <f>$A$9</f>
        <v>BDI</v>
      </c>
      <c r="C2586" s="27">
        <f>$C$9</f>
        <v>0</v>
      </c>
      <c r="D2586" s="141"/>
      <c r="E2586" s="147"/>
      <c r="F2586" s="162">
        <f>ROUND(SUM(F2576:F2585)*C2586,2)</f>
        <v>0</v>
      </c>
      <c r="G2586" s="63"/>
      <c r="H2586" s="52"/>
      <c r="I2586" s="57"/>
      <c r="J2586" s="57"/>
      <c r="K2586" s="57"/>
      <c r="L2586" s="52"/>
      <c r="M2586" s="62"/>
      <c r="N2586" s="57"/>
      <c r="O2586" s="56"/>
      <c r="P2586" s="56"/>
      <c r="Q2586" s="48"/>
      <c r="R2586" s="48"/>
      <c r="S2586" s="65"/>
      <c r="T2586" s="2"/>
      <c r="U2586" s="2"/>
      <c r="V2586" s="2"/>
    </row>
    <row r="2587" spans="1:22" s="149" customFormat="1" ht="12.75" customHeight="1" x14ac:dyDescent="0.2">
      <c r="A2587" s="163"/>
      <c r="B2587" s="31" t="s">
        <v>117</v>
      </c>
      <c r="C2587" s="36"/>
      <c r="D2587" s="169"/>
      <c r="E2587" s="170"/>
      <c r="F2587" s="168">
        <f>ROUND(SUM(F2576:F2586),2)</f>
        <v>0</v>
      </c>
      <c r="G2587" s="63"/>
      <c r="H2587" s="52"/>
      <c r="I2587" s="57"/>
      <c r="J2587" s="57"/>
      <c r="K2587" s="57"/>
      <c r="L2587" s="52"/>
      <c r="M2587" s="62"/>
      <c r="N2587" s="57"/>
      <c r="O2587" s="56"/>
      <c r="P2587" s="56"/>
      <c r="Q2587" s="48"/>
      <c r="R2587" s="48"/>
      <c r="S2587" s="65"/>
      <c r="T2587" s="2"/>
      <c r="U2587" s="2"/>
      <c r="V2587" s="2"/>
    </row>
    <row r="2588" spans="1:22" s="149" customFormat="1" ht="12.75" customHeight="1" x14ac:dyDescent="0.2">
      <c r="A2588" s="152" t="s">
        <v>6</v>
      </c>
      <c r="B2588" s="153" t="s">
        <v>17</v>
      </c>
      <c r="C2588" s="140" t="s">
        <v>59</v>
      </c>
      <c r="D2588" s="140" t="s">
        <v>16</v>
      </c>
      <c r="E2588" s="154" t="s">
        <v>60</v>
      </c>
      <c r="F2588" s="148" t="s">
        <v>61</v>
      </c>
      <c r="G2588" s="21"/>
      <c r="H2588" s="52"/>
      <c r="I2588" s="57"/>
      <c r="J2588" s="57"/>
      <c r="K2588" s="57"/>
      <c r="L2588" s="52"/>
      <c r="M2588" s="62"/>
      <c r="N2588" s="57"/>
      <c r="O2588" s="56"/>
      <c r="P2588" s="56"/>
      <c r="Q2588" s="48"/>
      <c r="R2588" s="48"/>
      <c r="S2588" s="65"/>
      <c r="T2588" s="2"/>
      <c r="U2588" s="2"/>
      <c r="V2588" s="2"/>
    </row>
    <row r="2589" spans="1:22" s="149" customFormat="1" ht="12.75" customHeight="1" x14ac:dyDescent="0.2">
      <c r="A2589" s="155">
        <f>'6.A'!$A$124</f>
        <v>26727</v>
      </c>
      <c r="B2589" s="138" t="str">
        <f>IF(A2589="","",VLOOKUP(A2589,'6.A'!$A$11:$G$180,2,FALSE))</f>
        <v>PARAFUSO AUTO-ATARRAXANTE 5,5X38MM COM ARRUELHA E BUCHA TIPO S8</v>
      </c>
      <c r="C2589" s="156">
        <v>6</v>
      </c>
      <c r="D2589" s="141" t="str">
        <f>IF(A2589="","",VLOOKUP(A2589,'6.A'!$A$11:$G$180,4,FALSE))</f>
        <v>UN</v>
      </c>
      <c r="E2589" s="160">
        <f>IF(A2589="","",VLOOKUP(A2589,'6.A'!$A$11:$G$180,5,FALSE))</f>
        <v>0</v>
      </c>
      <c r="F2589" s="159">
        <f t="shared" ref="F2589:F2608" si="1102">IF(A2589="","0,00",ROUND(C2589*E2589,2))</f>
        <v>0</v>
      </c>
      <c r="G2589" s="52"/>
      <c r="H2589" s="52">
        <f>IF(A2589="","",VLOOKUP(A2589,'6.A'!$A$11:$E$7984,5,FALSE))</f>
        <v>0</v>
      </c>
      <c r="I2589" s="52" t="str">
        <f t="shared" ref="I2589:I2608" si="1103">IF(H2589="","",IF(E2589=H2589,"SIM","NÃO"))</f>
        <v>SIM</v>
      </c>
      <c r="J2589" s="52" t="str">
        <f>IF(H2589="","",VLOOKUP(A2589,'6.A'!$A$11:$E$564,4,FALSE))</f>
        <v>UN</v>
      </c>
      <c r="K2589" s="52" t="str">
        <f t="shared" ref="K2589:K2608" si="1104">IF(H2589="","",IF(J2589=D2589,"SIM","NÃO"))</f>
        <v>SIM</v>
      </c>
      <c r="L2589" s="52">
        <f>IF(H2589="","",IF(C2589="","",G2560*C2589))</f>
        <v>6</v>
      </c>
      <c r="M2589" s="117" t="str">
        <f>IF(A2589="","",VLOOKUP(A2589,'6.A'!$A$11:$C$564,2,FALSE))</f>
        <v>PARAFUSO AUTO-ATARRAXANTE 5,5X38MM COM ARRUELHA E BUCHA TIPO S8</v>
      </c>
      <c r="N2589" s="57" t="str">
        <f t="shared" ref="N2589:N2608" si="1105">IF(A2589="","",IF(M2589=B2589,"si","no"))</f>
        <v>si</v>
      </c>
      <c r="O2589" s="56"/>
      <c r="P2589" s="56"/>
      <c r="Q2589" s="48"/>
      <c r="R2589" s="48"/>
      <c r="S2589" s="65"/>
      <c r="T2589" s="2"/>
      <c r="U2589" s="2"/>
      <c r="V2589" s="2"/>
    </row>
    <row r="2590" spans="1:22" s="149" customFormat="1" ht="12.75" customHeight="1" x14ac:dyDescent="0.2">
      <c r="A2590" s="155">
        <f>'6.A'!$A$120</f>
        <v>10851</v>
      </c>
      <c r="B2590" s="138" t="str">
        <f>IF(A2590="","",VLOOKUP(A2590,'6.A'!$A$11:$G$180,2,FALSE))</f>
        <v>PLACA DE ACRILICO TRANSPARENTE ADESIVADA PARA SINALIZACAO DE PORTAS, BORDA POLIDA, E = 6 MM</v>
      </c>
      <c r="C2590" s="156">
        <v>1.1000000000000001</v>
      </c>
      <c r="D2590" s="141" t="str">
        <f>IF(A2590="","",VLOOKUP(A2590,'6.A'!$A$11:$G$180,4,FALSE))</f>
        <v>M2</v>
      </c>
      <c r="E2590" s="160">
        <f>IF(A2590="","",VLOOKUP(A2590,'6.A'!$A$11:$G$180,5,FALSE))</f>
        <v>0</v>
      </c>
      <c r="F2590" s="159">
        <f t="shared" si="1102"/>
        <v>0</v>
      </c>
      <c r="G2590" s="52"/>
      <c r="H2590" s="52">
        <f>IF(A2590="","",VLOOKUP(A2590,'6.A'!$A$11:$E$7984,5,FALSE))</f>
        <v>0</v>
      </c>
      <c r="I2590" s="52" t="str">
        <f t="shared" si="1103"/>
        <v>SIM</v>
      </c>
      <c r="J2590" s="52" t="str">
        <f>IF(H2590="","",VLOOKUP(A2590,'6.A'!$A$11:$E$564,4,FALSE))</f>
        <v>M2</v>
      </c>
      <c r="K2590" s="52" t="str">
        <f t="shared" si="1104"/>
        <v>SIM</v>
      </c>
      <c r="L2590" s="52">
        <f>IF(H2590="","",IF(C2590="","",G2560*C2590))</f>
        <v>1.1000000000000001</v>
      </c>
      <c r="M2590" s="117" t="str">
        <f>IF(A2590="","",VLOOKUP(A2590,'6.A'!$A$11:$C$564,2,FALSE))</f>
        <v>PLACA DE ACRILICO TRANSPARENTE ADESIVADA PARA SINALIZACAO DE PORTAS, BORDA POLIDA, E = 6 MM</v>
      </c>
      <c r="N2590" s="57" t="str">
        <f t="shared" si="1105"/>
        <v>si</v>
      </c>
      <c r="O2590" s="56"/>
      <c r="P2590" s="56"/>
      <c r="Q2590" s="48"/>
      <c r="R2590" s="48"/>
      <c r="S2590" s="65"/>
      <c r="T2590" s="2"/>
      <c r="U2590" s="2"/>
      <c r="V2590" s="2"/>
    </row>
    <row r="2591" spans="1:22" s="149" customFormat="1" ht="12.75" customHeight="1" x14ac:dyDescent="0.2">
      <c r="A2591" s="155"/>
      <c r="B2591" s="138" t="str">
        <f>IF(A2591="","",VLOOKUP(A2591,'6.A'!$A$11:$G$180,2,FALSE))</f>
        <v/>
      </c>
      <c r="C2591" s="156"/>
      <c r="D2591" s="141" t="str">
        <f>IF(A2591="","",VLOOKUP(A2591,'6.A'!$A$11:$G$180,4,FALSE))</f>
        <v/>
      </c>
      <c r="E2591" s="160" t="str">
        <f>IF(A2591="","",VLOOKUP(A2591,'6.A'!$A$11:$G$180,5,FALSE))</f>
        <v/>
      </c>
      <c r="F2591" s="159" t="str">
        <f t="shared" si="1102"/>
        <v>0,00</v>
      </c>
      <c r="G2591" s="52"/>
      <c r="H2591" s="52" t="str">
        <f>IF(A2591="","",VLOOKUP(A2591,'6.A'!$A$11:$E$7984,5,FALSE))</f>
        <v/>
      </c>
      <c r="I2591" s="52" t="str">
        <f t="shared" si="1103"/>
        <v/>
      </c>
      <c r="J2591" s="52" t="str">
        <f>IF(H2591="","",VLOOKUP(A2591,'6.A'!$A$11:$E$564,4,FALSE))</f>
        <v/>
      </c>
      <c r="K2591" s="52" t="str">
        <f t="shared" si="1104"/>
        <v/>
      </c>
      <c r="L2591" s="52" t="str">
        <f>IF(H2591="","",IF(C2591="","",G2560*C2591))</f>
        <v/>
      </c>
      <c r="M2591" s="117" t="str">
        <f>IF(A2591="","",VLOOKUP(A2591,'6.A'!$A$11:$C$564,2,FALSE))</f>
        <v/>
      </c>
      <c r="N2591" s="57" t="str">
        <f t="shared" si="1105"/>
        <v/>
      </c>
      <c r="O2591" s="56"/>
      <c r="P2591" s="56"/>
      <c r="Q2591" s="48"/>
      <c r="R2591" s="48"/>
      <c r="S2591" s="65"/>
      <c r="T2591" s="2"/>
      <c r="U2591" s="2"/>
      <c r="V2591" s="2"/>
    </row>
    <row r="2592" spans="1:22" s="149" customFormat="1" ht="12.75" customHeight="1" x14ac:dyDescent="0.2">
      <c r="A2592" s="155"/>
      <c r="B2592" s="138" t="str">
        <f>IF(A2592="","",VLOOKUP(A2592,'6.A'!$A$11:$G$180,2,FALSE))</f>
        <v/>
      </c>
      <c r="C2592" s="156"/>
      <c r="D2592" s="141" t="str">
        <f>IF(A2592="","",VLOOKUP(A2592,'6.A'!$A$11:$G$180,4,FALSE))</f>
        <v/>
      </c>
      <c r="E2592" s="160" t="str">
        <f>IF(A2592="","",VLOOKUP(A2592,'6.A'!$A$11:$G$180,5,FALSE))</f>
        <v/>
      </c>
      <c r="F2592" s="159" t="str">
        <f t="shared" si="1102"/>
        <v>0,00</v>
      </c>
      <c r="G2592" s="52"/>
      <c r="H2592" s="52" t="str">
        <f>IF(A2592="","",VLOOKUP(A2592,'6.A'!$A$11:$E$7984,5,FALSE))</f>
        <v/>
      </c>
      <c r="I2592" s="52" t="str">
        <f t="shared" si="1103"/>
        <v/>
      </c>
      <c r="J2592" s="52" t="str">
        <f>IF(H2592="","",VLOOKUP(A2592,'6.A'!$A$11:$E$564,4,FALSE))</f>
        <v/>
      </c>
      <c r="K2592" s="52" t="str">
        <f t="shared" si="1104"/>
        <v/>
      </c>
      <c r="L2592" s="52" t="str">
        <f>IF(H2592="","",IF(C2592="","",G2560*C2592))</f>
        <v/>
      </c>
      <c r="M2592" s="117" t="str">
        <f>IF(A2592="","",VLOOKUP(A2592,'6.A'!$A$11:$C$564,2,FALSE))</f>
        <v/>
      </c>
      <c r="N2592" s="57" t="str">
        <f t="shared" si="1105"/>
        <v/>
      </c>
      <c r="O2592" s="56"/>
      <c r="P2592" s="56"/>
      <c r="Q2592" s="48"/>
      <c r="R2592" s="48"/>
      <c r="S2592" s="65"/>
      <c r="T2592" s="2"/>
      <c r="U2592" s="2"/>
      <c r="V2592" s="2"/>
    </row>
    <row r="2593" spans="1:22" s="149" customFormat="1" ht="12.75" customHeight="1" x14ac:dyDescent="0.2">
      <c r="A2593" s="155"/>
      <c r="B2593" s="138" t="str">
        <f>IF(A2593="","",VLOOKUP(A2593,'6.A'!$A$11:$G$180,2,FALSE))</f>
        <v/>
      </c>
      <c r="C2593" s="156"/>
      <c r="D2593" s="141" t="str">
        <f>IF(A2593="","",VLOOKUP(A2593,'6.A'!$A$11:$G$180,4,FALSE))</f>
        <v/>
      </c>
      <c r="E2593" s="160" t="str">
        <f>IF(A2593="","",VLOOKUP(A2593,'6.A'!$A$11:$G$180,5,FALSE))</f>
        <v/>
      </c>
      <c r="F2593" s="159" t="str">
        <f t="shared" si="1102"/>
        <v>0,00</v>
      </c>
      <c r="G2593" s="52"/>
      <c r="H2593" s="52" t="str">
        <f>IF(A2593="","",VLOOKUP(A2593,'6.A'!$A$11:$E$7984,5,FALSE))</f>
        <v/>
      </c>
      <c r="I2593" s="52" t="str">
        <f t="shared" si="1103"/>
        <v/>
      </c>
      <c r="J2593" s="52" t="str">
        <f>IF(H2593="","",VLOOKUP(A2593,'6.A'!$A$11:$E$564,4,FALSE))</f>
        <v/>
      </c>
      <c r="K2593" s="52" t="str">
        <f t="shared" si="1104"/>
        <v/>
      </c>
      <c r="L2593" s="52" t="str">
        <f>IF(H2593="","",IF(C2593="","",G2560*C2593))</f>
        <v/>
      </c>
      <c r="M2593" s="117" t="str">
        <f>IF(A2593="","",VLOOKUP(A2593,'6.A'!$A$11:$C$564,2,FALSE))</f>
        <v/>
      </c>
      <c r="N2593" s="57" t="str">
        <f t="shared" si="1105"/>
        <v/>
      </c>
      <c r="O2593" s="56"/>
      <c r="P2593" s="56"/>
      <c r="Q2593" s="48"/>
      <c r="R2593" s="48"/>
      <c r="S2593" s="65"/>
      <c r="T2593" s="2"/>
      <c r="U2593" s="2"/>
      <c r="V2593" s="2"/>
    </row>
    <row r="2594" spans="1:22" s="149" customFormat="1" ht="12.75" customHeight="1" x14ac:dyDescent="0.2">
      <c r="A2594" s="155"/>
      <c r="B2594" s="138" t="str">
        <f>IF(A2594="","",VLOOKUP(A2594,'6.A'!$A$11:$G$180,2,FALSE))</f>
        <v/>
      </c>
      <c r="C2594" s="156"/>
      <c r="D2594" s="141" t="str">
        <f>IF(A2594="","",VLOOKUP(A2594,'6.A'!$A$11:$G$180,4,FALSE))</f>
        <v/>
      </c>
      <c r="E2594" s="160" t="str">
        <f>IF(A2594="","",VLOOKUP(A2594,'6.A'!$A$11:$G$180,5,FALSE))</f>
        <v/>
      </c>
      <c r="F2594" s="159" t="str">
        <f t="shared" si="1102"/>
        <v>0,00</v>
      </c>
      <c r="G2594" s="52"/>
      <c r="H2594" s="52" t="str">
        <f>IF(A2594="","",VLOOKUP(A2594,'6.A'!$A$11:$E$7984,5,FALSE))</f>
        <v/>
      </c>
      <c r="I2594" s="52" t="str">
        <f t="shared" si="1103"/>
        <v/>
      </c>
      <c r="J2594" s="52" t="str">
        <f>IF(H2594="","",VLOOKUP(A2594,'6.A'!$A$11:$E$564,4,FALSE))</f>
        <v/>
      </c>
      <c r="K2594" s="52" t="str">
        <f t="shared" si="1104"/>
        <v/>
      </c>
      <c r="L2594" s="52" t="str">
        <f>IF(H2594="","",IF(C2594="","",G2560*C2594))</f>
        <v/>
      </c>
      <c r="M2594" s="117" t="str">
        <f>IF(A2594="","",VLOOKUP(A2594,'6.A'!$A$11:$C$564,2,FALSE))</f>
        <v/>
      </c>
      <c r="N2594" s="57" t="str">
        <f t="shared" si="1105"/>
        <v/>
      </c>
      <c r="O2594" s="56"/>
      <c r="P2594" s="56"/>
      <c r="Q2594" s="48"/>
      <c r="R2594" s="48"/>
      <c r="S2594" s="65"/>
      <c r="T2594" s="2"/>
      <c r="U2594" s="2"/>
      <c r="V2594" s="2"/>
    </row>
    <row r="2595" spans="1:22" s="149" customFormat="1" ht="12.75" customHeight="1" x14ac:dyDescent="0.2">
      <c r="A2595" s="155"/>
      <c r="B2595" s="138" t="str">
        <f>IF(A2595="","",VLOOKUP(A2595,'6.A'!$A$11:$G$180,2,FALSE))</f>
        <v/>
      </c>
      <c r="C2595" s="156"/>
      <c r="D2595" s="141" t="str">
        <f>IF(A2595="","",VLOOKUP(A2595,'6.A'!$A$11:$G$180,4,FALSE))</f>
        <v/>
      </c>
      <c r="E2595" s="160" t="str">
        <f>IF(A2595="","",VLOOKUP(A2595,'6.A'!$A$11:$G$180,5,FALSE))</f>
        <v/>
      </c>
      <c r="F2595" s="159" t="str">
        <f t="shared" si="1102"/>
        <v>0,00</v>
      </c>
      <c r="G2595" s="52"/>
      <c r="H2595" s="52" t="str">
        <f>IF(A2595="","",VLOOKUP(A2595,'6.A'!$A$11:$E$7984,5,FALSE))</f>
        <v/>
      </c>
      <c r="I2595" s="52" t="str">
        <f t="shared" si="1103"/>
        <v/>
      </c>
      <c r="J2595" s="52" t="str">
        <f>IF(H2595="","",VLOOKUP(A2595,'6.A'!$A$11:$E$564,4,FALSE))</f>
        <v/>
      </c>
      <c r="K2595" s="52" t="str">
        <f t="shared" si="1104"/>
        <v/>
      </c>
      <c r="L2595" s="52" t="str">
        <f>IF(H2595="","",IF(C2595="","",G2560*C2595))</f>
        <v/>
      </c>
      <c r="M2595" s="117" t="str">
        <f>IF(A2595="","",VLOOKUP(A2595,'6.A'!$A$11:$C$564,2,FALSE))</f>
        <v/>
      </c>
      <c r="N2595" s="57" t="str">
        <f t="shared" si="1105"/>
        <v/>
      </c>
      <c r="O2595" s="56"/>
      <c r="P2595" s="56"/>
      <c r="Q2595" s="48"/>
      <c r="R2595" s="48"/>
      <c r="S2595" s="65"/>
      <c r="T2595" s="2"/>
      <c r="U2595" s="2"/>
      <c r="V2595" s="2"/>
    </row>
    <row r="2596" spans="1:22" s="149" customFormat="1" ht="12.75" customHeight="1" x14ac:dyDescent="0.2">
      <c r="A2596" s="155"/>
      <c r="B2596" s="138" t="str">
        <f>IF(A2596="","",VLOOKUP(A2596,'6.A'!$A$11:$G$180,2,FALSE))</f>
        <v/>
      </c>
      <c r="C2596" s="156"/>
      <c r="D2596" s="141" t="str">
        <f>IF(A2596="","",VLOOKUP(A2596,'6.A'!$A$11:$G$180,4,FALSE))</f>
        <v/>
      </c>
      <c r="E2596" s="160" t="str">
        <f>IF(A2596="","",VLOOKUP(A2596,'6.A'!$A$11:$G$180,5,FALSE))</f>
        <v/>
      </c>
      <c r="F2596" s="159" t="str">
        <f t="shared" si="1102"/>
        <v>0,00</v>
      </c>
      <c r="G2596" s="52"/>
      <c r="H2596" s="52" t="str">
        <f>IF(A2596="","",VLOOKUP(A2596,'6.A'!$A$11:$E$7984,5,FALSE))</f>
        <v/>
      </c>
      <c r="I2596" s="52" t="str">
        <f t="shared" si="1103"/>
        <v/>
      </c>
      <c r="J2596" s="52" t="str">
        <f>IF(H2596="","",VLOOKUP(A2596,'6.A'!$A$11:$E$564,4,FALSE))</f>
        <v/>
      </c>
      <c r="K2596" s="52" t="str">
        <f t="shared" si="1104"/>
        <v/>
      </c>
      <c r="L2596" s="52" t="str">
        <f>IF(H2596="","",IF(C2596="","",G2560*C2596))</f>
        <v/>
      </c>
      <c r="M2596" s="117" t="str">
        <f>IF(A2596="","",VLOOKUP(A2596,'6.A'!$A$11:$C$564,2,FALSE))</f>
        <v/>
      </c>
      <c r="N2596" s="57" t="str">
        <f t="shared" si="1105"/>
        <v/>
      </c>
      <c r="O2596" s="56"/>
      <c r="P2596" s="56"/>
      <c r="Q2596" s="48"/>
      <c r="R2596" s="48"/>
      <c r="S2596" s="65"/>
      <c r="T2596" s="2"/>
      <c r="U2596" s="2"/>
      <c r="V2596" s="2"/>
    </row>
    <row r="2597" spans="1:22" s="149" customFormat="1" ht="12.75" customHeight="1" x14ac:dyDescent="0.2">
      <c r="A2597" s="155"/>
      <c r="B2597" s="138" t="str">
        <f>IF(A2597="","",VLOOKUP(A2597,'6.A'!$A$11:$G$180,2,FALSE))</f>
        <v/>
      </c>
      <c r="C2597" s="156"/>
      <c r="D2597" s="141" t="str">
        <f>IF(A2597="","",VLOOKUP(A2597,'6.A'!$A$11:$G$180,4,FALSE))</f>
        <v/>
      </c>
      <c r="E2597" s="160" t="str">
        <f>IF(A2597="","",VLOOKUP(A2597,'6.A'!$A$11:$G$180,5,FALSE))</f>
        <v/>
      </c>
      <c r="F2597" s="159" t="str">
        <f t="shared" si="1102"/>
        <v>0,00</v>
      </c>
      <c r="G2597" s="52"/>
      <c r="H2597" s="52" t="str">
        <f>IF(A2597="","",VLOOKUP(A2597,'6.A'!$A$11:$E$7984,5,FALSE))</f>
        <v/>
      </c>
      <c r="I2597" s="52" t="str">
        <f t="shared" si="1103"/>
        <v/>
      </c>
      <c r="J2597" s="52" t="str">
        <f>IF(H2597="","",VLOOKUP(A2597,'6.A'!$A$11:$E$564,4,FALSE))</f>
        <v/>
      </c>
      <c r="K2597" s="52" t="str">
        <f t="shared" si="1104"/>
        <v/>
      </c>
      <c r="L2597" s="52" t="str">
        <f>IF(H2597="","",IF(C2597="","",G2560*C2597))</f>
        <v/>
      </c>
      <c r="M2597" s="117" t="str">
        <f>IF(A2597="","",VLOOKUP(A2597,'6.A'!$A$11:$C$564,2,FALSE))</f>
        <v/>
      </c>
      <c r="N2597" s="57" t="str">
        <f t="shared" si="1105"/>
        <v/>
      </c>
      <c r="O2597" s="56"/>
      <c r="P2597" s="56"/>
      <c r="Q2597" s="48"/>
      <c r="R2597" s="48"/>
      <c r="S2597" s="65"/>
      <c r="T2597" s="2"/>
      <c r="U2597" s="2"/>
      <c r="V2597" s="2"/>
    </row>
    <row r="2598" spans="1:22" s="149" customFormat="1" ht="12.75" customHeight="1" x14ac:dyDescent="0.2">
      <c r="A2598" s="155"/>
      <c r="B2598" s="138" t="str">
        <f>IF(A2598="","",VLOOKUP(A2598,'6.A'!$A$11:$G$180,2,FALSE))</f>
        <v/>
      </c>
      <c r="C2598" s="156"/>
      <c r="D2598" s="141" t="str">
        <f>IF(A2598="","",VLOOKUP(A2598,'6.A'!$A$11:$G$180,4,FALSE))</f>
        <v/>
      </c>
      <c r="E2598" s="160" t="str">
        <f>IF(A2598="","",VLOOKUP(A2598,'6.A'!$A$11:$G$180,5,FALSE))</f>
        <v/>
      </c>
      <c r="F2598" s="159" t="str">
        <f t="shared" si="1102"/>
        <v>0,00</v>
      </c>
      <c r="G2598" s="52"/>
      <c r="H2598" s="52" t="str">
        <f>IF(A2598="","",VLOOKUP(A2598,'6.A'!$A$11:$E$7984,5,FALSE))</f>
        <v/>
      </c>
      <c r="I2598" s="52" t="str">
        <f t="shared" si="1103"/>
        <v/>
      </c>
      <c r="J2598" s="52" t="str">
        <f>IF(H2598="","",VLOOKUP(A2598,'6.A'!$A$11:$E$564,4,FALSE))</f>
        <v/>
      </c>
      <c r="K2598" s="52" t="str">
        <f t="shared" si="1104"/>
        <v/>
      </c>
      <c r="L2598" s="52" t="str">
        <f>IF(H2598="","",IF(C2598="","",G2560*C2598))</f>
        <v/>
      </c>
      <c r="M2598" s="117" t="str">
        <f>IF(A2598="","",VLOOKUP(A2598,'6.A'!$A$11:$C$564,2,FALSE))</f>
        <v/>
      </c>
      <c r="N2598" s="57" t="str">
        <f t="shared" si="1105"/>
        <v/>
      </c>
      <c r="O2598" s="56"/>
      <c r="P2598" s="56"/>
      <c r="Q2598" s="48"/>
      <c r="R2598" s="48"/>
      <c r="S2598" s="65"/>
      <c r="T2598" s="2"/>
      <c r="U2598" s="2"/>
      <c r="V2598" s="2"/>
    </row>
    <row r="2599" spans="1:22" s="149" customFormat="1" ht="12.75" customHeight="1" x14ac:dyDescent="0.2">
      <c r="A2599" s="155"/>
      <c r="B2599" s="138" t="str">
        <f>IF(A2599="","",VLOOKUP(A2599,'6.A'!$A$11:$G$180,2,FALSE))</f>
        <v/>
      </c>
      <c r="C2599" s="156"/>
      <c r="D2599" s="141" t="str">
        <f>IF(A2599="","",VLOOKUP(A2599,'6.A'!$A$11:$G$180,4,FALSE))</f>
        <v/>
      </c>
      <c r="E2599" s="160" t="str">
        <f>IF(A2599="","",VLOOKUP(A2599,'6.A'!$A$11:$G$180,5,FALSE))</f>
        <v/>
      </c>
      <c r="F2599" s="159" t="str">
        <f t="shared" si="1102"/>
        <v>0,00</v>
      </c>
      <c r="G2599" s="52"/>
      <c r="H2599" s="52" t="str">
        <f>IF(A2599="","",VLOOKUP(A2599,'6.A'!$A$11:$E$7984,5,FALSE))</f>
        <v/>
      </c>
      <c r="I2599" s="52" t="str">
        <f t="shared" si="1103"/>
        <v/>
      </c>
      <c r="J2599" s="52" t="str">
        <f>IF(H2599="","",VLOOKUP(A2599,'6.A'!$A$11:$E$564,4,FALSE))</f>
        <v/>
      </c>
      <c r="K2599" s="52" t="str">
        <f t="shared" si="1104"/>
        <v/>
      </c>
      <c r="L2599" s="52" t="str">
        <f>IF(H2599="","",IF(C2599="","",G2560*C2599))</f>
        <v/>
      </c>
      <c r="M2599" s="117" t="str">
        <f>IF(A2599="","",VLOOKUP(A2599,'6.A'!$A$11:$C$564,2,FALSE))</f>
        <v/>
      </c>
      <c r="N2599" s="57" t="str">
        <f t="shared" si="1105"/>
        <v/>
      </c>
      <c r="O2599" s="56"/>
      <c r="P2599" s="56"/>
      <c r="Q2599" s="48"/>
      <c r="R2599" s="48"/>
      <c r="S2599" s="65"/>
      <c r="T2599" s="2"/>
      <c r="U2599" s="2"/>
      <c r="V2599" s="2"/>
    </row>
    <row r="2600" spans="1:22" s="137" customFormat="1" ht="12.75" customHeight="1" x14ac:dyDescent="0.2">
      <c r="A2600" s="155"/>
      <c r="B2600" s="138" t="str">
        <f>IF(A2600="","",VLOOKUP(A2600,'6.A'!$A$11:$G$180,2,FALSE))</f>
        <v/>
      </c>
      <c r="C2600" s="156"/>
      <c r="D2600" s="141" t="str">
        <f>IF(A2600="","",VLOOKUP(A2600,'6.A'!$A$11:$G$180,4,FALSE))</f>
        <v/>
      </c>
      <c r="E2600" s="160" t="str">
        <f>IF(A2600="","",VLOOKUP(A2600,'6.A'!$A$11:$G$180,5,FALSE))</f>
        <v/>
      </c>
      <c r="F2600" s="159" t="str">
        <f t="shared" si="1102"/>
        <v>0,00</v>
      </c>
      <c r="G2600" s="52"/>
      <c r="H2600" s="52" t="str">
        <f>IF(A2600="","",VLOOKUP(A2600,'6.A'!$A$11:$E$7984,5,FALSE))</f>
        <v/>
      </c>
      <c r="I2600" s="52" t="str">
        <f t="shared" si="1103"/>
        <v/>
      </c>
      <c r="J2600" s="52" t="str">
        <f>IF(H2600="","",VLOOKUP(A2600,'6.A'!$A$11:$E$564,4,FALSE))</f>
        <v/>
      </c>
      <c r="K2600" s="52" t="str">
        <f t="shared" si="1104"/>
        <v/>
      </c>
      <c r="L2600" s="52" t="str">
        <f>IF(H2600="","",IF(C2600="","",G2560*C2600))</f>
        <v/>
      </c>
      <c r="M2600" s="117" t="str">
        <f>IF(A2600="","",VLOOKUP(A2600,'6.A'!$A$11:$C$564,2,FALSE))</f>
        <v/>
      </c>
      <c r="N2600" s="57" t="str">
        <f t="shared" si="1105"/>
        <v/>
      </c>
      <c r="O2600" s="56"/>
      <c r="P2600" s="56"/>
      <c r="Q2600" s="48"/>
      <c r="R2600" s="48"/>
      <c r="S2600" s="65"/>
      <c r="T2600" s="2"/>
      <c r="U2600" s="2"/>
      <c r="V2600" s="2"/>
    </row>
    <row r="2601" spans="1:22" s="137" customFormat="1" ht="12.75" customHeight="1" x14ac:dyDescent="0.2">
      <c r="A2601" s="155"/>
      <c r="B2601" s="138" t="str">
        <f>IF(A2601="","",VLOOKUP(A2601,'6.A'!$A$11:$G$180,2,FALSE))</f>
        <v/>
      </c>
      <c r="C2601" s="156"/>
      <c r="D2601" s="141" t="str">
        <f>IF(A2601="","",VLOOKUP(A2601,'6.A'!$A$11:$G$180,4,FALSE))</f>
        <v/>
      </c>
      <c r="E2601" s="160" t="str">
        <f>IF(A2601="","",VLOOKUP(A2601,'6.A'!$A$11:$G$180,5,FALSE))</f>
        <v/>
      </c>
      <c r="F2601" s="159" t="str">
        <f t="shared" si="1102"/>
        <v>0,00</v>
      </c>
      <c r="G2601" s="52"/>
      <c r="H2601" s="52" t="str">
        <f>IF(A2601="","",VLOOKUP(A2601,'6.A'!$A$11:$E$7984,5,FALSE))</f>
        <v/>
      </c>
      <c r="I2601" s="52" t="str">
        <f t="shared" si="1103"/>
        <v/>
      </c>
      <c r="J2601" s="52" t="str">
        <f>IF(H2601="","",VLOOKUP(A2601,'6.A'!$A$11:$E$564,4,FALSE))</f>
        <v/>
      </c>
      <c r="K2601" s="52" t="str">
        <f t="shared" si="1104"/>
        <v/>
      </c>
      <c r="L2601" s="52" t="str">
        <f>IF(H2601="","",IF(C2601="","",G2560*C2601))</f>
        <v/>
      </c>
      <c r="M2601" s="117" t="str">
        <f>IF(A2601="","",VLOOKUP(A2601,'6.A'!$A$11:$C$564,2,FALSE))</f>
        <v/>
      </c>
      <c r="N2601" s="57" t="str">
        <f t="shared" si="1105"/>
        <v/>
      </c>
      <c r="O2601" s="56"/>
      <c r="P2601" s="56"/>
      <c r="Q2601" s="48"/>
      <c r="R2601" s="48"/>
      <c r="S2601" s="65"/>
      <c r="T2601" s="2"/>
      <c r="U2601" s="2"/>
      <c r="V2601" s="2"/>
    </row>
    <row r="2602" spans="1:22" s="137" customFormat="1" ht="12.75" customHeight="1" x14ac:dyDescent="0.2">
      <c r="A2602" s="155"/>
      <c r="B2602" s="138" t="str">
        <f>IF(A2602="","",VLOOKUP(A2602,'6.A'!$A$11:$G$180,2,FALSE))</f>
        <v/>
      </c>
      <c r="C2602" s="156"/>
      <c r="D2602" s="141" t="str">
        <f>IF(A2602="","",VLOOKUP(A2602,'6.A'!$A$11:$G$180,4,FALSE))</f>
        <v/>
      </c>
      <c r="E2602" s="160" t="str">
        <f>IF(A2602="","",VLOOKUP(A2602,'6.A'!$A$11:$G$180,5,FALSE))</f>
        <v/>
      </c>
      <c r="F2602" s="159" t="str">
        <f t="shared" si="1102"/>
        <v>0,00</v>
      </c>
      <c r="G2602" s="52"/>
      <c r="H2602" s="52" t="str">
        <f>IF(A2602="","",VLOOKUP(A2602,'6.A'!$A$11:$E$7984,5,FALSE))</f>
        <v/>
      </c>
      <c r="I2602" s="52" t="str">
        <f t="shared" si="1103"/>
        <v/>
      </c>
      <c r="J2602" s="52" t="str">
        <f>IF(H2602="","",VLOOKUP(A2602,'6.A'!$A$11:$E$564,4,FALSE))</f>
        <v/>
      </c>
      <c r="K2602" s="52" t="str">
        <f t="shared" si="1104"/>
        <v/>
      </c>
      <c r="L2602" s="52" t="str">
        <f>IF(H2602="","",IF(C2602="","",G2560*C2602))</f>
        <v/>
      </c>
      <c r="M2602" s="117" t="str">
        <f>IF(A2602="","",VLOOKUP(A2602,'6.A'!$A$11:$C$564,2,FALSE))</f>
        <v/>
      </c>
      <c r="N2602" s="57" t="str">
        <f t="shared" si="1105"/>
        <v/>
      </c>
      <c r="O2602" s="56"/>
      <c r="P2602" s="56"/>
      <c r="Q2602" s="48"/>
      <c r="R2602" s="48"/>
      <c r="S2602" s="65"/>
      <c r="T2602" s="2"/>
      <c r="U2602" s="2"/>
      <c r="V2602" s="2"/>
    </row>
    <row r="2603" spans="1:22" s="137" customFormat="1" ht="12.75" customHeight="1" x14ac:dyDescent="0.2">
      <c r="A2603" s="155"/>
      <c r="B2603" s="138" t="str">
        <f>IF(A2603="","",VLOOKUP(A2603,'6.A'!$A$11:$G$180,2,FALSE))</f>
        <v/>
      </c>
      <c r="C2603" s="156"/>
      <c r="D2603" s="141" t="str">
        <f>IF(A2603="","",VLOOKUP(A2603,'6.A'!$A$11:$G$180,4,FALSE))</f>
        <v/>
      </c>
      <c r="E2603" s="160" t="str">
        <f>IF(A2603="","",VLOOKUP(A2603,'6.A'!$A$11:$G$180,5,FALSE))</f>
        <v/>
      </c>
      <c r="F2603" s="159" t="str">
        <f t="shared" si="1102"/>
        <v>0,00</v>
      </c>
      <c r="G2603" s="52"/>
      <c r="H2603" s="52" t="str">
        <f>IF(A2603="","",VLOOKUP(A2603,'6.A'!$A$11:$E$7984,5,FALSE))</f>
        <v/>
      </c>
      <c r="I2603" s="52" t="str">
        <f t="shared" si="1103"/>
        <v/>
      </c>
      <c r="J2603" s="52" t="str">
        <f>IF(H2603="","",VLOOKUP(A2603,'6.A'!$A$11:$E$564,4,FALSE))</f>
        <v/>
      </c>
      <c r="K2603" s="52" t="str">
        <f t="shared" si="1104"/>
        <v/>
      </c>
      <c r="L2603" s="52" t="str">
        <f>IF(H2603="","",IF(C2603="","",G2560*C2603))</f>
        <v/>
      </c>
      <c r="M2603" s="117" t="str">
        <f>IF(A2603="","",VLOOKUP(A2603,'6.A'!$A$11:$C$564,2,FALSE))</f>
        <v/>
      </c>
      <c r="N2603" s="57" t="str">
        <f t="shared" si="1105"/>
        <v/>
      </c>
      <c r="O2603" s="56"/>
      <c r="P2603" s="56"/>
      <c r="Q2603" s="48"/>
      <c r="R2603" s="48"/>
      <c r="S2603" s="65"/>
      <c r="T2603" s="2"/>
      <c r="U2603" s="2"/>
      <c r="V2603" s="2"/>
    </row>
    <row r="2604" spans="1:22" s="137" customFormat="1" ht="12.75" customHeight="1" x14ac:dyDescent="0.2">
      <c r="A2604" s="155"/>
      <c r="B2604" s="138" t="str">
        <f>IF(A2604="","",VLOOKUP(A2604,'6.A'!$A$11:$G$180,2,FALSE))</f>
        <v/>
      </c>
      <c r="C2604" s="156"/>
      <c r="D2604" s="141" t="str">
        <f>IF(A2604="","",VLOOKUP(A2604,'6.A'!$A$11:$G$180,4,FALSE))</f>
        <v/>
      </c>
      <c r="E2604" s="160" t="str">
        <f>IF(A2604="","",VLOOKUP(A2604,'6.A'!$A$11:$G$180,5,FALSE))</f>
        <v/>
      </c>
      <c r="F2604" s="159" t="str">
        <f t="shared" si="1102"/>
        <v>0,00</v>
      </c>
      <c r="G2604" s="52"/>
      <c r="H2604" s="52" t="str">
        <f>IF(A2604="","",VLOOKUP(A2604,'6.A'!$A$11:$E$7984,5,FALSE))</f>
        <v/>
      </c>
      <c r="I2604" s="52" t="str">
        <f t="shared" si="1103"/>
        <v/>
      </c>
      <c r="J2604" s="52" t="str">
        <f>IF(H2604="","",VLOOKUP(A2604,'6.A'!$A$11:$E$564,4,FALSE))</f>
        <v/>
      </c>
      <c r="K2604" s="52" t="str">
        <f t="shared" si="1104"/>
        <v/>
      </c>
      <c r="L2604" s="52" t="str">
        <f>IF(H2604="","",IF(C2604="","",G2560*C2604))</f>
        <v/>
      </c>
      <c r="M2604" s="117" t="str">
        <f>IF(A2604="","",VLOOKUP(A2604,'6.A'!$A$11:$C$564,2,FALSE))</f>
        <v/>
      </c>
      <c r="N2604" s="57" t="str">
        <f t="shared" si="1105"/>
        <v/>
      </c>
      <c r="O2604" s="56"/>
      <c r="P2604" s="56"/>
      <c r="Q2604" s="48"/>
      <c r="R2604" s="48"/>
      <c r="S2604" s="65"/>
      <c r="T2604" s="2"/>
      <c r="U2604" s="2"/>
      <c r="V2604" s="2"/>
    </row>
    <row r="2605" spans="1:22" s="137" customFormat="1" ht="12.75" customHeight="1" x14ac:dyDescent="0.2">
      <c r="A2605" s="155"/>
      <c r="B2605" s="171" t="str">
        <f>IF(A2605="","",VLOOKUP(A2605,'6.A'!$A$11:$G$180,2,FALSE))</f>
        <v/>
      </c>
      <c r="C2605" s="156"/>
      <c r="D2605" s="141" t="str">
        <f>IF(A2605="","",VLOOKUP(A2605,'6.A'!$A$11:$G$180,4,FALSE))</f>
        <v/>
      </c>
      <c r="E2605" s="160" t="str">
        <f>IF(A2605="","",VLOOKUP(A2605,'6.A'!$A$11:$G$180,5,FALSE))</f>
        <v/>
      </c>
      <c r="F2605" s="159" t="str">
        <f t="shared" si="1102"/>
        <v>0,00</v>
      </c>
      <c r="G2605" s="52"/>
      <c r="H2605" s="52" t="str">
        <f>IF(A2605="","",VLOOKUP(A2605,'6.A'!$A$11:$E$7984,5,FALSE))</f>
        <v/>
      </c>
      <c r="I2605" s="52" t="str">
        <f t="shared" si="1103"/>
        <v/>
      </c>
      <c r="J2605" s="52" t="str">
        <f>IF(H2605="","",VLOOKUP(A2605,'6.A'!$A$11:$E$564,4,FALSE))</f>
        <v/>
      </c>
      <c r="K2605" s="52" t="str">
        <f t="shared" si="1104"/>
        <v/>
      </c>
      <c r="L2605" s="52" t="str">
        <f>IF(H2605="","",IF(C2605="","",G2560*C2605))</f>
        <v/>
      </c>
      <c r="M2605" s="117" t="str">
        <f>IF(A2605="","",VLOOKUP(A2605,'6.A'!$A$11:$C$564,2,FALSE))</f>
        <v/>
      </c>
      <c r="N2605" s="57" t="str">
        <f t="shared" si="1105"/>
        <v/>
      </c>
      <c r="O2605" s="56"/>
      <c r="P2605" s="56"/>
      <c r="Q2605" s="48"/>
      <c r="R2605" s="48"/>
      <c r="S2605" s="65"/>
      <c r="T2605" s="2"/>
      <c r="U2605" s="2"/>
      <c r="V2605" s="2"/>
    </row>
    <row r="2606" spans="1:22" s="137" customFormat="1" ht="12.75" customHeight="1" x14ac:dyDescent="0.2">
      <c r="A2606" s="155"/>
      <c r="B2606" s="171" t="str">
        <f>IF(A2606="","",VLOOKUP(A2606,'6.A'!$A$11:$G$180,2,FALSE))</f>
        <v/>
      </c>
      <c r="C2606" s="156"/>
      <c r="D2606" s="141" t="str">
        <f>IF(A2606="","",VLOOKUP(A2606,'6.A'!$A$11:$G$180,4,FALSE))</f>
        <v/>
      </c>
      <c r="E2606" s="160" t="str">
        <f>IF(A2606="","",VLOOKUP(A2606,'6.A'!$A$11:$G$180,5,FALSE))</f>
        <v/>
      </c>
      <c r="F2606" s="159" t="str">
        <f t="shared" si="1102"/>
        <v>0,00</v>
      </c>
      <c r="G2606" s="52"/>
      <c r="H2606" s="52" t="str">
        <f>IF(A2606="","",VLOOKUP(A2606,'6.A'!$A$11:$E$7984,5,FALSE))</f>
        <v/>
      </c>
      <c r="I2606" s="52" t="str">
        <f t="shared" si="1103"/>
        <v/>
      </c>
      <c r="J2606" s="52" t="str">
        <f>IF(H2606="","",VLOOKUP(A2606,'6.A'!$A$11:$E$564,4,FALSE))</f>
        <v/>
      </c>
      <c r="K2606" s="52" t="str">
        <f t="shared" si="1104"/>
        <v/>
      </c>
      <c r="L2606" s="52" t="str">
        <f>IF(H2606="","",IF(C2606="","",G2560*C2606))</f>
        <v/>
      </c>
      <c r="M2606" s="117" t="str">
        <f>IF(A2606="","",VLOOKUP(A2606,'6.A'!$A$11:$C$564,2,FALSE))</f>
        <v/>
      </c>
      <c r="N2606" s="57" t="str">
        <f t="shared" si="1105"/>
        <v/>
      </c>
      <c r="O2606" s="56"/>
      <c r="P2606" s="56"/>
      <c r="Q2606" s="48"/>
      <c r="R2606" s="48"/>
      <c r="S2606" s="65"/>
      <c r="T2606" s="2"/>
      <c r="U2606" s="2"/>
      <c r="V2606" s="2"/>
    </row>
    <row r="2607" spans="1:22" s="137" customFormat="1" ht="12.75" customHeight="1" x14ac:dyDescent="0.2">
      <c r="A2607" s="155"/>
      <c r="B2607" s="171" t="str">
        <f>IF(A2607="","",VLOOKUP(A2607,'6.A'!$A$11:$G$180,2,FALSE))</f>
        <v/>
      </c>
      <c r="C2607" s="156"/>
      <c r="D2607" s="141" t="str">
        <f>IF(A2607="","",VLOOKUP(A2607,'6.A'!$A$11:$G$180,4,FALSE))</f>
        <v/>
      </c>
      <c r="E2607" s="160" t="str">
        <f>IF(A2607="","",VLOOKUP(A2607,'6.A'!$A$11:$G$180,5,FALSE))</f>
        <v/>
      </c>
      <c r="F2607" s="159" t="str">
        <f t="shared" si="1102"/>
        <v>0,00</v>
      </c>
      <c r="G2607" s="52"/>
      <c r="H2607" s="52" t="str">
        <f>IF(A2607="","",VLOOKUP(A2607,'6.A'!$A$11:$E$7984,5,FALSE))</f>
        <v/>
      </c>
      <c r="I2607" s="52" t="str">
        <f t="shared" si="1103"/>
        <v/>
      </c>
      <c r="J2607" s="52" t="str">
        <f>IF(H2607="","",VLOOKUP(A2607,'6.A'!$A$11:$E$564,4,FALSE))</f>
        <v/>
      </c>
      <c r="K2607" s="52" t="str">
        <f t="shared" si="1104"/>
        <v/>
      </c>
      <c r="L2607" s="52" t="str">
        <f>IF(H2607="","",IF(C2607="","",G2560*C2607))</f>
        <v/>
      </c>
      <c r="M2607" s="117" t="str">
        <f>IF(A2607="","",VLOOKUP(A2607,'6.A'!$A$11:$C$564,2,FALSE))</f>
        <v/>
      </c>
      <c r="N2607" s="57" t="str">
        <f t="shared" si="1105"/>
        <v/>
      </c>
      <c r="O2607" s="56"/>
      <c r="P2607" s="56"/>
      <c r="Q2607" s="48"/>
      <c r="R2607" s="48"/>
      <c r="S2607" s="65"/>
      <c r="T2607" s="2"/>
      <c r="U2607" s="2"/>
      <c r="V2607" s="2"/>
    </row>
    <row r="2608" spans="1:22" s="137" customFormat="1" ht="12.75" customHeight="1" x14ac:dyDescent="0.2">
      <c r="A2608" s="155"/>
      <c r="B2608" s="171" t="str">
        <f>IF(A2608="","",VLOOKUP(A2608,'6.A'!$A$11:$G$180,2,FALSE))</f>
        <v/>
      </c>
      <c r="C2608" s="156"/>
      <c r="D2608" s="141" t="str">
        <f>IF(A2608="","",VLOOKUP(A2608,'6.A'!$A$11:$G$180,4,FALSE))</f>
        <v/>
      </c>
      <c r="E2608" s="160" t="str">
        <f>IF(A2608="","",VLOOKUP(A2608,'6.A'!$A$11:$G$180,5,FALSE))</f>
        <v/>
      </c>
      <c r="F2608" s="159" t="str">
        <f t="shared" si="1102"/>
        <v>0,00</v>
      </c>
      <c r="G2608" s="52"/>
      <c r="H2608" s="52" t="str">
        <f>IF(A2608="","",VLOOKUP(A2608,'6.A'!$A$11:$E$7984,5,FALSE))</f>
        <v/>
      </c>
      <c r="I2608" s="52" t="str">
        <f t="shared" si="1103"/>
        <v/>
      </c>
      <c r="J2608" s="52" t="str">
        <f>IF(H2608="","",VLOOKUP(A2608,'6.A'!$A$11:$E$564,4,FALSE))</f>
        <v/>
      </c>
      <c r="K2608" s="52" t="str">
        <f t="shared" si="1104"/>
        <v/>
      </c>
      <c r="L2608" s="52" t="str">
        <f>IF(H2608="","",IF(C2608="","",G2560*C2608))</f>
        <v/>
      </c>
      <c r="M2608" s="117" t="str">
        <f>IF(A2608="","",VLOOKUP(A2608,'6.A'!$A$11:$C$564,2,FALSE))</f>
        <v/>
      </c>
      <c r="N2608" s="57" t="str">
        <f t="shared" si="1105"/>
        <v/>
      </c>
      <c r="O2608" s="56"/>
      <c r="P2608" s="56"/>
      <c r="Q2608" s="48"/>
      <c r="R2608" s="48"/>
      <c r="S2608" s="65"/>
      <c r="T2608" s="2"/>
      <c r="U2608" s="2"/>
      <c r="V2608" s="2"/>
    </row>
    <row r="2609" spans="1:22" s="137" customFormat="1" ht="12.75" customHeight="1" x14ac:dyDescent="0.2">
      <c r="A2609" s="155"/>
      <c r="B2609" s="26" t="str">
        <f>$A$9</f>
        <v>BDI</v>
      </c>
      <c r="C2609" s="40">
        <f>$C$9</f>
        <v>0</v>
      </c>
      <c r="D2609" s="141"/>
      <c r="E2609" s="147"/>
      <c r="F2609" s="162">
        <f>ROUND(SUM(F2589:F2608)*C2609,2)</f>
        <v>0</v>
      </c>
      <c r="G2609" s="63"/>
      <c r="H2609" s="52"/>
      <c r="I2609" s="57"/>
      <c r="J2609" s="57"/>
      <c r="K2609" s="57"/>
      <c r="L2609" s="52"/>
      <c r="M2609" s="57"/>
      <c r="N2609" s="57"/>
      <c r="O2609" s="56"/>
      <c r="P2609" s="56"/>
      <c r="Q2609" s="48"/>
      <c r="R2609" s="48"/>
      <c r="S2609" s="65"/>
      <c r="T2609" s="2"/>
      <c r="U2609" s="2"/>
      <c r="V2609" s="2"/>
    </row>
    <row r="2610" spans="1:22" s="137" customFormat="1" ht="12.75" customHeight="1" thickBot="1" x14ac:dyDescent="0.25">
      <c r="A2610" s="172"/>
      <c r="B2610" s="42" t="s">
        <v>57</v>
      </c>
      <c r="C2610" s="43"/>
      <c r="D2610" s="173"/>
      <c r="E2610" s="174"/>
      <c r="F2610" s="175">
        <f>ROUND(SUM(F2589:F2609),2)</f>
        <v>0</v>
      </c>
      <c r="G2610" s="63"/>
      <c r="H2610" s="52"/>
      <c r="I2610" s="57"/>
      <c r="J2610" s="57"/>
      <c r="K2610" s="57"/>
      <c r="L2610" s="52"/>
      <c r="M2610" s="57"/>
      <c r="N2610" s="57"/>
      <c r="O2610" s="56"/>
      <c r="P2610" s="56"/>
      <c r="Q2610" s="48"/>
      <c r="R2610" s="48"/>
      <c r="S2610" s="65"/>
      <c r="T2610" s="2"/>
      <c r="U2610" s="2"/>
      <c r="V2610" s="2"/>
    </row>
    <row r="2611" spans="1:22" s="137" customFormat="1" ht="12" customHeight="1" thickBot="1" x14ac:dyDescent="0.25">
      <c r="A2611" s="150"/>
      <c r="B2611" s="145"/>
      <c r="C2611" s="146"/>
      <c r="D2611" s="141"/>
      <c r="E2611" s="147"/>
      <c r="F2611" s="142"/>
      <c r="G2611" s="142"/>
      <c r="H2611" s="139"/>
      <c r="I2611" s="141"/>
      <c r="J2611" s="141"/>
      <c r="K2611" s="141"/>
      <c r="L2611" s="139"/>
      <c r="M2611" s="143"/>
      <c r="N2611" s="143"/>
      <c r="O2611" s="144"/>
      <c r="P2611" s="144"/>
      <c r="Q2611" s="135"/>
      <c r="R2611" s="135"/>
      <c r="S2611" s="149"/>
    </row>
    <row r="2612" spans="1:22" s="137" customFormat="1" ht="50.1" customHeight="1" x14ac:dyDescent="0.2">
      <c r="A2612" s="151" t="str">
        <f>'3.A'!$A$61</f>
        <v>3.3.7</v>
      </c>
      <c r="B2612" s="14" t="str">
        <f>IF(A2612="","",VLOOKUP(A2612,'3.A'!$A$17:$M$279,2,FALSE))</f>
        <v>DISJUNTOR CAIXA MOLDADA TRIPOLAR 630A COM DISPARADOR TERMOMAGNÉTICO AJUSTÁVEL</v>
      </c>
      <c r="C2612" s="413" t="s">
        <v>62</v>
      </c>
      <c r="D2612" s="413"/>
      <c r="E2612" s="15" t="str">
        <f>IF(A2612="","",VLOOKUP(A2612,'3.A'!$A$17:$M$279,3,FALSE))</f>
        <v>UN</v>
      </c>
      <c r="F2612" s="16">
        <f>ROUND(F2626+F2639+F2662,2)</f>
        <v>0</v>
      </c>
      <c r="G2612" s="118">
        <f>VLOOKUP(A2612,'3.A'!$A$19:$I$279,4,FALSE)</f>
        <v>1</v>
      </c>
      <c r="H2612" s="47">
        <f>SUM(F2614:F2625)</f>
        <v>0</v>
      </c>
      <c r="I2612" s="47">
        <f>SUM(F2628:F2638)</f>
        <v>0</v>
      </c>
      <c r="J2612" s="47">
        <f>SUM(F2641:F2661)</f>
        <v>0</v>
      </c>
      <c r="K2612" s="47">
        <f>SUM(H2612:J2612)</f>
        <v>0</v>
      </c>
      <c r="L2612" s="47" t="str">
        <f>IF(K2612=F2612,"SIM","NÃO")</f>
        <v>SIM</v>
      </c>
      <c r="M2612" s="58">
        <f>ROUND(SUM(F2614:F2623)*C2624,2)+ROUND(SUM(F2614:F2624)*C2625,2)+ROUND(SUM(F2614:F2623),2)+ROUND(SUM(F2628:F2637)*C2638,2)+ROUND(SUM(F2628:F2637),2)+ROUND(SUM(F2641:F2660)*C2661,2)+ROUND(SUM(F2641:F2660),2)</f>
        <v>0</v>
      </c>
      <c r="N2612" s="50" t="str">
        <f>IF(M2612=F2612,"SIM","NÃO")</f>
        <v>SIM</v>
      </c>
      <c r="O2612" s="51" t="str">
        <f>VLOOKUP(A2612,'3.A'!$A$8:$E$279,3,FALSE)</f>
        <v>UN</v>
      </c>
      <c r="P2612" s="51" t="str">
        <f>IF(O2612=E2612,"SIM","NÃO")</f>
        <v>SIM</v>
      </c>
      <c r="Q2612" s="53">
        <f>ROUND(G2612*F2626,2)+ROUND(G2612*F2639,2)+ROUND(G2612*F2662,2)</f>
        <v>0</v>
      </c>
      <c r="R2612" s="59">
        <f>VLOOKUP(A2612,'3.A'!$A$17:$L$279,12,FALSE)</f>
        <v>0</v>
      </c>
      <c r="S2612" s="60" t="str">
        <f>IF(Q2612=R2612,"si","no")</f>
        <v>si</v>
      </c>
      <c r="T2612" s="61">
        <f>SUM(L2614:L2623)+SUM(L2628:L2637)+SUM(L2641:L2660)</f>
        <v>6.8000000000000007</v>
      </c>
      <c r="U2612" s="52">
        <f>G2612*C2620+G2612*C2622+G2612*C2615+G2612*C2616+G2612*C2618+G2612*C2621+G2612*C2619+G2612*C2614+G2612*C2617+G2612*C2623+G2612*C2634+G2612*C2628+G2612*C2636+G2612*C2635+G2612*C2633+G2612*C2630+G2612*C2629+G2612*C2631+G2612*C2637+G2612*C2632+G2612*C2641+G2612*C2642+G2612*C2643+G2612*C2651+G2612*C2652+G2612*C2653+G2612*C2654+G2612*C2655+G2612*C2656+G2612*C2657+G2612*C2658+G2612*C2659+G2612*C2660+G2612*C2649+G2612*C2650+G2612*C2644+G2612*C2645+G2612*C2646+G2612*C2647+G2612*C2648</f>
        <v>6.8</v>
      </c>
      <c r="V2612" s="54" t="str">
        <f>IF(T2612=U2612,"si","no")</f>
        <v>si</v>
      </c>
    </row>
    <row r="2613" spans="1:22" s="137" customFormat="1" ht="12.75" customHeight="1" x14ac:dyDescent="0.2">
      <c r="A2613" s="152" t="s">
        <v>3</v>
      </c>
      <c r="B2613" s="153" t="s">
        <v>58</v>
      </c>
      <c r="C2613" s="140" t="s">
        <v>59</v>
      </c>
      <c r="D2613" s="140" t="s">
        <v>16</v>
      </c>
      <c r="E2613" s="154" t="s">
        <v>60</v>
      </c>
      <c r="F2613" s="148" t="s">
        <v>61</v>
      </c>
      <c r="G2613" s="21"/>
      <c r="H2613" s="52"/>
      <c r="I2613" s="57"/>
      <c r="J2613" s="57"/>
      <c r="K2613" s="57"/>
      <c r="L2613" s="52"/>
      <c r="M2613" s="57"/>
      <c r="N2613" s="57"/>
      <c r="O2613" s="56"/>
      <c r="P2613" s="56"/>
      <c r="Q2613" s="48"/>
      <c r="R2613" s="48"/>
      <c r="S2613" s="65"/>
      <c r="T2613" s="2"/>
      <c r="U2613" s="2"/>
      <c r="V2613" s="2"/>
    </row>
    <row r="2614" spans="1:22" s="137" customFormat="1" ht="12.75" customHeight="1" x14ac:dyDescent="0.2">
      <c r="A2614" s="155">
        <f>'6.A'!$A$19</f>
        <v>88266</v>
      </c>
      <c r="B2614" s="138" t="str">
        <f>IF(A2614="","",VLOOKUP(A2614,'6.A'!$A$11:$G$180,2,FALSE))</f>
        <v>ELETROTÉCNICO COM ENCARGOS COMPLEMENTARES</v>
      </c>
      <c r="C2614" s="156">
        <v>0.6</v>
      </c>
      <c r="D2614" s="157" t="str">
        <f>IF(A2614="","",VLOOKUP(A2614,'6.A'!$A$11:$G$180,4,FALSE))</f>
        <v>H</v>
      </c>
      <c r="E2614" s="158">
        <f>IF(A2614="","",VLOOKUP(A2614,'6.A'!$A$11:$G$180,5,FALSE))</f>
        <v>0</v>
      </c>
      <c r="F2614" s="159">
        <f t="shared" ref="F2614:F2623" si="1106">IF(A2614="","0,00",ROUND(C2614*E2614,2))</f>
        <v>0</v>
      </c>
      <c r="G2614" s="52"/>
      <c r="H2614" s="52">
        <f>IF(A2614="","",VLOOKUP(A2614,'6.A'!$A$11:$E$7984,5,FALSE))</f>
        <v>0</v>
      </c>
      <c r="I2614" s="52" t="str">
        <f>IF(H2614="","",IF(E2614=H2614,"SIM","NÃO"))</f>
        <v>SIM</v>
      </c>
      <c r="J2614" s="52" t="str">
        <f>IF(H2614="","",VLOOKUP(A2614,'6.A'!$A$11:$E$564,4,FALSE))</f>
        <v>H</v>
      </c>
      <c r="K2614" s="52" t="str">
        <f>IF(H2614="","",IF(J2614=D2614,"SIM","NÃO"))</f>
        <v>SIM</v>
      </c>
      <c r="L2614" s="52">
        <f>IF(H2614="","",IF(C2614="","",G2612*C2614))</f>
        <v>0.6</v>
      </c>
      <c r="M2614" s="117" t="str">
        <f>IF(A2614="","",VLOOKUP(A2614,'6.A'!$A$11:$C$564,2,FALSE))</f>
        <v>ELETROTÉCNICO COM ENCARGOS COMPLEMENTARES</v>
      </c>
      <c r="N2614" s="57" t="str">
        <f>IF(A2614="","",IF(M2614=B2614,"si","no"))</f>
        <v>si</v>
      </c>
      <c r="O2614" s="56"/>
      <c r="P2614" s="56"/>
      <c r="Q2614" s="48"/>
      <c r="R2614" s="48"/>
      <c r="S2614" s="65"/>
      <c r="T2614" s="2"/>
      <c r="U2614" s="2"/>
      <c r="V2614" s="2"/>
    </row>
    <row r="2615" spans="1:22" s="137" customFormat="1" ht="12.75" customHeight="1" x14ac:dyDescent="0.2">
      <c r="A2615" s="155">
        <f>'6.A'!$A$18</f>
        <v>88264</v>
      </c>
      <c r="B2615" s="138" t="str">
        <f>IF(A2615="","",VLOOKUP(A2615,'6.A'!$A$11:$G$180,2,FALSE))</f>
        <v>ELETRICISTA COM ENCARGOS COMPLEMENTARES</v>
      </c>
      <c r="C2615" s="156">
        <v>2.6</v>
      </c>
      <c r="D2615" s="157" t="str">
        <f>IF(A2615="","",VLOOKUP(A2615,'6.A'!$A$11:$G$180,4,FALSE))</f>
        <v>H</v>
      </c>
      <c r="E2615" s="158">
        <f>IF(A2615="","",VLOOKUP(A2615,'6.A'!$A$11:$G$180,5,FALSE))</f>
        <v>0</v>
      </c>
      <c r="F2615" s="159">
        <f t="shared" ref="F2615:F2617" si="1107">IF(A2615="","0,00",ROUND(C2615*E2615,2))</f>
        <v>0</v>
      </c>
      <c r="G2615" s="52"/>
      <c r="H2615" s="52">
        <f>IF(A2615="","",VLOOKUP(A2615,'6.A'!$A$11:$E$7984,5,FALSE))</f>
        <v>0</v>
      </c>
      <c r="I2615" s="52" t="str">
        <f>IF(H2615="","",IF(E2615=H2615,"SIM","NÃO"))</f>
        <v>SIM</v>
      </c>
      <c r="J2615" s="52" t="str">
        <f>IF(H2615="","",VLOOKUP(A2615,'6.A'!$A$11:$E$564,4,FALSE))</f>
        <v>H</v>
      </c>
      <c r="K2615" s="52" t="str">
        <f>IF(H2615="","",IF(J2615=D2615,"SIM","NÃO"))</f>
        <v>SIM</v>
      </c>
      <c r="L2615" s="52">
        <f>IF(H2615="","",IF(C2615="","",G2612*C2615))</f>
        <v>2.6</v>
      </c>
      <c r="M2615" s="117" t="str">
        <f>IF(A2615="","",VLOOKUP(A2615,'6.A'!$A$11:$C$564,2,FALSE))</f>
        <v>ELETRICISTA COM ENCARGOS COMPLEMENTARES</v>
      </c>
      <c r="N2615" s="57" t="str">
        <f>IF(A2615="","",IF(M2615=B2615,"si","no"))</f>
        <v>si</v>
      </c>
      <c r="O2615" s="56"/>
      <c r="P2615" s="56"/>
      <c r="Q2615" s="48"/>
      <c r="R2615" s="48"/>
      <c r="S2615" s="65"/>
      <c r="T2615" s="2"/>
      <c r="U2615" s="2"/>
      <c r="V2615" s="2"/>
    </row>
    <row r="2616" spans="1:22" s="149" customFormat="1" ht="12.75" customHeight="1" x14ac:dyDescent="0.2">
      <c r="A2616" s="155">
        <f>'6.A'!$A$22</f>
        <v>88316</v>
      </c>
      <c r="B2616" s="138" t="str">
        <f>IF(A2616="","",VLOOKUP(A2616,'6.A'!$A$11:$G$180,2,FALSE))</f>
        <v>SERVENTE COM ENCARGOS COMPLEMENTARES</v>
      </c>
      <c r="C2616" s="156">
        <v>2.6</v>
      </c>
      <c r="D2616" s="157" t="str">
        <f>IF(A2616="","",VLOOKUP(A2616,'6.A'!$A$11:$G$180,4,FALSE))</f>
        <v>H</v>
      </c>
      <c r="E2616" s="158">
        <f>IF(A2616="","",VLOOKUP(A2616,'6.A'!$A$11:$G$180,5,FALSE))</f>
        <v>0</v>
      </c>
      <c r="F2616" s="159">
        <f t="shared" si="1107"/>
        <v>0</v>
      </c>
      <c r="G2616" s="52"/>
      <c r="H2616" s="52">
        <f>IF(A2616="","",VLOOKUP(A2616,'6.A'!$A$11:$E$7984,5,FALSE))</f>
        <v>0</v>
      </c>
      <c r="I2616" s="52" t="str">
        <f>IF(H2616="","",IF(E2616=H2616,"SIM","NÃO"))</f>
        <v>SIM</v>
      </c>
      <c r="J2616" s="52" t="str">
        <f>IF(H2616="","",VLOOKUP(A2616,'6.A'!$A$11:$E$564,4,FALSE))</f>
        <v>H</v>
      </c>
      <c r="K2616" s="52" t="str">
        <f t="shared" ref="K2616" si="1108">IF(H2616="","",IF(J2616=D2616,"SIM","NÃO"))</f>
        <v>SIM</v>
      </c>
      <c r="L2616" s="52">
        <f>IF(H2616="","",IF(C2616="","",G2612*C2616))</f>
        <v>2.6</v>
      </c>
      <c r="M2616" s="117" t="str">
        <f>IF(A2616="","",VLOOKUP(A2616,'6.A'!$A$11:$C$564,2,FALSE))</f>
        <v>SERVENTE COM ENCARGOS COMPLEMENTARES</v>
      </c>
      <c r="N2616" s="57" t="str">
        <f t="shared" ref="N2616" si="1109">IF(A2616="","",IF(M2616=B2616,"si","no"))</f>
        <v>si</v>
      </c>
      <c r="O2616" s="56"/>
      <c r="P2616" s="56"/>
      <c r="Q2616" s="48"/>
      <c r="R2616" s="48"/>
      <c r="S2616" s="65"/>
      <c r="T2616" s="2"/>
      <c r="U2616" s="2"/>
      <c r="V2616" s="2"/>
    </row>
    <row r="2617" spans="1:22" s="149" customFormat="1" ht="12.75" customHeight="1" x14ac:dyDescent="0.2">
      <c r="A2617" s="155"/>
      <c r="B2617" s="138" t="str">
        <f>IF(A2617="","",VLOOKUP(A2617,'6.A'!$A$11:$G$180,2,FALSE))</f>
        <v/>
      </c>
      <c r="C2617" s="156"/>
      <c r="D2617" s="157" t="str">
        <f>IF(A2617="","",VLOOKUP(A2617,'6.A'!$A$11:$G$180,4,FALSE))</f>
        <v/>
      </c>
      <c r="E2617" s="158" t="str">
        <f>IF(A2617="","",VLOOKUP(A2617,'6.A'!$A$11:$G$180,5,FALSE))</f>
        <v/>
      </c>
      <c r="F2617" s="159" t="str">
        <f t="shared" si="1107"/>
        <v>0,00</v>
      </c>
      <c r="G2617" s="52"/>
      <c r="H2617" s="52" t="str">
        <f>IF(A2617="","",VLOOKUP(A2617,'6.A'!$A$11:$E$7984,5,FALSE))</f>
        <v/>
      </c>
      <c r="I2617" s="52" t="str">
        <f>IF(H2617="","",IF(E2617=H2617,"SIM","NÃO"))</f>
        <v/>
      </c>
      <c r="J2617" s="52" t="str">
        <f>IF(H2617="","",VLOOKUP(A2617,'6.A'!$A$11:$E$564,4,FALSE))</f>
        <v/>
      </c>
      <c r="K2617" s="52" t="str">
        <f>IF(H2617="","",IF(J2617=D2617,"SIM","NÃO"))</f>
        <v/>
      </c>
      <c r="L2617" s="52" t="str">
        <f>IF(H2617="","",IF(C2617="","",G2612*C2617))</f>
        <v/>
      </c>
      <c r="M2617" s="117" t="str">
        <f>IF(A2617="","",VLOOKUP(A2617,'6.A'!$A$11:$C$564,2,FALSE))</f>
        <v/>
      </c>
      <c r="N2617" s="57" t="str">
        <f>IF(A2617="","",IF(M2617=B2617,"si","no"))</f>
        <v/>
      </c>
      <c r="O2617" s="56"/>
      <c r="P2617" s="56"/>
      <c r="Q2617" s="48"/>
      <c r="R2617" s="48"/>
      <c r="S2617" s="65"/>
      <c r="T2617" s="2"/>
      <c r="U2617" s="2"/>
      <c r="V2617" s="2"/>
    </row>
    <row r="2618" spans="1:22" s="149" customFormat="1" ht="12.75" customHeight="1" x14ac:dyDescent="0.2">
      <c r="A2618" s="155"/>
      <c r="B2618" s="138" t="str">
        <f>IF(A2618="","",VLOOKUP(A2618,'6.A'!$A$11:$G$180,2,FALSE))</f>
        <v/>
      </c>
      <c r="C2618" s="156"/>
      <c r="D2618" s="157"/>
      <c r="E2618" s="158"/>
      <c r="F2618" s="159" t="str">
        <f t="shared" si="1106"/>
        <v>0,00</v>
      </c>
      <c r="G2618" s="52"/>
      <c r="H2618" s="52" t="str">
        <f>IF(A2618="","",VLOOKUP(A2618,'6.A'!$A$11:$E$7984,5,FALSE))</f>
        <v/>
      </c>
      <c r="I2618" s="52" t="str">
        <f t="shared" ref="I2618" si="1110">IF(H2618="","",IF(E2618=H2618,"SIM","NÃO"))</f>
        <v/>
      </c>
      <c r="J2618" s="52" t="str">
        <f>IF(H2618="","",VLOOKUP(A2618,'6.A'!$A$11:$E$564,4,FALSE))</f>
        <v/>
      </c>
      <c r="K2618" s="52" t="str">
        <f t="shared" ref="K2618" si="1111">IF(H2618="","",IF(J2618=D2618,"SIM","NÃO"))</f>
        <v/>
      </c>
      <c r="L2618" s="52" t="str">
        <f>IF(H2618="","",IF(C2618="","",G2612*C2618))</f>
        <v/>
      </c>
      <c r="M2618" s="117" t="str">
        <f>IF(A2618="","",VLOOKUP(A2618,'6.A'!$A$11:$C$564,2,FALSE))</f>
        <v/>
      </c>
      <c r="N2618" s="57" t="str">
        <f t="shared" ref="N2618" si="1112">IF(A2618="","",IF(M2618=B2618,"si","no"))</f>
        <v/>
      </c>
      <c r="O2618" s="56"/>
      <c r="P2618" s="56"/>
      <c r="Q2618" s="48"/>
      <c r="R2618" s="48"/>
      <c r="S2618" s="65"/>
      <c r="T2618" s="2"/>
      <c r="U2618" s="2"/>
      <c r="V2618" s="2"/>
    </row>
    <row r="2619" spans="1:22" s="149" customFormat="1" ht="12.75" customHeight="1" x14ac:dyDescent="0.2">
      <c r="A2619" s="155"/>
      <c r="B2619" s="138" t="str">
        <f>IF(A2619="","",VLOOKUP(A2619,'6.A'!$A$11:$G$180,2,FALSE))</f>
        <v/>
      </c>
      <c r="C2619" s="156"/>
      <c r="D2619" s="157"/>
      <c r="E2619" s="158"/>
      <c r="F2619" s="159" t="str">
        <f t="shared" si="1106"/>
        <v>0,00</v>
      </c>
      <c r="G2619" s="52"/>
      <c r="H2619" s="52" t="str">
        <f>IF(A2619="","",VLOOKUP(A2619,'6.A'!$A$11:$E$7984,5,FALSE))</f>
        <v/>
      </c>
      <c r="I2619" s="52" t="str">
        <f>IF(H2619="","",IF(E2619=H2619,"SIM","NÃO"))</f>
        <v/>
      </c>
      <c r="J2619" s="52" t="str">
        <f>IF(H2619="","",VLOOKUP(A2619,'6.A'!$A$11:$E$564,4,FALSE))</f>
        <v/>
      </c>
      <c r="K2619" s="52" t="str">
        <f>IF(H2619="","",IF(J2619=D2619,"SIM","NÃO"))</f>
        <v/>
      </c>
      <c r="L2619" s="52" t="str">
        <f>IF(H2619="","",IF(C2619="","",G2612*C2619))</f>
        <v/>
      </c>
      <c r="M2619" s="117" t="str">
        <f>IF(A2619="","",VLOOKUP(A2619,'6.A'!$A$11:$C$564,2,FALSE))</f>
        <v/>
      </c>
      <c r="N2619" s="57" t="str">
        <f>IF(A2619="","",IF(M2619=B2619,"si","no"))</f>
        <v/>
      </c>
      <c r="O2619" s="56"/>
      <c r="P2619" s="56"/>
      <c r="Q2619" s="48"/>
      <c r="R2619" s="48"/>
      <c r="S2619" s="65"/>
      <c r="T2619" s="2"/>
      <c r="U2619" s="2"/>
      <c r="V2619" s="2"/>
    </row>
    <row r="2620" spans="1:22" s="149" customFormat="1" ht="12.75" customHeight="1" x14ac:dyDescent="0.2">
      <c r="A2620" s="155"/>
      <c r="B2620" s="138" t="str">
        <f>IF(A2620="","",VLOOKUP(A2620,'6.A'!$A$11:$G$180,2,FALSE))</f>
        <v/>
      </c>
      <c r="C2620" s="156"/>
      <c r="D2620" s="141" t="str">
        <f>IF(A2620="","",VLOOKUP(A2620,'6.A'!$A$11:$G$180,4,FALSE))</f>
        <v/>
      </c>
      <c r="E2620" s="160" t="str">
        <f>IF(A2620="","",VLOOKUP(A2620,'6.A'!$A$11:$G$180,5,FALSE))</f>
        <v/>
      </c>
      <c r="F2620" s="159" t="str">
        <f t="shared" si="1106"/>
        <v>0,00</v>
      </c>
      <c r="G2620" s="52"/>
      <c r="H2620" s="52" t="str">
        <f>IF(A2620="","",VLOOKUP(A2620,'6.A'!$A$11:$E$7984,5,FALSE))</f>
        <v/>
      </c>
      <c r="I2620" s="52" t="str">
        <f>IF(H2620="","",IF(E2620=H2620,"SIM","NÃO"))</f>
        <v/>
      </c>
      <c r="J2620" s="52" t="str">
        <f>IF(H2620="","",VLOOKUP(A2620,'6.A'!$A$11:$E$564,4,FALSE))</f>
        <v/>
      </c>
      <c r="K2620" s="52" t="str">
        <f>IF(H2620="","",IF(J2620=D2620,"SIM","NÃO"))</f>
        <v/>
      </c>
      <c r="L2620" s="52" t="str">
        <f>IF(H2620="","",IF(C2620="","",G2612*C2620))</f>
        <v/>
      </c>
      <c r="M2620" s="117" t="str">
        <f>IF(A2620="","",VLOOKUP(A2620,'6.A'!$A$11:$C$564,2,FALSE))</f>
        <v/>
      </c>
      <c r="N2620" s="57" t="str">
        <f>IF(A2620="","",IF(M2620=B2620,"si","no"))</f>
        <v/>
      </c>
      <c r="O2620" s="56"/>
      <c r="P2620" s="56"/>
      <c r="Q2620" s="48"/>
      <c r="R2620" s="48"/>
      <c r="S2620" s="65"/>
      <c r="T2620" s="2"/>
      <c r="U2620" s="2"/>
      <c r="V2620" s="2"/>
    </row>
    <row r="2621" spans="1:22" s="149" customFormat="1" ht="12.75" customHeight="1" x14ac:dyDescent="0.2">
      <c r="A2621" s="155"/>
      <c r="B2621" s="138" t="str">
        <f>IF(A2621="","",VLOOKUP(A2621,'6.A'!$A$11:$G$180,2,FALSE))</f>
        <v/>
      </c>
      <c r="C2621" s="156"/>
      <c r="D2621" s="141" t="str">
        <f>IF(A2621="","",VLOOKUP(A2621,'6.A'!$A$11:$G$180,4,FALSE))</f>
        <v/>
      </c>
      <c r="E2621" s="158" t="str">
        <f>IF(A2621="","",VLOOKUP(A2621,'6.A'!$A$11:$G$180,5,FALSE))</f>
        <v/>
      </c>
      <c r="F2621" s="159" t="str">
        <f t="shared" si="1106"/>
        <v>0,00</v>
      </c>
      <c r="G2621" s="52"/>
      <c r="H2621" s="52" t="str">
        <f>IF(A2621="","",VLOOKUP(A2621,'6.A'!$A$11:$E$7984,5,FALSE))</f>
        <v/>
      </c>
      <c r="I2621" s="52" t="str">
        <f t="shared" ref="I2621" si="1113">IF(H2621="","",IF(E2621=H2621,"SIM","NÃO"))</f>
        <v/>
      </c>
      <c r="J2621" s="52" t="str">
        <f>IF(H2621="","",VLOOKUP(A2621,'6.A'!$A$11:$E$564,4,FALSE))</f>
        <v/>
      </c>
      <c r="K2621" s="52" t="str">
        <f t="shared" ref="K2621" si="1114">IF(H2621="","",IF(J2621=D2621,"SIM","NÃO"))</f>
        <v/>
      </c>
      <c r="L2621" s="52" t="str">
        <f>IF(H2621="","",IF(C2621="","",G2612*C2621))</f>
        <v/>
      </c>
      <c r="M2621" s="117" t="str">
        <f>IF(A2621="","",VLOOKUP(A2621,'6.A'!$A$11:$C$564,2,FALSE))</f>
        <v/>
      </c>
      <c r="N2621" s="57" t="str">
        <f t="shared" ref="N2621" si="1115">IF(A2621="","",IF(M2621=B2621,"si","no"))</f>
        <v/>
      </c>
      <c r="O2621" s="56"/>
      <c r="P2621" s="56"/>
      <c r="Q2621" s="48"/>
      <c r="R2621" s="48"/>
      <c r="S2621" s="65"/>
      <c r="T2621" s="2"/>
      <c r="U2621" s="2"/>
      <c r="V2621" s="2"/>
    </row>
    <row r="2622" spans="1:22" s="149" customFormat="1" ht="12.75" customHeight="1" x14ac:dyDescent="0.2">
      <c r="A2622" s="155"/>
      <c r="B2622" s="138" t="str">
        <f>IF(A2622="","",VLOOKUP(A2622,'6.A'!$A$11:$G$180,2,FALSE))</f>
        <v/>
      </c>
      <c r="C2622" s="156"/>
      <c r="D2622" s="141" t="str">
        <f>IF(A2622="","",VLOOKUP(A2622,'6.A'!$A$11:$G$180,4,FALSE))</f>
        <v/>
      </c>
      <c r="E2622" s="158" t="str">
        <f>IF(A2622="","",VLOOKUP(A2622,'6.A'!$A$11:$G$180,5,FALSE))</f>
        <v/>
      </c>
      <c r="F2622" s="159" t="str">
        <f t="shared" si="1106"/>
        <v>0,00</v>
      </c>
      <c r="G2622" s="52"/>
      <c r="H2622" s="52" t="str">
        <f>IF(A2622="","",VLOOKUP(A2622,'6.A'!$A$11:$E$7984,5,FALSE))</f>
        <v/>
      </c>
      <c r="I2622" s="52" t="str">
        <f>IF(H2622="","",IF(E2622=H2622,"SIM","NÃO"))</f>
        <v/>
      </c>
      <c r="J2622" s="52" t="str">
        <f>IF(H2622="","",VLOOKUP(A2622,'6.A'!$A$11:$E$564,4,FALSE))</f>
        <v/>
      </c>
      <c r="K2622" s="52" t="str">
        <f>IF(H2622="","",IF(J2622=D2622,"SIM","NÃO"))</f>
        <v/>
      </c>
      <c r="L2622" s="52" t="str">
        <f>IF(H2622="","",IF(C2622="","",G2612*C2622))</f>
        <v/>
      </c>
      <c r="M2622" s="117" t="str">
        <f>IF(A2622="","",VLOOKUP(A2622,'6.A'!$A$11:$C$564,2,FALSE))</f>
        <v/>
      </c>
      <c r="N2622" s="57" t="str">
        <f>IF(A2622="","",IF(M2622=B2622,"si","no"))</f>
        <v/>
      </c>
      <c r="O2622" s="56"/>
      <c r="P2622" s="56"/>
      <c r="Q2622" s="48"/>
      <c r="R2622" s="48"/>
      <c r="S2622" s="65"/>
      <c r="T2622" s="2"/>
      <c r="U2622" s="2"/>
      <c r="V2622" s="2"/>
    </row>
    <row r="2623" spans="1:22" s="149" customFormat="1" ht="12.75" customHeight="1" x14ac:dyDescent="0.2">
      <c r="A2623" s="155"/>
      <c r="B2623" s="138" t="str">
        <f>IF(A2623="","",VLOOKUP(A2623,'6.A'!$A$11:$G$180,2,FALSE))</f>
        <v/>
      </c>
      <c r="C2623" s="156"/>
      <c r="D2623" s="161" t="str">
        <f>IF(A2623="","",VLOOKUP(A2623,'6.A'!$A$11:$G$180,4,FALSE))</f>
        <v/>
      </c>
      <c r="E2623" s="158" t="str">
        <f>IF(A2623="","",VLOOKUP(A2623,'6.A'!$A$11:$G$180,5,FALSE))</f>
        <v/>
      </c>
      <c r="F2623" s="159" t="str">
        <f t="shared" si="1106"/>
        <v>0,00</v>
      </c>
      <c r="G2623" s="52"/>
      <c r="H2623" s="52" t="str">
        <f>IF(A2623="","",VLOOKUP(A2623,'6.A'!$A$11:$E$7984,5,FALSE))</f>
        <v/>
      </c>
      <c r="I2623" s="52" t="str">
        <f t="shared" ref="I2623" si="1116">IF(H2623="","",IF(E2623=H2623,"SIM","NÃO"))</f>
        <v/>
      </c>
      <c r="J2623" s="52" t="str">
        <f>IF(H2623="","",VLOOKUP(A2623,'6.A'!$A$11:$E$564,4,FALSE))</f>
        <v/>
      </c>
      <c r="K2623" s="52" t="str">
        <f t="shared" ref="K2623" si="1117">IF(H2623="","",IF(J2623=D2623,"SIM","NÃO"))</f>
        <v/>
      </c>
      <c r="L2623" s="52" t="str">
        <f>IF(H2623="","",IF(C2623="","",G2612*C2623))</f>
        <v/>
      </c>
      <c r="M2623" s="117" t="str">
        <f>IF(A2623="","",VLOOKUP(A2623,'6.A'!$A$11:$C$564,2,FALSE))</f>
        <v/>
      </c>
      <c r="N2623" s="57" t="str">
        <f t="shared" ref="N2623" si="1118">IF(A2623="","",IF(M2623=B2623,"si","no"))</f>
        <v/>
      </c>
      <c r="O2623" s="56"/>
      <c r="P2623" s="56"/>
      <c r="Q2623" s="48"/>
      <c r="R2623" s="48"/>
      <c r="S2623" s="65"/>
      <c r="T2623" s="2"/>
      <c r="U2623" s="2"/>
      <c r="V2623" s="2"/>
    </row>
    <row r="2624" spans="1:22" s="149" customFormat="1" ht="12.75" customHeight="1" x14ac:dyDescent="0.2">
      <c r="A2624" s="152"/>
      <c r="B2624" s="26" t="str">
        <f>$A$8</f>
        <v>LEIS SOCIAIS HORISTA - JORNADA NORMAL</v>
      </c>
      <c r="C2624" s="27">
        <f>$C$8</f>
        <v>0</v>
      </c>
      <c r="D2624" s="141"/>
      <c r="E2624" s="147"/>
      <c r="F2624" s="162">
        <f>ROUND(SUM(F2614:F2623)*C2624,2)</f>
        <v>0</v>
      </c>
      <c r="G2624" s="63"/>
      <c r="H2624" s="52"/>
      <c r="I2624" s="57"/>
      <c r="J2624" s="57"/>
      <c r="K2624" s="57"/>
      <c r="L2624" s="52"/>
      <c r="M2624" s="62"/>
      <c r="N2624" s="57"/>
      <c r="O2624" s="56"/>
      <c r="P2624" s="56"/>
      <c r="Q2624" s="48"/>
      <c r="R2624" s="48"/>
      <c r="S2624" s="65"/>
      <c r="T2624" s="2"/>
      <c r="U2624" s="2"/>
      <c r="V2624" s="2"/>
    </row>
    <row r="2625" spans="1:22" s="149" customFormat="1" ht="12.75" customHeight="1" x14ac:dyDescent="0.2">
      <c r="A2625" s="155"/>
      <c r="B2625" s="26" t="str">
        <f>$A$9</f>
        <v>BDI</v>
      </c>
      <c r="C2625" s="27">
        <f>$C$9</f>
        <v>0</v>
      </c>
      <c r="D2625" s="136"/>
      <c r="E2625" s="147"/>
      <c r="F2625" s="162">
        <f>ROUND(SUM(F2614:F2624)*C2625,2)</f>
        <v>0</v>
      </c>
      <c r="G2625" s="63"/>
      <c r="H2625" s="52"/>
      <c r="I2625" s="57"/>
      <c r="J2625" s="57"/>
      <c r="K2625" s="57"/>
      <c r="L2625" s="52"/>
      <c r="M2625" s="62"/>
      <c r="N2625" s="57"/>
      <c r="O2625" s="56"/>
      <c r="P2625" s="56"/>
      <c r="Q2625" s="48"/>
      <c r="R2625" s="48"/>
      <c r="S2625" s="65"/>
      <c r="T2625" s="2"/>
      <c r="U2625" s="2"/>
      <c r="V2625" s="2"/>
    </row>
    <row r="2626" spans="1:22" s="149" customFormat="1" ht="12.75" customHeight="1" x14ac:dyDescent="0.2">
      <c r="A2626" s="163"/>
      <c r="B2626" s="164" t="s">
        <v>56</v>
      </c>
      <c r="C2626" s="165"/>
      <c r="D2626" s="166"/>
      <c r="E2626" s="167"/>
      <c r="F2626" s="168">
        <f>ROUND(SUM(F2614:F2625),2)</f>
        <v>0</v>
      </c>
      <c r="G2626" s="63"/>
      <c r="H2626" s="52"/>
      <c r="I2626" s="57"/>
      <c r="J2626" s="57"/>
      <c r="K2626" s="57"/>
      <c r="L2626" s="52"/>
      <c r="M2626" s="62"/>
      <c r="N2626" s="57"/>
      <c r="O2626" s="56"/>
      <c r="P2626" s="56"/>
      <c r="Q2626" s="48"/>
      <c r="R2626" s="48"/>
      <c r="S2626" s="65"/>
      <c r="T2626" s="2"/>
      <c r="U2626" s="2"/>
      <c r="V2626" s="2"/>
    </row>
    <row r="2627" spans="1:22" s="149" customFormat="1" ht="12.75" customHeight="1" x14ac:dyDescent="0.2">
      <c r="A2627" s="152" t="s">
        <v>5</v>
      </c>
      <c r="B2627" s="153" t="s">
        <v>130</v>
      </c>
      <c r="C2627" s="140" t="s">
        <v>59</v>
      </c>
      <c r="D2627" s="140" t="s">
        <v>16</v>
      </c>
      <c r="E2627" s="154" t="s">
        <v>60</v>
      </c>
      <c r="F2627" s="148" t="s">
        <v>61</v>
      </c>
      <c r="G2627" s="21"/>
      <c r="H2627" s="52"/>
      <c r="I2627" s="57"/>
      <c r="J2627" s="57"/>
      <c r="K2627" s="57"/>
      <c r="L2627" s="52"/>
      <c r="M2627" s="62"/>
      <c r="N2627" s="57"/>
      <c r="O2627" s="56"/>
      <c r="P2627" s="56"/>
      <c r="Q2627" s="48"/>
      <c r="R2627" s="48"/>
      <c r="S2627" s="65"/>
      <c r="T2627" s="2"/>
      <c r="U2627" s="2"/>
      <c r="V2627" s="2"/>
    </row>
    <row r="2628" spans="1:22" s="149" customFormat="1" ht="12.75" customHeight="1" x14ac:dyDescent="0.2">
      <c r="A2628" s="155"/>
      <c r="B2628" s="138" t="str">
        <f>IF(A2628="","",VLOOKUP(A2628,'6.A'!$A$11:$G$180,2,FALSE))</f>
        <v/>
      </c>
      <c r="C2628" s="156"/>
      <c r="D2628" s="57" t="str">
        <f>IF(A2628="","",VLOOKUP(A2628,'6.A'!$A$11:$G$180,4,FALSE))</f>
        <v/>
      </c>
      <c r="E2628" s="100" t="str">
        <f>IF(A2628="","",VLOOKUP(A2628,'6.A'!$A$11:$G$180,5,FALSE))</f>
        <v/>
      </c>
      <c r="F2628" s="159" t="str">
        <f t="shared" ref="F2628:F2637" si="1119">IF(A2628="","0,00",ROUND(C2628*E2628,2))</f>
        <v>0,00</v>
      </c>
      <c r="G2628" s="52"/>
      <c r="H2628" s="52" t="str">
        <f>IF(A2628="","",VLOOKUP(A2628,'6.A'!$A$11:$E$7984,5,FALSE))</f>
        <v/>
      </c>
      <c r="I2628" s="52" t="str">
        <f t="shared" ref="I2628:I2637" si="1120">IF(H2628="","",IF(E2628=H2628,"SIM","NÃO"))</f>
        <v/>
      </c>
      <c r="J2628" s="52" t="str">
        <f>IF(H2628="","",VLOOKUP(A2628,'6.A'!$A$11:$E$564,4,FALSE))</f>
        <v/>
      </c>
      <c r="K2628" s="52" t="str">
        <f t="shared" ref="K2628:K2637" si="1121">IF(H2628="","",IF(J2628=D2628,"SIM","NÃO"))</f>
        <v/>
      </c>
      <c r="L2628" s="52" t="str">
        <f>IF(H2628="","",IF(C2628="","",G2612*C2628))</f>
        <v/>
      </c>
      <c r="M2628" s="117" t="str">
        <f>IF(A2628="","",VLOOKUP(A2628,'6.A'!$A$11:$C$564,2,FALSE))</f>
        <v/>
      </c>
      <c r="N2628" s="57" t="str">
        <f t="shared" ref="N2628:N2633" si="1122">IF(A2628="","",IF(M2628=B2628,"si","no"))</f>
        <v/>
      </c>
      <c r="O2628" s="56"/>
      <c r="P2628" s="56"/>
      <c r="Q2628" s="48"/>
      <c r="R2628" s="48"/>
      <c r="S2628" s="65"/>
      <c r="T2628" s="2"/>
      <c r="U2628" s="2"/>
      <c r="V2628" s="2"/>
    </row>
    <row r="2629" spans="1:22" s="149" customFormat="1" ht="12.75" customHeight="1" x14ac:dyDescent="0.2">
      <c r="A2629" s="155"/>
      <c r="B2629" s="138" t="str">
        <f>IF(A2629="","",VLOOKUP(A2629,'6.A'!$A$11:$G$180,2,FALSE))</f>
        <v/>
      </c>
      <c r="C2629" s="156"/>
      <c r="D2629" s="57" t="str">
        <f>IF(A2629="","",VLOOKUP(A2629,'6.A'!$A$11:$G$180,4,FALSE))</f>
        <v/>
      </c>
      <c r="E2629" s="100" t="str">
        <f>IF(A2629="","",VLOOKUP(A2629,'6.A'!$A$11:$G$180,5,FALSE))</f>
        <v/>
      </c>
      <c r="F2629" s="159" t="str">
        <f t="shared" si="1119"/>
        <v>0,00</v>
      </c>
      <c r="G2629" s="52"/>
      <c r="H2629" s="52" t="str">
        <f>IF(A2629="","",VLOOKUP(A2629,'6.A'!$A$11:$E$7984,5,FALSE))</f>
        <v/>
      </c>
      <c r="I2629" s="52" t="str">
        <f t="shared" si="1120"/>
        <v/>
      </c>
      <c r="J2629" s="52" t="str">
        <f>IF(H2629="","",VLOOKUP(A2629,'6.A'!$A$11:$E$564,4,FALSE))</f>
        <v/>
      </c>
      <c r="K2629" s="52" t="str">
        <f t="shared" si="1121"/>
        <v/>
      </c>
      <c r="L2629" s="52" t="str">
        <f>IF(H2629="","",IF(C2629="","",G2612*C2629))</f>
        <v/>
      </c>
      <c r="M2629" s="117" t="str">
        <f>IF(A2629="","",VLOOKUP(A2629,'6.A'!$A$11:$C$564,2,FALSE))</f>
        <v/>
      </c>
      <c r="N2629" s="57" t="str">
        <f t="shared" si="1122"/>
        <v/>
      </c>
      <c r="O2629" s="56"/>
      <c r="P2629" s="56"/>
      <c r="Q2629" s="48"/>
      <c r="R2629" s="48"/>
      <c r="S2629" s="65"/>
      <c r="T2629" s="2"/>
      <c r="U2629" s="2"/>
      <c r="V2629" s="2"/>
    </row>
    <row r="2630" spans="1:22" s="149" customFormat="1" ht="12.75" customHeight="1" x14ac:dyDescent="0.2">
      <c r="A2630" s="155"/>
      <c r="B2630" s="138" t="str">
        <f>IF(A2630="","",VLOOKUP(A2630,'6.A'!$A$11:$G$180,2,FALSE))</f>
        <v/>
      </c>
      <c r="C2630" s="156"/>
      <c r="D2630" s="141"/>
      <c r="E2630" s="160"/>
      <c r="F2630" s="159" t="str">
        <f t="shared" si="1119"/>
        <v>0,00</v>
      </c>
      <c r="G2630" s="52"/>
      <c r="H2630" s="52" t="str">
        <f>IF(A2630="","",VLOOKUP(A2630,'6.A'!$A$11:$E$7984,5,FALSE))</f>
        <v/>
      </c>
      <c r="I2630" s="52" t="str">
        <f t="shared" si="1120"/>
        <v/>
      </c>
      <c r="J2630" s="52" t="str">
        <f>IF(H2630="","",VLOOKUP(A2630,'6.A'!$A$11:$E$564,4,FALSE))</f>
        <v/>
      </c>
      <c r="K2630" s="52" t="str">
        <f t="shared" si="1121"/>
        <v/>
      </c>
      <c r="L2630" s="52" t="str">
        <f>IF(H2630="","",IF(C2630="","",G2612*C2630))</f>
        <v/>
      </c>
      <c r="M2630" s="117" t="str">
        <f>IF(A2630="","",VLOOKUP(A2630,'6.A'!$A$11:$C$564,2,FALSE))</f>
        <v/>
      </c>
      <c r="N2630" s="57" t="str">
        <f t="shared" si="1122"/>
        <v/>
      </c>
      <c r="O2630" s="56"/>
      <c r="P2630" s="56"/>
      <c r="Q2630" s="48"/>
      <c r="R2630" s="48"/>
      <c r="S2630" s="65"/>
      <c r="T2630" s="2"/>
      <c r="U2630" s="2"/>
      <c r="V2630" s="2"/>
    </row>
    <row r="2631" spans="1:22" s="149" customFormat="1" ht="12.75" customHeight="1" x14ac:dyDescent="0.2">
      <c r="A2631" s="155"/>
      <c r="B2631" s="176" t="str">
        <f>IF(A2631="","",VLOOKUP(A2631,'6.A'!$A$11:$G$180,2,FALSE))</f>
        <v/>
      </c>
      <c r="C2631" s="156"/>
      <c r="D2631" s="141"/>
      <c r="E2631" s="160"/>
      <c r="F2631" s="159" t="str">
        <f t="shared" si="1119"/>
        <v>0,00</v>
      </c>
      <c r="G2631" s="52"/>
      <c r="H2631" s="52" t="str">
        <f>IF(A2631="","",VLOOKUP(A2631,'6.A'!$A$11:$E$7984,5,FALSE))</f>
        <v/>
      </c>
      <c r="I2631" s="52" t="str">
        <f t="shared" si="1120"/>
        <v/>
      </c>
      <c r="J2631" s="52" t="str">
        <f>IF(H2631="","",VLOOKUP(A2631,'6.A'!$A$11:$E$564,4,FALSE))</f>
        <v/>
      </c>
      <c r="K2631" s="52" t="str">
        <f t="shared" si="1121"/>
        <v/>
      </c>
      <c r="L2631" s="52" t="str">
        <f>IF(H2631="","",IF(C2631="","",G2612*C2631))</f>
        <v/>
      </c>
      <c r="M2631" s="117" t="str">
        <f>IF(A2631="","",VLOOKUP(A2631,'6.A'!$A$11:$C$564,2,FALSE))</f>
        <v/>
      </c>
      <c r="N2631" s="57" t="str">
        <f t="shared" si="1122"/>
        <v/>
      </c>
      <c r="O2631" s="56"/>
      <c r="P2631" s="56"/>
      <c r="Q2631" s="48"/>
      <c r="R2631" s="48"/>
      <c r="S2631" s="65"/>
      <c r="T2631" s="2"/>
      <c r="U2631" s="2"/>
      <c r="V2631" s="2"/>
    </row>
    <row r="2632" spans="1:22" s="149" customFormat="1" ht="12.75" customHeight="1" x14ac:dyDescent="0.2">
      <c r="A2632" s="155"/>
      <c r="B2632" s="176" t="str">
        <f>IF(A2632="","",VLOOKUP(A2632,'6.A'!$A$11:$G$180,2,FALSE))</f>
        <v/>
      </c>
      <c r="C2632" s="156"/>
      <c r="D2632" s="141"/>
      <c r="E2632" s="160"/>
      <c r="F2632" s="159" t="str">
        <f t="shared" si="1119"/>
        <v>0,00</v>
      </c>
      <c r="G2632" s="52"/>
      <c r="H2632" s="52" t="str">
        <f>IF(A2632="","",VLOOKUP(A2632,'6.A'!$A$11:$E$7984,5,FALSE))</f>
        <v/>
      </c>
      <c r="I2632" s="52" t="str">
        <f t="shared" si="1120"/>
        <v/>
      </c>
      <c r="J2632" s="52" t="str">
        <f>IF(H2632="","",VLOOKUP(A2632,'6.A'!$A$11:$E$564,4,FALSE))</f>
        <v/>
      </c>
      <c r="K2632" s="52" t="str">
        <f t="shared" si="1121"/>
        <v/>
      </c>
      <c r="L2632" s="52" t="str">
        <f>IF(H2632="","",IF(C2632="","",G2612*C2632))</f>
        <v/>
      </c>
      <c r="M2632" s="117" t="str">
        <f>IF(A2632="","",VLOOKUP(A2632,'6.A'!$A$11:$C$564,2,FALSE))</f>
        <v/>
      </c>
      <c r="N2632" s="57" t="str">
        <f t="shared" si="1122"/>
        <v/>
      </c>
      <c r="O2632" s="56"/>
      <c r="P2632" s="56"/>
      <c r="Q2632" s="48"/>
      <c r="R2632" s="48"/>
      <c r="S2632" s="65"/>
      <c r="T2632" s="2"/>
      <c r="U2632" s="2"/>
      <c r="V2632" s="2"/>
    </row>
    <row r="2633" spans="1:22" s="149" customFormat="1" ht="12.75" customHeight="1" x14ac:dyDescent="0.2">
      <c r="A2633" s="155"/>
      <c r="B2633" s="176" t="str">
        <f>IF(A2633="","",VLOOKUP(A2633,'6.A'!$A$11:$G$180,2,FALSE))</f>
        <v/>
      </c>
      <c r="C2633" s="156"/>
      <c r="D2633" s="141"/>
      <c r="E2633" s="160"/>
      <c r="F2633" s="159" t="str">
        <f t="shared" si="1119"/>
        <v>0,00</v>
      </c>
      <c r="G2633" s="52"/>
      <c r="H2633" s="52" t="str">
        <f>IF(A2633="","",VLOOKUP(A2633,'6.A'!$A$11:$E$7984,5,FALSE))</f>
        <v/>
      </c>
      <c r="I2633" s="52" t="str">
        <f t="shared" si="1120"/>
        <v/>
      </c>
      <c r="J2633" s="52" t="str">
        <f>IF(H2633="","",VLOOKUP(A2633,'6.A'!$A$11:$E$564,4,FALSE))</f>
        <v/>
      </c>
      <c r="K2633" s="52" t="str">
        <f t="shared" si="1121"/>
        <v/>
      </c>
      <c r="L2633" s="52" t="str">
        <f>IF(H2633="","",IF(C2633="","",G2612*C2633))</f>
        <v/>
      </c>
      <c r="M2633" s="117" t="str">
        <f>IF(A2633="","",VLOOKUP(A2633,'6.A'!$A$11:$C$564,2,FALSE))</f>
        <v/>
      </c>
      <c r="N2633" s="57" t="str">
        <f t="shared" si="1122"/>
        <v/>
      </c>
      <c r="O2633" s="56"/>
      <c r="P2633" s="56"/>
      <c r="Q2633" s="48"/>
      <c r="R2633" s="48"/>
      <c r="S2633" s="65"/>
      <c r="T2633" s="2"/>
      <c r="U2633" s="2"/>
      <c r="V2633" s="2"/>
    </row>
    <row r="2634" spans="1:22" s="149" customFormat="1" ht="12.75" customHeight="1" x14ac:dyDescent="0.2">
      <c r="A2634" s="155"/>
      <c r="B2634" s="176" t="str">
        <f>IF(A2634="","",VLOOKUP(A2634,'6.A'!$A$11:$G$180,2,FALSE))</f>
        <v/>
      </c>
      <c r="C2634" s="156"/>
      <c r="D2634" s="141" t="str">
        <f>IF(A2634="","",VLOOKUP(A2634,'6.A'!$A$11:$G$180,4,FALSE))</f>
        <v/>
      </c>
      <c r="E2634" s="160" t="str">
        <f>IF(A2634="","",VLOOKUP(A2634,'6.A'!$A$11:$G$180,5,FALSE))</f>
        <v/>
      </c>
      <c r="F2634" s="159" t="str">
        <f t="shared" si="1119"/>
        <v>0,00</v>
      </c>
      <c r="G2634" s="52"/>
      <c r="H2634" s="52" t="str">
        <f>IF(A2634="","",VLOOKUP(A2634,'6.A'!$A$11:$E$7984,5,FALSE))</f>
        <v/>
      </c>
      <c r="I2634" s="52" t="str">
        <f t="shared" si="1120"/>
        <v/>
      </c>
      <c r="J2634" s="52" t="str">
        <f>IF(H2634="","",VLOOKUP(A2634,'6.A'!$A$11:$E$564,4,FALSE))</f>
        <v/>
      </c>
      <c r="K2634" s="52" t="str">
        <f t="shared" si="1121"/>
        <v/>
      </c>
      <c r="L2634" s="52" t="str">
        <f>IF(H2634="","",IF(C2634="","",G2612*C2634))</f>
        <v/>
      </c>
      <c r="M2634" s="117" t="str">
        <f>IF(A2634="","",VLOOKUP(A2634,'6.A'!$A$11:$C$564,2,FALSE))</f>
        <v/>
      </c>
      <c r="N2634" s="57" t="str">
        <f>IF(A2634="","",IF(M2634=B2634,"si","no"))</f>
        <v/>
      </c>
      <c r="O2634" s="56"/>
      <c r="P2634" s="56"/>
      <c r="Q2634" s="48"/>
      <c r="R2634" s="48"/>
      <c r="S2634" s="65"/>
      <c r="T2634" s="2"/>
      <c r="U2634" s="2"/>
      <c r="V2634" s="2"/>
    </row>
    <row r="2635" spans="1:22" s="149" customFormat="1" ht="12.75" customHeight="1" x14ac:dyDescent="0.2">
      <c r="A2635" s="155"/>
      <c r="B2635" s="138" t="str">
        <f>IF(A2635="","",VLOOKUP(A2635,'6.A'!$A$11:$G$180,2,FALSE))</f>
        <v/>
      </c>
      <c r="C2635" s="156"/>
      <c r="D2635" s="141" t="str">
        <f>IF(A2635="","",VLOOKUP(A2635,'6.A'!$A$11:$G$180,4,FALSE))</f>
        <v/>
      </c>
      <c r="E2635" s="160" t="str">
        <f>IF(A2635="","",VLOOKUP(A2635,'6.A'!$A$11:$G$180,5,FALSE))</f>
        <v/>
      </c>
      <c r="F2635" s="159" t="str">
        <f t="shared" si="1119"/>
        <v>0,00</v>
      </c>
      <c r="G2635" s="52"/>
      <c r="H2635" s="52" t="str">
        <f>IF(A2635="","",VLOOKUP(A2635,'6.A'!$A$11:$E$7984,5,FALSE))</f>
        <v/>
      </c>
      <c r="I2635" s="52" t="str">
        <f t="shared" si="1120"/>
        <v/>
      </c>
      <c r="J2635" s="52" t="str">
        <f>IF(H2635="","",VLOOKUP(A2635,'6.A'!$A$11:$E$564,4,FALSE))</f>
        <v/>
      </c>
      <c r="K2635" s="52" t="str">
        <f t="shared" si="1121"/>
        <v/>
      </c>
      <c r="L2635" s="52" t="str">
        <f>IF(H2635="","",IF(C2635="","",G2612*C2635))</f>
        <v/>
      </c>
      <c r="M2635" s="117" t="str">
        <f>IF(A2635="","",VLOOKUP(A2635,'6.A'!$A$11:$C$564,2,FALSE))</f>
        <v/>
      </c>
      <c r="N2635" s="57" t="str">
        <f>IF(A2635="","",IF(M2635=B2635,"si","no"))</f>
        <v/>
      </c>
      <c r="O2635" s="56"/>
      <c r="P2635" s="56"/>
      <c r="Q2635" s="48"/>
      <c r="R2635" s="48"/>
      <c r="S2635" s="65"/>
      <c r="T2635" s="2"/>
      <c r="U2635" s="2"/>
      <c r="V2635" s="2"/>
    </row>
    <row r="2636" spans="1:22" s="149" customFormat="1" ht="12.75" customHeight="1" x14ac:dyDescent="0.2">
      <c r="A2636" s="155"/>
      <c r="B2636" s="138" t="str">
        <f>IF(A2636="","",VLOOKUP(A2636,'6.A'!$A$11:$G$180,2,FALSE))</f>
        <v/>
      </c>
      <c r="C2636" s="156"/>
      <c r="D2636" s="141" t="str">
        <f>IF(A2636="","",VLOOKUP(A2636,'6.A'!$A$11:$G$180,4,FALSE))</f>
        <v/>
      </c>
      <c r="E2636" s="160" t="str">
        <f>IF(A2636="","",VLOOKUP(A2636,'6.A'!$A$11:$G$180,5,FALSE))</f>
        <v/>
      </c>
      <c r="F2636" s="159" t="str">
        <f t="shared" si="1119"/>
        <v>0,00</v>
      </c>
      <c r="G2636" s="52"/>
      <c r="H2636" s="52" t="str">
        <f>IF(A2636="","",VLOOKUP(A2636,'6.A'!$A$11:$E$7984,5,FALSE))</f>
        <v/>
      </c>
      <c r="I2636" s="52" t="str">
        <f t="shared" si="1120"/>
        <v/>
      </c>
      <c r="J2636" s="52" t="str">
        <f>IF(H2636="","",VLOOKUP(A2636,'6.A'!$A$11:$E$564,4,FALSE))</f>
        <v/>
      </c>
      <c r="K2636" s="52" t="str">
        <f t="shared" si="1121"/>
        <v/>
      </c>
      <c r="L2636" s="52" t="str">
        <f>IF(H2636="","",IF(C2636="","",G2612*C2636))</f>
        <v/>
      </c>
      <c r="M2636" s="117" t="str">
        <f>IF(A2636="","",VLOOKUP(A2636,'6.A'!$A$11:$C$564,2,FALSE))</f>
        <v/>
      </c>
      <c r="N2636" s="57" t="str">
        <f t="shared" ref="N2636:N2637" si="1123">IF(A2636="","",IF(M2636=B2636,"si","no"))</f>
        <v/>
      </c>
      <c r="O2636" s="56"/>
      <c r="P2636" s="56"/>
      <c r="Q2636" s="48"/>
      <c r="R2636" s="48"/>
      <c r="S2636" s="65"/>
      <c r="T2636" s="2"/>
      <c r="U2636" s="2"/>
      <c r="V2636" s="2"/>
    </row>
    <row r="2637" spans="1:22" s="149" customFormat="1" ht="12.75" customHeight="1" x14ac:dyDescent="0.2">
      <c r="A2637" s="155"/>
      <c r="B2637" s="138" t="str">
        <f>IF(A2637="","",VLOOKUP(A2637,'6.A'!$A$11:$G$180,2,FALSE))</f>
        <v/>
      </c>
      <c r="C2637" s="156"/>
      <c r="D2637" s="141" t="str">
        <f>IF(A2637="","",VLOOKUP(A2637,'6.A'!$A$11:$G$180,4,FALSE))</f>
        <v/>
      </c>
      <c r="E2637" s="160" t="str">
        <f>IF(A2637="","",VLOOKUP(A2637,'6.A'!$A$11:$G$180,5,FALSE))</f>
        <v/>
      </c>
      <c r="F2637" s="159" t="str">
        <f t="shared" si="1119"/>
        <v>0,00</v>
      </c>
      <c r="G2637" s="52"/>
      <c r="H2637" s="52" t="str">
        <f>IF(A2637="","",VLOOKUP(A2637,'6.A'!$A$11:$E$7984,5,FALSE))</f>
        <v/>
      </c>
      <c r="I2637" s="52" t="str">
        <f t="shared" si="1120"/>
        <v/>
      </c>
      <c r="J2637" s="52" t="str">
        <f>IF(H2637="","",VLOOKUP(A2637,'6.A'!$A$11:$E$564,4,FALSE))</f>
        <v/>
      </c>
      <c r="K2637" s="52" t="str">
        <f t="shared" si="1121"/>
        <v/>
      </c>
      <c r="L2637" s="52" t="str">
        <f>IF(H2637="","",IF(C2637="","",G2612*C2637))</f>
        <v/>
      </c>
      <c r="M2637" s="117" t="str">
        <f>IF(A2637="","",VLOOKUP(A2637,'6.A'!$A$11:$C$564,2,FALSE))</f>
        <v/>
      </c>
      <c r="N2637" s="57" t="str">
        <f t="shared" si="1123"/>
        <v/>
      </c>
      <c r="O2637" s="56"/>
      <c r="P2637" s="56"/>
      <c r="Q2637" s="48"/>
      <c r="R2637" s="48"/>
      <c r="S2637" s="65"/>
      <c r="T2637" s="2"/>
      <c r="U2637" s="2"/>
      <c r="V2637" s="2"/>
    </row>
    <row r="2638" spans="1:22" s="149" customFormat="1" ht="12.75" customHeight="1" x14ac:dyDescent="0.2">
      <c r="A2638" s="155"/>
      <c r="B2638" s="26" t="str">
        <f>$A$9</f>
        <v>BDI</v>
      </c>
      <c r="C2638" s="27">
        <f>$C$9</f>
        <v>0</v>
      </c>
      <c r="D2638" s="141"/>
      <c r="E2638" s="147"/>
      <c r="F2638" s="162">
        <f>ROUND(SUM(F2628:F2637)*C2638,2)</f>
        <v>0</v>
      </c>
      <c r="G2638" s="63"/>
      <c r="H2638" s="52"/>
      <c r="I2638" s="57"/>
      <c r="J2638" s="57"/>
      <c r="K2638" s="57"/>
      <c r="L2638" s="52"/>
      <c r="M2638" s="62"/>
      <c r="N2638" s="57"/>
      <c r="O2638" s="56"/>
      <c r="P2638" s="56"/>
      <c r="Q2638" s="48"/>
      <c r="R2638" s="48"/>
      <c r="S2638" s="65"/>
      <c r="T2638" s="2"/>
      <c r="U2638" s="2"/>
      <c r="V2638" s="2"/>
    </row>
    <row r="2639" spans="1:22" s="149" customFormat="1" ht="12.75" customHeight="1" x14ac:dyDescent="0.2">
      <c r="A2639" s="163"/>
      <c r="B2639" s="31" t="s">
        <v>117</v>
      </c>
      <c r="C2639" s="36"/>
      <c r="D2639" s="169"/>
      <c r="E2639" s="170"/>
      <c r="F2639" s="168">
        <f>ROUND(SUM(F2628:F2638),2)</f>
        <v>0</v>
      </c>
      <c r="G2639" s="63"/>
      <c r="H2639" s="52"/>
      <c r="I2639" s="57"/>
      <c r="J2639" s="57"/>
      <c r="K2639" s="57"/>
      <c r="L2639" s="52"/>
      <c r="M2639" s="62"/>
      <c r="N2639" s="57"/>
      <c r="O2639" s="56"/>
      <c r="P2639" s="56"/>
      <c r="Q2639" s="48"/>
      <c r="R2639" s="48"/>
      <c r="S2639" s="65"/>
      <c r="T2639" s="2"/>
      <c r="U2639" s="2"/>
      <c r="V2639" s="2"/>
    </row>
    <row r="2640" spans="1:22" s="149" customFormat="1" ht="12.75" customHeight="1" x14ac:dyDescent="0.2">
      <c r="A2640" s="152" t="s">
        <v>6</v>
      </c>
      <c r="B2640" s="153" t="s">
        <v>17</v>
      </c>
      <c r="C2640" s="140" t="s">
        <v>59</v>
      </c>
      <c r="D2640" s="140" t="s">
        <v>16</v>
      </c>
      <c r="E2640" s="154" t="s">
        <v>60</v>
      </c>
      <c r="F2640" s="148" t="s">
        <v>61</v>
      </c>
      <c r="G2640" s="21"/>
      <c r="H2640" s="52"/>
      <c r="I2640" s="57"/>
      <c r="J2640" s="57"/>
      <c r="K2640" s="57"/>
      <c r="L2640" s="52"/>
      <c r="M2640" s="62"/>
      <c r="N2640" s="57"/>
      <c r="O2640" s="56"/>
      <c r="P2640" s="56"/>
      <c r="Q2640" s="48"/>
      <c r="R2640" s="48"/>
      <c r="S2640" s="65"/>
      <c r="T2640" s="2"/>
      <c r="U2640" s="2"/>
      <c r="V2640" s="2"/>
    </row>
    <row r="2641" spans="1:22" s="149" customFormat="1" ht="12.75" customHeight="1" x14ac:dyDescent="0.2">
      <c r="A2641" s="155">
        <f>'6.A'!$A$177</f>
        <v>54497</v>
      </c>
      <c r="B2641" s="138" t="str">
        <f>IF(A2641="","",VLOOKUP(A2641,'6.A'!$A$11:$G$180,2,FALSE))</f>
        <v>DISJUNTOR CX. MOLD. TRIP. - DISP. TERMOMAG. AJUST. - 630A</v>
      </c>
      <c r="C2641" s="156">
        <v>1</v>
      </c>
      <c r="D2641" s="141" t="str">
        <f>IF(A2641="","",VLOOKUP(A2641,'6.A'!$A$11:$G$180,4,FALSE))</f>
        <v>UN</v>
      </c>
      <c r="E2641" s="160">
        <f>IF(A2641="","",VLOOKUP(A2641,'6.A'!$A$11:$G$180,5,FALSE))</f>
        <v>0</v>
      </c>
      <c r="F2641" s="159">
        <f t="shared" ref="F2641:F2660" si="1124">IF(A2641="","0,00",ROUND(C2641*E2641,2))</f>
        <v>0</v>
      </c>
      <c r="G2641" s="52"/>
      <c r="H2641" s="52">
        <f>IF(A2641="","",VLOOKUP(A2641,'6.A'!$A$11:$E$7984,5,FALSE))</f>
        <v>0</v>
      </c>
      <c r="I2641" s="52" t="str">
        <f t="shared" ref="I2641:I2660" si="1125">IF(H2641="","",IF(E2641=H2641,"SIM","NÃO"))</f>
        <v>SIM</v>
      </c>
      <c r="J2641" s="52" t="str">
        <f>IF(H2641="","",VLOOKUP(A2641,'6.A'!$A$11:$E$564,4,FALSE))</f>
        <v>UN</v>
      </c>
      <c r="K2641" s="52" t="str">
        <f t="shared" ref="K2641:K2660" si="1126">IF(H2641="","",IF(J2641=D2641,"SIM","NÃO"))</f>
        <v>SIM</v>
      </c>
      <c r="L2641" s="52">
        <f>IF(H2641="","",IF(C2641="","",G2612*C2641))</f>
        <v>1</v>
      </c>
      <c r="M2641" s="117" t="str">
        <f>IF(A2641="","",VLOOKUP(A2641,'6.A'!$A$11:$C$564,2,FALSE))</f>
        <v>DISJUNTOR CX. MOLD. TRIP. - DISP. TERMOMAG. AJUST. - 630A</v>
      </c>
      <c r="N2641" s="57" t="str">
        <f t="shared" ref="N2641:N2660" si="1127">IF(A2641="","",IF(M2641=B2641,"si","no"))</f>
        <v>si</v>
      </c>
      <c r="O2641" s="56"/>
      <c r="P2641" s="56"/>
      <c r="Q2641" s="48"/>
      <c r="R2641" s="48"/>
      <c r="S2641" s="65"/>
      <c r="T2641" s="2"/>
      <c r="U2641" s="2"/>
      <c r="V2641" s="2"/>
    </row>
    <row r="2642" spans="1:22" s="149" customFormat="1" ht="12.75" customHeight="1" x14ac:dyDescent="0.2">
      <c r="A2642" s="155"/>
      <c r="B2642" s="138" t="str">
        <f>IF(A2642="","",VLOOKUP(A2642,'6.A'!$A$11:$G$180,2,FALSE))</f>
        <v/>
      </c>
      <c r="C2642" s="156"/>
      <c r="D2642" s="141" t="str">
        <f>IF(A2642="","",VLOOKUP(A2642,'6.A'!$A$11:$G$180,4,FALSE))</f>
        <v/>
      </c>
      <c r="E2642" s="160" t="str">
        <f>IF(A2642="","",VLOOKUP(A2642,'6.A'!$A$11:$G$180,5,FALSE))</f>
        <v/>
      </c>
      <c r="F2642" s="159" t="str">
        <f t="shared" si="1124"/>
        <v>0,00</v>
      </c>
      <c r="G2642" s="52"/>
      <c r="H2642" s="52" t="str">
        <f>IF(A2642="","",VLOOKUP(A2642,'6.A'!$A$11:$E$7984,5,FALSE))</f>
        <v/>
      </c>
      <c r="I2642" s="52" t="str">
        <f t="shared" si="1125"/>
        <v/>
      </c>
      <c r="J2642" s="52" t="str">
        <f>IF(H2642="","",VLOOKUP(A2642,'6.A'!$A$11:$E$564,4,FALSE))</f>
        <v/>
      </c>
      <c r="K2642" s="52" t="str">
        <f t="shared" si="1126"/>
        <v/>
      </c>
      <c r="L2642" s="52" t="str">
        <f>IF(H2642="","",IF(C2642="","",G2612*C2642))</f>
        <v/>
      </c>
      <c r="M2642" s="117" t="str">
        <f>IF(A2642="","",VLOOKUP(A2642,'6.A'!$A$11:$C$564,2,FALSE))</f>
        <v/>
      </c>
      <c r="N2642" s="57" t="str">
        <f t="shared" si="1127"/>
        <v/>
      </c>
      <c r="O2642" s="56"/>
      <c r="P2642" s="56"/>
      <c r="Q2642" s="48"/>
      <c r="R2642" s="48"/>
      <c r="S2642" s="65"/>
      <c r="T2642" s="2"/>
      <c r="U2642" s="2"/>
      <c r="V2642" s="2"/>
    </row>
    <row r="2643" spans="1:22" s="149" customFormat="1" ht="12.75" customHeight="1" x14ac:dyDescent="0.2">
      <c r="A2643" s="155"/>
      <c r="B2643" s="138" t="str">
        <f>IF(A2643="","",VLOOKUP(A2643,'6.A'!$A$11:$G$180,2,FALSE))</f>
        <v/>
      </c>
      <c r="C2643" s="156"/>
      <c r="D2643" s="141" t="str">
        <f>IF(A2643="","",VLOOKUP(A2643,'6.A'!$A$11:$G$180,4,FALSE))</f>
        <v/>
      </c>
      <c r="E2643" s="160" t="str">
        <f>IF(A2643="","",VLOOKUP(A2643,'6.A'!$A$11:$G$180,5,FALSE))</f>
        <v/>
      </c>
      <c r="F2643" s="159" t="str">
        <f t="shared" si="1124"/>
        <v>0,00</v>
      </c>
      <c r="G2643" s="52"/>
      <c r="H2643" s="52" t="str">
        <f>IF(A2643="","",VLOOKUP(A2643,'6.A'!$A$11:$E$7984,5,FALSE))</f>
        <v/>
      </c>
      <c r="I2643" s="52" t="str">
        <f t="shared" si="1125"/>
        <v/>
      </c>
      <c r="J2643" s="52" t="str">
        <f>IF(H2643="","",VLOOKUP(A2643,'6.A'!$A$11:$E$564,4,FALSE))</f>
        <v/>
      </c>
      <c r="K2643" s="52" t="str">
        <f t="shared" si="1126"/>
        <v/>
      </c>
      <c r="L2643" s="52" t="str">
        <f>IF(H2643="","",IF(C2643="","",G2612*C2643))</f>
        <v/>
      </c>
      <c r="M2643" s="117" t="str">
        <f>IF(A2643="","",VLOOKUP(A2643,'6.A'!$A$11:$C$564,2,FALSE))</f>
        <v/>
      </c>
      <c r="N2643" s="57" t="str">
        <f t="shared" si="1127"/>
        <v/>
      </c>
      <c r="O2643" s="56"/>
      <c r="P2643" s="56"/>
      <c r="Q2643" s="48"/>
      <c r="R2643" s="48"/>
      <c r="S2643" s="65"/>
      <c r="T2643" s="2"/>
      <c r="U2643" s="2"/>
      <c r="V2643" s="2"/>
    </row>
    <row r="2644" spans="1:22" s="149" customFormat="1" ht="12.75" customHeight="1" x14ac:dyDescent="0.2">
      <c r="A2644" s="155"/>
      <c r="B2644" s="138" t="str">
        <f>IF(A2644="","",VLOOKUP(A2644,'6.A'!$A$11:$G$180,2,FALSE))</f>
        <v/>
      </c>
      <c r="C2644" s="156"/>
      <c r="D2644" s="141" t="str">
        <f>IF(A2644="","",VLOOKUP(A2644,'6.A'!$A$11:$G$180,4,FALSE))</f>
        <v/>
      </c>
      <c r="E2644" s="160" t="str">
        <f>IF(A2644="","",VLOOKUP(A2644,'6.A'!$A$11:$G$180,5,FALSE))</f>
        <v/>
      </c>
      <c r="F2644" s="159" t="str">
        <f t="shared" si="1124"/>
        <v>0,00</v>
      </c>
      <c r="G2644" s="52"/>
      <c r="H2644" s="52" t="str">
        <f>IF(A2644="","",VLOOKUP(A2644,'6.A'!$A$11:$E$7984,5,FALSE))</f>
        <v/>
      </c>
      <c r="I2644" s="52" t="str">
        <f t="shared" si="1125"/>
        <v/>
      </c>
      <c r="J2644" s="52" t="str">
        <f>IF(H2644="","",VLOOKUP(A2644,'6.A'!$A$11:$E$564,4,FALSE))</f>
        <v/>
      </c>
      <c r="K2644" s="52" t="str">
        <f t="shared" si="1126"/>
        <v/>
      </c>
      <c r="L2644" s="52" t="str">
        <f>IF(H2644="","",IF(C2644="","",G2612*C2644))</f>
        <v/>
      </c>
      <c r="M2644" s="117" t="str">
        <f>IF(A2644="","",VLOOKUP(A2644,'6.A'!$A$11:$C$564,2,FALSE))</f>
        <v/>
      </c>
      <c r="N2644" s="57" t="str">
        <f t="shared" si="1127"/>
        <v/>
      </c>
      <c r="O2644" s="56"/>
      <c r="P2644" s="56"/>
      <c r="Q2644" s="48"/>
      <c r="R2644" s="48"/>
      <c r="S2644" s="65"/>
      <c r="T2644" s="2"/>
      <c r="U2644" s="2"/>
      <c r="V2644" s="2"/>
    </row>
    <row r="2645" spans="1:22" s="149" customFormat="1" ht="12.75" customHeight="1" x14ac:dyDescent="0.2">
      <c r="A2645" s="155"/>
      <c r="B2645" s="138" t="str">
        <f>IF(A2645="","",VLOOKUP(A2645,'6.A'!$A$11:$G$180,2,FALSE))</f>
        <v/>
      </c>
      <c r="C2645" s="156"/>
      <c r="D2645" s="141" t="str">
        <f>IF(A2645="","",VLOOKUP(A2645,'6.A'!$A$11:$G$180,4,FALSE))</f>
        <v/>
      </c>
      <c r="E2645" s="160" t="str">
        <f>IF(A2645="","",VLOOKUP(A2645,'6.A'!$A$11:$G$180,5,FALSE))</f>
        <v/>
      </c>
      <c r="F2645" s="159" t="str">
        <f t="shared" si="1124"/>
        <v>0,00</v>
      </c>
      <c r="G2645" s="52"/>
      <c r="H2645" s="52" t="str">
        <f>IF(A2645="","",VLOOKUP(A2645,'6.A'!$A$11:$E$7984,5,FALSE))</f>
        <v/>
      </c>
      <c r="I2645" s="52" t="str">
        <f t="shared" si="1125"/>
        <v/>
      </c>
      <c r="J2645" s="52" t="str">
        <f>IF(H2645="","",VLOOKUP(A2645,'6.A'!$A$11:$E$564,4,FALSE))</f>
        <v/>
      </c>
      <c r="K2645" s="52" t="str">
        <f t="shared" si="1126"/>
        <v/>
      </c>
      <c r="L2645" s="52" t="str">
        <f>IF(H2645="","",IF(C2645="","",G2612*C2645))</f>
        <v/>
      </c>
      <c r="M2645" s="117" t="str">
        <f>IF(A2645="","",VLOOKUP(A2645,'6.A'!$A$11:$C$564,2,FALSE))</f>
        <v/>
      </c>
      <c r="N2645" s="57" t="str">
        <f t="shared" si="1127"/>
        <v/>
      </c>
      <c r="O2645" s="56"/>
      <c r="P2645" s="56"/>
      <c r="Q2645" s="48"/>
      <c r="R2645" s="48"/>
      <c r="S2645" s="65"/>
      <c r="T2645" s="2"/>
      <c r="U2645" s="2"/>
      <c r="V2645" s="2"/>
    </row>
    <row r="2646" spans="1:22" s="149" customFormat="1" ht="12.75" customHeight="1" x14ac:dyDescent="0.2">
      <c r="A2646" s="155"/>
      <c r="B2646" s="138" t="str">
        <f>IF(A2646="","",VLOOKUP(A2646,'6.A'!$A$11:$G$180,2,FALSE))</f>
        <v/>
      </c>
      <c r="C2646" s="156"/>
      <c r="D2646" s="141" t="str">
        <f>IF(A2646="","",VLOOKUP(A2646,'6.A'!$A$11:$G$180,4,FALSE))</f>
        <v/>
      </c>
      <c r="E2646" s="160" t="str">
        <f>IF(A2646="","",VLOOKUP(A2646,'6.A'!$A$11:$G$180,5,FALSE))</f>
        <v/>
      </c>
      <c r="F2646" s="159" t="str">
        <f t="shared" si="1124"/>
        <v>0,00</v>
      </c>
      <c r="G2646" s="52"/>
      <c r="H2646" s="52" t="str">
        <f>IF(A2646="","",VLOOKUP(A2646,'6.A'!$A$11:$E$7984,5,FALSE))</f>
        <v/>
      </c>
      <c r="I2646" s="52" t="str">
        <f t="shared" si="1125"/>
        <v/>
      </c>
      <c r="J2646" s="52" t="str">
        <f>IF(H2646="","",VLOOKUP(A2646,'6.A'!$A$11:$E$564,4,FALSE))</f>
        <v/>
      </c>
      <c r="K2646" s="52" t="str">
        <f t="shared" si="1126"/>
        <v/>
      </c>
      <c r="L2646" s="52" t="str">
        <f>IF(H2646="","",IF(C2646="","",G2612*C2646))</f>
        <v/>
      </c>
      <c r="M2646" s="117" t="str">
        <f>IF(A2646="","",VLOOKUP(A2646,'6.A'!$A$11:$C$564,2,FALSE))</f>
        <v/>
      </c>
      <c r="N2646" s="57" t="str">
        <f t="shared" si="1127"/>
        <v/>
      </c>
      <c r="O2646" s="56"/>
      <c r="P2646" s="56"/>
      <c r="Q2646" s="48"/>
      <c r="R2646" s="48"/>
      <c r="S2646" s="65"/>
      <c r="T2646" s="2"/>
      <c r="U2646" s="2"/>
      <c r="V2646" s="2"/>
    </row>
    <row r="2647" spans="1:22" s="149" customFormat="1" ht="12.75" customHeight="1" x14ac:dyDescent="0.2">
      <c r="A2647" s="155"/>
      <c r="B2647" s="138" t="str">
        <f>IF(A2647="","",VLOOKUP(A2647,'6.A'!$A$11:$G$180,2,FALSE))</f>
        <v/>
      </c>
      <c r="C2647" s="156"/>
      <c r="D2647" s="141" t="str">
        <f>IF(A2647="","",VLOOKUP(A2647,'6.A'!$A$11:$G$180,4,FALSE))</f>
        <v/>
      </c>
      <c r="E2647" s="160" t="str">
        <f>IF(A2647="","",VLOOKUP(A2647,'6.A'!$A$11:$G$180,5,FALSE))</f>
        <v/>
      </c>
      <c r="F2647" s="159" t="str">
        <f t="shared" si="1124"/>
        <v>0,00</v>
      </c>
      <c r="G2647" s="52"/>
      <c r="H2647" s="52" t="str">
        <f>IF(A2647="","",VLOOKUP(A2647,'6.A'!$A$11:$E$7984,5,FALSE))</f>
        <v/>
      </c>
      <c r="I2647" s="52" t="str">
        <f t="shared" si="1125"/>
        <v/>
      </c>
      <c r="J2647" s="52" t="str">
        <f>IF(H2647="","",VLOOKUP(A2647,'6.A'!$A$11:$E$564,4,FALSE))</f>
        <v/>
      </c>
      <c r="K2647" s="52" t="str">
        <f t="shared" si="1126"/>
        <v/>
      </c>
      <c r="L2647" s="52" t="str">
        <f>IF(H2647="","",IF(C2647="","",G2612*C2647))</f>
        <v/>
      </c>
      <c r="M2647" s="117" t="str">
        <f>IF(A2647="","",VLOOKUP(A2647,'6.A'!$A$11:$C$564,2,FALSE))</f>
        <v/>
      </c>
      <c r="N2647" s="57" t="str">
        <f t="shared" si="1127"/>
        <v/>
      </c>
      <c r="O2647" s="56"/>
      <c r="P2647" s="56"/>
      <c r="Q2647" s="48"/>
      <c r="R2647" s="48"/>
      <c r="S2647" s="65"/>
      <c r="T2647" s="2"/>
      <c r="U2647" s="2"/>
      <c r="V2647" s="2"/>
    </row>
    <row r="2648" spans="1:22" s="149" customFormat="1" ht="12.75" customHeight="1" x14ac:dyDescent="0.2">
      <c r="A2648" s="155"/>
      <c r="B2648" s="138" t="str">
        <f>IF(A2648="","",VLOOKUP(A2648,'6.A'!$A$11:$G$180,2,FALSE))</f>
        <v/>
      </c>
      <c r="C2648" s="156"/>
      <c r="D2648" s="141" t="str">
        <f>IF(A2648="","",VLOOKUP(A2648,'6.A'!$A$11:$G$180,4,FALSE))</f>
        <v/>
      </c>
      <c r="E2648" s="160" t="str">
        <f>IF(A2648="","",VLOOKUP(A2648,'6.A'!$A$11:$G$180,5,FALSE))</f>
        <v/>
      </c>
      <c r="F2648" s="159" t="str">
        <f t="shared" si="1124"/>
        <v>0,00</v>
      </c>
      <c r="G2648" s="52"/>
      <c r="H2648" s="52" t="str">
        <f>IF(A2648="","",VLOOKUP(A2648,'6.A'!$A$11:$E$7984,5,FALSE))</f>
        <v/>
      </c>
      <c r="I2648" s="52" t="str">
        <f t="shared" si="1125"/>
        <v/>
      </c>
      <c r="J2648" s="52" t="str">
        <f>IF(H2648="","",VLOOKUP(A2648,'6.A'!$A$11:$E$564,4,FALSE))</f>
        <v/>
      </c>
      <c r="K2648" s="52" t="str">
        <f t="shared" si="1126"/>
        <v/>
      </c>
      <c r="L2648" s="52" t="str">
        <f>IF(H2648="","",IF(C2648="","",G2612*C2648))</f>
        <v/>
      </c>
      <c r="M2648" s="117" t="str">
        <f>IF(A2648="","",VLOOKUP(A2648,'6.A'!$A$11:$C$564,2,FALSE))</f>
        <v/>
      </c>
      <c r="N2648" s="57" t="str">
        <f t="shared" si="1127"/>
        <v/>
      </c>
      <c r="O2648" s="56"/>
      <c r="P2648" s="56"/>
      <c r="Q2648" s="48"/>
      <c r="R2648" s="48"/>
      <c r="S2648" s="65"/>
      <c r="T2648" s="2"/>
      <c r="U2648" s="2"/>
      <c r="V2648" s="2"/>
    </row>
    <row r="2649" spans="1:22" s="149" customFormat="1" ht="12.75" customHeight="1" x14ac:dyDescent="0.2">
      <c r="A2649" s="155"/>
      <c r="B2649" s="138" t="str">
        <f>IF(A2649="","",VLOOKUP(A2649,'6.A'!$A$11:$G$180,2,FALSE))</f>
        <v/>
      </c>
      <c r="C2649" s="156"/>
      <c r="D2649" s="141" t="str">
        <f>IF(A2649="","",VLOOKUP(A2649,'6.A'!$A$11:$G$180,4,FALSE))</f>
        <v/>
      </c>
      <c r="E2649" s="160" t="str">
        <f>IF(A2649="","",VLOOKUP(A2649,'6.A'!$A$11:$G$180,5,FALSE))</f>
        <v/>
      </c>
      <c r="F2649" s="159" t="str">
        <f t="shared" si="1124"/>
        <v>0,00</v>
      </c>
      <c r="G2649" s="52"/>
      <c r="H2649" s="52" t="str">
        <f>IF(A2649="","",VLOOKUP(A2649,'6.A'!$A$11:$E$7984,5,FALSE))</f>
        <v/>
      </c>
      <c r="I2649" s="52" t="str">
        <f t="shared" si="1125"/>
        <v/>
      </c>
      <c r="J2649" s="52" t="str">
        <f>IF(H2649="","",VLOOKUP(A2649,'6.A'!$A$11:$E$564,4,FALSE))</f>
        <v/>
      </c>
      <c r="K2649" s="52" t="str">
        <f t="shared" si="1126"/>
        <v/>
      </c>
      <c r="L2649" s="52" t="str">
        <f>IF(H2649="","",IF(C2649="","",G2612*C2649))</f>
        <v/>
      </c>
      <c r="M2649" s="117" t="str">
        <f>IF(A2649="","",VLOOKUP(A2649,'6.A'!$A$11:$C$564,2,FALSE))</f>
        <v/>
      </c>
      <c r="N2649" s="57" t="str">
        <f t="shared" si="1127"/>
        <v/>
      </c>
      <c r="O2649" s="56"/>
      <c r="P2649" s="56"/>
      <c r="Q2649" s="48"/>
      <c r="R2649" s="48"/>
      <c r="S2649" s="65"/>
      <c r="T2649" s="2"/>
      <c r="U2649" s="2"/>
      <c r="V2649" s="2"/>
    </row>
    <row r="2650" spans="1:22" s="149" customFormat="1" ht="12.75" customHeight="1" x14ac:dyDescent="0.2">
      <c r="A2650" s="155"/>
      <c r="B2650" s="138" t="str">
        <f>IF(A2650="","",VLOOKUP(A2650,'6.A'!$A$11:$G$180,2,FALSE))</f>
        <v/>
      </c>
      <c r="C2650" s="156"/>
      <c r="D2650" s="141" t="str">
        <f>IF(A2650="","",VLOOKUP(A2650,'6.A'!$A$11:$G$180,4,FALSE))</f>
        <v/>
      </c>
      <c r="E2650" s="160" t="str">
        <f>IF(A2650="","",VLOOKUP(A2650,'6.A'!$A$11:$G$180,5,FALSE))</f>
        <v/>
      </c>
      <c r="F2650" s="159" t="str">
        <f t="shared" si="1124"/>
        <v>0,00</v>
      </c>
      <c r="G2650" s="52"/>
      <c r="H2650" s="52" t="str">
        <f>IF(A2650="","",VLOOKUP(A2650,'6.A'!$A$11:$E$7984,5,FALSE))</f>
        <v/>
      </c>
      <c r="I2650" s="52" t="str">
        <f t="shared" si="1125"/>
        <v/>
      </c>
      <c r="J2650" s="52" t="str">
        <f>IF(H2650="","",VLOOKUP(A2650,'6.A'!$A$11:$E$564,4,FALSE))</f>
        <v/>
      </c>
      <c r="K2650" s="52" t="str">
        <f t="shared" si="1126"/>
        <v/>
      </c>
      <c r="L2650" s="52" t="str">
        <f>IF(H2650="","",IF(C2650="","",G2612*C2650))</f>
        <v/>
      </c>
      <c r="M2650" s="117" t="str">
        <f>IF(A2650="","",VLOOKUP(A2650,'6.A'!$A$11:$C$564,2,FALSE))</f>
        <v/>
      </c>
      <c r="N2650" s="57" t="str">
        <f t="shared" si="1127"/>
        <v/>
      </c>
      <c r="O2650" s="56"/>
      <c r="P2650" s="56"/>
      <c r="Q2650" s="48"/>
      <c r="R2650" s="48"/>
      <c r="S2650" s="65"/>
      <c r="T2650" s="2"/>
      <c r="U2650" s="2"/>
      <c r="V2650" s="2"/>
    </row>
    <row r="2651" spans="1:22" s="149" customFormat="1" ht="12.75" customHeight="1" x14ac:dyDescent="0.2">
      <c r="A2651" s="155"/>
      <c r="B2651" s="138" t="str">
        <f>IF(A2651="","",VLOOKUP(A2651,'6.A'!$A$11:$G$180,2,FALSE))</f>
        <v/>
      </c>
      <c r="C2651" s="156"/>
      <c r="D2651" s="141" t="str">
        <f>IF(A2651="","",VLOOKUP(A2651,'6.A'!$A$11:$G$180,4,FALSE))</f>
        <v/>
      </c>
      <c r="E2651" s="160" t="str">
        <f>IF(A2651="","",VLOOKUP(A2651,'6.A'!$A$11:$G$180,5,FALSE))</f>
        <v/>
      </c>
      <c r="F2651" s="159" t="str">
        <f t="shared" si="1124"/>
        <v>0,00</v>
      </c>
      <c r="G2651" s="52"/>
      <c r="H2651" s="52" t="str">
        <f>IF(A2651="","",VLOOKUP(A2651,'6.A'!$A$11:$E$7984,5,FALSE))</f>
        <v/>
      </c>
      <c r="I2651" s="52" t="str">
        <f t="shared" si="1125"/>
        <v/>
      </c>
      <c r="J2651" s="52" t="str">
        <f>IF(H2651="","",VLOOKUP(A2651,'6.A'!$A$11:$E$564,4,FALSE))</f>
        <v/>
      </c>
      <c r="K2651" s="52" t="str">
        <f t="shared" si="1126"/>
        <v/>
      </c>
      <c r="L2651" s="52" t="str">
        <f>IF(H2651="","",IF(C2651="","",G2612*C2651))</f>
        <v/>
      </c>
      <c r="M2651" s="117" t="str">
        <f>IF(A2651="","",VLOOKUP(A2651,'6.A'!$A$11:$C$564,2,FALSE))</f>
        <v/>
      </c>
      <c r="N2651" s="57" t="str">
        <f t="shared" si="1127"/>
        <v/>
      </c>
      <c r="O2651" s="56"/>
      <c r="P2651" s="56"/>
      <c r="Q2651" s="48"/>
      <c r="R2651" s="48"/>
      <c r="S2651" s="65"/>
      <c r="T2651" s="2"/>
      <c r="U2651" s="2"/>
      <c r="V2651" s="2"/>
    </row>
    <row r="2652" spans="1:22" s="149" customFormat="1" ht="12.75" customHeight="1" x14ac:dyDescent="0.2">
      <c r="A2652" s="155"/>
      <c r="B2652" s="138" t="str">
        <f>IF(A2652="","",VLOOKUP(A2652,'6.A'!$A$11:$G$180,2,FALSE))</f>
        <v/>
      </c>
      <c r="C2652" s="156"/>
      <c r="D2652" s="141" t="str">
        <f>IF(A2652="","",VLOOKUP(A2652,'6.A'!$A$11:$G$180,4,FALSE))</f>
        <v/>
      </c>
      <c r="E2652" s="160" t="str">
        <f>IF(A2652="","",VLOOKUP(A2652,'6.A'!$A$11:$G$180,5,FALSE))</f>
        <v/>
      </c>
      <c r="F2652" s="159" t="str">
        <f t="shared" si="1124"/>
        <v>0,00</v>
      </c>
      <c r="G2652" s="52"/>
      <c r="H2652" s="52" t="str">
        <f>IF(A2652="","",VLOOKUP(A2652,'6.A'!$A$11:$E$7984,5,FALSE))</f>
        <v/>
      </c>
      <c r="I2652" s="52" t="str">
        <f t="shared" si="1125"/>
        <v/>
      </c>
      <c r="J2652" s="52" t="str">
        <f>IF(H2652="","",VLOOKUP(A2652,'6.A'!$A$11:$E$564,4,FALSE))</f>
        <v/>
      </c>
      <c r="K2652" s="52" t="str">
        <f t="shared" si="1126"/>
        <v/>
      </c>
      <c r="L2652" s="52" t="str">
        <f>IF(H2652="","",IF(C2652="","",G2612*C2652))</f>
        <v/>
      </c>
      <c r="M2652" s="117" t="str">
        <f>IF(A2652="","",VLOOKUP(A2652,'6.A'!$A$11:$C$564,2,FALSE))</f>
        <v/>
      </c>
      <c r="N2652" s="57" t="str">
        <f t="shared" si="1127"/>
        <v/>
      </c>
      <c r="O2652" s="56"/>
      <c r="P2652" s="56"/>
      <c r="Q2652" s="48"/>
      <c r="R2652" s="48"/>
      <c r="S2652" s="65"/>
      <c r="T2652" s="2"/>
      <c r="U2652" s="2"/>
      <c r="V2652" s="2"/>
    </row>
    <row r="2653" spans="1:22" s="149" customFormat="1" ht="12.75" customHeight="1" x14ac:dyDescent="0.2">
      <c r="A2653" s="155"/>
      <c r="B2653" s="138" t="str">
        <f>IF(A2653="","",VLOOKUP(A2653,'6.A'!$A$11:$G$180,2,FALSE))</f>
        <v/>
      </c>
      <c r="C2653" s="156"/>
      <c r="D2653" s="141" t="str">
        <f>IF(A2653="","",VLOOKUP(A2653,'6.A'!$A$11:$G$180,4,FALSE))</f>
        <v/>
      </c>
      <c r="E2653" s="160" t="str">
        <f>IF(A2653="","",VLOOKUP(A2653,'6.A'!$A$11:$G$180,5,FALSE))</f>
        <v/>
      </c>
      <c r="F2653" s="159" t="str">
        <f t="shared" si="1124"/>
        <v>0,00</v>
      </c>
      <c r="G2653" s="52"/>
      <c r="H2653" s="52" t="str">
        <f>IF(A2653="","",VLOOKUP(A2653,'6.A'!$A$11:$E$7984,5,FALSE))</f>
        <v/>
      </c>
      <c r="I2653" s="52" t="str">
        <f t="shared" si="1125"/>
        <v/>
      </c>
      <c r="J2653" s="52" t="str">
        <f>IF(H2653="","",VLOOKUP(A2653,'6.A'!$A$11:$E$564,4,FALSE))</f>
        <v/>
      </c>
      <c r="K2653" s="52" t="str">
        <f t="shared" si="1126"/>
        <v/>
      </c>
      <c r="L2653" s="52" t="str">
        <f>IF(H2653="","",IF(C2653="","",G2612*C2653))</f>
        <v/>
      </c>
      <c r="M2653" s="117" t="str">
        <f>IF(A2653="","",VLOOKUP(A2653,'6.A'!$A$11:$C$564,2,FALSE))</f>
        <v/>
      </c>
      <c r="N2653" s="57" t="str">
        <f t="shared" si="1127"/>
        <v/>
      </c>
      <c r="O2653" s="56"/>
      <c r="P2653" s="56"/>
      <c r="Q2653" s="48"/>
      <c r="R2653" s="48"/>
      <c r="S2653" s="65"/>
      <c r="T2653" s="2"/>
      <c r="U2653" s="2"/>
      <c r="V2653" s="2"/>
    </row>
    <row r="2654" spans="1:22" s="149" customFormat="1" ht="12.75" customHeight="1" x14ac:dyDescent="0.2">
      <c r="A2654" s="155"/>
      <c r="B2654" s="138" t="str">
        <f>IF(A2654="","",VLOOKUP(A2654,'6.A'!$A$11:$G$180,2,FALSE))</f>
        <v/>
      </c>
      <c r="C2654" s="156"/>
      <c r="D2654" s="141" t="str">
        <f>IF(A2654="","",VLOOKUP(A2654,'6.A'!$A$11:$G$180,4,FALSE))</f>
        <v/>
      </c>
      <c r="E2654" s="160" t="str">
        <f>IF(A2654="","",VLOOKUP(A2654,'6.A'!$A$11:$G$180,5,FALSE))</f>
        <v/>
      </c>
      <c r="F2654" s="159" t="str">
        <f t="shared" si="1124"/>
        <v>0,00</v>
      </c>
      <c r="G2654" s="52"/>
      <c r="H2654" s="52" t="str">
        <f>IF(A2654="","",VLOOKUP(A2654,'6.A'!$A$11:$E$7984,5,FALSE))</f>
        <v/>
      </c>
      <c r="I2654" s="52" t="str">
        <f t="shared" si="1125"/>
        <v/>
      </c>
      <c r="J2654" s="52" t="str">
        <f>IF(H2654="","",VLOOKUP(A2654,'6.A'!$A$11:$E$564,4,FALSE))</f>
        <v/>
      </c>
      <c r="K2654" s="52" t="str">
        <f t="shared" si="1126"/>
        <v/>
      </c>
      <c r="L2654" s="52" t="str">
        <f>IF(H2654="","",IF(C2654="","",G2612*C2654))</f>
        <v/>
      </c>
      <c r="M2654" s="117" t="str">
        <f>IF(A2654="","",VLOOKUP(A2654,'6.A'!$A$11:$C$564,2,FALSE))</f>
        <v/>
      </c>
      <c r="N2654" s="57" t="str">
        <f t="shared" si="1127"/>
        <v/>
      </c>
      <c r="O2654" s="56"/>
      <c r="P2654" s="56"/>
      <c r="Q2654" s="48"/>
      <c r="R2654" s="48"/>
      <c r="S2654" s="65"/>
      <c r="T2654" s="2"/>
      <c r="U2654" s="2"/>
      <c r="V2654" s="2"/>
    </row>
    <row r="2655" spans="1:22" s="149" customFormat="1" ht="12.75" customHeight="1" x14ac:dyDescent="0.2">
      <c r="A2655" s="155"/>
      <c r="B2655" s="138" t="str">
        <f>IF(A2655="","",VLOOKUP(A2655,'6.A'!$A$11:$G$180,2,FALSE))</f>
        <v/>
      </c>
      <c r="C2655" s="156"/>
      <c r="D2655" s="141" t="str">
        <f>IF(A2655="","",VLOOKUP(A2655,'6.A'!$A$11:$G$180,4,FALSE))</f>
        <v/>
      </c>
      <c r="E2655" s="160" t="str">
        <f>IF(A2655="","",VLOOKUP(A2655,'6.A'!$A$11:$G$180,5,FALSE))</f>
        <v/>
      </c>
      <c r="F2655" s="159" t="str">
        <f t="shared" si="1124"/>
        <v>0,00</v>
      </c>
      <c r="G2655" s="52"/>
      <c r="H2655" s="52" t="str">
        <f>IF(A2655="","",VLOOKUP(A2655,'6.A'!$A$11:$E$7984,5,FALSE))</f>
        <v/>
      </c>
      <c r="I2655" s="52" t="str">
        <f t="shared" si="1125"/>
        <v/>
      </c>
      <c r="J2655" s="52" t="str">
        <f>IF(H2655="","",VLOOKUP(A2655,'6.A'!$A$11:$E$564,4,FALSE))</f>
        <v/>
      </c>
      <c r="K2655" s="52" t="str">
        <f t="shared" si="1126"/>
        <v/>
      </c>
      <c r="L2655" s="52" t="str">
        <f>IF(H2655="","",IF(C2655="","",G2612*C2655))</f>
        <v/>
      </c>
      <c r="M2655" s="117" t="str">
        <f>IF(A2655="","",VLOOKUP(A2655,'6.A'!$A$11:$C$564,2,FALSE))</f>
        <v/>
      </c>
      <c r="N2655" s="57" t="str">
        <f t="shared" si="1127"/>
        <v/>
      </c>
      <c r="O2655" s="56"/>
      <c r="P2655" s="56"/>
      <c r="Q2655" s="48"/>
      <c r="R2655" s="48"/>
      <c r="S2655" s="65"/>
      <c r="T2655" s="2"/>
      <c r="U2655" s="2"/>
      <c r="V2655" s="2"/>
    </row>
    <row r="2656" spans="1:22" s="149" customFormat="1" ht="12.75" customHeight="1" x14ac:dyDescent="0.2">
      <c r="A2656" s="155"/>
      <c r="B2656" s="138" t="str">
        <f>IF(A2656="","",VLOOKUP(A2656,'6.A'!$A$11:$G$180,2,FALSE))</f>
        <v/>
      </c>
      <c r="C2656" s="156"/>
      <c r="D2656" s="141" t="str">
        <f>IF(A2656="","",VLOOKUP(A2656,'6.A'!$A$11:$G$180,4,FALSE))</f>
        <v/>
      </c>
      <c r="E2656" s="160" t="str">
        <f>IF(A2656="","",VLOOKUP(A2656,'6.A'!$A$11:$G$180,5,FALSE))</f>
        <v/>
      </c>
      <c r="F2656" s="159" t="str">
        <f t="shared" si="1124"/>
        <v>0,00</v>
      </c>
      <c r="G2656" s="52"/>
      <c r="H2656" s="52" t="str">
        <f>IF(A2656="","",VLOOKUP(A2656,'6.A'!$A$11:$E$7984,5,FALSE))</f>
        <v/>
      </c>
      <c r="I2656" s="52" t="str">
        <f t="shared" si="1125"/>
        <v/>
      </c>
      <c r="J2656" s="52" t="str">
        <f>IF(H2656="","",VLOOKUP(A2656,'6.A'!$A$11:$E$564,4,FALSE))</f>
        <v/>
      </c>
      <c r="K2656" s="52" t="str">
        <f t="shared" si="1126"/>
        <v/>
      </c>
      <c r="L2656" s="52" t="str">
        <f>IF(H2656="","",IF(C2656="","",G2612*C2656))</f>
        <v/>
      </c>
      <c r="M2656" s="117" t="str">
        <f>IF(A2656="","",VLOOKUP(A2656,'6.A'!$A$11:$C$564,2,FALSE))</f>
        <v/>
      </c>
      <c r="N2656" s="57" t="str">
        <f t="shared" si="1127"/>
        <v/>
      </c>
      <c r="O2656" s="56"/>
      <c r="P2656" s="56"/>
      <c r="Q2656" s="48"/>
      <c r="R2656" s="48"/>
      <c r="S2656" s="65"/>
      <c r="T2656" s="2"/>
      <c r="U2656" s="2"/>
      <c r="V2656" s="2"/>
    </row>
    <row r="2657" spans="1:23" s="149" customFormat="1" ht="12.75" customHeight="1" x14ac:dyDescent="0.2">
      <c r="A2657" s="155"/>
      <c r="B2657" s="171" t="str">
        <f>IF(A2657="","",VLOOKUP(A2657,'6.A'!$A$11:$G$180,2,FALSE))</f>
        <v/>
      </c>
      <c r="C2657" s="156"/>
      <c r="D2657" s="141" t="str">
        <f>IF(A2657="","",VLOOKUP(A2657,'6.A'!$A$11:$G$180,4,FALSE))</f>
        <v/>
      </c>
      <c r="E2657" s="160" t="str">
        <f>IF(A2657="","",VLOOKUP(A2657,'6.A'!$A$11:$G$180,5,FALSE))</f>
        <v/>
      </c>
      <c r="F2657" s="159" t="str">
        <f t="shared" si="1124"/>
        <v>0,00</v>
      </c>
      <c r="G2657" s="52"/>
      <c r="H2657" s="52" t="str">
        <f>IF(A2657="","",VLOOKUP(A2657,'6.A'!$A$11:$E$7984,5,FALSE))</f>
        <v/>
      </c>
      <c r="I2657" s="52" t="str">
        <f t="shared" si="1125"/>
        <v/>
      </c>
      <c r="J2657" s="52" t="str">
        <f>IF(H2657="","",VLOOKUP(A2657,'6.A'!$A$11:$E$564,4,FALSE))</f>
        <v/>
      </c>
      <c r="K2657" s="52" t="str">
        <f t="shared" si="1126"/>
        <v/>
      </c>
      <c r="L2657" s="52" t="str">
        <f>IF(H2657="","",IF(C2657="","",G2612*C2657))</f>
        <v/>
      </c>
      <c r="M2657" s="117" t="str">
        <f>IF(A2657="","",VLOOKUP(A2657,'6.A'!$A$11:$C$564,2,FALSE))</f>
        <v/>
      </c>
      <c r="N2657" s="57" t="str">
        <f t="shared" si="1127"/>
        <v/>
      </c>
      <c r="O2657" s="56"/>
      <c r="P2657" s="56"/>
      <c r="Q2657" s="48"/>
      <c r="R2657" s="48"/>
      <c r="S2657" s="65"/>
      <c r="T2657" s="2"/>
      <c r="U2657" s="2"/>
      <c r="V2657" s="2"/>
    </row>
    <row r="2658" spans="1:23" s="149" customFormat="1" ht="12.75" customHeight="1" x14ac:dyDescent="0.2">
      <c r="A2658" s="155"/>
      <c r="B2658" s="171" t="str">
        <f>IF(A2658="","",VLOOKUP(A2658,'6.A'!$A$11:$G$180,2,FALSE))</f>
        <v/>
      </c>
      <c r="C2658" s="156"/>
      <c r="D2658" s="141" t="str">
        <f>IF(A2658="","",VLOOKUP(A2658,'6.A'!$A$11:$G$180,4,FALSE))</f>
        <v/>
      </c>
      <c r="E2658" s="160" t="str">
        <f>IF(A2658="","",VLOOKUP(A2658,'6.A'!$A$11:$G$180,5,FALSE))</f>
        <v/>
      </c>
      <c r="F2658" s="159" t="str">
        <f t="shared" si="1124"/>
        <v>0,00</v>
      </c>
      <c r="G2658" s="52"/>
      <c r="H2658" s="52" t="str">
        <f>IF(A2658="","",VLOOKUP(A2658,'6.A'!$A$11:$E$7984,5,FALSE))</f>
        <v/>
      </c>
      <c r="I2658" s="52" t="str">
        <f t="shared" si="1125"/>
        <v/>
      </c>
      <c r="J2658" s="52" t="str">
        <f>IF(H2658="","",VLOOKUP(A2658,'6.A'!$A$11:$E$564,4,FALSE))</f>
        <v/>
      </c>
      <c r="K2658" s="52" t="str">
        <f t="shared" si="1126"/>
        <v/>
      </c>
      <c r="L2658" s="52" t="str">
        <f>IF(H2658="","",IF(C2658="","",G2612*C2658))</f>
        <v/>
      </c>
      <c r="M2658" s="117" t="str">
        <f>IF(A2658="","",VLOOKUP(A2658,'6.A'!$A$11:$C$564,2,FALSE))</f>
        <v/>
      </c>
      <c r="N2658" s="57" t="str">
        <f t="shared" si="1127"/>
        <v/>
      </c>
      <c r="O2658" s="56"/>
      <c r="P2658" s="56"/>
      <c r="Q2658" s="48"/>
      <c r="R2658" s="48"/>
      <c r="S2658" s="65"/>
      <c r="T2658" s="2"/>
      <c r="U2658" s="2"/>
      <c r="V2658" s="2"/>
    </row>
    <row r="2659" spans="1:23" s="149" customFormat="1" ht="12.75" customHeight="1" x14ac:dyDescent="0.2">
      <c r="A2659" s="155"/>
      <c r="B2659" s="171" t="str">
        <f>IF(A2659="","",VLOOKUP(A2659,'6.A'!$A$11:$G$180,2,FALSE))</f>
        <v/>
      </c>
      <c r="C2659" s="156"/>
      <c r="D2659" s="141" t="str">
        <f>IF(A2659="","",VLOOKUP(A2659,'6.A'!$A$11:$G$180,4,FALSE))</f>
        <v/>
      </c>
      <c r="E2659" s="160" t="str">
        <f>IF(A2659="","",VLOOKUP(A2659,'6.A'!$A$11:$G$180,5,FALSE))</f>
        <v/>
      </c>
      <c r="F2659" s="159" t="str">
        <f t="shared" si="1124"/>
        <v>0,00</v>
      </c>
      <c r="G2659" s="52"/>
      <c r="H2659" s="52" t="str">
        <f>IF(A2659="","",VLOOKUP(A2659,'6.A'!$A$11:$E$7984,5,FALSE))</f>
        <v/>
      </c>
      <c r="I2659" s="52" t="str">
        <f t="shared" si="1125"/>
        <v/>
      </c>
      <c r="J2659" s="52" t="str">
        <f>IF(H2659="","",VLOOKUP(A2659,'6.A'!$A$11:$E$564,4,FALSE))</f>
        <v/>
      </c>
      <c r="K2659" s="52" t="str">
        <f t="shared" si="1126"/>
        <v/>
      </c>
      <c r="L2659" s="52" t="str">
        <f>IF(H2659="","",IF(C2659="","",G2612*C2659))</f>
        <v/>
      </c>
      <c r="M2659" s="117" t="str">
        <f>IF(A2659="","",VLOOKUP(A2659,'6.A'!$A$11:$C$564,2,FALSE))</f>
        <v/>
      </c>
      <c r="N2659" s="57" t="str">
        <f t="shared" si="1127"/>
        <v/>
      </c>
      <c r="O2659" s="56"/>
      <c r="P2659" s="56"/>
      <c r="Q2659" s="48"/>
      <c r="R2659" s="48"/>
      <c r="S2659" s="65"/>
      <c r="T2659" s="2"/>
      <c r="U2659" s="2"/>
      <c r="V2659" s="2"/>
    </row>
    <row r="2660" spans="1:23" s="149" customFormat="1" ht="12.75" customHeight="1" x14ac:dyDescent="0.2">
      <c r="A2660" s="155"/>
      <c r="B2660" s="171" t="str">
        <f>IF(A2660="","",VLOOKUP(A2660,'6.A'!$A$11:$G$180,2,FALSE))</f>
        <v/>
      </c>
      <c r="C2660" s="156"/>
      <c r="D2660" s="141" t="str">
        <f>IF(A2660="","",VLOOKUP(A2660,'6.A'!$A$11:$G$180,4,FALSE))</f>
        <v/>
      </c>
      <c r="E2660" s="160" t="str">
        <f>IF(A2660="","",VLOOKUP(A2660,'6.A'!$A$11:$G$180,5,FALSE))</f>
        <v/>
      </c>
      <c r="F2660" s="159" t="str">
        <f t="shared" si="1124"/>
        <v>0,00</v>
      </c>
      <c r="G2660" s="52"/>
      <c r="H2660" s="52" t="str">
        <f>IF(A2660="","",VLOOKUP(A2660,'6.A'!$A$11:$E$7984,5,FALSE))</f>
        <v/>
      </c>
      <c r="I2660" s="52" t="str">
        <f t="shared" si="1125"/>
        <v/>
      </c>
      <c r="J2660" s="52" t="str">
        <f>IF(H2660="","",VLOOKUP(A2660,'6.A'!$A$11:$E$564,4,FALSE))</f>
        <v/>
      </c>
      <c r="K2660" s="52" t="str">
        <f t="shared" si="1126"/>
        <v/>
      </c>
      <c r="L2660" s="52" t="str">
        <f>IF(H2660="","",IF(C2660="","",G2612*C2660))</f>
        <v/>
      </c>
      <c r="M2660" s="117" t="str">
        <f>IF(A2660="","",VLOOKUP(A2660,'6.A'!$A$11:$C$564,2,FALSE))</f>
        <v/>
      </c>
      <c r="N2660" s="57" t="str">
        <f t="shared" si="1127"/>
        <v/>
      </c>
      <c r="O2660" s="56"/>
      <c r="P2660" s="56"/>
      <c r="Q2660" s="48"/>
      <c r="R2660" s="48"/>
      <c r="S2660" s="65"/>
      <c r="T2660" s="2"/>
      <c r="U2660" s="2"/>
      <c r="V2660" s="2"/>
    </row>
    <row r="2661" spans="1:23" s="137" customFormat="1" ht="12.75" customHeight="1" x14ac:dyDescent="0.2">
      <c r="A2661" s="155"/>
      <c r="B2661" s="26" t="str">
        <f>$A$9</f>
        <v>BDI</v>
      </c>
      <c r="C2661" s="40">
        <f>$C$9</f>
        <v>0</v>
      </c>
      <c r="D2661" s="141"/>
      <c r="E2661" s="147"/>
      <c r="F2661" s="162">
        <f>ROUND(SUM(F2641:F2660)*C2661,2)</f>
        <v>0</v>
      </c>
      <c r="G2661" s="63"/>
      <c r="H2661" s="52"/>
      <c r="I2661" s="57"/>
      <c r="J2661" s="57"/>
      <c r="K2661" s="57"/>
      <c r="L2661" s="52"/>
      <c r="M2661" s="57"/>
      <c r="N2661" s="57"/>
      <c r="O2661" s="56"/>
      <c r="P2661" s="56"/>
      <c r="Q2661" s="48"/>
      <c r="R2661" s="48"/>
      <c r="S2661" s="65"/>
      <c r="T2661" s="2"/>
      <c r="U2661" s="2"/>
      <c r="V2661" s="2"/>
    </row>
    <row r="2662" spans="1:23" s="137" customFormat="1" ht="12.75" customHeight="1" thickBot="1" x14ac:dyDescent="0.25">
      <c r="A2662" s="172"/>
      <c r="B2662" s="42" t="s">
        <v>57</v>
      </c>
      <c r="C2662" s="43"/>
      <c r="D2662" s="173"/>
      <c r="E2662" s="174"/>
      <c r="F2662" s="175">
        <f>ROUND(SUM(F2641:F2661),2)</f>
        <v>0</v>
      </c>
      <c r="G2662" s="63"/>
      <c r="H2662" s="52"/>
      <c r="I2662" s="57"/>
      <c r="J2662" s="57"/>
      <c r="K2662" s="57"/>
      <c r="L2662" s="52"/>
      <c r="M2662" s="57"/>
      <c r="N2662" s="57"/>
      <c r="O2662" s="56"/>
      <c r="P2662" s="56"/>
      <c r="Q2662" s="48"/>
      <c r="R2662" s="48"/>
      <c r="S2662" s="65"/>
      <c r="T2662" s="2"/>
      <c r="U2662" s="2"/>
      <c r="V2662" s="2"/>
    </row>
    <row r="2663" spans="1:23" ht="12" customHeight="1" thickBot="1" x14ac:dyDescent="0.25">
      <c r="A2663" s="8"/>
      <c r="B2663" s="9"/>
      <c r="C2663" s="10"/>
      <c r="D2663" s="57"/>
      <c r="F2663" s="12"/>
      <c r="G2663" s="12"/>
      <c r="M2663" s="57"/>
      <c r="N2663" s="57"/>
      <c r="O2663" s="56"/>
      <c r="P2663" s="56"/>
      <c r="Q2663" s="48"/>
      <c r="R2663" s="48"/>
    </row>
    <row r="2664" spans="1:23" ht="50.1" customHeight="1" x14ac:dyDescent="0.2">
      <c r="A2664" s="13" t="str">
        <f>'3.A'!$A$62</f>
        <v>3.3.8</v>
      </c>
      <c r="B2664" s="14" t="str">
        <f>IF(A2664="","",VLOOKUP(A2664,'3.A'!$A$17:$M$279,2,FALSE))</f>
        <v>DISJUNTOR TRIPOLAR TIPO DIN, CORRENTE NOMINAL DE 32A</v>
      </c>
      <c r="C2664" s="413" t="s">
        <v>62</v>
      </c>
      <c r="D2664" s="413"/>
      <c r="E2664" s="15" t="str">
        <f>IF(A2664="","",VLOOKUP(A2664,'3.A'!$A$17:$M$279,3,FALSE))</f>
        <v>UN</v>
      </c>
      <c r="F2664" s="16">
        <f>ROUND(F2678+F2691+F2714,2)</f>
        <v>0</v>
      </c>
      <c r="G2664" s="118">
        <f>VLOOKUP(A2664,'3.A'!$A$19:$I$279,4,FALSE)</f>
        <v>1</v>
      </c>
      <c r="H2664" s="47">
        <f>SUM(F2666:F2677)</f>
        <v>0</v>
      </c>
      <c r="I2664" s="47">
        <f>SUM(F2680:F2690)</f>
        <v>0</v>
      </c>
      <c r="J2664" s="47">
        <f>SUM(F2693:F2713)</f>
        <v>0</v>
      </c>
      <c r="K2664" s="47">
        <f>SUM(H2664:J2664)</f>
        <v>0</v>
      </c>
      <c r="L2664" s="47" t="str">
        <f>IF(K2664=F2664,"SIM","NÃO")</f>
        <v>SIM</v>
      </c>
      <c r="M2664" s="58">
        <f>ROUND(SUM(F2666:F2675)*C2676,2)+ROUND(SUM(F2666:F2676)*C2677,2)+ROUND(SUM(F2666:F2675),2)+ROUND(SUM(F2680:F2689)*C2690,2)+ROUND(SUM(F2680:F2689),2)+ROUND(SUM(F2693:F2712)*C2713,2)+ROUND(SUM(F2693:F2712),2)</f>
        <v>0</v>
      </c>
      <c r="N2664" s="50" t="str">
        <f>IF(M2664=F2664,"SIM","NÃO")</f>
        <v>SIM</v>
      </c>
      <c r="O2664" s="51" t="str">
        <f>VLOOKUP(A2664,'3.A'!$A$8:$E$279,3,FALSE)</f>
        <v>UN</v>
      </c>
      <c r="P2664" s="51" t="str">
        <f>IF(O2664=E2664,"SIM","NÃO")</f>
        <v>SIM</v>
      </c>
      <c r="Q2664" s="53">
        <f>ROUND(G2664*F2678,2)+ROUND(G2664*F2691,2)+ROUND(G2664*F2714,2)</f>
        <v>0</v>
      </c>
      <c r="R2664" s="59">
        <f>VLOOKUP(A2664,'3.A'!$A$17:$L$279,12,FALSE)</f>
        <v>0</v>
      </c>
      <c r="S2664" s="60" t="str">
        <f>IF(Q2664=R2664,"si","no")</f>
        <v>si</v>
      </c>
      <c r="T2664" s="61">
        <f>SUM(L2666:L2675)+SUM(L2680:L2689)+SUM(L2693:L2712)</f>
        <v>4.5207540000000002</v>
      </c>
      <c r="U2664" s="52">
        <f>G2664*C2672+G2664*C2674+G2664*C2667+G2664*C2668+G2664*C2670+G2664*C2673+G2664*C2671+G2664*C2666+G2664*C2669+G2664*C2675+G2664*C2686+G2664*C2680+G2664*C2688+G2664*C2687+G2664*C2685+G2664*C2682+G2664*C2681+G2664*C2683+G2664*C2689+G2664*C2684+G2664*C2693+G2664*C2694+G2664*C2695+G2664*C2703+G2664*C2704+G2664*C2705+G2664*C2706+G2664*C2707+G2664*C2708+G2664*C2709+G2664*C2710+G2664*C2711+G2664*C2712+G2664*C2701+G2664*C2702+G2664*C2696+G2664*C2697+G2664*C2698+G2664*C2699+G2664*C2700</f>
        <v>4.5207540000000002</v>
      </c>
      <c r="V2664" s="54" t="str">
        <f>IF(T2664=U2664,"si","no")</f>
        <v>si</v>
      </c>
      <c r="W2664" s="137"/>
    </row>
    <row r="2665" spans="1:23" ht="12.75" customHeight="1" x14ac:dyDescent="0.2">
      <c r="A2665" s="17" t="s">
        <v>3</v>
      </c>
      <c r="B2665" s="18" t="s">
        <v>58</v>
      </c>
      <c r="C2665" s="56" t="s">
        <v>59</v>
      </c>
      <c r="D2665" s="56" t="s">
        <v>16</v>
      </c>
      <c r="E2665" s="19" t="s">
        <v>60</v>
      </c>
      <c r="F2665" s="20" t="s">
        <v>61</v>
      </c>
      <c r="G2665" s="21"/>
      <c r="M2665" s="57"/>
      <c r="N2665" s="57"/>
      <c r="O2665" s="56"/>
      <c r="P2665" s="56"/>
      <c r="Q2665" s="48"/>
      <c r="R2665" s="48"/>
    </row>
    <row r="2666" spans="1:23" ht="12.75" customHeight="1" x14ac:dyDescent="0.2">
      <c r="A2666" s="155">
        <f>'6.A'!$A$18</f>
        <v>88264</v>
      </c>
      <c r="B2666" s="138" t="str">
        <f>IF(A2666="","",VLOOKUP(A2666,'6.A'!$A$11:$G$180,2,FALSE))</f>
        <v>ELETRICISTA COM ENCARGOS COMPLEMENTARES</v>
      </c>
      <c r="C2666" s="156">
        <v>0.26037700000000003</v>
      </c>
      <c r="D2666" s="57" t="str">
        <f>IF(A2666="","",VLOOKUP(A2666,'6.A'!$A$11:$G$180,4,FALSE))</f>
        <v>H</v>
      </c>
      <c r="E2666" s="100">
        <f>IF(A2666="","",VLOOKUP(A2666,'6.A'!$A$11:$G$180,5,FALSE))</f>
        <v>0</v>
      </c>
      <c r="F2666" s="24">
        <f t="shared" ref="F2666:F2675" si="1128">IF(A2666="","0,00",ROUND(C2666*E2666,2))</f>
        <v>0</v>
      </c>
      <c r="G2666" s="52"/>
      <c r="H2666" s="52">
        <f>IF(A2666="","",VLOOKUP(A2666,'6.A'!$A$11:$E$7984,5,FALSE))</f>
        <v>0</v>
      </c>
      <c r="I2666" s="52" t="str">
        <f>IF(H2666="","",IF(E2666=H2666,"SIM","NÃO"))</f>
        <v>SIM</v>
      </c>
      <c r="J2666" s="52" t="str">
        <f>IF(H2666="","",VLOOKUP(A2666,'6.A'!$A$11:$E$564,4,FALSE))</f>
        <v>H</v>
      </c>
      <c r="K2666" s="52" t="str">
        <f>IF(H2666="","",IF(J2666=D2666,"SIM","NÃO"))</f>
        <v>SIM</v>
      </c>
      <c r="L2666" s="52">
        <f>IF(H2666="","",IF(C2666="","",G2664*C2666))</f>
        <v>0.26037700000000003</v>
      </c>
      <c r="M2666" s="117" t="str">
        <f>IF(A2666="","",VLOOKUP(A2666,'6.A'!$A$11:$C$564,2,FALSE))</f>
        <v>ELETRICISTA COM ENCARGOS COMPLEMENTARES</v>
      </c>
      <c r="N2666" s="57" t="str">
        <f>IF(A2666="","",IF(M2666=B2666,"si","no"))</f>
        <v>si</v>
      </c>
      <c r="O2666" s="56"/>
      <c r="P2666" s="56"/>
      <c r="Q2666" s="48"/>
      <c r="R2666" s="48"/>
    </row>
    <row r="2667" spans="1:23" ht="12.75" customHeight="1" x14ac:dyDescent="0.2">
      <c r="A2667" s="155">
        <f>'6.A'!$A$15</f>
        <v>88247</v>
      </c>
      <c r="B2667" s="138" t="str">
        <f>IF(A2667="","",VLOOKUP(A2667,'6.A'!$A$11:$G$180,2,FALSE))</f>
        <v>AUXILIAR DE ELETRICISTA COM ENCARGOS COMPLEMENTARES</v>
      </c>
      <c r="C2667" s="156">
        <v>0.26037700000000003</v>
      </c>
      <c r="D2667" s="57" t="str">
        <f>IF(A2667="","",VLOOKUP(A2667,'6.A'!$A$11:$G$180,4,FALSE))</f>
        <v>H</v>
      </c>
      <c r="E2667" s="100">
        <f>IF(A2667="","",VLOOKUP(A2667,'6.A'!$A$11:$G$180,5,FALSE))</f>
        <v>0</v>
      </c>
      <c r="F2667" s="24">
        <f t="shared" si="1128"/>
        <v>0</v>
      </c>
      <c r="G2667" s="52"/>
      <c r="H2667" s="52">
        <f>IF(A2667="","",VLOOKUP(A2667,'6.A'!$A$11:$E$7984,5,FALSE))</f>
        <v>0</v>
      </c>
      <c r="I2667" s="52" t="str">
        <f>IF(H2667="","",IF(E2667=H2667,"SIM","NÃO"))</f>
        <v>SIM</v>
      </c>
      <c r="J2667" s="52" t="str">
        <f>IF(H2667="","",VLOOKUP(A2667,'6.A'!$A$11:$E$564,4,FALSE))</f>
        <v>H</v>
      </c>
      <c r="K2667" s="52" t="str">
        <f>IF(H2667="","",IF(J2667=D2667,"SIM","NÃO"))</f>
        <v>SIM</v>
      </c>
      <c r="L2667" s="52">
        <f>IF(H2667="","",IF(C2667="","",G2664*C2667))</f>
        <v>0.26037700000000003</v>
      </c>
      <c r="M2667" s="117" t="str">
        <f>IF(A2667="","",VLOOKUP(A2667,'6.A'!$A$11:$C$564,2,FALSE))</f>
        <v>AUXILIAR DE ELETRICISTA COM ENCARGOS COMPLEMENTARES</v>
      </c>
      <c r="N2667" s="57" t="str">
        <f>IF(A2667="","",IF(M2667=B2667,"si","no"))</f>
        <v>si</v>
      </c>
      <c r="O2667" s="56"/>
      <c r="P2667" s="56"/>
      <c r="Q2667" s="48"/>
      <c r="R2667" s="48"/>
    </row>
    <row r="2668" spans="1:23" ht="12.75" customHeight="1" x14ac:dyDescent="0.2">
      <c r="A2668" s="155"/>
      <c r="B2668" s="138" t="str">
        <f>IF(A2668="","",VLOOKUP(A2668,'6.A'!$A$11:$G$180,2,FALSE))</f>
        <v/>
      </c>
      <c r="C2668" s="156"/>
      <c r="D2668" s="57" t="str">
        <f>IF(A2668="","",VLOOKUP(A2668,'6.A'!$A$11:$G$180,4,FALSE))</f>
        <v/>
      </c>
      <c r="E2668" s="100" t="str">
        <f>IF(A2668="","",VLOOKUP(A2668,'6.A'!$A$11:$G$180,5,FALSE))</f>
        <v/>
      </c>
      <c r="F2668" s="24" t="str">
        <f t="shared" si="1128"/>
        <v>0,00</v>
      </c>
      <c r="G2668" s="52"/>
      <c r="H2668" s="52" t="str">
        <f>IF(A2668="","",VLOOKUP(A2668,'6.A'!$A$11:$E$7984,5,FALSE))</f>
        <v/>
      </c>
      <c r="I2668" s="52" t="str">
        <f>IF(H2668="","",IF(E2668=H2668,"SIM","NÃO"))</f>
        <v/>
      </c>
      <c r="J2668" s="52" t="str">
        <f>IF(H2668="","",VLOOKUP(A2668,'6.A'!$A$11:$E$564,4,FALSE))</f>
        <v/>
      </c>
      <c r="K2668" s="52" t="str">
        <f t="shared" ref="K2668" si="1129">IF(H2668="","",IF(J2668=D2668,"SIM","NÃO"))</f>
        <v/>
      </c>
      <c r="L2668" s="52" t="str">
        <f>IF(H2668="","",IF(C2668="","",G2664*C2668))</f>
        <v/>
      </c>
      <c r="M2668" s="117" t="str">
        <f>IF(A2668="","",VLOOKUP(A2668,'6.A'!$A$11:$C$564,2,FALSE))</f>
        <v/>
      </c>
      <c r="N2668" s="57" t="str">
        <f t="shared" ref="N2668" si="1130">IF(A2668="","",IF(M2668=B2668,"si","no"))</f>
        <v/>
      </c>
      <c r="O2668" s="56"/>
      <c r="P2668" s="56"/>
      <c r="Q2668" s="48"/>
      <c r="R2668" s="48"/>
    </row>
    <row r="2669" spans="1:23" ht="12.75" customHeight="1" x14ac:dyDescent="0.2">
      <c r="A2669" s="155"/>
      <c r="B2669" s="138" t="str">
        <f>IF(A2669="","",VLOOKUP(A2669,'6.A'!$A$11:$G$180,2,FALSE))</f>
        <v/>
      </c>
      <c r="C2669" s="156"/>
      <c r="D2669" s="57" t="str">
        <f>IF(A2669="","",VLOOKUP(A2669,'6.A'!$A$11:$G$180,4,FALSE))</f>
        <v/>
      </c>
      <c r="E2669" s="100" t="str">
        <f>IF(A2669="","",VLOOKUP(A2669,'6.A'!$A$11:$G$180,5,FALSE))</f>
        <v/>
      </c>
      <c r="F2669" s="24" t="str">
        <f t="shared" si="1128"/>
        <v>0,00</v>
      </c>
      <c r="G2669" s="52"/>
      <c r="H2669" s="52" t="str">
        <f>IF(A2669="","",VLOOKUP(A2669,'6.A'!$A$11:$E$7984,5,FALSE))</f>
        <v/>
      </c>
      <c r="I2669" s="52" t="str">
        <f>IF(H2669="","",IF(E2669=H2669,"SIM","NÃO"))</f>
        <v/>
      </c>
      <c r="J2669" s="52" t="str">
        <f>IF(H2669="","",VLOOKUP(A2669,'6.A'!$A$11:$E$564,4,FALSE))</f>
        <v/>
      </c>
      <c r="K2669" s="52" t="str">
        <f>IF(H2669="","",IF(J2669=D2669,"SIM","NÃO"))</f>
        <v/>
      </c>
      <c r="L2669" s="52" t="str">
        <f>IF(H2669="","",IF(C2669="","",G2664*C2669))</f>
        <v/>
      </c>
      <c r="M2669" s="117" t="str">
        <f>IF(A2669="","",VLOOKUP(A2669,'6.A'!$A$11:$C$564,2,FALSE))</f>
        <v/>
      </c>
      <c r="N2669" s="57" t="str">
        <f>IF(A2669="","",IF(M2669=B2669,"si","no"))</f>
        <v/>
      </c>
      <c r="O2669" s="56"/>
      <c r="P2669" s="56"/>
      <c r="Q2669" s="48"/>
      <c r="R2669" s="48"/>
    </row>
    <row r="2670" spans="1:23" ht="12.75" customHeight="1" x14ac:dyDescent="0.2">
      <c r="A2670" s="155"/>
      <c r="B2670" s="138" t="str">
        <f>IF(A2670="","",VLOOKUP(A2670,'6.A'!$A$11:$G$180,2,FALSE))</f>
        <v/>
      </c>
      <c r="C2670" s="156"/>
      <c r="D2670" s="57" t="str">
        <f>IF(A2670="","",VLOOKUP(A2670,'6.A'!$A$11:$G$180,4,FALSE))</f>
        <v/>
      </c>
      <c r="E2670" s="101" t="str">
        <f>IF(A2670="","",VLOOKUP(A2670,'6.A'!$A$11:$G$180,5,FALSE))</f>
        <v/>
      </c>
      <c r="F2670" s="24" t="str">
        <f t="shared" si="1128"/>
        <v>0,00</v>
      </c>
      <c r="G2670" s="52"/>
      <c r="H2670" s="52" t="str">
        <f>IF(A2670="","",VLOOKUP(A2670,'6.A'!$A$11:$E$7984,5,FALSE))</f>
        <v/>
      </c>
      <c r="I2670" s="52" t="str">
        <f t="shared" ref="I2670" si="1131">IF(H2670="","",IF(E2670=H2670,"SIM","NÃO"))</f>
        <v/>
      </c>
      <c r="J2670" s="52" t="str">
        <f>IF(H2670="","",VLOOKUP(A2670,'6.A'!$A$11:$E$564,4,FALSE))</f>
        <v/>
      </c>
      <c r="K2670" s="52" t="str">
        <f t="shared" ref="K2670" si="1132">IF(H2670="","",IF(J2670=D2670,"SIM","NÃO"))</f>
        <v/>
      </c>
      <c r="L2670" s="52" t="str">
        <f>IF(H2670="","",IF(C2670="","",G2664*C2670))</f>
        <v/>
      </c>
      <c r="M2670" s="117" t="str">
        <f>IF(A2670="","",VLOOKUP(A2670,'6.A'!$A$11:$C$564,2,FALSE))</f>
        <v/>
      </c>
      <c r="N2670" s="57" t="str">
        <f t="shared" ref="N2670" si="1133">IF(A2670="","",IF(M2670=B2670,"si","no"))</f>
        <v/>
      </c>
      <c r="O2670" s="56"/>
      <c r="P2670" s="56"/>
      <c r="Q2670" s="48"/>
      <c r="R2670" s="48"/>
    </row>
    <row r="2671" spans="1:23" ht="12.75" customHeight="1" x14ac:dyDescent="0.2">
      <c r="A2671" s="155"/>
      <c r="B2671" s="138" t="str">
        <f>IF(A2671="","",VLOOKUP(A2671,'6.A'!$A$11:$G$180,2,FALSE))</f>
        <v/>
      </c>
      <c r="C2671" s="156"/>
      <c r="D2671" s="57" t="str">
        <f>IF(A2671="","",VLOOKUP(A2671,'6.A'!$A$11:$G$180,4,FALSE))</f>
        <v/>
      </c>
      <c r="E2671" s="101" t="str">
        <f>IF(A2671="","",VLOOKUP(A2671,'6.A'!$A$11:$G$180,5,FALSE))</f>
        <v/>
      </c>
      <c r="F2671" s="24" t="str">
        <f t="shared" si="1128"/>
        <v>0,00</v>
      </c>
      <c r="G2671" s="52"/>
      <c r="H2671" s="52" t="str">
        <f>IF(A2671="","",VLOOKUP(A2671,'6.A'!$A$11:$E$7984,5,FALSE))</f>
        <v/>
      </c>
      <c r="I2671" s="52" t="str">
        <f>IF(H2671="","",IF(E2671=H2671,"SIM","NÃO"))</f>
        <v/>
      </c>
      <c r="J2671" s="52" t="str">
        <f>IF(H2671="","",VLOOKUP(A2671,'6.A'!$A$11:$E$564,4,FALSE))</f>
        <v/>
      </c>
      <c r="K2671" s="52" t="str">
        <f>IF(H2671="","",IF(J2671=D2671,"SIM","NÃO"))</f>
        <v/>
      </c>
      <c r="L2671" s="52" t="str">
        <f>IF(H2671="","",IF(C2671="","",G2664*C2671))</f>
        <v/>
      </c>
      <c r="M2671" s="117" t="str">
        <f>IF(A2671="","",VLOOKUP(A2671,'6.A'!$A$11:$C$564,2,FALSE))</f>
        <v/>
      </c>
      <c r="N2671" s="57" t="str">
        <f>IF(A2671="","",IF(M2671=B2671,"si","no"))</f>
        <v/>
      </c>
      <c r="O2671" s="56"/>
      <c r="P2671" s="56"/>
      <c r="Q2671" s="48"/>
      <c r="R2671" s="48"/>
    </row>
    <row r="2672" spans="1:23" ht="12.75" customHeight="1" x14ac:dyDescent="0.2">
      <c r="A2672" s="155"/>
      <c r="B2672" s="138" t="str">
        <f>IF(A2672="","",VLOOKUP(A2672,'6.A'!$A$11:$G$180,2,FALSE))</f>
        <v/>
      </c>
      <c r="C2672" s="156"/>
      <c r="D2672" s="57" t="str">
        <f>IF(A2672="","",VLOOKUP(A2672,'6.A'!$A$11:$G$180,4,FALSE))</f>
        <v/>
      </c>
      <c r="E2672" s="100" t="str">
        <f>IF(A2672="","",VLOOKUP(A2672,'6.A'!$A$11:$G$180,5,FALSE))</f>
        <v/>
      </c>
      <c r="F2672" s="24" t="str">
        <f t="shared" si="1128"/>
        <v>0,00</v>
      </c>
      <c r="G2672" s="52"/>
      <c r="H2672" s="52" t="str">
        <f>IF(A2672="","",VLOOKUP(A2672,'6.A'!$A$11:$E$7984,5,FALSE))</f>
        <v/>
      </c>
      <c r="I2672" s="52" t="str">
        <f>IF(H2672="","",IF(E2672=H2672,"SIM","NÃO"))</f>
        <v/>
      </c>
      <c r="J2672" s="52" t="str">
        <f>IF(H2672="","",VLOOKUP(A2672,'6.A'!$A$11:$E$564,4,FALSE))</f>
        <v/>
      </c>
      <c r="K2672" s="52" t="str">
        <f>IF(H2672="","",IF(J2672=D2672,"SIM","NÃO"))</f>
        <v/>
      </c>
      <c r="L2672" s="52" t="str">
        <f>IF(H2672="","",IF(C2672="","",G2664*C2672))</f>
        <v/>
      </c>
      <c r="M2672" s="117" t="str">
        <f>IF(A2672="","",VLOOKUP(A2672,'6.A'!$A$11:$C$564,2,FALSE))</f>
        <v/>
      </c>
      <c r="N2672" s="57" t="str">
        <f>IF(A2672="","",IF(M2672=B2672,"si","no"))</f>
        <v/>
      </c>
      <c r="O2672" s="56"/>
      <c r="P2672" s="56"/>
      <c r="Q2672" s="48"/>
      <c r="R2672" s="48"/>
      <c r="S2672" s="2"/>
    </row>
    <row r="2673" spans="1:19" ht="12.75" customHeight="1" x14ac:dyDescent="0.2">
      <c r="A2673" s="155"/>
      <c r="B2673" s="138" t="str">
        <f>IF(A2673="","",VLOOKUP(A2673,'6.A'!$A$11:$G$180,2,FALSE))</f>
        <v/>
      </c>
      <c r="C2673" s="156"/>
      <c r="D2673" s="57" t="str">
        <f>IF(A2673="","",VLOOKUP(A2673,'6.A'!$A$11:$G$180,4,FALSE))</f>
        <v/>
      </c>
      <c r="E2673" s="100" t="str">
        <f>IF(A2673="","",VLOOKUP(A2673,'6.A'!$A$11:$G$180,5,FALSE))</f>
        <v/>
      </c>
      <c r="F2673" s="24" t="str">
        <f t="shared" si="1128"/>
        <v>0,00</v>
      </c>
      <c r="G2673" s="52"/>
      <c r="H2673" s="52" t="str">
        <f>IF(A2673="","",VLOOKUP(A2673,'6.A'!$A$11:$E$7984,5,FALSE))</f>
        <v/>
      </c>
      <c r="I2673" s="52" t="str">
        <f t="shared" ref="I2673" si="1134">IF(H2673="","",IF(E2673=H2673,"SIM","NÃO"))</f>
        <v/>
      </c>
      <c r="J2673" s="52" t="str">
        <f>IF(H2673="","",VLOOKUP(A2673,'6.A'!$A$11:$E$564,4,FALSE))</f>
        <v/>
      </c>
      <c r="K2673" s="52" t="str">
        <f t="shared" ref="K2673" si="1135">IF(H2673="","",IF(J2673=D2673,"SIM","NÃO"))</f>
        <v/>
      </c>
      <c r="L2673" s="52" t="str">
        <f>IF(H2673="","",IF(C2673="","",G2664*C2673))</f>
        <v/>
      </c>
      <c r="M2673" s="117" t="str">
        <f>IF(A2673="","",VLOOKUP(A2673,'6.A'!$A$11:$C$564,2,FALSE))</f>
        <v/>
      </c>
      <c r="N2673" s="57" t="str">
        <f t="shared" ref="N2673" si="1136">IF(A2673="","",IF(M2673=B2673,"si","no"))</f>
        <v/>
      </c>
      <c r="O2673" s="56"/>
      <c r="P2673" s="56"/>
      <c r="Q2673" s="48"/>
      <c r="R2673" s="48"/>
      <c r="S2673" s="2"/>
    </row>
    <row r="2674" spans="1:19" ht="12.75" customHeight="1" x14ac:dyDescent="0.2">
      <c r="A2674" s="155"/>
      <c r="B2674" s="138" t="str">
        <f>IF(A2674="","",VLOOKUP(A2674,'6.A'!$A$11:$G$180,2,FALSE))</f>
        <v/>
      </c>
      <c r="C2674" s="156"/>
      <c r="D2674" s="73" t="str">
        <f>IF(A2674="","",VLOOKUP(A2674,'6.A'!$A$11:$G$180,4,FALSE))</f>
        <v/>
      </c>
      <c r="E2674" s="101" t="str">
        <f>IF(A2674="","",VLOOKUP(A2674,'6.A'!$A$11:$G$180,5,FALSE))</f>
        <v/>
      </c>
      <c r="F2674" s="24" t="str">
        <f t="shared" si="1128"/>
        <v>0,00</v>
      </c>
      <c r="G2674" s="52"/>
      <c r="H2674" s="52" t="str">
        <f>IF(A2674="","",VLOOKUP(A2674,'6.A'!$A$11:$E$7984,5,FALSE))</f>
        <v/>
      </c>
      <c r="I2674" s="52" t="str">
        <f>IF(H2674="","",IF(E2674=H2674,"SIM","NÃO"))</f>
        <v/>
      </c>
      <c r="J2674" s="52" t="str">
        <f>IF(H2674="","",VLOOKUP(A2674,'6.A'!$A$11:$E$564,4,FALSE))</f>
        <v/>
      </c>
      <c r="K2674" s="52" t="str">
        <f>IF(H2674="","",IF(J2674=D2674,"SIM","NÃO"))</f>
        <v/>
      </c>
      <c r="L2674" s="52" t="str">
        <f>IF(H2674="","",IF(C2674="","",G2664*C2674))</f>
        <v/>
      </c>
      <c r="M2674" s="117" t="str">
        <f>IF(A2674="","",VLOOKUP(A2674,'6.A'!$A$11:$C$564,2,FALSE))</f>
        <v/>
      </c>
      <c r="N2674" s="57" t="str">
        <f>IF(A2674="","",IF(M2674=B2674,"si","no"))</f>
        <v/>
      </c>
      <c r="O2674" s="56"/>
      <c r="P2674" s="56"/>
      <c r="Q2674" s="48"/>
      <c r="R2674" s="48"/>
      <c r="S2674" s="2"/>
    </row>
    <row r="2675" spans="1:19" ht="12.75" customHeight="1" x14ac:dyDescent="0.2">
      <c r="A2675" s="155"/>
      <c r="B2675" s="138" t="str">
        <f>IF(A2675="","",VLOOKUP(A2675,'6.A'!$A$11:$G$180,2,FALSE))</f>
        <v/>
      </c>
      <c r="C2675" s="156"/>
      <c r="D2675" s="25" t="str">
        <f>IF(A2675="","",VLOOKUP(A2675,'6.A'!$A$11:$G$180,4,FALSE))</f>
        <v/>
      </c>
      <c r="E2675" s="101" t="str">
        <f>IF(A2675="","",VLOOKUP(A2675,'6.A'!$A$11:$G$180,5,FALSE))</f>
        <v/>
      </c>
      <c r="F2675" s="24" t="str">
        <f t="shared" si="1128"/>
        <v>0,00</v>
      </c>
      <c r="G2675" s="52"/>
      <c r="H2675" s="52" t="str">
        <f>IF(A2675="","",VLOOKUP(A2675,'6.A'!$A$11:$E$7984,5,FALSE))</f>
        <v/>
      </c>
      <c r="I2675" s="52" t="str">
        <f t="shared" ref="I2675" si="1137">IF(H2675="","",IF(E2675=H2675,"SIM","NÃO"))</f>
        <v/>
      </c>
      <c r="J2675" s="52" t="str">
        <f>IF(H2675="","",VLOOKUP(A2675,'6.A'!$A$11:$E$564,4,FALSE))</f>
        <v/>
      </c>
      <c r="K2675" s="52" t="str">
        <f t="shared" ref="K2675" si="1138">IF(H2675="","",IF(J2675=D2675,"SIM","NÃO"))</f>
        <v/>
      </c>
      <c r="L2675" s="52" t="str">
        <f>IF(H2675="","",IF(C2675="","",G2664*C2675))</f>
        <v/>
      </c>
      <c r="M2675" s="117" t="str">
        <f>IF(A2675="","",VLOOKUP(A2675,'6.A'!$A$11:$C$564,2,FALSE))</f>
        <v/>
      </c>
      <c r="N2675" s="57" t="str">
        <f t="shared" ref="N2675" si="1139">IF(A2675="","",IF(M2675=B2675,"si","no"))</f>
        <v/>
      </c>
      <c r="O2675" s="56"/>
      <c r="P2675" s="56"/>
      <c r="Q2675" s="48"/>
      <c r="R2675" s="48"/>
      <c r="S2675" s="2"/>
    </row>
    <row r="2676" spans="1:19" ht="12.75" customHeight="1" x14ac:dyDescent="0.2">
      <c r="A2676" s="152"/>
      <c r="B2676" s="26" t="str">
        <f>$A$8</f>
        <v>LEIS SOCIAIS HORISTA - JORNADA NORMAL</v>
      </c>
      <c r="C2676" s="27">
        <f>$C$8</f>
        <v>0</v>
      </c>
      <c r="D2676" s="57"/>
      <c r="F2676" s="28">
        <f>ROUND(SUM(F2666:F2675)*C2676,2)</f>
        <v>0</v>
      </c>
      <c r="G2676" s="63"/>
      <c r="M2676" s="62"/>
      <c r="N2676" s="57"/>
      <c r="O2676" s="56"/>
      <c r="P2676" s="56"/>
      <c r="Q2676" s="48"/>
      <c r="R2676" s="48"/>
      <c r="S2676" s="2"/>
    </row>
    <row r="2677" spans="1:19" ht="12.75" customHeight="1" x14ac:dyDescent="0.2">
      <c r="A2677" s="155"/>
      <c r="B2677" s="26" t="str">
        <f>$A$9</f>
        <v>BDI</v>
      </c>
      <c r="C2677" s="27">
        <f>$C$9</f>
        <v>0</v>
      </c>
      <c r="D2677" s="29"/>
      <c r="F2677" s="28">
        <f>ROUND(SUM(F2666:F2676)*C2677,2)</f>
        <v>0</v>
      </c>
      <c r="G2677" s="63"/>
      <c r="M2677" s="62"/>
      <c r="N2677" s="57"/>
      <c r="O2677" s="56"/>
      <c r="P2677" s="56"/>
      <c r="Q2677" s="48"/>
      <c r="R2677" s="48"/>
      <c r="S2677" s="2"/>
    </row>
    <row r="2678" spans="1:19" ht="12.75" customHeight="1" x14ac:dyDescent="0.2">
      <c r="A2678" s="163"/>
      <c r="B2678" s="164" t="s">
        <v>56</v>
      </c>
      <c r="C2678" s="165"/>
      <c r="D2678" s="33"/>
      <c r="E2678" s="34"/>
      <c r="F2678" s="35">
        <f>ROUND(SUM(F2666:F2677),2)</f>
        <v>0</v>
      </c>
      <c r="G2678" s="63"/>
      <c r="M2678" s="62"/>
      <c r="N2678" s="57"/>
      <c r="O2678" s="56"/>
      <c r="P2678" s="56"/>
      <c r="Q2678" s="48"/>
      <c r="R2678" s="48"/>
      <c r="S2678" s="2"/>
    </row>
    <row r="2679" spans="1:19" ht="12.75" customHeight="1" x14ac:dyDescent="0.2">
      <c r="A2679" s="152" t="s">
        <v>5</v>
      </c>
      <c r="B2679" s="153" t="s">
        <v>130</v>
      </c>
      <c r="C2679" s="140" t="s">
        <v>59</v>
      </c>
      <c r="D2679" s="56" t="s">
        <v>16</v>
      </c>
      <c r="E2679" s="19" t="s">
        <v>60</v>
      </c>
      <c r="F2679" s="20" t="s">
        <v>61</v>
      </c>
      <c r="G2679" s="21"/>
      <c r="M2679" s="62"/>
      <c r="N2679" s="57"/>
      <c r="O2679" s="56"/>
      <c r="P2679" s="56"/>
      <c r="Q2679" s="48"/>
      <c r="R2679" s="48"/>
      <c r="S2679" s="2"/>
    </row>
    <row r="2680" spans="1:19" ht="12.75" customHeight="1" x14ac:dyDescent="0.2">
      <c r="A2680" s="155"/>
      <c r="B2680" s="138" t="str">
        <f>IF(A2680="","",VLOOKUP(A2680,'6.A'!$A$11:$G$180,2,FALSE))</f>
        <v/>
      </c>
      <c r="C2680" s="156"/>
      <c r="D2680" s="157" t="str">
        <f>IF(A2680="","",VLOOKUP(A2680,'6.A'!$A$11:$G$180,4,FALSE))</f>
        <v/>
      </c>
      <c r="E2680" s="158" t="str">
        <f>IF(A2680="","",VLOOKUP(A2680,'6.A'!$A$11:$G$180,5,FALSE))</f>
        <v/>
      </c>
      <c r="F2680" s="24" t="str">
        <f t="shared" ref="F2680:F2689" si="1140">IF(A2680="","0,00",ROUND(C2680*E2680,2))</f>
        <v>0,00</v>
      </c>
      <c r="G2680" s="52"/>
      <c r="H2680" s="52" t="str">
        <f>IF(A2680="","",VLOOKUP(A2680,'6.A'!$A$11:$E$7984,5,FALSE))</f>
        <v/>
      </c>
      <c r="I2680" s="52" t="str">
        <f t="shared" ref="I2680:I2689" si="1141">IF(H2680="","",IF(E2680=H2680,"SIM","NÃO"))</f>
        <v/>
      </c>
      <c r="J2680" s="52" t="str">
        <f>IF(H2680="","",VLOOKUP(A2680,'6.A'!$A$11:$E$564,4,FALSE))</f>
        <v/>
      </c>
      <c r="K2680" s="52" t="str">
        <f t="shared" ref="K2680:K2689" si="1142">IF(H2680="","",IF(J2680=D2680,"SIM","NÃO"))</f>
        <v/>
      </c>
      <c r="L2680" s="52" t="str">
        <f>IF(H2680="","",IF(C2680="","",G2664*C2680))</f>
        <v/>
      </c>
      <c r="M2680" s="117" t="str">
        <f>IF(A2680="","",VLOOKUP(A2680,'6.A'!$A$11:$C$564,2,FALSE))</f>
        <v/>
      </c>
      <c r="N2680" s="57" t="str">
        <f t="shared" ref="N2680:N2685" si="1143">IF(A2680="","",IF(M2680=B2680,"si","no"))</f>
        <v/>
      </c>
      <c r="O2680" s="56"/>
      <c r="P2680" s="56"/>
      <c r="Q2680" s="48"/>
      <c r="R2680" s="48"/>
      <c r="S2680" s="2"/>
    </row>
    <row r="2681" spans="1:19" ht="12.75" customHeight="1" x14ac:dyDescent="0.2">
      <c r="A2681" s="155"/>
      <c r="B2681" s="138" t="str">
        <f>IF(A2681="","",VLOOKUP(A2681,'6.A'!$A$11:$G$180,2,FALSE))</f>
        <v/>
      </c>
      <c r="C2681" s="156"/>
      <c r="D2681" s="157" t="str">
        <f>IF(A2681="","",VLOOKUP(A2681,'6.A'!$A$11:$G$180,4,FALSE))</f>
        <v/>
      </c>
      <c r="E2681" s="158" t="str">
        <f>IF(A2681="","",VLOOKUP(A2681,'6.A'!$A$11:$G$180,5,FALSE))</f>
        <v/>
      </c>
      <c r="F2681" s="24" t="str">
        <f t="shared" si="1140"/>
        <v>0,00</v>
      </c>
      <c r="G2681" s="52"/>
      <c r="H2681" s="52" t="str">
        <f>IF(A2681="","",VLOOKUP(A2681,'6.A'!$A$11:$E$7984,5,FALSE))</f>
        <v/>
      </c>
      <c r="I2681" s="52" t="str">
        <f t="shared" si="1141"/>
        <v/>
      </c>
      <c r="J2681" s="52" t="str">
        <f>IF(H2681="","",VLOOKUP(A2681,'6.A'!$A$11:$E$564,4,FALSE))</f>
        <v/>
      </c>
      <c r="K2681" s="52" t="str">
        <f t="shared" si="1142"/>
        <v/>
      </c>
      <c r="L2681" s="52" t="str">
        <f>IF(H2681="","",IF(C2681="","",G2664*C2681))</f>
        <v/>
      </c>
      <c r="M2681" s="117" t="str">
        <f>IF(A2681="","",VLOOKUP(A2681,'6.A'!$A$11:$C$564,2,FALSE))</f>
        <v/>
      </c>
      <c r="N2681" s="57" t="str">
        <f t="shared" si="1143"/>
        <v/>
      </c>
      <c r="O2681" s="56"/>
      <c r="P2681" s="56"/>
      <c r="Q2681" s="48"/>
      <c r="R2681" s="48"/>
      <c r="S2681" s="2"/>
    </row>
    <row r="2682" spans="1:19" ht="12.75" customHeight="1" x14ac:dyDescent="0.2">
      <c r="A2682" s="155"/>
      <c r="B2682" s="138" t="str">
        <f>IF(A2682="","",VLOOKUP(A2682,'6.A'!$A$11:$G$180,2,FALSE))</f>
        <v/>
      </c>
      <c r="C2682" s="156"/>
      <c r="D2682" s="57" t="str">
        <f>IF(A2682="","",VLOOKUP(A2682,'6.A'!$A$11:$G$180,4,FALSE))</f>
        <v/>
      </c>
      <c r="E2682" s="100" t="str">
        <f>IF(A2682="","",VLOOKUP(A2682,'6.A'!$A$11:$G$180,5,FALSE))</f>
        <v/>
      </c>
      <c r="F2682" s="24" t="str">
        <f t="shared" si="1140"/>
        <v>0,00</v>
      </c>
      <c r="G2682" s="52"/>
      <c r="H2682" s="52" t="str">
        <f>IF(A2682="","",VLOOKUP(A2682,'6.A'!$A$11:$E$7984,5,FALSE))</f>
        <v/>
      </c>
      <c r="I2682" s="52" t="str">
        <f t="shared" si="1141"/>
        <v/>
      </c>
      <c r="J2682" s="52" t="str">
        <f>IF(H2682="","",VLOOKUP(A2682,'6.A'!$A$11:$E$564,4,FALSE))</f>
        <v/>
      </c>
      <c r="K2682" s="52" t="str">
        <f t="shared" si="1142"/>
        <v/>
      </c>
      <c r="L2682" s="52" t="str">
        <f>IF(H2682="","",IF(C2682="","",G2664*C2682))</f>
        <v/>
      </c>
      <c r="M2682" s="117" t="str">
        <f>IF(A2682="","",VLOOKUP(A2682,'6.A'!$A$11:$C$564,2,FALSE))</f>
        <v/>
      </c>
      <c r="N2682" s="57" t="str">
        <f t="shared" si="1143"/>
        <v/>
      </c>
      <c r="O2682" s="56"/>
      <c r="P2682" s="56"/>
      <c r="Q2682" s="48"/>
      <c r="R2682" s="48"/>
      <c r="S2682" s="2"/>
    </row>
    <row r="2683" spans="1:19" ht="12.75" customHeight="1" x14ac:dyDescent="0.2">
      <c r="A2683" s="155"/>
      <c r="B2683" s="176" t="str">
        <f>IF(A2683="","",VLOOKUP(A2683,'6.A'!$A$11:$G$180,2,FALSE))</f>
        <v/>
      </c>
      <c r="C2683" s="156"/>
      <c r="D2683" s="57" t="str">
        <f>IF(A2683="","",VLOOKUP(A2683,'6.A'!$A$11:$G$180,4,FALSE))</f>
        <v/>
      </c>
      <c r="E2683" s="100" t="str">
        <f>IF(A2683="","",VLOOKUP(A2683,'6.A'!$A$11:$G$180,5,FALSE))</f>
        <v/>
      </c>
      <c r="F2683" s="24" t="str">
        <f t="shared" si="1140"/>
        <v>0,00</v>
      </c>
      <c r="G2683" s="52"/>
      <c r="H2683" s="52" t="str">
        <f>IF(A2683="","",VLOOKUP(A2683,'6.A'!$A$11:$E$7984,5,FALSE))</f>
        <v/>
      </c>
      <c r="I2683" s="52" t="str">
        <f t="shared" si="1141"/>
        <v/>
      </c>
      <c r="J2683" s="52" t="str">
        <f>IF(H2683="","",VLOOKUP(A2683,'6.A'!$A$11:$E$564,4,FALSE))</f>
        <v/>
      </c>
      <c r="K2683" s="52" t="str">
        <f t="shared" si="1142"/>
        <v/>
      </c>
      <c r="L2683" s="52" t="str">
        <f>IF(H2683="","",IF(C2683="","",G2664*C2683))</f>
        <v/>
      </c>
      <c r="M2683" s="117" t="str">
        <f>IF(A2683="","",VLOOKUP(A2683,'6.A'!$A$11:$C$564,2,FALSE))</f>
        <v/>
      </c>
      <c r="N2683" s="57" t="str">
        <f t="shared" si="1143"/>
        <v/>
      </c>
      <c r="O2683" s="56"/>
      <c r="P2683" s="56"/>
      <c r="Q2683" s="48"/>
      <c r="R2683" s="48"/>
      <c r="S2683" s="2"/>
    </row>
    <row r="2684" spans="1:19" ht="12.75" customHeight="1" x14ac:dyDescent="0.2">
      <c r="A2684" s="155"/>
      <c r="B2684" s="176" t="str">
        <f>IF(A2684="","",VLOOKUP(A2684,'6.A'!$A$11:$G$180,2,FALSE))</f>
        <v/>
      </c>
      <c r="C2684" s="156"/>
      <c r="D2684" s="57" t="str">
        <f>IF(A2684="","",VLOOKUP(A2684,'6.A'!$A$11:$G$180,4,FALSE))</f>
        <v/>
      </c>
      <c r="E2684" s="100" t="str">
        <f>IF(A2684="","",VLOOKUP(A2684,'6.A'!$A$11:$G$180,5,FALSE))</f>
        <v/>
      </c>
      <c r="F2684" s="24" t="str">
        <f t="shared" si="1140"/>
        <v>0,00</v>
      </c>
      <c r="G2684" s="52"/>
      <c r="H2684" s="52" t="str">
        <f>IF(A2684="","",VLOOKUP(A2684,'6.A'!$A$11:$E$7984,5,FALSE))</f>
        <v/>
      </c>
      <c r="I2684" s="52" t="str">
        <f t="shared" si="1141"/>
        <v/>
      </c>
      <c r="J2684" s="52" t="str">
        <f>IF(H2684="","",VLOOKUP(A2684,'6.A'!$A$11:$E$564,4,FALSE))</f>
        <v/>
      </c>
      <c r="K2684" s="52" t="str">
        <f t="shared" si="1142"/>
        <v/>
      </c>
      <c r="L2684" s="52" t="str">
        <f>IF(H2684="","",IF(C2684="","",G2664*C2684))</f>
        <v/>
      </c>
      <c r="M2684" s="117" t="str">
        <f>IF(A2684="","",VLOOKUP(A2684,'6.A'!$A$11:$C$564,2,FALSE))</f>
        <v/>
      </c>
      <c r="N2684" s="57" t="str">
        <f t="shared" si="1143"/>
        <v/>
      </c>
      <c r="O2684" s="56"/>
      <c r="P2684" s="56"/>
      <c r="Q2684" s="48"/>
      <c r="R2684" s="48"/>
      <c r="S2684" s="2"/>
    </row>
    <row r="2685" spans="1:19" ht="12.75" customHeight="1" x14ac:dyDescent="0.2">
      <c r="A2685" s="155"/>
      <c r="B2685" s="176" t="str">
        <f>IF(A2685="","",VLOOKUP(A2685,'6.A'!$A$11:$G$180,2,FALSE))</f>
        <v/>
      </c>
      <c r="C2685" s="156"/>
      <c r="D2685" s="57" t="str">
        <f>IF(A2685="","",VLOOKUP(A2685,'6.A'!$A$11:$G$180,4,FALSE))</f>
        <v/>
      </c>
      <c r="E2685" s="100" t="str">
        <f>IF(A2685="","",VLOOKUP(A2685,'6.A'!$A$11:$G$180,5,FALSE))</f>
        <v/>
      </c>
      <c r="F2685" s="24" t="str">
        <f t="shared" si="1140"/>
        <v>0,00</v>
      </c>
      <c r="G2685" s="52"/>
      <c r="H2685" s="52" t="str">
        <f>IF(A2685="","",VLOOKUP(A2685,'6.A'!$A$11:$E$7984,5,FALSE))</f>
        <v/>
      </c>
      <c r="I2685" s="52" t="str">
        <f t="shared" si="1141"/>
        <v/>
      </c>
      <c r="J2685" s="52" t="str">
        <f>IF(H2685="","",VLOOKUP(A2685,'6.A'!$A$11:$E$564,4,FALSE))</f>
        <v/>
      </c>
      <c r="K2685" s="52" t="str">
        <f t="shared" si="1142"/>
        <v/>
      </c>
      <c r="L2685" s="52" t="str">
        <f>IF(H2685="","",IF(C2685="","",G2664*C2685))</f>
        <v/>
      </c>
      <c r="M2685" s="117" t="str">
        <f>IF(A2685="","",VLOOKUP(A2685,'6.A'!$A$11:$C$564,2,FALSE))</f>
        <v/>
      </c>
      <c r="N2685" s="57" t="str">
        <f t="shared" si="1143"/>
        <v/>
      </c>
      <c r="O2685" s="56"/>
      <c r="P2685" s="56"/>
      <c r="Q2685" s="48"/>
      <c r="R2685" s="48"/>
      <c r="S2685" s="2"/>
    </row>
    <row r="2686" spans="1:19" ht="12.75" customHeight="1" x14ac:dyDescent="0.2">
      <c r="A2686" s="155"/>
      <c r="B2686" s="176" t="str">
        <f>IF(A2686="","",VLOOKUP(A2686,'6.A'!$A$11:$G$180,2,FALSE))</f>
        <v/>
      </c>
      <c r="C2686" s="156"/>
      <c r="D2686" s="57" t="str">
        <f>IF(A2686="","",VLOOKUP(A2686,'6.A'!$A$11:$G$180,4,FALSE))</f>
        <v/>
      </c>
      <c r="E2686" s="100" t="str">
        <f>IF(A2686="","",VLOOKUP(A2686,'6.A'!$A$11:$G$180,5,FALSE))</f>
        <v/>
      </c>
      <c r="F2686" s="24" t="str">
        <f t="shared" si="1140"/>
        <v>0,00</v>
      </c>
      <c r="G2686" s="52"/>
      <c r="H2686" s="52" t="str">
        <f>IF(A2686="","",VLOOKUP(A2686,'6.A'!$A$11:$E$7984,5,FALSE))</f>
        <v/>
      </c>
      <c r="I2686" s="52" t="str">
        <f t="shared" si="1141"/>
        <v/>
      </c>
      <c r="J2686" s="52" t="str">
        <f>IF(H2686="","",VLOOKUP(A2686,'6.A'!$A$11:$E$564,4,FALSE))</f>
        <v/>
      </c>
      <c r="K2686" s="52" t="str">
        <f t="shared" si="1142"/>
        <v/>
      </c>
      <c r="L2686" s="52" t="str">
        <f>IF(H2686="","",IF(C2686="","",G2664*C2686))</f>
        <v/>
      </c>
      <c r="M2686" s="117" t="str">
        <f>IF(A2686="","",VLOOKUP(A2686,'6.A'!$A$11:$C$564,2,FALSE))</f>
        <v/>
      </c>
      <c r="N2686" s="57" t="str">
        <f>IF(A2686="","",IF(M2686=B2686,"si","no"))</f>
        <v/>
      </c>
      <c r="O2686" s="56"/>
      <c r="P2686" s="56"/>
      <c r="Q2686" s="48"/>
      <c r="R2686" s="48"/>
      <c r="S2686" s="2"/>
    </row>
    <row r="2687" spans="1:19" ht="12.75" customHeight="1" x14ac:dyDescent="0.2">
      <c r="A2687" s="155"/>
      <c r="B2687" s="138" t="str">
        <f>IF(A2687="","",VLOOKUP(A2687,'6.A'!$A$11:$G$180,2,FALSE))</f>
        <v/>
      </c>
      <c r="C2687" s="156"/>
      <c r="D2687" s="57" t="str">
        <f>IF(A2687="","",VLOOKUP(A2687,'6.A'!$A$11:$G$180,4,FALSE))</f>
        <v/>
      </c>
      <c r="E2687" s="100" t="str">
        <f>IF(A2687="","",VLOOKUP(A2687,'6.A'!$A$11:$G$180,5,FALSE))</f>
        <v/>
      </c>
      <c r="F2687" s="24" t="str">
        <f t="shared" si="1140"/>
        <v>0,00</v>
      </c>
      <c r="G2687" s="52"/>
      <c r="H2687" s="52" t="str">
        <f>IF(A2687="","",VLOOKUP(A2687,'6.A'!$A$11:$E$7984,5,FALSE))</f>
        <v/>
      </c>
      <c r="I2687" s="52" t="str">
        <f t="shared" si="1141"/>
        <v/>
      </c>
      <c r="J2687" s="52" t="str">
        <f>IF(H2687="","",VLOOKUP(A2687,'6.A'!$A$11:$E$564,4,FALSE))</f>
        <v/>
      </c>
      <c r="K2687" s="52" t="str">
        <f t="shared" si="1142"/>
        <v/>
      </c>
      <c r="L2687" s="52" t="str">
        <f>IF(H2687="","",IF(C2687="","",G2664*C2687))</f>
        <v/>
      </c>
      <c r="M2687" s="117" t="str">
        <f>IF(A2687="","",VLOOKUP(A2687,'6.A'!$A$11:$C$564,2,FALSE))</f>
        <v/>
      </c>
      <c r="N2687" s="57" t="str">
        <f>IF(A2687="","",IF(M2687=B2687,"si","no"))</f>
        <v/>
      </c>
      <c r="O2687" s="56"/>
      <c r="P2687" s="56"/>
      <c r="Q2687" s="48"/>
      <c r="R2687" s="48"/>
      <c r="S2687" s="2"/>
    </row>
    <row r="2688" spans="1:19" ht="12.75" customHeight="1" x14ac:dyDescent="0.2">
      <c r="A2688" s="155"/>
      <c r="B2688" s="138" t="str">
        <f>IF(A2688="","",VLOOKUP(A2688,'6.A'!$A$11:$G$180,2,FALSE))</f>
        <v/>
      </c>
      <c r="C2688" s="156"/>
      <c r="D2688" s="57" t="str">
        <f>IF(A2688="","",VLOOKUP(A2688,'6.A'!$A$11:$G$180,4,FALSE))</f>
        <v/>
      </c>
      <c r="E2688" s="100" t="str">
        <f>IF(A2688="","",VLOOKUP(A2688,'6.A'!$A$11:$G$180,5,FALSE))</f>
        <v/>
      </c>
      <c r="F2688" s="24" t="str">
        <f t="shared" si="1140"/>
        <v>0,00</v>
      </c>
      <c r="G2688" s="52"/>
      <c r="H2688" s="52" t="str">
        <f>IF(A2688="","",VLOOKUP(A2688,'6.A'!$A$11:$E$7984,5,FALSE))</f>
        <v/>
      </c>
      <c r="I2688" s="52" t="str">
        <f t="shared" si="1141"/>
        <v/>
      </c>
      <c r="J2688" s="52" t="str">
        <f>IF(H2688="","",VLOOKUP(A2688,'6.A'!$A$11:$E$564,4,FALSE))</f>
        <v/>
      </c>
      <c r="K2688" s="52" t="str">
        <f t="shared" si="1142"/>
        <v/>
      </c>
      <c r="L2688" s="52" t="str">
        <f>IF(H2688="","",IF(C2688="","",G2664*C2688))</f>
        <v/>
      </c>
      <c r="M2688" s="117" t="str">
        <f>IF(A2688="","",VLOOKUP(A2688,'6.A'!$A$11:$C$564,2,FALSE))</f>
        <v/>
      </c>
      <c r="N2688" s="57" t="str">
        <f t="shared" ref="N2688:N2689" si="1144">IF(A2688="","",IF(M2688=B2688,"si","no"))</f>
        <v/>
      </c>
      <c r="O2688" s="56"/>
      <c r="P2688" s="56"/>
      <c r="Q2688" s="48"/>
      <c r="R2688" s="48"/>
      <c r="S2688" s="2"/>
    </row>
    <row r="2689" spans="1:19" ht="12.75" customHeight="1" x14ac:dyDescent="0.2">
      <c r="A2689" s="155"/>
      <c r="B2689" s="138" t="str">
        <f>IF(A2689="","",VLOOKUP(A2689,'6.A'!$A$11:$G$180,2,FALSE))</f>
        <v/>
      </c>
      <c r="C2689" s="156"/>
      <c r="D2689" s="57" t="str">
        <f>IF(A2689="","",VLOOKUP(A2689,'6.A'!$A$11:$G$180,4,FALSE))</f>
        <v/>
      </c>
      <c r="E2689" s="100" t="str">
        <f>IF(A2689="","",VLOOKUP(A2689,'6.A'!$A$11:$G$180,5,FALSE))</f>
        <v/>
      </c>
      <c r="F2689" s="24" t="str">
        <f t="shared" si="1140"/>
        <v>0,00</v>
      </c>
      <c r="G2689" s="52"/>
      <c r="H2689" s="52" t="str">
        <f>IF(A2689="","",VLOOKUP(A2689,'6.A'!$A$11:$E$7984,5,FALSE))</f>
        <v/>
      </c>
      <c r="I2689" s="52" t="str">
        <f t="shared" si="1141"/>
        <v/>
      </c>
      <c r="J2689" s="52" t="str">
        <f>IF(H2689="","",VLOOKUP(A2689,'6.A'!$A$11:$E$564,4,FALSE))</f>
        <v/>
      </c>
      <c r="K2689" s="52" t="str">
        <f t="shared" si="1142"/>
        <v/>
      </c>
      <c r="L2689" s="52" t="str">
        <f>IF(H2689="","",IF(C2689="","",G2664*C2689))</f>
        <v/>
      </c>
      <c r="M2689" s="117" t="str">
        <f>IF(A2689="","",VLOOKUP(A2689,'6.A'!$A$11:$C$564,2,FALSE))</f>
        <v/>
      </c>
      <c r="N2689" s="57" t="str">
        <f t="shared" si="1144"/>
        <v/>
      </c>
      <c r="O2689" s="56"/>
      <c r="P2689" s="56"/>
      <c r="Q2689" s="48"/>
      <c r="R2689" s="48"/>
      <c r="S2689" s="2"/>
    </row>
    <row r="2690" spans="1:19" ht="12.75" customHeight="1" x14ac:dyDescent="0.2">
      <c r="A2690" s="155"/>
      <c r="B2690" s="26" t="str">
        <f>$A$9</f>
        <v>BDI</v>
      </c>
      <c r="C2690" s="27">
        <f>$C$9</f>
        <v>0</v>
      </c>
      <c r="D2690" s="57"/>
      <c r="F2690" s="28">
        <f>ROUND(SUM(F2680:F2689)*C2690,2)</f>
        <v>0</v>
      </c>
      <c r="G2690" s="63"/>
      <c r="M2690" s="62"/>
      <c r="N2690" s="57"/>
      <c r="O2690" s="56"/>
      <c r="P2690" s="56"/>
      <c r="Q2690" s="48"/>
      <c r="R2690" s="48"/>
      <c r="S2690" s="2"/>
    </row>
    <row r="2691" spans="1:19" ht="12.75" customHeight="1" x14ac:dyDescent="0.2">
      <c r="A2691" s="163"/>
      <c r="B2691" s="31" t="s">
        <v>117</v>
      </c>
      <c r="C2691" s="36"/>
      <c r="D2691" s="37"/>
      <c r="E2691" s="38"/>
      <c r="F2691" s="35">
        <f>ROUND(SUM(F2680:F2690),2)</f>
        <v>0</v>
      </c>
      <c r="G2691" s="63"/>
      <c r="M2691" s="62"/>
      <c r="N2691" s="57"/>
      <c r="O2691" s="56"/>
      <c r="P2691" s="56"/>
      <c r="Q2691" s="48"/>
      <c r="R2691" s="48"/>
      <c r="S2691" s="2"/>
    </row>
    <row r="2692" spans="1:19" ht="12.75" customHeight="1" x14ac:dyDescent="0.2">
      <c r="A2692" s="152" t="s">
        <v>6</v>
      </c>
      <c r="B2692" s="153" t="s">
        <v>17</v>
      </c>
      <c r="C2692" s="140" t="s">
        <v>59</v>
      </c>
      <c r="D2692" s="56" t="s">
        <v>16</v>
      </c>
      <c r="E2692" s="19" t="s">
        <v>60</v>
      </c>
      <c r="F2692" s="20" t="s">
        <v>61</v>
      </c>
      <c r="G2692" s="21"/>
      <c r="M2692" s="62"/>
      <c r="N2692" s="57"/>
      <c r="O2692" s="56"/>
      <c r="P2692" s="56"/>
      <c r="Q2692" s="48"/>
      <c r="R2692" s="48"/>
      <c r="S2692" s="2"/>
    </row>
    <row r="2693" spans="1:19" ht="12.75" customHeight="1" x14ac:dyDescent="0.2">
      <c r="A2693" s="155">
        <f>'6.A'!$A$88</f>
        <v>1573</v>
      </c>
      <c r="B2693" s="138" t="str">
        <f>IF(A2693="","",VLOOKUP(A2693,'6.A'!$A$11:$G$180,2,FALSE))</f>
        <v>TERMINAL A COMPRESSAO EM COBRE ESTANHADO PARA CABO 6 MM2, 1 FURO E 1 COMPRESSAO, PARA PARAFUSO DE FIXACAO M6</v>
      </c>
      <c r="C2693" s="156">
        <v>3</v>
      </c>
      <c r="D2693" s="57" t="str">
        <f>IF(A2693="","",VLOOKUP(A2693,'6.A'!$A$11:$G$180,4,FALSE))</f>
        <v>UN</v>
      </c>
      <c r="E2693" s="100">
        <f>IF(A2693="","",VLOOKUP(A2693,'6.A'!$A$11:$G$180,5,FALSE))</f>
        <v>0</v>
      </c>
      <c r="F2693" s="24">
        <f t="shared" ref="F2693" si="1145">IF(A2693="","0,00",ROUND(C2693*E2693,2))</f>
        <v>0</v>
      </c>
      <c r="G2693" s="52"/>
      <c r="H2693" s="52">
        <f>IF(A2693="","",VLOOKUP(A2693,'6.A'!$A$11:$E$7984,5,FALSE))</f>
        <v>0</v>
      </c>
      <c r="I2693" s="52" t="str">
        <f t="shared" ref="I2693" si="1146">IF(H2693="","",IF(E2693=H2693,"SIM","NÃO"))</f>
        <v>SIM</v>
      </c>
      <c r="J2693" s="52" t="str">
        <f>IF(H2693="","",VLOOKUP(A2693,'6.A'!$A$11:$E$564,4,FALSE))</f>
        <v>UN</v>
      </c>
      <c r="K2693" s="52" t="str">
        <f t="shared" ref="K2693" si="1147">IF(H2693="","",IF(J2693=D2693,"SIM","NÃO"))</f>
        <v>SIM</v>
      </c>
      <c r="L2693" s="52">
        <f>IF(H2693="","",IF(C2693="","",G2664*C2693))</f>
        <v>3</v>
      </c>
      <c r="M2693" s="117" t="str">
        <f>IF(A2693="","",VLOOKUP(A2693,'6.A'!$A$11:$C$564,2,FALSE))</f>
        <v>TERMINAL A COMPRESSAO EM COBRE ESTANHADO PARA CABO 6 MM2, 1 FURO E 1 COMPRESSAO, PARA PARAFUSO DE FIXACAO M6</v>
      </c>
      <c r="N2693" s="57" t="str">
        <f t="shared" ref="N2693" si="1148">IF(A2693="","",IF(M2693=B2693,"si","no"))</f>
        <v>si</v>
      </c>
      <c r="O2693" s="56"/>
      <c r="P2693" s="56"/>
      <c r="Q2693" s="48"/>
      <c r="R2693" s="48"/>
      <c r="S2693" s="2"/>
    </row>
    <row r="2694" spans="1:19" ht="12.75" customHeight="1" x14ac:dyDescent="0.2">
      <c r="A2694" s="155">
        <f>'6.A'!$A$130</f>
        <v>34709</v>
      </c>
      <c r="B2694" s="138" t="str">
        <f>IF(A2694="","",VLOOKUP(A2694,'6.A'!$A$11:$G$180,2,FALSE))</f>
        <v>DISJUNTOR TERMOMAGNETICO PARA TRILHO DIN (IEC), TRIPOLAR, 10 - 50 A</v>
      </c>
      <c r="C2694" s="156">
        <v>1</v>
      </c>
      <c r="D2694" s="57" t="str">
        <f>IF(A2694="","",VLOOKUP(A2694,'6.A'!$A$11:$G$180,4,FALSE))</f>
        <v>UN</v>
      </c>
      <c r="E2694" s="100">
        <f>IF(A2694="","",VLOOKUP(A2694,'6.A'!$A$11:$G$180,5,FALSE))</f>
        <v>0</v>
      </c>
      <c r="F2694" s="24">
        <f>IF(A2694="","0,00",ROUND(C2694*E2694,2))</f>
        <v>0</v>
      </c>
      <c r="G2694" s="52"/>
      <c r="H2694" s="52">
        <f>IF(A2694="","",VLOOKUP(A2694,'6.A'!$A$11:$E$7984,5,FALSE))</f>
        <v>0</v>
      </c>
      <c r="I2694" s="52" t="str">
        <f>IF(H2694="","",IF(E2694=H2694,"SIM","NÃO"))</f>
        <v>SIM</v>
      </c>
      <c r="J2694" s="52" t="str">
        <f>IF(H2694="","",VLOOKUP(A2694,'6.A'!$A$11:$E$564,4,FALSE))</f>
        <v>UN</v>
      </c>
      <c r="K2694" s="52" t="str">
        <f>IF(H2694="","",IF(J2694=D2694,"SIM","NÃO"))</f>
        <v>SIM</v>
      </c>
      <c r="L2694" s="52">
        <f>IF(H2694="","",IF(C2694="","",G2664*C2694))</f>
        <v>1</v>
      </c>
      <c r="M2694" s="117" t="str">
        <f>IF(A2694="","",VLOOKUP(A2694,'6.A'!$A$11:$C$564,2,FALSE))</f>
        <v>DISJUNTOR TERMOMAGNETICO PARA TRILHO DIN (IEC), TRIPOLAR, 10 - 50 A</v>
      </c>
      <c r="N2694" s="57" t="str">
        <f>IF(A2694="","",IF(M2694=B2694,"si","no"))</f>
        <v>si</v>
      </c>
      <c r="O2694" s="56"/>
      <c r="P2694" s="56"/>
      <c r="Q2694" s="48"/>
      <c r="R2694" s="48"/>
      <c r="S2694" s="2"/>
    </row>
    <row r="2695" spans="1:19" ht="12.75" customHeight="1" x14ac:dyDescent="0.2">
      <c r="A2695" s="155"/>
      <c r="B2695" s="138" t="str">
        <f>IF(A2695="","",VLOOKUP(A2695,'6.A'!$A$11:$G$180,2,FALSE))</f>
        <v/>
      </c>
      <c r="C2695" s="156"/>
      <c r="D2695" s="57" t="str">
        <f>IF(A2695="","",VLOOKUP(A2695,'6.A'!$A$11:$G$180,4,FALSE))</f>
        <v/>
      </c>
      <c r="E2695" s="100" t="str">
        <f>IF(A2695="","",VLOOKUP(A2695,'6.A'!$A$11:$G$180,5,FALSE))</f>
        <v/>
      </c>
      <c r="F2695" s="24" t="str">
        <f>IF(A2695="","0,00",ROUND(C2695*E2695,2))</f>
        <v>0,00</v>
      </c>
      <c r="G2695" s="52"/>
      <c r="H2695" s="52" t="str">
        <f>IF(A2695="","",VLOOKUP(A2695,'6.A'!$A$11:$E$7984,5,FALSE))</f>
        <v/>
      </c>
      <c r="I2695" s="52" t="str">
        <f>IF(H2695="","",IF(E2695=H2695,"SIM","NÃO"))</f>
        <v/>
      </c>
      <c r="J2695" s="52" t="str">
        <f>IF(H2695="","",VLOOKUP(A2695,'6.A'!$A$11:$E$564,4,FALSE))</f>
        <v/>
      </c>
      <c r="K2695" s="52" t="str">
        <f>IF(H2695="","",IF(J2695=D2695,"SIM","NÃO"))</f>
        <v/>
      </c>
      <c r="L2695" s="52" t="str">
        <f>IF(H2695="","",IF(C2695="","",G2664*C2695))</f>
        <v/>
      </c>
      <c r="M2695" s="117" t="str">
        <f>IF(A2695="","",VLOOKUP(A2695,'6.A'!$A$11:$C$564,2,FALSE))</f>
        <v/>
      </c>
      <c r="N2695" s="57" t="str">
        <f>IF(A2695="","",IF(M2695=B2695,"si","no"))</f>
        <v/>
      </c>
      <c r="O2695" s="56"/>
      <c r="P2695" s="56"/>
      <c r="Q2695" s="48"/>
      <c r="R2695" s="48"/>
      <c r="S2695" s="2"/>
    </row>
    <row r="2696" spans="1:19" ht="12.75" customHeight="1" x14ac:dyDescent="0.2">
      <c r="A2696" s="155"/>
      <c r="B2696" s="138" t="str">
        <f>IF(A2696="","",VLOOKUP(A2696,'6.A'!$A$11:$G$180,2,FALSE))</f>
        <v/>
      </c>
      <c r="C2696" s="156"/>
      <c r="D2696" s="57" t="str">
        <f>IF(A2696="","",VLOOKUP(A2696,'6.A'!$A$11:$G$180,4,FALSE))</f>
        <v/>
      </c>
      <c r="E2696" s="100" t="str">
        <f>IF(A2696="","",VLOOKUP(A2696,'6.A'!$A$11:$G$180,5,FALSE))</f>
        <v/>
      </c>
      <c r="F2696" s="24" t="str">
        <f t="shared" ref="F2696" si="1149">IF(A2696="","0,00",ROUND(C2696*E2696,2))</f>
        <v>0,00</v>
      </c>
      <c r="G2696" s="52"/>
      <c r="H2696" s="52" t="str">
        <f>IF(A2696="","",VLOOKUP(A2696,'6.A'!$A$11:$E$7984,5,FALSE))</f>
        <v/>
      </c>
      <c r="I2696" s="52" t="str">
        <f t="shared" ref="I2696" si="1150">IF(H2696="","",IF(E2696=H2696,"SIM","NÃO"))</f>
        <v/>
      </c>
      <c r="J2696" s="52" t="str">
        <f>IF(H2696="","",VLOOKUP(A2696,'6.A'!$A$11:$E$564,4,FALSE))</f>
        <v/>
      </c>
      <c r="K2696" s="52" t="str">
        <f t="shared" ref="K2696" si="1151">IF(H2696="","",IF(J2696=D2696,"SIM","NÃO"))</f>
        <v/>
      </c>
      <c r="L2696" s="52" t="str">
        <f>IF(H2696="","",IF(C2696="","",G2664*C2696))</f>
        <v/>
      </c>
      <c r="M2696" s="117" t="str">
        <f>IF(A2696="","",VLOOKUP(A2696,'6.A'!$A$11:$C$564,2,FALSE))</f>
        <v/>
      </c>
      <c r="N2696" s="57" t="str">
        <f t="shared" ref="N2696" si="1152">IF(A2696="","",IF(M2696=B2696,"si","no"))</f>
        <v/>
      </c>
      <c r="O2696" s="56"/>
      <c r="P2696" s="56"/>
      <c r="Q2696" s="48"/>
      <c r="R2696" s="48"/>
      <c r="S2696" s="2"/>
    </row>
    <row r="2697" spans="1:19" ht="12.75" customHeight="1" x14ac:dyDescent="0.2">
      <c r="A2697" s="155"/>
      <c r="B2697" s="138" t="str">
        <f>IF(A2697="","",VLOOKUP(A2697,'6.A'!$A$11:$G$180,2,FALSE))</f>
        <v/>
      </c>
      <c r="C2697" s="156"/>
      <c r="D2697" s="57"/>
      <c r="E2697" s="100"/>
      <c r="F2697" s="24" t="str">
        <f>IF(A2697="","0,00",ROUND(C2697*E2697,2))</f>
        <v>0,00</v>
      </c>
      <c r="G2697" s="52"/>
      <c r="H2697" s="52" t="str">
        <f>IF(A2697="","",VLOOKUP(A2697,'6.A'!$A$11:$E$7984,5,FALSE))</f>
        <v/>
      </c>
      <c r="I2697" s="52" t="str">
        <f>IF(H2697="","",IF(E2697=H2697,"SIM","NÃO"))</f>
        <v/>
      </c>
      <c r="J2697" s="52" t="str">
        <f>IF(H2697="","",VLOOKUP(A2697,'6.A'!$A$11:$E$564,4,FALSE))</f>
        <v/>
      </c>
      <c r="K2697" s="52" t="str">
        <f>IF(H2697="","",IF(J2697=D2697,"SIM","NÃO"))</f>
        <v/>
      </c>
      <c r="L2697" s="52" t="str">
        <f>IF(H2697="","",IF(C2697="","",G2664*C2697))</f>
        <v/>
      </c>
      <c r="M2697" s="117" t="str">
        <f>IF(A2697="","",VLOOKUP(A2697,'6.A'!$A$11:$C$564,2,FALSE))</f>
        <v/>
      </c>
      <c r="N2697" s="57" t="str">
        <f>IF(A2697="","",IF(M2697=B2697,"si","no"))</f>
        <v/>
      </c>
      <c r="O2697" s="56"/>
      <c r="P2697" s="56"/>
      <c r="Q2697" s="48"/>
      <c r="R2697" s="48"/>
      <c r="S2697" s="2"/>
    </row>
    <row r="2698" spans="1:19" ht="12.75" customHeight="1" x14ac:dyDescent="0.2">
      <c r="A2698" s="155"/>
      <c r="B2698" s="138" t="str">
        <f>IF(A2698="","",VLOOKUP(A2698,'6.A'!$A$11:$G$180,2,FALSE))</f>
        <v/>
      </c>
      <c r="C2698" s="156"/>
      <c r="D2698" s="57" t="str">
        <f>IF(A2698="","",VLOOKUP(A2698,'6.A'!$A$11:$G$180,4,FALSE))</f>
        <v/>
      </c>
      <c r="E2698" s="100" t="str">
        <f>IF(A2698="","",VLOOKUP(A2698,'6.A'!$A$11:$G$180,5,FALSE))</f>
        <v/>
      </c>
      <c r="F2698" s="24" t="str">
        <f t="shared" ref="F2698:F2712" si="1153">IF(A2698="","0,00",ROUND(C2698*E2698,2))</f>
        <v>0,00</v>
      </c>
      <c r="G2698" s="52"/>
      <c r="H2698" s="52" t="str">
        <f>IF(A2698="","",VLOOKUP(A2698,'6.A'!$A$11:$E$7984,5,FALSE))</f>
        <v/>
      </c>
      <c r="I2698" s="52" t="str">
        <f t="shared" ref="I2698:I2712" si="1154">IF(H2698="","",IF(E2698=H2698,"SIM","NÃO"))</f>
        <v/>
      </c>
      <c r="J2698" s="52" t="str">
        <f>IF(H2698="","",VLOOKUP(A2698,'6.A'!$A$11:$E$564,4,FALSE))</f>
        <v/>
      </c>
      <c r="K2698" s="52" t="str">
        <f t="shared" ref="K2698:K2712" si="1155">IF(H2698="","",IF(J2698=D2698,"SIM","NÃO"))</f>
        <v/>
      </c>
      <c r="L2698" s="52" t="str">
        <f>IF(H2698="","",IF(C2698="","",G2664*C2698))</f>
        <v/>
      </c>
      <c r="M2698" s="117" t="str">
        <f>IF(A2698="","",VLOOKUP(A2698,'6.A'!$A$11:$C$564,2,FALSE))</f>
        <v/>
      </c>
      <c r="N2698" s="57" t="str">
        <f t="shared" ref="N2698:N2712" si="1156">IF(A2698="","",IF(M2698=B2698,"si","no"))</f>
        <v/>
      </c>
      <c r="O2698" s="56"/>
      <c r="P2698" s="56"/>
      <c r="Q2698" s="48"/>
      <c r="R2698" s="48"/>
      <c r="S2698" s="2"/>
    </row>
    <row r="2699" spans="1:19" ht="12.75" customHeight="1" x14ac:dyDescent="0.2">
      <c r="A2699" s="155"/>
      <c r="B2699" s="138" t="str">
        <f>IF(A2699="","",VLOOKUP(A2699,'6.A'!$A$11:$G$180,2,FALSE))</f>
        <v/>
      </c>
      <c r="C2699" s="156"/>
      <c r="D2699" s="57" t="str">
        <f>IF(A2699="","",VLOOKUP(A2699,'6.A'!$A$11:$G$180,4,FALSE))</f>
        <v/>
      </c>
      <c r="E2699" s="100" t="str">
        <f>IF(A2699="","",VLOOKUP(A2699,'6.A'!$A$11:$G$180,5,FALSE))</f>
        <v/>
      </c>
      <c r="F2699" s="24" t="str">
        <f t="shared" si="1153"/>
        <v>0,00</v>
      </c>
      <c r="G2699" s="52"/>
      <c r="H2699" s="52" t="str">
        <f>IF(A2699="","",VLOOKUP(A2699,'6.A'!$A$11:$E$7984,5,FALSE))</f>
        <v/>
      </c>
      <c r="I2699" s="52" t="str">
        <f t="shared" si="1154"/>
        <v/>
      </c>
      <c r="J2699" s="52" t="str">
        <f>IF(H2699="","",VLOOKUP(A2699,'6.A'!$A$11:$E$564,4,FALSE))</f>
        <v/>
      </c>
      <c r="K2699" s="52" t="str">
        <f t="shared" si="1155"/>
        <v/>
      </c>
      <c r="L2699" s="52" t="str">
        <f>IF(H2699="","",IF(C2699="","",G2664*C2699))</f>
        <v/>
      </c>
      <c r="M2699" s="117" t="str">
        <f>IF(A2699="","",VLOOKUP(A2699,'6.A'!$A$11:$C$564,2,FALSE))</f>
        <v/>
      </c>
      <c r="N2699" s="57" t="str">
        <f t="shared" si="1156"/>
        <v/>
      </c>
      <c r="O2699" s="56"/>
      <c r="P2699" s="56"/>
      <c r="Q2699" s="48"/>
      <c r="R2699" s="48"/>
      <c r="S2699" s="2"/>
    </row>
    <row r="2700" spans="1:19" ht="12.75" customHeight="1" x14ac:dyDescent="0.2">
      <c r="A2700" s="155"/>
      <c r="B2700" s="138" t="str">
        <f>IF(A2700="","",VLOOKUP(A2700,'6.A'!$A$11:$G$180,2,FALSE))</f>
        <v/>
      </c>
      <c r="C2700" s="156"/>
      <c r="D2700" s="57" t="str">
        <f>IF(A2700="","",VLOOKUP(A2700,'6.A'!$A$11:$G$180,4,FALSE))</f>
        <v/>
      </c>
      <c r="E2700" s="100" t="str">
        <f>IF(A2700="","",VLOOKUP(A2700,'6.A'!$A$11:$G$180,5,FALSE))</f>
        <v/>
      </c>
      <c r="F2700" s="24" t="str">
        <f t="shared" si="1153"/>
        <v>0,00</v>
      </c>
      <c r="G2700" s="52"/>
      <c r="H2700" s="52" t="str">
        <f>IF(A2700="","",VLOOKUP(A2700,'6.A'!$A$11:$E$7984,5,FALSE))</f>
        <v/>
      </c>
      <c r="I2700" s="52" t="str">
        <f t="shared" si="1154"/>
        <v/>
      </c>
      <c r="J2700" s="52" t="str">
        <f>IF(H2700="","",VLOOKUP(A2700,'6.A'!$A$11:$E$564,4,FALSE))</f>
        <v/>
      </c>
      <c r="K2700" s="52" t="str">
        <f t="shared" si="1155"/>
        <v/>
      </c>
      <c r="L2700" s="52" t="str">
        <f>IF(H2700="","",IF(C2700="","",G2664*C2700))</f>
        <v/>
      </c>
      <c r="M2700" s="117" t="str">
        <f>IF(A2700="","",VLOOKUP(A2700,'6.A'!$A$11:$C$564,2,FALSE))</f>
        <v/>
      </c>
      <c r="N2700" s="57" t="str">
        <f t="shared" si="1156"/>
        <v/>
      </c>
      <c r="O2700" s="56"/>
      <c r="P2700" s="56"/>
      <c r="Q2700" s="48"/>
      <c r="R2700" s="48"/>
      <c r="S2700" s="2"/>
    </row>
    <row r="2701" spans="1:19" ht="12.75" customHeight="1" x14ac:dyDescent="0.2">
      <c r="A2701" s="155"/>
      <c r="B2701" s="138" t="str">
        <f>IF(A2701="","",VLOOKUP(A2701,'6.A'!$A$11:$G$180,2,FALSE))</f>
        <v/>
      </c>
      <c r="C2701" s="156"/>
      <c r="D2701" s="57" t="str">
        <f>IF(A2701="","",VLOOKUP(A2701,'6.A'!$A$11:$G$180,4,FALSE))</f>
        <v/>
      </c>
      <c r="E2701" s="100" t="str">
        <f>IF(A2701="","",VLOOKUP(A2701,'6.A'!$A$11:$G$180,5,FALSE))</f>
        <v/>
      </c>
      <c r="F2701" s="24" t="str">
        <f t="shared" si="1153"/>
        <v>0,00</v>
      </c>
      <c r="G2701" s="52"/>
      <c r="H2701" s="52" t="str">
        <f>IF(A2701="","",VLOOKUP(A2701,'6.A'!$A$11:$E$7984,5,FALSE))</f>
        <v/>
      </c>
      <c r="I2701" s="52" t="str">
        <f t="shared" si="1154"/>
        <v/>
      </c>
      <c r="J2701" s="52" t="str">
        <f>IF(H2701="","",VLOOKUP(A2701,'6.A'!$A$11:$E$564,4,FALSE))</f>
        <v/>
      </c>
      <c r="K2701" s="52" t="str">
        <f t="shared" si="1155"/>
        <v/>
      </c>
      <c r="L2701" s="52" t="str">
        <f>IF(H2701="","",IF(C2701="","",G2664*C2701))</f>
        <v/>
      </c>
      <c r="M2701" s="117" t="str">
        <f>IF(A2701="","",VLOOKUP(A2701,'6.A'!$A$11:$C$564,2,FALSE))</f>
        <v/>
      </c>
      <c r="N2701" s="57" t="str">
        <f t="shared" si="1156"/>
        <v/>
      </c>
      <c r="O2701" s="56"/>
      <c r="P2701" s="56"/>
      <c r="Q2701" s="48"/>
      <c r="R2701" s="48"/>
      <c r="S2701" s="2"/>
    </row>
    <row r="2702" spans="1:19" ht="12.75" customHeight="1" x14ac:dyDescent="0.2">
      <c r="A2702" s="155"/>
      <c r="B2702" s="138" t="str">
        <f>IF(A2702="","",VLOOKUP(A2702,'6.A'!$A$11:$G$180,2,FALSE))</f>
        <v/>
      </c>
      <c r="C2702" s="156"/>
      <c r="D2702" s="57" t="str">
        <f>IF(A2702="","",VLOOKUP(A2702,'6.A'!$A$11:$G$180,4,FALSE))</f>
        <v/>
      </c>
      <c r="E2702" s="100" t="str">
        <f>IF(A2702="","",VLOOKUP(A2702,'6.A'!$A$11:$G$180,5,FALSE))</f>
        <v/>
      </c>
      <c r="F2702" s="24" t="str">
        <f t="shared" si="1153"/>
        <v>0,00</v>
      </c>
      <c r="G2702" s="52"/>
      <c r="H2702" s="52" t="str">
        <f>IF(A2702="","",VLOOKUP(A2702,'6.A'!$A$11:$E$7984,5,FALSE))</f>
        <v/>
      </c>
      <c r="I2702" s="52" t="str">
        <f t="shared" si="1154"/>
        <v/>
      </c>
      <c r="J2702" s="52" t="str">
        <f>IF(H2702="","",VLOOKUP(A2702,'6.A'!$A$11:$E$564,4,FALSE))</f>
        <v/>
      </c>
      <c r="K2702" s="52" t="str">
        <f t="shared" si="1155"/>
        <v/>
      </c>
      <c r="L2702" s="52" t="str">
        <f>IF(H2702="","",IF(C2702="","",G2664*C2702))</f>
        <v/>
      </c>
      <c r="M2702" s="117" t="str">
        <f>IF(A2702="","",VLOOKUP(A2702,'6.A'!$A$11:$C$564,2,FALSE))</f>
        <v/>
      </c>
      <c r="N2702" s="57" t="str">
        <f t="shared" si="1156"/>
        <v/>
      </c>
      <c r="O2702" s="56"/>
      <c r="P2702" s="56"/>
      <c r="Q2702" s="48"/>
      <c r="R2702" s="48"/>
      <c r="S2702" s="2"/>
    </row>
    <row r="2703" spans="1:19" ht="12.75" customHeight="1" x14ac:dyDescent="0.2">
      <c r="A2703" s="155"/>
      <c r="B2703" s="138" t="str">
        <f>IF(A2703="","",VLOOKUP(A2703,'6.A'!$A$11:$G$180,2,FALSE))</f>
        <v/>
      </c>
      <c r="C2703" s="156"/>
      <c r="D2703" s="57" t="str">
        <f>IF(A2703="","",VLOOKUP(A2703,'6.A'!$A$11:$G$180,4,FALSE))</f>
        <v/>
      </c>
      <c r="E2703" s="100" t="str">
        <f>IF(A2703="","",VLOOKUP(A2703,'6.A'!$A$11:$G$180,5,FALSE))</f>
        <v/>
      </c>
      <c r="F2703" s="24" t="str">
        <f t="shared" si="1153"/>
        <v>0,00</v>
      </c>
      <c r="G2703" s="52"/>
      <c r="H2703" s="52" t="str">
        <f>IF(A2703="","",VLOOKUP(A2703,'6.A'!$A$11:$E$7984,5,FALSE))</f>
        <v/>
      </c>
      <c r="I2703" s="52" t="str">
        <f t="shared" si="1154"/>
        <v/>
      </c>
      <c r="J2703" s="52" t="str">
        <f>IF(H2703="","",VLOOKUP(A2703,'6.A'!$A$11:$E$564,4,FALSE))</f>
        <v/>
      </c>
      <c r="K2703" s="52" t="str">
        <f t="shared" si="1155"/>
        <v/>
      </c>
      <c r="L2703" s="52" t="str">
        <f>IF(H2703="","",IF(C2703="","",G2664*C2703))</f>
        <v/>
      </c>
      <c r="M2703" s="117" t="str">
        <f>IF(A2703="","",VLOOKUP(A2703,'6.A'!$A$11:$C$564,2,FALSE))</f>
        <v/>
      </c>
      <c r="N2703" s="57" t="str">
        <f t="shared" si="1156"/>
        <v/>
      </c>
      <c r="O2703" s="56"/>
      <c r="P2703" s="56"/>
      <c r="Q2703" s="48"/>
      <c r="R2703" s="48"/>
      <c r="S2703" s="2"/>
    </row>
    <row r="2704" spans="1:19" ht="12.75" customHeight="1" x14ac:dyDescent="0.2">
      <c r="A2704" s="155"/>
      <c r="B2704" s="138" t="str">
        <f>IF(A2704="","",VLOOKUP(A2704,'6.A'!$A$11:$G$180,2,FALSE))</f>
        <v/>
      </c>
      <c r="C2704" s="156"/>
      <c r="D2704" s="57" t="str">
        <f>IF(A2704="","",VLOOKUP(A2704,'6.A'!$A$11:$G$180,4,FALSE))</f>
        <v/>
      </c>
      <c r="E2704" s="100" t="str">
        <f>IF(A2704="","",VLOOKUP(A2704,'6.A'!$A$11:$G$180,5,FALSE))</f>
        <v/>
      </c>
      <c r="F2704" s="24" t="str">
        <f t="shared" si="1153"/>
        <v>0,00</v>
      </c>
      <c r="G2704" s="52"/>
      <c r="H2704" s="52" t="str">
        <f>IF(A2704="","",VLOOKUP(A2704,'6.A'!$A$11:$E$7984,5,FALSE))</f>
        <v/>
      </c>
      <c r="I2704" s="52" t="str">
        <f t="shared" si="1154"/>
        <v/>
      </c>
      <c r="J2704" s="52" t="str">
        <f>IF(H2704="","",VLOOKUP(A2704,'6.A'!$A$11:$E$564,4,FALSE))</f>
        <v/>
      </c>
      <c r="K2704" s="52" t="str">
        <f t="shared" si="1155"/>
        <v/>
      </c>
      <c r="L2704" s="52" t="str">
        <f>IF(H2704="","",IF(C2704="","",G2664*C2704))</f>
        <v/>
      </c>
      <c r="M2704" s="117" t="str">
        <f>IF(A2704="","",VLOOKUP(A2704,'6.A'!$A$11:$C$564,2,FALSE))</f>
        <v/>
      </c>
      <c r="N2704" s="57" t="str">
        <f t="shared" si="1156"/>
        <v/>
      </c>
      <c r="O2704" s="56"/>
      <c r="P2704" s="56"/>
      <c r="Q2704" s="48"/>
      <c r="R2704" s="48"/>
    </row>
    <row r="2705" spans="1:23" ht="12.75" customHeight="1" x14ac:dyDescent="0.2">
      <c r="A2705" s="155"/>
      <c r="B2705" s="138" t="str">
        <f>IF(A2705="","",VLOOKUP(A2705,'6.A'!$A$11:$G$180,2,FALSE))</f>
        <v/>
      </c>
      <c r="C2705" s="156"/>
      <c r="D2705" s="57" t="str">
        <f>IF(A2705="","",VLOOKUP(A2705,'6.A'!$A$11:$G$180,4,FALSE))</f>
        <v/>
      </c>
      <c r="E2705" s="100" t="str">
        <f>IF(A2705="","",VLOOKUP(A2705,'6.A'!$A$11:$G$180,5,FALSE))</f>
        <v/>
      </c>
      <c r="F2705" s="24" t="str">
        <f t="shared" si="1153"/>
        <v>0,00</v>
      </c>
      <c r="G2705" s="52"/>
      <c r="H2705" s="52" t="str">
        <f>IF(A2705="","",VLOOKUP(A2705,'6.A'!$A$11:$E$7984,5,FALSE))</f>
        <v/>
      </c>
      <c r="I2705" s="52" t="str">
        <f t="shared" si="1154"/>
        <v/>
      </c>
      <c r="J2705" s="52" t="str">
        <f>IF(H2705="","",VLOOKUP(A2705,'6.A'!$A$11:$E$564,4,FALSE))</f>
        <v/>
      </c>
      <c r="K2705" s="52" t="str">
        <f t="shared" si="1155"/>
        <v/>
      </c>
      <c r="L2705" s="52" t="str">
        <f>IF(H2705="","",IF(C2705="","",G2664*C2705))</f>
        <v/>
      </c>
      <c r="M2705" s="117" t="str">
        <f>IF(A2705="","",VLOOKUP(A2705,'6.A'!$A$11:$C$564,2,FALSE))</f>
        <v/>
      </c>
      <c r="N2705" s="57" t="str">
        <f t="shared" si="1156"/>
        <v/>
      </c>
      <c r="O2705" s="56"/>
      <c r="P2705" s="56"/>
      <c r="Q2705" s="48"/>
      <c r="R2705" s="48"/>
    </row>
    <row r="2706" spans="1:23" ht="12.75" customHeight="1" x14ac:dyDescent="0.2">
      <c r="A2706" s="155"/>
      <c r="B2706" s="138" t="str">
        <f>IF(A2706="","",VLOOKUP(A2706,'6.A'!$A$11:$G$180,2,FALSE))</f>
        <v/>
      </c>
      <c r="C2706" s="156"/>
      <c r="D2706" s="57" t="str">
        <f>IF(A2706="","",VLOOKUP(A2706,'6.A'!$A$11:$G$180,4,FALSE))</f>
        <v/>
      </c>
      <c r="E2706" s="100" t="str">
        <f>IF(A2706="","",VLOOKUP(A2706,'6.A'!$A$11:$G$180,5,FALSE))</f>
        <v/>
      </c>
      <c r="F2706" s="24" t="str">
        <f t="shared" si="1153"/>
        <v>0,00</v>
      </c>
      <c r="G2706" s="52"/>
      <c r="H2706" s="52" t="str">
        <f>IF(A2706="","",VLOOKUP(A2706,'6.A'!$A$11:$E$7984,5,FALSE))</f>
        <v/>
      </c>
      <c r="I2706" s="52" t="str">
        <f t="shared" si="1154"/>
        <v/>
      </c>
      <c r="J2706" s="52" t="str">
        <f>IF(H2706="","",VLOOKUP(A2706,'6.A'!$A$11:$E$564,4,FALSE))</f>
        <v/>
      </c>
      <c r="K2706" s="52" t="str">
        <f t="shared" si="1155"/>
        <v/>
      </c>
      <c r="L2706" s="52" t="str">
        <f>IF(H2706="","",IF(C2706="","",G2664*C2706))</f>
        <v/>
      </c>
      <c r="M2706" s="117" t="str">
        <f>IF(A2706="","",VLOOKUP(A2706,'6.A'!$A$11:$C$564,2,FALSE))</f>
        <v/>
      </c>
      <c r="N2706" s="57" t="str">
        <f t="shared" si="1156"/>
        <v/>
      </c>
      <c r="O2706" s="56"/>
      <c r="P2706" s="56"/>
      <c r="Q2706" s="48"/>
      <c r="R2706" s="48"/>
    </row>
    <row r="2707" spans="1:23" ht="12.75" customHeight="1" x14ac:dyDescent="0.2">
      <c r="A2707" s="155"/>
      <c r="B2707" s="138" t="str">
        <f>IF(A2707="","",VLOOKUP(A2707,'6.A'!$A$11:$G$180,2,FALSE))</f>
        <v/>
      </c>
      <c r="C2707" s="156"/>
      <c r="D2707" s="57" t="str">
        <f>IF(A2707="","",VLOOKUP(A2707,'6.A'!$A$11:$G$180,4,FALSE))</f>
        <v/>
      </c>
      <c r="E2707" s="100" t="str">
        <f>IF(A2707="","",VLOOKUP(A2707,'6.A'!$A$11:$G$180,5,FALSE))</f>
        <v/>
      </c>
      <c r="F2707" s="24" t="str">
        <f t="shared" si="1153"/>
        <v>0,00</v>
      </c>
      <c r="G2707" s="52"/>
      <c r="H2707" s="52" t="str">
        <f>IF(A2707="","",VLOOKUP(A2707,'6.A'!$A$11:$E$7984,5,FALSE))</f>
        <v/>
      </c>
      <c r="I2707" s="52" t="str">
        <f t="shared" si="1154"/>
        <v/>
      </c>
      <c r="J2707" s="52" t="str">
        <f>IF(H2707="","",VLOOKUP(A2707,'6.A'!$A$11:$E$564,4,FALSE))</f>
        <v/>
      </c>
      <c r="K2707" s="52" t="str">
        <f t="shared" si="1155"/>
        <v/>
      </c>
      <c r="L2707" s="52" t="str">
        <f>IF(H2707="","",IF(C2707="","",G2664*C2707))</f>
        <v/>
      </c>
      <c r="M2707" s="117" t="str">
        <f>IF(A2707="","",VLOOKUP(A2707,'6.A'!$A$11:$C$564,2,FALSE))</f>
        <v/>
      </c>
      <c r="N2707" s="57" t="str">
        <f t="shared" si="1156"/>
        <v/>
      </c>
      <c r="O2707" s="56"/>
      <c r="P2707" s="56"/>
      <c r="Q2707" s="48"/>
      <c r="R2707" s="48"/>
    </row>
    <row r="2708" spans="1:23" ht="12.75" customHeight="1" x14ac:dyDescent="0.2">
      <c r="A2708" s="155"/>
      <c r="B2708" s="138" t="str">
        <f>IF(A2708="","",VLOOKUP(A2708,'6.A'!$A$11:$G$180,2,FALSE))</f>
        <v/>
      </c>
      <c r="C2708" s="156"/>
      <c r="D2708" s="57" t="str">
        <f>IF(A2708="","",VLOOKUP(A2708,'6.A'!$A$11:$G$180,4,FALSE))</f>
        <v/>
      </c>
      <c r="E2708" s="100" t="str">
        <f>IF(A2708="","",VLOOKUP(A2708,'6.A'!$A$11:$G$180,5,FALSE))</f>
        <v/>
      </c>
      <c r="F2708" s="24" t="str">
        <f t="shared" si="1153"/>
        <v>0,00</v>
      </c>
      <c r="G2708" s="52"/>
      <c r="H2708" s="52" t="str">
        <f>IF(A2708="","",VLOOKUP(A2708,'6.A'!$A$11:$E$7984,5,FALSE))</f>
        <v/>
      </c>
      <c r="I2708" s="52" t="str">
        <f t="shared" si="1154"/>
        <v/>
      </c>
      <c r="J2708" s="52" t="str">
        <f>IF(H2708="","",VLOOKUP(A2708,'6.A'!$A$11:$E$564,4,FALSE))</f>
        <v/>
      </c>
      <c r="K2708" s="52" t="str">
        <f t="shared" si="1155"/>
        <v/>
      </c>
      <c r="L2708" s="52" t="str">
        <f>IF(H2708="","",IF(C2708="","",G2664*C2708))</f>
        <v/>
      </c>
      <c r="M2708" s="117" t="str">
        <f>IF(A2708="","",VLOOKUP(A2708,'6.A'!$A$11:$C$564,2,FALSE))</f>
        <v/>
      </c>
      <c r="N2708" s="57" t="str">
        <f t="shared" si="1156"/>
        <v/>
      </c>
      <c r="O2708" s="56"/>
      <c r="P2708" s="56"/>
      <c r="Q2708" s="48"/>
      <c r="R2708" s="48"/>
    </row>
    <row r="2709" spans="1:23" ht="12.75" customHeight="1" x14ac:dyDescent="0.2">
      <c r="A2709" s="155"/>
      <c r="B2709" s="171" t="str">
        <f>IF(A2709="","",VLOOKUP(A2709,'6.A'!$A$11:$G$180,2,FALSE))</f>
        <v/>
      </c>
      <c r="C2709" s="156"/>
      <c r="D2709" s="57" t="str">
        <f>IF(A2709="","",VLOOKUP(A2709,'6.A'!$A$11:$G$180,4,FALSE))</f>
        <v/>
      </c>
      <c r="E2709" s="100" t="str">
        <f>IF(A2709="","",VLOOKUP(A2709,'6.A'!$A$11:$G$180,5,FALSE))</f>
        <v/>
      </c>
      <c r="F2709" s="24" t="str">
        <f t="shared" si="1153"/>
        <v>0,00</v>
      </c>
      <c r="G2709" s="52"/>
      <c r="H2709" s="52" t="str">
        <f>IF(A2709="","",VLOOKUP(A2709,'6.A'!$A$11:$E$7984,5,FALSE))</f>
        <v/>
      </c>
      <c r="I2709" s="52" t="str">
        <f t="shared" si="1154"/>
        <v/>
      </c>
      <c r="J2709" s="52" t="str">
        <f>IF(H2709="","",VLOOKUP(A2709,'6.A'!$A$11:$E$564,4,FALSE))</f>
        <v/>
      </c>
      <c r="K2709" s="52" t="str">
        <f t="shared" si="1155"/>
        <v/>
      </c>
      <c r="L2709" s="52" t="str">
        <f>IF(H2709="","",IF(C2709="","",G2664*C2709))</f>
        <v/>
      </c>
      <c r="M2709" s="117" t="str">
        <f>IF(A2709="","",VLOOKUP(A2709,'6.A'!$A$11:$C$564,2,FALSE))</f>
        <v/>
      </c>
      <c r="N2709" s="57" t="str">
        <f t="shared" si="1156"/>
        <v/>
      </c>
      <c r="O2709" s="56"/>
      <c r="P2709" s="56"/>
      <c r="Q2709" s="48"/>
      <c r="R2709" s="48"/>
    </row>
    <row r="2710" spans="1:23" ht="12.75" customHeight="1" x14ac:dyDescent="0.2">
      <c r="A2710" s="22"/>
      <c r="B2710" s="39" t="str">
        <f>IF(A2710="","",VLOOKUP(A2710,'6.A'!$A$11:$G$180,2,FALSE))</f>
        <v/>
      </c>
      <c r="C2710" s="99"/>
      <c r="D2710" s="57" t="str">
        <f>IF(A2710="","",VLOOKUP(A2710,'6.A'!$A$11:$G$180,4,FALSE))</f>
        <v/>
      </c>
      <c r="E2710" s="100" t="str">
        <f>IF(A2710="","",VLOOKUP(A2710,'6.A'!$A$11:$G$180,5,FALSE))</f>
        <v/>
      </c>
      <c r="F2710" s="24" t="str">
        <f t="shared" si="1153"/>
        <v>0,00</v>
      </c>
      <c r="G2710" s="52"/>
      <c r="H2710" s="52" t="str">
        <f>IF(A2710="","",VLOOKUP(A2710,'6.A'!$A$11:$E$7984,5,FALSE))</f>
        <v/>
      </c>
      <c r="I2710" s="52" t="str">
        <f t="shared" si="1154"/>
        <v/>
      </c>
      <c r="J2710" s="52" t="str">
        <f>IF(H2710="","",VLOOKUP(A2710,'6.A'!$A$11:$E$564,4,FALSE))</f>
        <v/>
      </c>
      <c r="K2710" s="52" t="str">
        <f t="shared" si="1155"/>
        <v/>
      </c>
      <c r="L2710" s="52" t="str">
        <f>IF(H2710="","",IF(C2710="","",G2664*C2710))</f>
        <v/>
      </c>
      <c r="M2710" s="117" t="str">
        <f>IF(A2710="","",VLOOKUP(A2710,'6.A'!$A$11:$C$564,2,FALSE))</f>
        <v/>
      </c>
      <c r="N2710" s="57" t="str">
        <f t="shared" si="1156"/>
        <v/>
      </c>
      <c r="O2710" s="56"/>
      <c r="P2710" s="56"/>
      <c r="Q2710" s="48"/>
      <c r="R2710" s="48"/>
    </row>
    <row r="2711" spans="1:23" ht="12.75" customHeight="1" x14ac:dyDescent="0.2">
      <c r="A2711" s="22"/>
      <c r="B2711" s="39" t="str">
        <f>IF(A2711="","",VLOOKUP(A2711,'6.A'!$A$11:$G$180,2,FALSE))</f>
        <v/>
      </c>
      <c r="C2711" s="99"/>
      <c r="D2711" s="57" t="str">
        <f>IF(A2711="","",VLOOKUP(A2711,'6.A'!$A$11:$G$180,4,FALSE))</f>
        <v/>
      </c>
      <c r="E2711" s="100" t="str">
        <f>IF(A2711="","",VLOOKUP(A2711,'6.A'!$A$11:$G$180,5,FALSE))</f>
        <v/>
      </c>
      <c r="F2711" s="24" t="str">
        <f t="shared" si="1153"/>
        <v>0,00</v>
      </c>
      <c r="G2711" s="52"/>
      <c r="H2711" s="52" t="str">
        <f>IF(A2711="","",VLOOKUP(A2711,'6.A'!$A$11:$E$7984,5,FALSE))</f>
        <v/>
      </c>
      <c r="I2711" s="52" t="str">
        <f t="shared" si="1154"/>
        <v/>
      </c>
      <c r="J2711" s="52" t="str">
        <f>IF(H2711="","",VLOOKUP(A2711,'6.A'!$A$11:$E$564,4,FALSE))</f>
        <v/>
      </c>
      <c r="K2711" s="52" t="str">
        <f t="shared" si="1155"/>
        <v/>
      </c>
      <c r="L2711" s="52" t="str">
        <f>IF(H2711="","",IF(C2711="","",G2664*C2711))</f>
        <v/>
      </c>
      <c r="M2711" s="117" t="str">
        <f>IF(A2711="","",VLOOKUP(A2711,'6.A'!$A$11:$C$564,2,FALSE))</f>
        <v/>
      </c>
      <c r="N2711" s="57" t="str">
        <f t="shared" si="1156"/>
        <v/>
      </c>
      <c r="O2711" s="56"/>
      <c r="P2711" s="56"/>
      <c r="Q2711" s="48"/>
      <c r="R2711" s="48"/>
    </row>
    <row r="2712" spans="1:23" ht="12.75" customHeight="1" x14ac:dyDescent="0.2">
      <c r="A2712" s="22"/>
      <c r="B2712" s="39" t="str">
        <f>IF(A2712="","",VLOOKUP(A2712,'6.A'!$A$11:$G$180,2,FALSE))</f>
        <v/>
      </c>
      <c r="C2712" s="99"/>
      <c r="D2712" s="57" t="str">
        <f>IF(A2712="","",VLOOKUP(A2712,'6.A'!$A$11:$G$180,4,FALSE))</f>
        <v/>
      </c>
      <c r="E2712" s="100" t="str">
        <f>IF(A2712="","",VLOOKUP(A2712,'6.A'!$A$11:$G$180,5,FALSE))</f>
        <v/>
      </c>
      <c r="F2712" s="24" t="str">
        <f t="shared" si="1153"/>
        <v>0,00</v>
      </c>
      <c r="G2712" s="52"/>
      <c r="H2712" s="52" t="str">
        <f>IF(A2712="","",VLOOKUP(A2712,'6.A'!$A$11:$E$7984,5,FALSE))</f>
        <v/>
      </c>
      <c r="I2712" s="52" t="str">
        <f t="shared" si="1154"/>
        <v/>
      </c>
      <c r="J2712" s="52" t="str">
        <f>IF(H2712="","",VLOOKUP(A2712,'6.A'!$A$11:$E$564,4,FALSE))</f>
        <v/>
      </c>
      <c r="K2712" s="52" t="str">
        <f t="shared" si="1155"/>
        <v/>
      </c>
      <c r="L2712" s="52" t="str">
        <f>IF(H2712="","",IF(C2712="","",G2664*C2712))</f>
        <v/>
      </c>
      <c r="M2712" s="117" t="str">
        <f>IF(A2712="","",VLOOKUP(A2712,'6.A'!$A$11:$C$564,2,FALSE))</f>
        <v/>
      </c>
      <c r="N2712" s="57" t="str">
        <f t="shared" si="1156"/>
        <v/>
      </c>
      <c r="O2712" s="56"/>
      <c r="P2712" s="56"/>
      <c r="Q2712" s="48"/>
      <c r="R2712" s="48"/>
    </row>
    <row r="2713" spans="1:23" ht="12.75" customHeight="1" x14ac:dyDescent="0.2">
      <c r="A2713" s="22"/>
      <c r="B2713" s="26" t="str">
        <f>$A$9</f>
        <v>BDI</v>
      </c>
      <c r="C2713" s="40">
        <f>$C$9</f>
        <v>0</v>
      </c>
      <c r="D2713" s="57"/>
      <c r="F2713" s="28">
        <f>ROUND(SUM(F2693:F2712)*C2713,2)</f>
        <v>0</v>
      </c>
      <c r="G2713" s="63"/>
      <c r="M2713" s="57"/>
      <c r="N2713" s="57"/>
      <c r="O2713" s="56"/>
      <c r="P2713" s="56"/>
      <c r="Q2713" s="48"/>
      <c r="R2713" s="48"/>
    </row>
    <row r="2714" spans="1:23" ht="12.75" customHeight="1" thickBot="1" x14ac:dyDescent="0.25">
      <c r="A2714" s="41"/>
      <c r="B2714" s="42" t="s">
        <v>57</v>
      </c>
      <c r="C2714" s="43"/>
      <c r="D2714" s="44"/>
      <c r="E2714" s="45"/>
      <c r="F2714" s="46">
        <f>ROUND(SUM(F2693:F2713),2)</f>
        <v>0</v>
      </c>
      <c r="G2714" s="63"/>
      <c r="M2714" s="57"/>
      <c r="N2714" s="57"/>
      <c r="O2714" s="56"/>
      <c r="P2714" s="56"/>
      <c r="Q2714" s="48"/>
      <c r="R2714" s="48"/>
    </row>
    <row r="2715" spans="1:23" ht="12" customHeight="1" thickBot="1" x14ac:dyDescent="0.25">
      <c r="A2715" s="8"/>
      <c r="B2715" s="9"/>
      <c r="C2715" s="10"/>
      <c r="D2715" s="57"/>
      <c r="F2715" s="12"/>
      <c r="M2715" s="57"/>
      <c r="N2715" s="57"/>
      <c r="O2715" s="56"/>
      <c r="P2715" s="56"/>
    </row>
    <row r="2716" spans="1:23" ht="50.1" customHeight="1" x14ac:dyDescent="0.2">
      <c r="A2716" s="243" t="str">
        <f>'3.A'!$A$63</f>
        <v>3.3.9</v>
      </c>
      <c r="B2716" s="14" t="str">
        <f>IF(A2716="","",VLOOKUP(A2716,'3.A'!$A$17:$M$279,2,FALSE))</f>
        <v>DPS - DISPOSITIVO PROTECAO CONTRA SURTOS (ENERGIA)</v>
      </c>
      <c r="C2716" s="413" t="s">
        <v>62</v>
      </c>
      <c r="D2716" s="413"/>
      <c r="E2716" s="15" t="str">
        <f>IF(A2716="","",VLOOKUP(A2716,'3.A'!$A$17:$M$279,3,FALSE))</f>
        <v>UN</v>
      </c>
      <c r="F2716" s="16">
        <f>ROUND(F2730+F2743+F2766,2)</f>
        <v>0</v>
      </c>
      <c r="G2716" s="118">
        <f>VLOOKUP(A2716,'3.A'!$A$19:$I$279,4,FALSE)</f>
        <v>4</v>
      </c>
      <c r="H2716" s="47">
        <f>SUM(F2718:F2729)</f>
        <v>0</v>
      </c>
      <c r="I2716" s="47">
        <f>SUM(F2732:F2742)</f>
        <v>0</v>
      </c>
      <c r="J2716" s="47">
        <f>SUM(F2745:F2765)</f>
        <v>0</v>
      </c>
      <c r="K2716" s="47">
        <f>SUM(H2716:J2716)</f>
        <v>0</v>
      </c>
      <c r="L2716" s="47" t="str">
        <f>IF(K2716=F2716,"SIM","NÃO")</f>
        <v>SIM</v>
      </c>
      <c r="M2716" s="58">
        <f>ROUND(SUM(F2718:F2727)*C2728,2)+ROUND(SUM(F2718:F2728)*C2729,2)+ROUND(SUM(F2718:F2727),2)+ROUND(SUM(F2732:F2741)*C2742,2)+ROUND(SUM(F2732:F2741),2)+ROUND(SUM(F2745:F2764)*C2765,2)+ROUND(SUM(F2745:F2764),2)</f>
        <v>0</v>
      </c>
      <c r="N2716" s="50" t="str">
        <f>IF(M2716=F2716,"SIM","NÃO")</f>
        <v>SIM</v>
      </c>
      <c r="O2716" s="51" t="str">
        <f>VLOOKUP(A2716,'3.A'!$A$8:$E$279,3,FALSE)</f>
        <v>UN</v>
      </c>
      <c r="P2716" s="51" t="str">
        <f>IF(O2716=E2716,"SIM","NÃO")</f>
        <v>SIM</v>
      </c>
      <c r="Q2716" s="53">
        <f>ROUND(G2716*F2730,2)+ROUND(G2716*F2743,2)+ROUND(G2716*F2766,2)</f>
        <v>0</v>
      </c>
      <c r="R2716" s="59">
        <f>VLOOKUP(A2716,'3.A'!$A$17:$L$279,12,FALSE)</f>
        <v>0</v>
      </c>
      <c r="S2716" s="60" t="str">
        <f>IF(Q2716=R2716,"si","no")</f>
        <v>si</v>
      </c>
      <c r="T2716" s="61">
        <f>SUM(L2718:L2727)+SUM(L2732:L2741)+SUM(L2745:L2764)</f>
        <v>11.2</v>
      </c>
      <c r="U2716" s="52">
        <f>G2716*C2724+G2716*C2726+G2716*C2719+G2716*C2720+G2716*C2722+G2716*C2725+G2716*C2723+G2716*C2718+G2716*C2721+G2716*C2727+G2716*C2738+G2716*C2732+G2716*C2740+G2716*C2739+G2716*C2737+G2716*C2734+G2716*C2733+G2716*C2735+G2716*C2741+G2716*C2736+G2716*C2745+G2716*C2746+G2716*C2747+G2716*C2755+G2716*C2756+G2716*C2757+G2716*C2758+G2716*C2759+G2716*C2760+G2716*C2761+G2716*C2762+G2716*C2763+G2716*C2764+G2716*C2753+G2716*C2754+G2716*C2748+G2716*C2749+G2716*C2750+G2716*C2751+G2716*C2752</f>
        <v>11.2</v>
      </c>
      <c r="V2716" s="54" t="str">
        <f>IF(T2716=U2716,"si","no")</f>
        <v>si</v>
      </c>
      <c r="W2716" s="137"/>
    </row>
    <row r="2717" spans="1:23" ht="12.75" customHeight="1" x14ac:dyDescent="0.2">
      <c r="A2717" s="17" t="s">
        <v>3</v>
      </c>
      <c r="B2717" s="18" t="s">
        <v>58</v>
      </c>
      <c r="C2717" s="56" t="s">
        <v>59</v>
      </c>
      <c r="D2717" s="56" t="s">
        <v>16</v>
      </c>
      <c r="E2717" s="19" t="s">
        <v>60</v>
      </c>
      <c r="F2717" s="20" t="s">
        <v>61</v>
      </c>
      <c r="G2717" s="21"/>
      <c r="M2717" s="57"/>
      <c r="N2717" s="57"/>
      <c r="O2717" s="56"/>
      <c r="P2717" s="56"/>
      <c r="Q2717" s="48"/>
      <c r="R2717" s="48"/>
    </row>
    <row r="2718" spans="1:23" ht="12.75" customHeight="1" x14ac:dyDescent="0.2">
      <c r="A2718" s="155">
        <f>'6.A'!$A$18</f>
        <v>88264</v>
      </c>
      <c r="B2718" s="138" t="str">
        <f>IF(A2718="","",VLOOKUP(A2718,'6.A'!$A$11:$G$180,2,FALSE))</f>
        <v>ELETRICISTA COM ENCARGOS COMPLEMENTARES</v>
      </c>
      <c r="C2718" s="156">
        <v>0.9</v>
      </c>
      <c r="D2718" s="57" t="str">
        <f>IF(A2718="","",VLOOKUP(A2718,'6.A'!$A$11:$G$180,4,FALSE))</f>
        <v>H</v>
      </c>
      <c r="E2718" s="100">
        <f>IF(A2718="","",VLOOKUP(A2718,'6.A'!$A$11:$G$180,5,FALSE))</f>
        <v>0</v>
      </c>
      <c r="F2718" s="24">
        <f t="shared" ref="F2718" si="1157">IF(A2718="","0,00",ROUND(C2718*E2718,2))</f>
        <v>0</v>
      </c>
      <c r="G2718" s="52"/>
      <c r="H2718" s="52">
        <f>IF(A2718="","",VLOOKUP(A2718,'6.A'!$A$11:$E$7984,5,FALSE))</f>
        <v>0</v>
      </c>
      <c r="I2718" s="52" t="str">
        <f>IF(H2718="","",IF(E2718=H2718,"SIM","NÃO"))</f>
        <v>SIM</v>
      </c>
      <c r="J2718" s="52" t="str">
        <f>IF(H2718="","",VLOOKUP(A2718,'6.A'!$A$11:$E$564,4,FALSE))</f>
        <v>H</v>
      </c>
      <c r="K2718" s="52" t="str">
        <f>IF(H2718="","",IF(J2718=D2718,"SIM","NÃO"))</f>
        <v>SIM</v>
      </c>
      <c r="L2718" s="52">
        <f>IF(H2718="","",IF(C2718="","",G2716*C2718))</f>
        <v>3.6</v>
      </c>
      <c r="M2718" s="117" t="str">
        <f>IF(A2718="","",VLOOKUP(A2718,'6.A'!$A$11:$C$564,2,FALSE))</f>
        <v>ELETRICISTA COM ENCARGOS COMPLEMENTARES</v>
      </c>
      <c r="N2718" s="57" t="str">
        <f>IF(A2718="","",IF(M2718=B2718,"si","no"))</f>
        <v>si</v>
      </c>
      <c r="O2718" s="56"/>
      <c r="P2718" s="56"/>
      <c r="Q2718" s="48"/>
      <c r="R2718" s="48"/>
      <c r="S2718" s="2"/>
    </row>
    <row r="2719" spans="1:23" ht="12.75" customHeight="1" x14ac:dyDescent="0.2">
      <c r="A2719" s="155">
        <f>'6.A'!$A$15</f>
        <v>88247</v>
      </c>
      <c r="B2719" s="138" t="str">
        <f>IF(A2719="","",VLOOKUP(A2719,'6.A'!$A$11:$G$180,2,FALSE))</f>
        <v>AUXILIAR DE ELETRICISTA COM ENCARGOS COMPLEMENTARES</v>
      </c>
      <c r="C2719" s="156">
        <v>0.9</v>
      </c>
      <c r="D2719" s="57" t="str">
        <f>IF(A2719="","",VLOOKUP(A2719,'6.A'!$A$11:$G$180,4,FALSE))</f>
        <v>H</v>
      </c>
      <c r="E2719" s="100">
        <f>IF(A2719="","",VLOOKUP(A2719,'6.A'!$A$11:$G$180,5,FALSE))</f>
        <v>0</v>
      </c>
      <c r="F2719" s="24">
        <f>IF(A2719="","0,00",ROUND(C2719*E2719,2))</f>
        <v>0</v>
      </c>
      <c r="G2719" s="52"/>
      <c r="H2719" s="52">
        <f>IF(A2719="","",VLOOKUP(A2719,'6.A'!$A$11:$E$7984,5,FALSE))</f>
        <v>0</v>
      </c>
      <c r="I2719" s="52" t="str">
        <f>IF(H2719="","",IF(E2719=H2719,"SIM","NÃO"))</f>
        <v>SIM</v>
      </c>
      <c r="J2719" s="52" t="str">
        <f>IF(H2719="","",VLOOKUP(A2719,'6.A'!$A$11:$E$564,4,FALSE))</f>
        <v>H</v>
      </c>
      <c r="K2719" s="52" t="str">
        <f>IF(H2719="","",IF(J2719=D2719,"SIM","NÃO"))</f>
        <v>SIM</v>
      </c>
      <c r="L2719" s="52">
        <f>IF(H2719="","",IF(C2719="","",G2716*C2719))</f>
        <v>3.6</v>
      </c>
      <c r="M2719" s="117" t="str">
        <f>IF(A2719="","",VLOOKUP(A2719,'6.A'!$A$11:$C$564,2,FALSE))</f>
        <v>AUXILIAR DE ELETRICISTA COM ENCARGOS COMPLEMENTARES</v>
      </c>
      <c r="N2719" s="57" t="str">
        <f>IF(A2719="","",IF(M2719=B2719,"si","no"))</f>
        <v>si</v>
      </c>
      <c r="O2719" s="56"/>
      <c r="P2719" s="56"/>
      <c r="Q2719" s="48"/>
      <c r="R2719" s="48"/>
    </row>
    <row r="2720" spans="1:23" ht="12.75" customHeight="1" x14ac:dyDescent="0.2">
      <c r="A2720" s="155"/>
      <c r="B2720" s="138" t="str">
        <f>IF(A2720="","",VLOOKUP(A2720,'6.A'!$A$11:$G$180,2,FALSE))</f>
        <v/>
      </c>
      <c r="C2720" s="156"/>
      <c r="D2720" s="57" t="str">
        <f>IF(A2720="","",VLOOKUP(A2720,'6.A'!$A$11:$G$180,4,FALSE))</f>
        <v/>
      </c>
      <c r="E2720" s="100" t="str">
        <f>IF(A2720="","",VLOOKUP(A2720,'6.A'!$A$11:$G$180,5,FALSE))</f>
        <v/>
      </c>
      <c r="F2720" s="24" t="str">
        <f>IF(A2720="","0,00",ROUND(C2720*E2720,2))</f>
        <v>0,00</v>
      </c>
      <c r="G2720" s="52"/>
      <c r="H2720" s="52" t="str">
        <f>IF(A2720="","",VLOOKUP(A2720,'6.A'!$A$11:$E$7984,5,FALSE))</f>
        <v/>
      </c>
      <c r="I2720" s="52" t="str">
        <f>IF(H2720="","",IF(E2720=H2720,"SIM","NÃO"))</f>
        <v/>
      </c>
      <c r="J2720" s="52" t="str">
        <f>IF(H2720="","",VLOOKUP(A2720,'6.A'!$A$11:$E$564,4,FALSE))</f>
        <v/>
      </c>
      <c r="K2720" s="52" t="str">
        <f t="shared" ref="K2720" si="1158">IF(H2720="","",IF(J2720=D2720,"SIM","NÃO"))</f>
        <v/>
      </c>
      <c r="L2720" s="52" t="str">
        <f>IF(H2720="","",IF(C2720="","",G2716*C2720))</f>
        <v/>
      </c>
      <c r="M2720" s="117" t="str">
        <f>IF(A2720="","",VLOOKUP(A2720,'6.A'!$A$11:$C$564,2,FALSE))</f>
        <v/>
      </c>
      <c r="N2720" s="57" t="str">
        <f t="shared" ref="N2720" si="1159">IF(A2720="","",IF(M2720=B2720,"si","no"))</f>
        <v/>
      </c>
      <c r="O2720" s="56"/>
      <c r="P2720" s="56"/>
      <c r="Q2720" s="48"/>
      <c r="R2720" s="48"/>
      <c r="S2720" s="2"/>
    </row>
    <row r="2721" spans="1:19" ht="12.75" customHeight="1" x14ac:dyDescent="0.2">
      <c r="A2721" s="155"/>
      <c r="B2721" s="138" t="str">
        <f>IF(A2721="","",VLOOKUP(A2721,'6.A'!$A$11:$G$180,2,FALSE))</f>
        <v/>
      </c>
      <c r="C2721" s="156"/>
      <c r="D2721" s="57" t="str">
        <f>IF(A2721="","",VLOOKUP(A2721,'6.A'!$A$11:$G$180,4,FALSE))</f>
        <v/>
      </c>
      <c r="E2721" s="100" t="str">
        <f>IF(A2721="","",VLOOKUP(A2721,'6.A'!$A$11:$G$180,5,FALSE))</f>
        <v/>
      </c>
      <c r="F2721" s="24" t="str">
        <f>IF(A2721="","0,00",ROUND(C2721*E2721,2))</f>
        <v>0,00</v>
      </c>
      <c r="G2721" s="52"/>
      <c r="H2721" s="52" t="str">
        <f>IF(A2721="","",VLOOKUP(A2721,'6.A'!$A$11:$E$7984,5,FALSE))</f>
        <v/>
      </c>
      <c r="I2721" s="52" t="str">
        <f>IF(H2721="","",IF(E2721=H2721,"SIM","NÃO"))</f>
        <v/>
      </c>
      <c r="J2721" s="52" t="str">
        <f>IF(H2721="","",VLOOKUP(A2721,'6.A'!$A$11:$E$564,4,FALSE))</f>
        <v/>
      </c>
      <c r="K2721" s="52" t="str">
        <f>IF(H2721="","",IF(J2721=D2721,"SIM","NÃO"))</f>
        <v/>
      </c>
      <c r="L2721" s="52" t="str">
        <f>IF(H2721="","",IF(C2721="","",G2716*C2721))</f>
        <v/>
      </c>
      <c r="M2721" s="117" t="str">
        <f>IF(A2721="","",VLOOKUP(A2721,'6.A'!$A$11:$C$564,2,FALSE))</f>
        <v/>
      </c>
      <c r="N2721" s="57" t="str">
        <f>IF(A2721="","",IF(M2721=B2721,"si","no"))</f>
        <v/>
      </c>
      <c r="O2721" s="56"/>
      <c r="P2721" s="56"/>
      <c r="Q2721" s="48"/>
      <c r="R2721" s="48"/>
    </row>
    <row r="2722" spans="1:19" ht="12.75" customHeight="1" x14ac:dyDescent="0.2">
      <c r="A2722" s="155"/>
      <c r="B2722" s="138" t="str">
        <f>IF(A2722="","",VLOOKUP(A2722,'6.A'!$A$11:$G$180,2,FALSE))</f>
        <v/>
      </c>
      <c r="C2722" s="156"/>
      <c r="D2722" s="57" t="str">
        <f>IF(A2722="","",VLOOKUP(A2722,'6.A'!$A$11:$G$180,4,FALSE))</f>
        <v/>
      </c>
      <c r="E2722" s="101" t="str">
        <f>IF(A2722="","",VLOOKUP(A2722,'6.A'!$A$11:$G$180,5,FALSE))</f>
        <v/>
      </c>
      <c r="F2722" s="24" t="str">
        <f t="shared" ref="F2722:F2723" si="1160">IF(A2722="","0,00",ROUND(C2722*E2722,2))</f>
        <v>0,00</v>
      </c>
      <c r="G2722" s="52"/>
      <c r="H2722" s="52" t="str">
        <f>IF(A2722="","",VLOOKUP(A2722,'6.A'!$A$11:$E$7984,5,FALSE))</f>
        <v/>
      </c>
      <c r="I2722" s="52" t="str">
        <f t="shared" ref="I2722" si="1161">IF(H2722="","",IF(E2722=H2722,"SIM","NÃO"))</f>
        <v/>
      </c>
      <c r="J2722" s="52" t="str">
        <f>IF(H2722="","",VLOOKUP(A2722,'6.A'!$A$11:$E$564,4,FALSE))</f>
        <v/>
      </c>
      <c r="K2722" s="52" t="str">
        <f t="shared" ref="K2722" si="1162">IF(H2722="","",IF(J2722=D2722,"SIM","NÃO"))</f>
        <v/>
      </c>
      <c r="L2722" s="52" t="str">
        <f>IF(H2722="","",IF(C2722="","",G2716*C2722))</f>
        <v/>
      </c>
      <c r="M2722" s="117" t="str">
        <f>IF(A2722="","",VLOOKUP(A2722,'6.A'!$A$11:$C$564,2,FALSE))</f>
        <v/>
      </c>
      <c r="N2722" s="57" t="str">
        <f t="shared" ref="N2722" si="1163">IF(A2722="","",IF(M2722=B2722,"si","no"))</f>
        <v/>
      </c>
      <c r="O2722" s="56"/>
      <c r="P2722" s="56"/>
      <c r="Q2722" s="48"/>
      <c r="R2722" s="48"/>
      <c r="S2722" s="2"/>
    </row>
    <row r="2723" spans="1:19" ht="12.75" customHeight="1" x14ac:dyDescent="0.2">
      <c r="A2723" s="155"/>
      <c r="B2723" s="138" t="str">
        <f>IF(A2723="","",VLOOKUP(A2723,'6.A'!$A$11:$G$180,2,FALSE))</f>
        <v/>
      </c>
      <c r="C2723" s="156"/>
      <c r="D2723" s="57" t="str">
        <f>IF(A2723="","",VLOOKUP(A2723,'6.A'!$A$11:$G$180,4,FALSE))</f>
        <v/>
      </c>
      <c r="E2723" s="101" t="str">
        <f>IF(A2723="","",VLOOKUP(A2723,'6.A'!$A$11:$G$180,5,FALSE))</f>
        <v/>
      </c>
      <c r="F2723" s="24" t="str">
        <f t="shared" si="1160"/>
        <v>0,00</v>
      </c>
      <c r="G2723" s="52"/>
      <c r="H2723" s="52" t="str">
        <f>IF(A2723="","",VLOOKUP(A2723,'6.A'!$A$11:$E$7984,5,FALSE))</f>
        <v/>
      </c>
      <c r="I2723" s="52" t="str">
        <f>IF(H2723="","",IF(E2723=H2723,"SIM","NÃO"))</f>
        <v/>
      </c>
      <c r="J2723" s="52" t="str">
        <f>IF(H2723="","",VLOOKUP(A2723,'6.A'!$A$11:$E$564,4,FALSE))</f>
        <v/>
      </c>
      <c r="K2723" s="52" t="str">
        <f>IF(H2723="","",IF(J2723=D2723,"SIM","NÃO"))</f>
        <v/>
      </c>
      <c r="L2723" s="52" t="str">
        <f>IF(H2723="","",IF(C2723="","",G2716*C2723))</f>
        <v/>
      </c>
      <c r="M2723" s="117" t="str">
        <f>IF(A2723="","",VLOOKUP(A2723,'6.A'!$A$11:$C$564,2,FALSE))</f>
        <v/>
      </c>
      <c r="N2723" s="57" t="str">
        <f>IF(A2723="","",IF(M2723=B2723,"si","no"))</f>
        <v/>
      </c>
      <c r="O2723" s="56"/>
      <c r="P2723" s="56"/>
      <c r="Q2723" s="48"/>
      <c r="R2723" s="48"/>
      <c r="S2723" s="2"/>
    </row>
    <row r="2724" spans="1:19" ht="12.75" customHeight="1" x14ac:dyDescent="0.2">
      <c r="A2724" s="155"/>
      <c r="B2724" s="138" t="str">
        <f>IF(A2724="","",VLOOKUP(A2724,'6.A'!$A$11:$G$180,2,FALSE))</f>
        <v/>
      </c>
      <c r="C2724" s="156"/>
      <c r="D2724" s="57" t="str">
        <f>IF(A2724="","",VLOOKUP(A2724,'6.A'!$A$11:$G$180,4,FALSE))</f>
        <v/>
      </c>
      <c r="E2724" s="100" t="str">
        <f>IF(A2724="","",VLOOKUP(A2724,'6.A'!$A$11:$G$180,5,FALSE))</f>
        <v/>
      </c>
      <c r="F2724" s="24" t="str">
        <f>IF(A2724="","0,00",ROUND(C2724*E2724,2))</f>
        <v>0,00</v>
      </c>
      <c r="G2724" s="52"/>
      <c r="H2724" s="52" t="str">
        <f>IF(A2724="","",VLOOKUP(A2724,'6.A'!$A$11:$E$7984,5,FALSE))</f>
        <v/>
      </c>
      <c r="I2724" s="52" t="str">
        <f t="shared" ref="I2724" si="1164">IF(H2724="","",IF(E2724=H2724,"SIM","NÃO"))</f>
        <v/>
      </c>
      <c r="J2724" s="52" t="str">
        <f>IF(H2724="","",VLOOKUP(A2724,'6.A'!$A$11:$E$564,4,FALSE))</f>
        <v/>
      </c>
      <c r="K2724" s="52" t="str">
        <f t="shared" ref="K2724" si="1165">IF(H2724="","",IF(J2724=D2724,"SIM","NÃO"))</f>
        <v/>
      </c>
      <c r="L2724" s="52" t="str">
        <f>IF(H2724="","",IF(C2724="","",G2716*C2724))</f>
        <v/>
      </c>
      <c r="M2724" s="117" t="str">
        <f>IF(A2724="","",VLOOKUP(A2724,'6.A'!$A$11:$C$564,2,FALSE))</f>
        <v/>
      </c>
      <c r="N2724" s="57" t="str">
        <f t="shared" ref="N2724" si="1166">IF(A2724="","",IF(M2724=B2724,"si","no"))</f>
        <v/>
      </c>
      <c r="O2724" s="56"/>
      <c r="P2724" s="56"/>
      <c r="Q2724" s="48"/>
      <c r="R2724" s="48"/>
      <c r="S2724" s="2"/>
    </row>
    <row r="2725" spans="1:19" ht="12.75" customHeight="1" x14ac:dyDescent="0.2">
      <c r="A2725" s="155"/>
      <c r="B2725" s="138" t="str">
        <f>IF(A2725="","",VLOOKUP(A2725,'6.A'!$A$11:$G$180,2,FALSE))</f>
        <v/>
      </c>
      <c r="C2725" s="156"/>
      <c r="D2725" s="57" t="str">
        <f>IF(A2725="","",VLOOKUP(A2725,'6.A'!$A$11:$G$180,4,FALSE))</f>
        <v/>
      </c>
      <c r="E2725" s="100" t="str">
        <f>IF(A2725="","",VLOOKUP(A2725,'6.A'!$A$11:$G$180,5,FALSE))</f>
        <v/>
      </c>
      <c r="F2725" s="24" t="str">
        <f t="shared" ref="F2725:F2727" si="1167">IF(A2725="","0,00",ROUND(C2725*E2725,2))</f>
        <v>0,00</v>
      </c>
      <c r="G2725" s="52"/>
      <c r="H2725" s="52" t="str">
        <f>IF(A2725="","",VLOOKUP(A2725,'6.A'!$A$11:$E$7984,5,FALSE))</f>
        <v/>
      </c>
      <c r="I2725" s="52" t="str">
        <f>IF(H2725="","",IF(E2725=H2725,"SIM","NÃO"))</f>
        <v/>
      </c>
      <c r="J2725" s="52" t="str">
        <f>IF(H2725="","",VLOOKUP(A2725,'6.A'!$A$11:$E$564,4,FALSE))</f>
        <v/>
      </c>
      <c r="K2725" s="52" t="str">
        <f>IF(H2725="","",IF(J2725=D2725,"SIM","NÃO"))</f>
        <v/>
      </c>
      <c r="L2725" s="52" t="str">
        <f>IF(H2725="","",IF(C2725="","",G2716*C2725))</f>
        <v/>
      </c>
      <c r="M2725" s="117" t="str">
        <f>IF(A2725="","",VLOOKUP(A2725,'6.A'!$A$11:$C$564,2,FALSE))</f>
        <v/>
      </c>
      <c r="N2725" s="57" t="str">
        <f>IF(A2725="","",IF(M2725=B2725,"si","no"))</f>
        <v/>
      </c>
      <c r="O2725" s="56"/>
      <c r="P2725" s="56"/>
      <c r="Q2725" s="48"/>
      <c r="R2725" s="48"/>
      <c r="S2725" s="2"/>
    </row>
    <row r="2726" spans="1:19" ht="12.75" customHeight="1" x14ac:dyDescent="0.2">
      <c r="A2726" s="155"/>
      <c r="B2726" s="138" t="str">
        <f>IF(A2726="","",VLOOKUP(A2726,'6.A'!$A$11:$G$180,2,FALSE))</f>
        <v/>
      </c>
      <c r="C2726" s="156"/>
      <c r="D2726" s="73" t="str">
        <f>IF(A2726="","",VLOOKUP(A2726,'6.A'!$A$11:$G$180,4,FALSE))</f>
        <v/>
      </c>
      <c r="E2726" s="101" t="str">
        <f>IF(A2726="","",VLOOKUP(A2726,'6.A'!$A$11:$G$180,5,FALSE))</f>
        <v/>
      </c>
      <c r="F2726" s="24" t="str">
        <f t="shared" si="1167"/>
        <v>0,00</v>
      </c>
      <c r="G2726" s="52"/>
      <c r="H2726" s="52" t="str">
        <f>IF(A2726="","",VLOOKUP(A2726,'6.A'!$A$11:$E$7984,5,FALSE))</f>
        <v/>
      </c>
      <c r="I2726" s="52" t="str">
        <f>IF(H2726="","",IF(E2726=H2726,"SIM","NÃO"))</f>
        <v/>
      </c>
      <c r="J2726" s="52" t="str">
        <f>IF(H2726="","",VLOOKUP(A2726,'6.A'!$A$11:$E$564,4,FALSE))</f>
        <v/>
      </c>
      <c r="K2726" s="52" t="str">
        <f>IF(H2726="","",IF(J2726=D2726,"SIM","NÃO"))</f>
        <v/>
      </c>
      <c r="L2726" s="52" t="str">
        <f>IF(H2726="","",IF(C2726="","",G2716*C2726))</f>
        <v/>
      </c>
      <c r="M2726" s="117" t="str">
        <f>IF(A2726="","",VLOOKUP(A2726,'6.A'!$A$11:$C$564,2,FALSE))</f>
        <v/>
      </c>
      <c r="N2726" s="57" t="str">
        <f>IF(A2726="","",IF(M2726=B2726,"si","no"))</f>
        <v/>
      </c>
      <c r="O2726" s="56"/>
      <c r="P2726" s="56"/>
      <c r="Q2726" s="48"/>
      <c r="R2726" s="48"/>
      <c r="S2726" s="2"/>
    </row>
    <row r="2727" spans="1:19" ht="12.75" customHeight="1" x14ac:dyDescent="0.2">
      <c r="A2727" s="155"/>
      <c r="B2727" s="138" t="str">
        <f>IF(A2727="","",VLOOKUP(A2727,'6.A'!$A$11:$G$180,2,FALSE))</f>
        <v/>
      </c>
      <c r="C2727" s="156"/>
      <c r="D2727" s="25" t="str">
        <f>IF(A2727="","",VLOOKUP(A2727,'6.A'!$A$11:$G$180,4,FALSE))</f>
        <v/>
      </c>
      <c r="E2727" s="101" t="str">
        <f>IF(A2727="","",VLOOKUP(A2727,'6.A'!$A$11:$G$180,5,FALSE))</f>
        <v/>
      </c>
      <c r="F2727" s="24" t="str">
        <f t="shared" si="1167"/>
        <v>0,00</v>
      </c>
      <c r="G2727" s="52"/>
      <c r="H2727" s="52" t="str">
        <f>IF(A2727="","",VLOOKUP(A2727,'6.A'!$A$11:$E$7984,5,FALSE))</f>
        <v/>
      </c>
      <c r="I2727" s="52" t="str">
        <f t="shared" ref="I2727" si="1168">IF(H2727="","",IF(E2727=H2727,"SIM","NÃO"))</f>
        <v/>
      </c>
      <c r="J2727" s="52" t="str">
        <f>IF(H2727="","",VLOOKUP(A2727,'6.A'!$A$11:$E$564,4,FALSE))</f>
        <v/>
      </c>
      <c r="K2727" s="52" t="str">
        <f t="shared" ref="K2727" si="1169">IF(H2727="","",IF(J2727=D2727,"SIM","NÃO"))</f>
        <v/>
      </c>
      <c r="L2727" s="52" t="str">
        <f>IF(H2727="","",IF(C2727="","",G2716*C2727))</f>
        <v/>
      </c>
      <c r="M2727" s="117" t="str">
        <f>IF(A2727="","",VLOOKUP(A2727,'6.A'!$A$11:$C$564,2,FALSE))</f>
        <v/>
      </c>
      <c r="N2727" s="57" t="str">
        <f t="shared" ref="N2727" si="1170">IF(A2727="","",IF(M2727=B2727,"si","no"))</f>
        <v/>
      </c>
      <c r="O2727" s="56"/>
      <c r="P2727" s="56"/>
      <c r="Q2727" s="48"/>
      <c r="R2727" s="48"/>
      <c r="S2727" s="2"/>
    </row>
    <row r="2728" spans="1:19" ht="12.75" customHeight="1" x14ac:dyDescent="0.2">
      <c r="A2728" s="152"/>
      <c r="B2728" s="26" t="str">
        <f>$A$8</f>
        <v>LEIS SOCIAIS HORISTA - JORNADA NORMAL</v>
      </c>
      <c r="C2728" s="27">
        <f>$C$8</f>
        <v>0</v>
      </c>
      <c r="D2728" s="57"/>
      <c r="F2728" s="28">
        <f>ROUND(SUM(F2718:F2727)*C2728,2)</f>
        <v>0</v>
      </c>
      <c r="G2728" s="63"/>
      <c r="M2728" s="62"/>
      <c r="N2728" s="57"/>
      <c r="O2728" s="56"/>
      <c r="P2728" s="56"/>
      <c r="Q2728" s="48"/>
      <c r="R2728" s="48"/>
      <c r="S2728" s="2"/>
    </row>
    <row r="2729" spans="1:19" ht="12.75" customHeight="1" x14ac:dyDescent="0.2">
      <c r="A2729" s="155"/>
      <c r="B2729" s="26" t="str">
        <f>$A$9</f>
        <v>BDI</v>
      </c>
      <c r="C2729" s="27">
        <f>$C$9</f>
        <v>0</v>
      </c>
      <c r="D2729" s="29"/>
      <c r="F2729" s="28">
        <f>ROUND(SUM(F2718:F2728)*C2729,2)</f>
        <v>0</v>
      </c>
      <c r="G2729" s="63"/>
      <c r="M2729" s="62"/>
      <c r="N2729" s="57"/>
      <c r="O2729" s="56"/>
      <c r="P2729" s="56"/>
      <c r="Q2729" s="48"/>
      <c r="R2729" s="48"/>
      <c r="S2729" s="2"/>
    </row>
    <row r="2730" spans="1:19" ht="12.75" customHeight="1" x14ac:dyDescent="0.2">
      <c r="A2730" s="163"/>
      <c r="B2730" s="164" t="s">
        <v>56</v>
      </c>
      <c r="C2730" s="165"/>
      <c r="D2730" s="33"/>
      <c r="E2730" s="34"/>
      <c r="F2730" s="35">
        <f>ROUND(SUM(F2718:F2729),2)</f>
        <v>0</v>
      </c>
      <c r="G2730" s="63"/>
      <c r="M2730" s="62"/>
      <c r="N2730" s="57"/>
      <c r="O2730" s="56"/>
      <c r="P2730" s="56"/>
      <c r="Q2730" s="48"/>
      <c r="R2730" s="48"/>
      <c r="S2730" s="2"/>
    </row>
    <row r="2731" spans="1:19" ht="12.75" customHeight="1" x14ac:dyDescent="0.2">
      <c r="A2731" s="152" t="s">
        <v>5</v>
      </c>
      <c r="B2731" s="153" t="s">
        <v>130</v>
      </c>
      <c r="C2731" s="140" t="s">
        <v>59</v>
      </c>
      <c r="D2731" s="56" t="s">
        <v>16</v>
      </c>
      <c r="E2731" s="19" t="s">
        <v>60</v>
      </c>
      <c r="F2731" s="20" t="s">
        <v>61</v>
      </c>
      <c r="G2731" s="21"/>
      <c r="M2731" s="62"/>
      <c r="N2731" s="57"/>
      <c r="O2731" s="56"/>
      <c r="P2731" s="56"/>
      <c r="Q2731" s="48"/>
      <c r="R2731" s="48"/>
      <c r="S2731" s="2"/>
    </row>
    <row r="2732" spans="1:19" ht="12.75" customHeight="1" x14ac:dyDescent="0.2">
      <c r="A2732" s="155"/>
      <c r="B2732" s="138" t="str">
        <f>IF(A2732="","",VLOOKUP(A2732,'6.A'!$A$11:$G$180,2,FALSE))</f>
        <v/>
      </c>
      <c r="C2732" s="156"/>
      <c r="D2732" s="57" t="str">
        <f>IF(A2732="","",VLOOKUP(A2732,'6.A'!$A$11:$G$180,4,FALSE))</f>
        <v/>
      </c>
      <c r="E2732" s="100" t="str">
        <f>IF(A2732="","",VLOOKUP(A2732,'6.A'!$A$11:$G$180,5,FALSE))</f>
        <v/>
      </c>
      <c r="F2732" s="24" t="str">
        <f t="shared" ref="F2732:F2741" si="1171">IF(A2732="","0,00",ROUND(C2732*E2732,2))</f>
        <v>0,00</v>
      </c>
      <c r="G2732" s="52"/>
      <c r="H2732" s="52" t="str">
        <f>IF(A2732="","",VLOOKUP(A2732,'6.A'!$A$11:$E$7984,5,FALSE))</f>
        <v/>
      </c>
      <c r="I2732" s="52" t="str">
        <f t="shared" ref="I2732:I2741" si="1172">IF(H2732="","",IF(E2732=H2732,"SIM","NÃO"))</f>
        <v/>
      </c>
      <c r="J2732" s="52" t="str">
        <f>IF(H2732="","",VLOOKUP(A2732,'6.A'!$A$11:$E$564,4,FALSE))</f>
        <v/>
      </c>
      <c r="K2732" s="52" t="str">
        <f t="shared" ref="K2732:K2741" si="1173">IF(H2732="","",IF(J2732=D2732,"SIM","NÃO"))</f>
        <v/>
      </c>
      <c r="L2732" s="52" t="str">
        <f>IF(H2732="","",IF(C2732="","",G2716*C2732))</f>
        <v/>
      </c>
      <c r="M2732" s="117" t="str">
        <f>IF(A2732="","",VLOOKUP(A2732,'6.A'!$A$11:$C$564,2,FALSE))</f>
        <v/>
      </c>
      <c r="N2732" s="57" t="str">
        <f t="shared" ref="N2732:N2737" si="1174">IF(A2732="","",IF(M2732=B2732,"si","no"))</f>
        <v/>
      </c>
      <c r="O2732" s="56"/>
      <c r="P2732" s="56"/>
      <c r="Q2732" s="48"/>
      <c r="R2732" s="48"/>
      <c r="S2732" s="2"/>
    </row>
    <row r="2733" spans="1:19" ht="12.75" customHeight="1" x14ac:dyDescent="0.2">
      <c r="A2733" s="155"/>
      <c r="B2733" s="138" t="str">
        <f>IF(A2733="","",VLOOKUP(A2733,'6.A'!$A$11:$G$180,2,FALSE))</f>
        <v/>
      </c>
      <c r="C2733" s="156"/>
      <c r="D2733" s="57" t="str">
        <f>IF(A2733="","",VLOOKUP(A2733,'6.A'!$A$11:$G$180,4,FALSE))</f>
        <v/>
      </c>
      <c r="E2733" s="100" t="str">
        <f>IF(A2733="","",VLOOKUP(A2733,'6.A'!$A$11:$G$180,5,FALSE))</f>
        <v/>
      </c>
      <c r="F2733" s="24" t="str">
        <f t="shared" si="1171"/>
        <v>0,00</v>
      </c>
      <c r="G2733" s="52"/>
      <c r="H2733" s="52" t="str">
        <f>IF(A2733="","",VLOOKUP(A2733,'6.A'!$A$11:$E$7984,5,FALSE))</f>
        <v/>
      </c>
      <c r="I2733" s="52" t="str">
        <f t="shared" si="1172"/>
        <v/>
      </c>
      <c r="J2733" s="52" t="str">
        <f>IF(H2733="","",VLOOKUP(A2733,'6.A'!$A$11:$E$564,4,FALSE))</f>
        <v/>
      </c>
      <c r="K2733" s="52" t="str">
        <f t="shared" si="1173"/>
        <v/>
      </c>
      <c r="L2733" s="52" t="str">
        <f>IF(H2733="","",IF(C2733="","",G2716*C2733))</f>
        <v/>
      </c>
      <c r="M2733" s="117" t="str">
        <f>IF(A2733="","",VLOOKUP(A2733,'6.A'!$A$11:$C$564,2,FALSE))</f>
        <v/>
      </c>
      <c r="N2733" s="57" t="str">
        <f t="shared" si="1174"/>
        <v/>
      </c>
      <c r="O2733" s="56"/>
      <c r="P2733" s="56"/>
      <c r="Q2733" s="48"/>
      <c r="R2733" s="48"/>
      <c r="S2733" s="2"/>
    </row>
    <row r="2734" spans="1:19" ht="12.75" customHeight="1" x14ac:dyDescent="0.2">
      <c r="A2734" s="155"/>
      <c r="B2734" s="138" t="str">
        <f>IF(A2734="","",VLOOKUP(A2734,'6.A'!$A$11:$G$180,2,FALSE))</f>
        <v/>
      </c>
      <c r="C2734" s="156"/>
      <c r="D2734" s="57" t="str">
        <f>IF(A2734="","",VLOOKUP(A2734,'6.A'!$A$11:$G$180,4,FALSE))</f>
        <v/>
      </c>
      <c r="E2734" s="100" t="str">
        <f>IF(A2734="","",VLOOKUP(A2734,'6.A'!$A$11:$G$180,5,FALSE))</f>
        <v/>
      </c>
      <c r="F2734" s="24" t="str">
        <f t="shared" si="1171"/>
        <v>0,00</v>
      </c>
      <c r="G2734" s="52"/>
      <c r="H2734" s="52" t="str">
        <f>IF(A2734="","",VLOOKUP(A2734,'6.A'!$A$11:$E$7984,5,FALSE))</f>
        <v/>
      </c>
      <c r="I2734" s="52" t="str">
        <f t="shared" si="1172"/>
        <v/>
      </c>
      <c r="J2734" s="52" t="str">
        <f>IF(H2734="","",VLOOKUP(A2734,'6.A'!$A$11:$E$564,4,FALSE))</f>
        <v/>
      </c>
      <c r="K2734" s="52" t="str">
        <f t="shared" si="1173"/>
        <v/>
      </c>
      <c r="L2734" s="52" t="str">
        <f>IF(H2734="","",IF(C2734="","",G2716*C2734))</f>
        <v/>
      </c>
      <c r="M2734" s="117" t="str">
        <f>IF(A2734="","",VLOOKUP(A2734,'6.A'!$A$11:$C$564,2,FALSE))</f>
        <v/>
      </c>
      <c r="N2734" s="57" t="str">
        <f t="shared" si="1174"/>
        <v/>
      </c>
      <c r="O2734" s="56"/>
      <c r="P2734" s="56"/>
      <c r="Q2734" s="48"/>
      <c r="R2734" s="48"/>
      <c r="S2734" s="2"/>
    </row>
    <row r="2735" spans="1:19" ht="12.75" customHeight="1" x14ac:dyDescent="0.2">
      <c r="A2735" s="155"/>
      <c r="B2735" s="176" t="str">
        <f>IF(A2735="","",VLOOKUP(A2735,'6.A'!$A$11:$G$180,2,FALSE))</f>
        <v/>
      </c>
      <c r="C2735" s="156"/>
      <c r="D2735" s="57" t="str">
        <f>IF(A2735="","",VLOOKUP(A2735,'6.A'!$A$11:$G$180,4,FALSE))</f>
        <v/>
      </c>
      <c r="E2735" s="100" t="str">
        <f>IF(A2735="","",VLOOKUP(A2735,'6.A'!$A$11:$G$180,5,FALSE))</f>
        <v/>
      </c>
      <c r="F2735" s="24" t="str">
        <f t="shared" si="1171"/>
        <v>0,00</v>
      </c>
      <c r="G2735" s="52"/>
      <c r="H2735" s="52" t="str">
        <f>IF(A2735="","",VLOOKUP(A2735,'6.A'!$A$11:$E$7984,5,FALSE))</f>
        <v/>
      </c>
      <c r="I2735" s="52" t="str">
        <f t="shared" si="1172"/>
        <v/>
      </c>
      <c r="J2735" s="52" t="str">
        <f>IF(H2735="","",VLOOKUP(A2735,'6.A'!$A$11:$E$564,4,FALSE))</f>
        <v/>
      </c>
      <c r="K2735" s="52" t="str">
        <f t="shared" si="1173"/>
        <v/>
      </c>
      <c r="L2735" s="52" t="str">
        <f>IF(H2735="","",IF(C2735="","",G2716*C2735))</f>
        <v/>
      </c>
      <c r="M2735" s="117" t="str">
        <f>IF(A2735="","",VLOOKUP(A2735,'6.A'!$A$11:$C$564,2,FALSE))</f>
        <v/>
      </c>
      <c r="N2735" s="57" t="str">
        <f t="shared" si="1174"/>
        <v/>
      </c>
      <c r="O2735" s="56"/>
      <c r="P2735" s="56"/>
      <c r="Q2735" s="48"/>
      <c r="R2735" s="48"/>
      <c r="S2735" s="2"/>
    </row>
    <row r="2736" spans="1:19" ht="12.75" customHeight="1" x14ac:dyDescent="0.2">
      <c r="A2736" s="155"/>
      <c r="B2736" s="176" t="str">
        <f>IF(A2736="","",VLOOKUP(A2736,'6.A'!$A$11:$G$180,2,FALSE))</f>
        <v/>
      </c>
      <c r="C2736" s="156"/>
      <c r="D2736" s="57" t="str">
        <f>IF(A2736="","",VLOOKUP(A2736,'6.A'!$A$11:$G$180,4,FALSE))</f>
        <v/>
      </c>
      <c r="E2736" s="100" t="str">
        <f>IF(A2736="","",VLOOKUP(A2736,'6.A'!$A$11:$G$180,5,FALSE))</f>
        <v/>
      </c>
      <c r="F2736" s="24" t="str">
        <f t="shared" si="1171"/>
        <v>0,00</v>
      </c>
      <c r="G2736" s="52"/>
      <c r="H2736" s="52" t="str">
        <f>IF(A2736="","",VLOOKUP(A2736,'6.A'!$A$11:$E$7984,5,FALSE))</f>
        <v/>
      </c>
      <c r="I2736" s="52" t="str">
        <f t="shared" si="1172"/>
        <v/>
      </c>
      <c r="J2736" s="52" t="str">
        <f>IF(H2736="","",VLOOKUP(A2736,'6.A'!$A$11:$E$564,4,FALSE))</f>
        <v/>
      </c>
      <c r="K2736" s="52" t="str">
        <f t="shared" si="1173"/>
        <v/>
      </c>
      <c r="L2736" s="52" t="str">
        <f>IF(H2736="","",IF(C2736="","",G2716*C2736))</f>
        <v/>
      </c>
      <c r="M2736" s="117" t="str">
        <f>IF(A2736="","",VLOOKUP(A2736,'6.A'!$A$11:$C$564,2,FALSE))</f>
        <v/>
      </c>
      <c r="N2736" s="57" t="str">
        <f t="shared" si="1174"/>
        <v/>
      </c>
      <c r="O2736" s="56"/>
      <c r="P2736" s="56"/>
      <c r="Q2736" s="48"/>
      <c r="R2736" s="48"/>
      <c r="S2736" s="2"/>
    </row>
    <row r="2737" spans="1:22" ht="12.75" customHeight="1" x14ac:dyDescent="0.2">
      <c r="A2737" s="155"/>
      <c r="B2737" s="176" t="str">
        <f>IF(A2737="","",VLOOKUP(A2737,'6.A'!$A$11:$G$180,2,FALSE))</f>
        <v/>
      </c>
      <c r="C2737" s="156"/>
      <c r="D2737" s="57" t="str">
        <f>IF(A2737="","",VLOOKUP(A2737,'6.A'!$A$11:$G$180,4,FALSE))</f>
        <v/>
      </c>
      <c r="E2737" s="100" t="str">
        <f>IF(A2737="","",VLOOKUP(A2737,'6.A'!$A$11:$G$180,5,FALSE))</f>
        <v/>
      </c>
      <c r="F2737" s="24" t="str">
        <f t="shared" si="1171"/>
        <v>0,00</v>
      </c>
      <c r="G2737" s="52"/>
      <c r="H2737" s="52" t="str">
        <f>IF(A2737="","",VLOOKUP(A2737,'6.A'!$A$11:$E$7984,5,FALSE))</f>
        <v/>
      </c>
      <c r="I2737" s="52" t="str">
        <f t="shared" si="1172"/>
        <v/>
      </c>
      <c r="J2737" s="52" t="str">
        <f>IF(H2737="","",VLOOKUP(A2737,'6.A'!$A$11:$E$564,4,FALSE))</f>
        <v/>
      </c>
      <c r="K2737" s="52" t="str">
        <f t="shared" si="1173"/>
        <v/>
      </c>
      <c r="L2737" s="52" t="str">
        <f>IF(H2737="","",IF(C2737="","",G2716*C2737))</f>
        <v/>
      </c>
      <c r="M2737" s="117" t="str">
        <f>IF(A2737="","",VLOOKUP(A2737,'6.A'!$A$11:$C$564,2,FALSE))</f>
        <v/>
      </c>
      <c r="N2737" s="57" t="str">
        <f t="shared" si="1174"/>
        <v/>
      </c>
      <c r="O2737" s="56"/>
      <c r="P2737" s="56"/>
      <c r="Q2737" s="48"/>
      <c r="R2737" s="48"/>
      <c r="S2737" s="2"/>
    </row>
    <row r="2738" spans="1:22" ht="12.75" customHeight="1" x14ac:dyDescent="0.2">
      <c r="A2738" s="155"/>
      <c r="B2738" s="176" t="str">
        <f>IF(A2738="","",VLOOKUP(A2738,'6.A'!$A$11:$G$180,2,FALSE))</f>
        <v/>
      </c>
      <c r="C2738" s="156"/>
      <c r="D2738" s="57" t="str">
        <f>IF(A2738="","",VLOOKUP(A2738,'6.A'!$A$11:$G$180,4,FALSE))</f>
        <v/>
      </c>
      <c r="E2738" s="100" t="str">
        <f>IF(A2738="","",VLOOKUP(A2738,'6.A'!$A$11:$G$180,5,FALSE))</f>
        <v/>
      </c>
      <c r="F2738" s="24" t="str">
        <f t="shared" si="1171"/>
        <v>0,00</v>
      </c>
      <c r="G2738" s="52"/>
      <c r="H2738" s="52" t="str">
        <f>IF(A2738="","",VLOOKUP(A2738,'6.A'!$A$11:$E$7984,5,FALSE))</f>
        <v/>
      </c>
      <c r="I2738" s="52" t="str">
        <f t="shared" si="1172"/>
        <v/>
      </c>
      <c r="J2738" s="52" t="str">
        <f>IF(H2738="","",VLOOKUP(A2738,'6.A'!$A$11:$E$564,4,FALSE))</f>
        <v/>
      </c>
      <c r="K2738" s="52" t="str">
        <f t="shared" si="1173"/>
        <v/>
      </c>
      <c r="L2738" s="52" t="str">
        <f>IF(H2738="","",IF(C2738="","",G2716*C2738))</f>
        <v/>
      </c>
      <c r="M2738" s="117" t="str">
        <f>IF(A2738="","",VLOOKUP(A2738,'6.A'!$A$11:$C$564,2,FALSE))</f>
        <v/>
      </c>
      <c r="N2738" s="57" t="str">
        <f>IF(A2738="","",IF(M2738=B2738,"si","no"))</f>
        <v/>
      </c>
      <c r="O2738" s="56"/>
      <c r="P2738" s="56"/>
      <c r="Q2738" s="48"/>
      <c r="R2738" s="48"/>
      <c r="S2738" s="2"/>
    </row>
    <row r="2739" spans="1:22" ht="12.75" customHeight="1" x14ac:dyDescent="0.2">
      <c r="A2739" s="155"/>
      <c r="B2739" s="138" t="str">
        <f>IF(A2739="","",VLOOKUP(A2739,'6.A'!$A$11:$G$180,2,FALSE))</f>
        <v/>
      </c>
      <c r="C2739" s="156"/>
      <c r="D2739" s="57" t="str">
        <f>IF(A2739="","",VLOOKUP(A2739,'6.A'!$A$11:$G$180,4,FALSE))</f>
        <v/>
      </c>
      <c r="E2739" s="100" t="str">
        <f>IF(A2739="","",VLOOKUP(A2739,'6.A'!$A$11:$G$180,5,FALSE))</f>
        <v/>
      </c>
      <c r="F2739" s="24" t="str">
        <f t="shared" si="1171"/>
        <v>0,00</v>
      </c>
      <c r="G2739" s="52"/>
      <c r="H2739" s="52" t="str">
        <f>IF(A2739="","",VLOOKUP(A2739,'6.A'!$A$11:$E$7984,5,FALSE))</f>
        <v/>
      </c>
      <c r="I2739" s="52" t="str">
        <f t="shared" si="1172"/>
        <v/>
      </c>
      <c r="J2739" s="52" t="str">
        <f>IF(H2739="","",VLOOKUP(A2739,'6.A'!$A$11:$E$564,4,FALSE))</f>
        <v/>
      </c>
      <c r="K2739" s="52" t="str">
        <f t="shared" si="1173"/>
        <v/>
      </c>
      <c r="L2739" s="52" t="str">
        <f>IF(H2739="","",IF(C2739="","",G2716*C2739))</f>
        <v/>
      </c>
      <c r="M2739" s="117" t="str">
        <f>IF(A2739="","",VLOOKUP(A2739,'6.A'!$A$11:$C$564,2,FALSE))</f>
        <v/>
      </c>
      <c r="N2739" s="57" t="str">
        <f>IF(A2739="","",IF(M2739=B2739,"si","no"))</f>
        <v/>
      </c>
      <c r="O2739" s="56"/>
      <c r="P2739" s="56"/>
      <c r="Q2739" s="48"/>
      <c r="R2739" s="48"/>
      <c r="S2739" s="2"/>
    </row>
    <row r="2740" spans="1:22" ht="12.75" customHeight="1" x14ac:dyDescent="0.2">
      <c r="A2740" s="155"/>
      <c r="B2740" s="138" t="str">
        <f>IF(A2740="","",VLOOKUP(A2740,'6.A'!$A$11:$G$180,2,FALSE))</f>
        <v/>
      </c>
      <c r="C2740" s="156"/>
      <c r="D2740" s="57" t="str">
        <f>IF(A2740="","",VLOOKUP(A2740,'6.A'!$A$11:$G$180,4,FALSE))</f>
        <v/>
      </c>
      <c r="E2740" s="100" t="str">
        <f>IF(A2740="","",VLOOKUP(A2740,'6.A'!$A$11:$G$180,5,FALSE))</f>
        <v/>
      </c>
      <c r="F2740" s="24" t="str">
        <f t="shared" si="1171"/>
        <v>0,00</v>
      </c>
      <c r="G2740" s="52"/>
      <c r="H2740" s="52" t="str">
        <f>IF(A2740="","",VLOOKUP(A2740,'6.A'!$A$11:$E$7984,5,FALSE))</f>
        <v/>
      </c>
      <c r="I2740" s="52" t="str">
        <f t="shared" si="1172"/>
        <v/>
      </c>
      <c r="J2740" s="52" t="str">
        <f>IF(H2740="","",VLOOKUP(A2740,'6.A'!$A$11:$E$564,4,FALSE))</f>
        <v/>
      </c>
      <c r="K2740" s="52" t="str">
        <f t="shared" si="1173"/>
        <v/>
      </c>
      <c r="L2740" s="52" t="str">
        <f>IF(H2740="","",IF(C2740="","",G2716*C2740))</f>
        <v/>
      </c>
      <c r="M2740" s="117" t="str">
        <f>IF(A2740="","",VLOOKUP(A2740,'6.A'!$A$11:$C$564,2,FALSE))</f>
        <v/>
      </c>
      <c r="N2740" s="57" t="str">
        <f t="shared" ref="N2740:N2741" si="1175">IF(A2740="","",IF(M2740=B2740,"si","no"))</f>
        <v/>
      </c>
      <c r="O2740" s="56"/>
      <c r="P2740" s="56"/>
      <c r="Q2740" s="48"/>
      <c r="R2740" s="48"/>
      <c r="S2740" s="2"/>
    </row>
    <row r="2741" spans="1:22" ht="12.75" customHeight="1" x14ac:dyDescent="0.2">
      <c r="A2741" s="155"/>
      <c r="B2741" s="138" t="str">
        <f>IF(A2741="","",VLOOKUP(A2741,'6.A'!$A$11:$G$180,2,FALSE))</f>
        <v/>
      </c>
      <c r="C2741" s="156"/>
      <c r="D2741" s="57" t="str">
        <f>IF(A2741="","",VLOOKUP(A2741,'6.A'!$A$11:$G$180,4,FALSE))</f>
        <v/>
      </c>
      <c r="E2741" s="100" t="str">
        <f>IF(A2741="","",VLOOKUP(A2741,'6.A'!$A$11:$G$180,5,FALSE))</f>
        <v/>
      </c>
      <c r="F2741" s="24" t="str">
        <f t="shared" si="1171"/>
        <v>0,00</v>
      </c>
      <c r="G2741" s="52"/>
      <c r="H2741" s="52" t="str">
        <f>IF(A2741="","",VLOOKUP(A2741,'6.A'!$A$11:$E$7984,5,FALSE))</f>
        <v/>
      </c>
      <c r="I2741" s="52" t="str">
        <f t="shared" si="1172"/>
        <v/>
      </c>
      <c r="J2741" s="52" t="str">
        <f>IF(H2741="","",VLOOKUP(A2741,'6.A'!$A$11:$E$564,4,FALSE))</f>
        <v/>
      </c>
      <c r="K2741" s="52" t="str">
        <f t="shared" si="1173"/>
        <v/>
      </c>
      <c r="L2741" s="52" t="str">
        <f>IF(H2741="","",IF(C2741="","",G2716*C2741))</f>
        <v/>
      </c>
      <c r="M2741" s="117" t="str">
        <f>IF(A2741="","",VLOOKUP(A2741,'6.A'!$A$11:$C$564,2,FALSE))</f>
        <v/>
      </c>
      <c r="N2741" s="57" t="str">
        <f t="shared" si="1175"/>
        <v/>
      </c>
      <c r="O2741" s="56"/>
      <c r="P2741" s="56"/>
      <c r="Q2741" s="48"/>
      <c r="R2741" s="48"/>
      <c r="S2741" s="2"/>
    </row>
    <row r="2742" spans="1:22" ht="12.75" customHeight="1" x14ac:dyDescent="0.2">
      <c r="A2742" s="155"/>
      <c r="B2742" s="26" t="str">
        <f>$A$9</f>
        <v>BDI</v>
      </c>
      <c r="C2742" s="27">
        <f>$C$9</f>
        <v>0</v>
      </c>
      <c r="D2742" s="57"/>
      <c r="F2742" s="28">
        <f>ROUND(SUM(F2732:F2741)*C2742,2)</f>
        <v>0</v>
      </c>
      <c r="G2742" s="63"/>
      <c r="M2742" s="62"/>
      <c r="N2742" s="57"/>
      <c r="O2742" s="56"/>
      <c r="P2742" s="56"/>
      <c r="Q2742" s="48"/>
      <c r="R2742" s="48"/>
      <c r="S2742" s="2"/>
    </row>
    <row r="2743" spans="1:22" ht="12.75" customHeight="1" x14ac:dyDescent="0.2">
      <c r="A2743" s="163"/>
      <c r="B2743" s="31" t="s">
        <v>117</v>
      </c>
      <c r="C2743" s="36"/>
      <c r="D2743" s="37"/>
      <c r="E2743" s="38"/>
      <c r="F2743" s="35">
        <f>ROUND(SUM(F2732:F2742),2)</f>
        <v>0</v>
      </c>
      <c r="G2743" s="63"/>
      <c r="M2743" s="62"/>
      <c r="N2743" s="57"/>
      <c r="O2743" s="56"/>
      <c r="P2743" s="56"/>
      <c r="Q2743" s="48"/>
      <c r="R2743" s="48"/>
      <c r="S2743" s="2"/>
    </row>
    <row r="2744" spans="1:22" ht="12.75" customHeight="1" x14ac:dyDescent="0.2">
      <c r="A2744" s="152" t="s">
        <v>6</v>
      </c>
      <c r="B2744" s="153" t="s">
        <v>17</v>
      </c>
      <c r="C2744" s="140" t="s">
        <v>59</v>
      </c>
      <c r="D2744" s="56" t="s">
        <v>16</v>
      </c>
      <c r="E2744" s="19" t="s">
        <v>60</v>
      </c>
      <c r="F2744" s="20" t="s">
        <v>61</v>
      </c>
      <c r="G2744" s="21"/>
      <c r="M2744" s="62"/>
      <c r="N2744" s="57"/>
      <c r="O2744" s="56"/>
      <c r="P2744" s="56"/>
      <c r="Q2744" s="48"/>
      <c r="R2744" s="48"/>
      <c r="S2744" s="2"/>
    </row>
    <row r="2745" spans="1:22" ht="12.75" customHeight="1" x14ac:dyDescent="0.2">
      <c r="A2745" s="155">
        <f>'6.A'!$A$145</f>
        <v>39479</v>
      </c>
      <c r="B2745" s="138" t="str">
        <f>IF(A2745="","",VLOOKUP(A2745,'6.A'!$A$11:$G$180,2,FALSE))</f>
        <v>DISPOSITIVO DPS CLASSE II, 1 POLO, TENSAO MAXIMA DE 460 V, CORRENTE MAXIMA DE *45* KA (TIPO AC)</v>
      </c>
      <c r="C2745" s="156">
        <v>1</v>
      </c>
      <c r="D2745" s="57" t="str">
        <f>IF(A2745="","",VLOOKUP(A2745,'6.A'!$A$11:$G$180,4,FALSE))</f>
        <v>UN</v>
      </c>
      <c r="E2745" s="100">
        <f>IF(A2745="","",VLOOKUP(A2745,'6.A'!$A$11:$G$180,5,FALSE))</f>
        <v>0</v>
      </c>
      <c r="F2745" s="24">
        <f t="shared" ref="F2745:F2759" si="1176">IF(A2745="","0,00",ROUND(C2745*E2745,2))</f>
        <v>0</v>
      </c>
      <c r="G2745" s="52"/>
      <c r="H2745" s="52">
        <f>IF(A2745="","",VLOOKUP(A2745,'6.A'!$A$11:$E$7984,5,FALSE))</f>
        <v>0</v>
      </c>
      <c r="I2745" s="52" t="str">
        <f t="shared" ref="I2745:I2759" si="1177">IF(H2745="","",IF(E2745=H2745,"SIM","NÃO"))</f>
        <v>SIM</v>
      </c>
      <c r="J2745" s="52" t="str">
        <f>IF(H2745="","",VLOOKUP(A2745,'6.A'!$A$11:$E$564,4,FALSE))</f>
        <v>UN</v>
      </c>
      <c r="K2745" s="52" t="str">
        <f t="shared" ref="K2745:K2759" si="1178">IF(H2745="","",IF(J2745=D2745,"SIM","NÃO"))</f>
        <v>SIM</v>
      </c>
      <c r="L2745" s="52">
        <f>IF(H2745="","",IF(C2745="","",G2716*C2745))</f>
        <v>4</v>
      </c>
      <c r="M2745" s="117" t="str">
        <f>IF(A2745="","",VLOOKUP(A2745,'6.A'!$A$11:$C$564,2,FALSE))</f>
        <v>DISPOSITIVO DPS CLASSE II, 1 POLO, TENSAO MAXIMA DE 460 V, CORRENTE MAXIMA DE *45* KA (TIPO AC)</v>
      </c>
      <c r="N2745" s="57" t="str">
        <f t="shared" ref="N2745:N2759" si="1179">IF(A2745="","",IF(M2745=B2745,"si","no"))</f>
        <v>si</v>
      </c>
      <c r="O2745" s="56"/>
      <c r="P2745" s="56"/>
      <c r="Q2745" s="48"/>
      <c r="R2745" s="48"/>
      <c r="S2745" s="2"/>
    </row>
    <row r="2746" spans="1:22" ht="12.75" customHeight="1" x14ac:dyDescent="0.2">
      <c r="A2746" s="155"/>
      <c r="B2746" s="138" t="str">
        <f>IF(A2746="","",VLOOKUP(A2746,'6.A'!$A$11:$G$180,2,FALSE))</f>
        <v/>
      </c>
      <c r="C2746" s="156"/>
      <c r="D2746" s="57" t="str">
        <f>IF(A2746="","",VLOOKUP(A2746,'6.A'!$A$11:$G$180,4,FALSE))</f>
        <v/>
      </c>
      <c r="E2746" s="100" t="str">
        <f>IF(A2746="","",VLOOKUP(A2746,'6.A'!$A$11:$G$180,5,FALSE))</f>
        <v/>
      </c>
      <c r="F2746" s="24" t="str">
        <f t="shared" si="1176"/>
        <v>0,00</v>
      </c>
      <c r="G2746" s="52"/>
      <c r="H2746" s="52" t="str">
        <f>IF(A2746="","",VLOOKUP(A2746,'6.A'!$A$11:$E$7984,5,FALSE))</f>
        <v/>
      </c>
      <c r="I2746" s="52" t="str">
        <f t="shared" si="1177"/>
        <v/>
      </c>
      <c r="J2746" s="52" t="str">
        <f>IF(H2746="","",VLOOKUP(A2746,'6.A'!$A$11:$E$564,4,FALSE))</f>
        <v/>
      </c>
      <c r="K2746" s="52" t="str">
        <f t="shared" si="1178"/>
        <v/>
      </c>
      <c r="L2746" s="52" t="str">
        <f>IF(H2746="","",IF(C2746="","",G2716*C2746))</f>
        <v/>
      </c>
      <c r="M2746" s="117" t="str">
        <f>IF(A2746="","",VLOOKUP(A2746,'6.A'!$A$11:$C$564,2,FALSE))</f>
        <v/>
      </c>
      <c r="N2746" s="57" t="str">
        <f t="shared" si="1179"/>
        <v/>
      </c>
      <c r="O2746" s="56"/>
      <c r="P2746" s="56"/>
      <c r="Q2746" s="48"/>
      <c r="R2746" s="48"/>
      <c r="S2746" s="2"/>
    </row>
    <row r="2747" spans="1:22" ht="12.75" customHeight="1" x14ac:dyDescent="0.2">
      <c r="A2747" s="155"/>
      <c r="B2747" s="138" t="str">
        <f>IF(A2747="","",VLOOKUP(A2747,'6.A'!$A$11:$G$180,2,FALSE))</f>
        <v/>
      </c>
      <c r="C2747" s="156"/>
      <c r="D2747" s="57" t="str">
        <f>IF(A2747="","",VLOOKUP(A2747,'6.A'!$A$11:$G$180,4,FALSE))</f>
        <v/>
      </c>
      <c r="E2747" s="100" t="str">
        <f>IF(A2747="","",VLOOKUP(A2747,'6.A'!$A$11:$G$180,5,FALSE))</f>
        <v/>
      </c>
      <c r="F2747" s="24" t="str">
        <f t="shared" si="1176"/>
        <v>0,00</v>
      </c>
      <c r="G2747" s="52"/>
      <c r="H2747" s="52" t="str">
        <f>IF(A2747="","",VLOOKUP(A2747,'6.A'!$A$11:$E$7984,5,FALSE))</f>
        <v/>
      </c>
      <c r="I2747" s="52" t="str">
        <f t="shared" si="1177"/>
        <v/>
      </c>
      <c r="J2747" s="52" t="str">
        <f>IF(H2747="","",VLOOKUP(A2747,'6.A'!$A$11:$E$564,4,FALSE))</f>
        <v/>
      </c>
      <c r="K2747" s="52" t="str">
        <f t="shared" si="1178"/>
        <v/>
      </c>
      <c r="L2747" s="52" t="str">
        <f>IF(H2747="","",IF(C2747="","",G2716*C2747))</f>
        <v/>
      </c>
      <c r="M2747" s="117" t="str">
        <f>IF(A2747="","",VLOOKUP(A2747,'6.A'!$A$11:$C$564,2,FALSE))</f>
        <v/>
      </c>
      <c r="N2747" s="57" t="str">
        <f t="shared" si="1179"/>
        <v/>
      </c>
      <c r="O2747" s="56"/>
      <c r="P2747" s="56"/>
      <c r="Q2747" s="48"/>
      <c r="R2747" s="48"/>
      <c r="S2747" s="2"/>
    </row>
    <row r="2748" spans="1:22" s="65" customFormat="1" ht="12.75" customHeight="1" x14ac:dyDescent="0.2">
      <c r="A2748" s="155"/>
      <c r="B2748" s="138" t="str">
        <f>IF(A2748="","",VLOOKUP(A2748,'6.A'!$A$11:$G$180,2,FALSE))</f>
        <v/>
      </c>
      <c r="C2748" s="156"/>
      <c r="D2748" s="57" t="str">
        <f>IF(A2748="","",VLOOKUP(A2748,'6.A'!$A$11:$G$180,4,FALSE))</f>
        <v/>
      </c>
      <c r="E2748" s="100" t="str">
        <f>IF(A2748="","",VLOOKUP(A2748,'6.A'!$A$11:$G$180,5,FALSE))</f>
        <v/>
      </c>
      <c r="F2748" s="24" t="str">
        <f t="shared" si="1176"/>
        <v>0,00</v>
      </c>
      <c r="G2748" s="52"/>
      <c r="H2748" s="52" t="str">
        <f>IF(A2748="","",VLOOKUP(A2748,'6.A'!$A$11:$E$7984,5,FALSE))</f>
        <v/>
      </c>
      <c r="I2748" s="52" t="str">
        <f t="shared" si="1177"/>
        <v/>
      </c>
      <c r="J2748" s="52" t="str">
        <f>IF(H2748="","",VLOOKUP(A2748,'6.A'!$A$11:$E$564,4,FALSE))</f>
        <v/>
      </c>
      <c r="K2748" s="52" t="str">
        <f t="shared" si="1178"/>
        <v/>
      </c>
      <c r="L2748" s="52" t="str">
        <f>IF(H2748="","",IF(C2748="","",G2716*C2748))</f>
        <v/>
      </c>
      <c r="M2748" s="117" t="str">
        <f>IF(A2748="","",VLOOKUP(A2748,'6.A'!$A$11:$C$564,2,FALSE))</f>
        <v/>
      </c>
      <c r="N2748" s="57" t="str">
        <f t="shared" si="1179"/>
        <v/>
      </c>
      <c r="O2748" s="56"/>
      <c r="P2748" s="56"/>
      <c r="Q2748" s="48"/>
      <c r="R2748" s="48"/>
      <c r="T2748" s="2"/>
      <c r="U2748" s="2"/>
      <c r="V2748" s="2"/>
    </row>
    <row r="2749" spans="1:22" s="65" customFormat="1" ht="12.75" customHeight="1" x14ac:dyDescent="0.2">
      <c r="A2749" s="155"/>
      <c r="B2749" s="138" t="str">
        <f>IF(A2749="","",VLOOKUP(A2749,'6.A'!$A$11:$G$180,2,FALSE))</f>
        <v/>
      </c>
      <c r="C2749" s="156"/>
      <c r="D2749" s="57" t="str">
        <f>IF(A2749="","",VLOOKUP(A2749,'6.A'!$A$11:$G$180,4,FALSE))</f>
        <v/>
      </c>
      <c r="E2749" s="100" t="str">
        <f>IF(A2749="","",VLOOKUP(A2749,'6.A'!$A$11:$G$180,5,FALSE))</f>
        <v/>
      </c>
      <c r="F2749" s="24" t="str">
        <f t="shared" si="1176"/>
        <v>0,00</v>
      </c>
      <c r="G2749" s="52"/>
      <c r="H2749" s="52" t="str">
        <f>IF(A2749="","",VLOOKUP(A2749,'6.A'!$A$11:$E$7984,5,FALSE))</f>
        <v/>
      </c>
      <c r="I2749" s="52" t="str">
        <f t="shared" si="1177"/>
        <v/>
      </c>
      <c r="J2749" s="52" t="str">
        <f>IF(H2749="","",VLOOKUP(A2749,'6.A'!$A$11:$E$564,4,FALSE))</f>
        <v/>
      </c>
      <c r="K2749" s="52" t="str">
        <f t="shared" si="1178"/>
        <v/>
      </c>
      <c r="L2749" s="52" t="str">
        <f>IF(H2749="","",IF(C2749="","",G2716*C2749))</f>
        <v/>
      </c>
      <c r="M2749" s="117" t="str">
        <f>IF(A2749="","",VLOOKUP(A2749,'6.A'!$A$11:$C$564,2,FALSE))</f>
        <v/>
      </c>
      <c r="N2749" s="57" t="str">
        <f t="shared" si="1179"/>
        <v/>
      </c>
      <c r="O2749" s="56"/>
      <c r="P2749" s="56"/>
      <c r="Q2749" s="48"/>
      <c r="R2749" s="48"/>
      <c r="T2749" s="2"/>
      <c r="U2749" s="2"/>
      <c r="V2749" s="2"/>
    </row>
    <row r="2750" spans="1:22" s="65" customFormat="1" ht="12.75" customHeight="1" x14ac:dyDescent="0.2">
      <c r="A2750" s="155"/>
      <c r="B2750" s="138" t="str">
        <f>IF(A2750="","",VLOOKUP(A2750,'6.A'!$A$11:$G$180,2,FALSE))</f>
        <v/>
      </c>
      <c r="C2750" s="156"/>
      <c r="D2750" s="57" t="str">
        <f>IF(A2750="","",VLOOKUP(A2750,'6.A'!$A$11:$G$180,4,FALSE))</f>
        <v/>
      </c>
      <c r="E2750" s="100" t="str">
        <f>IF(A2750="","",VLOOKUP(A2750,'6.A'!$A$11:$G$180,5,FALSE))</f>
        <v/>
      </c>
      <c r="F2750" s="24" t="str">
        <f t="shared" si="1176"/>
        <v>0,00</v>
      </c>
      <c r="G2750" s="52"/>
      <c r="H2750" s="52" t="str">
        <f>IF(A2750="","",VLOOKUP(A2750,'6.A'!$A$11:$E$7984,5,FALSE))</f>
        <v/>
      </c>
      <c r="I2750" s="52" t="str">
        <f t="shared" si="1177"/>
        <v/>
      </c>
      <c r="J2750" s="52" t="str">
        <f>IF(H2750="","",VLOOKUP(A2750,'6.A'!$A$11:$E$564,4,FALSE))</f>
        <v/>
      </c>
      <c r="K2750" s="52" t="str">
        <f t="shared" si="1178"/>
        <v/>
      </c>
      <c r="L2750" s="52" t="str">
        <f>IF(H2750="","",IF(C2750="","",G2716*C2750))</f>
        <v/>
      </c>
      <c r="M2750" s="117" t="str">
        <f>IF(A2750="","",VLOOKUP(A2750,'6.A'!$A$11:$C$564,2,FALSE))</f>
        <v/>
      </c>
      <c r="N2750" s="57" t="str">
        <f t="shared" si="1179"/>
        <v/>
      </c>
      <c r="O2750" s="56"/>
      <c r="P2750" s="56"/>
      <c r="Q2750" s="48"/>
      <c r="R2750" s="48"/>
      <c r="T2750" s="2"/>
      <c r="U2750" s="2"/>
      <c r="V2750" s="2"/>
    </row>
    <row r="2751" spans="1:22" ht="12.75" customHeight="1" x14ac:dyDescent="0.2">
      <c r="A2751" s="155"/>
      <c r="B2751" s="138" t="str">
        <f>IF(A2751="","",VLOOKUP(A2751,'6.A'!$A$11:$G$180,2,FALSE))</f>
        <v/>
      </c>
      <c r="C2751" s="156"/>
      <c r="D2751" s="57" t="str">
        <f>IF(A2751="","",VLOOKUP(A2751,'6.A'!$A$11:$G$180,4,FALSE))</f>
        <v/>
      </c>
      <c r="E2751" s="100" t="str">
        <f>IF(A2751="","",VLOOKUP(A2751,'6.A'!$A$11:$G$180,5,FALSE))</f>
        <v/>
      </c>
      <c r="F2751" s="24" t="str">
        <f t="shared" si="1176"/>
        <v>0,00</v>
      </c>
      <c r="G2751" s="52"/>
      <c r="H2751" s="52" t="str">
        <f>IF(A2751="","",VLOOKUP(A2751,'6.A'!$A$11:$E$7984,5,FALSE))</f>
        <v/>
      </c>
      <c r="I2751" s="52" t="str">
        <f t="shared" si="1177"/>
        <v/>
      </c>
      <c r="J2751" s="52" t="str">
        <f>IF(H2751="","",VLOOKUP(A2751,'6.A'!$A$11:$E$564,4,FALSE))</f>
        <v/>
      </c>
      <c r="K2751" s="52" t="str">
        <f t="shared" si="1178"/>
        <v/>
      </c>
      <c r="L2751" s="52" t="str">
        <f>IF(H2751="","",IF(C2751="","",G2716*C2751))</f>
        <v/>
      </c>
      <c r="M2751" s="117" t="str">
        <f>IF(A2751="","",VLOOKUP(A2751,'6.A'!$A$11:$C$564,2,FALSE))</f>
        <v/>
      </c>
      <c r="N2751" s="57" t="str">
        <f t="shared" si="1179"/>
        <v/>
      </c>
      <c r="O2751" s="56"/>
      <c r="P2751" s="56"/>
      <c r="Q2751" s="48"/>
      <c r="R2751" s="48"/>
      <c r="S2751" s="2"/>
    </row>
    <row r="2752" spans="1:22" s="65" customFormat="1" ht="12.75" customHeight="1" x14ac:dyDescent="0.2">
      <c r="A2752" s="155"/>
      <c r="B2752" s="138" t="str">
        <f>IF(A2752="","",VLOOKUP(A2752,'6.A'!$A$11:$G$180,2,FALSE))</f>
        <v/>
      </c>
      <c r="C2752" s="156"/>
      <c r="D2752" s="57" t="str">
        <f>IF(A2752="","",VLOOKUP(A2752,'6.A'!$A$11:$G$180,4,FALSE))</f>
        <v/>
      </c>
      <c r="E2752" s="100" t="str">
        <f>IF(A2752="","",VLOOKUP(A2752,'6.A'!$A$11:$G$180,5,FALSE))</f>
        <v/>
      </c>
      <c r="F2752" s="24" t="str">
        <f t="shared" si="1176"/>
        <v>0,00</v>
      </c>
      <c r="G2752" s="52"/>
      <c r="H2752" s="52" t="str">
        <f>IF(A2752="","",VLOOKUP(A2752,'6.A'!$A$11:$E$7984,5,FALSE))</f>
        <v/>
      </c>
      <c r="I2752" s="52" t="str">
        <f t="shared" si="1177"/>
        <v/>
      </c>
      <c r="J2752" s="52" t="str">
        <f>IF(H2752="","",VLOOKUP(A2752,'6.A'!$A$11:$E$564,4,FALSE))</f>
        <v/>
      </c>
      <c r="K2752" s="52" t="str">
        <f t="shared" si="1178"/>
        <v/>
      </c>
      <c r="L2752" s="52" t="str">
        <f>IF(H2752="","",IF(C2752="","",G2716*C2752))</f>
        <v/>
      </c>
      <c r="M2752" s="117" t="str">
        <f>IF(A2752="","",VLOOKUP(A2752,'6.A'!$A$11:$C$564,2,FALSE))</f>
        <v/>
      </c>
      <c r="N2752" s="57" t="str">
        <f t="shared" si="1179"/>
        <v/>
      </c>
      <c r="O2752" s="56"/>
      <c r="P2752" s="56"/>
      <c r="Q2752" s="48"/>
      <c r="R2752" s="48"/>
      <c r="T2752" s="2"/>
      <c r="U2752" s="2"/>
      <c r="V2752" s="2"/>
    </row>
    <row r="2753" spans="1:22" ht="12.75" customHeight="1" x14ac:dyDescent="0.2">
      <c r="A2753" s="155"/>
      <c r="B2753" s="138" t="str">
        <f>IF(A2753="","",VLOOKUP(A2753,'6.A'!$A$11:$G$180,2,FALSE))</f>
        <v/>
      </c>
      <c r="C2753" s="156"/>
      <c r="D2753" s="57" t="str">
        <f>IF(A2753="","",VLOOKUP(A2753,'6.A'!$A$11:$G$180,4,FALSE))</f>
        <v/>
      </c>
      <c r="E2753" s="100" t="str">
        <f>IF(A2753="","",VLOOKUP(A2753,'6.A'!$A$11:$G$180,5,FALSE))</f>
        <v/>
      </c>
      <c r="F2753" s="24" t="str">
        <f t="shared" si="1176"/>
        <v>0,00</v>
      </c>
      <c r="G2753" s="52"/>
      <c r="H2753" s="52" t="str">
        <f>IF(A2753="","",VLOOKUP(A2753,'6.A'!$A$11:$E$7984,5,FALSE))</f>
        <v/>
      </c>
      <c r="I2753" s="52" t="str">
        <f t="shared" si="1177"/>
        <v/>
      </c>
      <c r="J2753" s="52" t="str">
        <f>IF(H2753="","",VLOOKUP(A2753,'6.A'!$A$11:$E$564,4,FALSE))</f>
        <v/>
      </c>
      <c r="K2753" s="52" t="str">
        <f t="shared" si="1178"/>
        <v/>
      </c>
      <c r="L2753" s="52" t="str">
        <f>IF(H2753="","",IF(C2753="","",G2716*C2753))</f>
        <v/>
      </c>
      <c r="M2753" s="117" t="str">
        <f>IF(A2753="","",VLOOKUP(A2753,'6.A'!$A$11:$C$564,2,FALSE))</f>
        <v/>
      </c>
      <c r="N2753" s="57" t="str">
        <f t="shared" si="1179"/>
        <v/>
      </c>
      <c r="O2753" s="56"/>
      <c r="P2753" s="56"/>
      <c r="Q2753" s="48"/>
      <c r="R2753" s="48"/>
      <c r="S2753" s="2"/>
    </row>
    <row r="2754" spans="1:22" ht="12.75" customHeight="1" x14ac:dyDescent="0.2">
      <c r="A2754" s="155"/>
      <c r="B2754" s="138" t="str">
        <f>IF(A2754="","",VLOOKUP(A2754,'6.A'!$A$11:$G$180,2,FALSE))</f>
        <v/>
      </c>
      <c r="C2754" s="156"/>
      <c r="D2754" s="57" t="str">
        <f>IF(A2754="","",VLOOKUP(A2754,'6.A'!$A$11:$G$180,4,FALSE))</f>
        <v/>
      </c>
      <c r="E2754" s="100" t="str">
        <f>IF(A2754="","",VLOOKUP(A2754,'6.A'!$A$11:$G$180,5,FALSE))</f>
        <v/>
      </c>
      <c r="F2754" s="24" t="str">
        <f t="shared" si="1176"/>
        <v>0,00</v>
      </c>
      <c r="G2754" s="52"/>
      <c r="H2754" s="52" t="str">
        <f>IF(A2754="","",VLOOKUP(A2754,'6.A'!$A$11:$E$7984,5,FALSE))</f>
        <v/>
      </c>
      <c r="I2754" s="52" t="str">
        <f t="shared" si="1177"/>
        <v/>
      </c>
      <c r="J2754" s="52" t="str">
        <f>IF(H2754="","",VLOOKUP(A2754,'6.A'!$A$11:$E$564,4,FALSE))</f>
        <v/>
      </c>
      <c r="K2754" s="52" t="str">
        <f t="shared" si="1178"/>
        <v/>
      </c>
      <c r="L2754" s="52" t="str">
        <f>IF(H2754="","",IF(C2754="","",G2716*C2754))</f>
        <v/>
      </c>
      <c r="M2754" s="117" t="str">
        <f>IF(A2754="","",VLOOKUP(A2754,'6.A'!$A$11:$C$564,2,FALSE))</f>
        <v/>
      </c>
      <c r="N2754" s="57" t="str">
        <f t="shared" si="1179"/>
        <v/>
      </c>
      <c r="O2754" s="56"/>
      <c r="P2754" s="56"/>
      <c r="Q2754" s="48"/>
      <c r="R2754" s="48"/>
      <c r="S2754" s="2"/>
    </row>
    <row r="2755" spans="1:22" ht="12.75" customHeight="1" x14ac:dyDescent="0.2">
      <c r="A2755" s="155"/>
      <c r="B2755" s="138" t="str">
        <f>IF(A2755="","",VLOOKUP(A2755,'6.A'!$A$11:$G$180,2,FALSE))</f>
        <v/>
      </c>
      <c r="C2755" s="156"/>
      <c r="D2755" s="57" t="str">
        <f>IF(A2755="","",VLOOKUP(A2755,'6.A'!$A$11:$G$180,4,FALSE))</f>
        <v/>
      </c>
      <c r="E2755" s="100" t="str">
        <f>IF(A2755="","",VLOOKUP(A2755,'6.A'!$A$11:$G$180,5,FALSE))</f>
        <v/>
      </c>
      <c r="F2755" s="24" t="str">
        <f t="shared" si="1176"/>
        <v>0,00</v>
      </c>
      <c r="G2755" s="52"/>
      <c r="H2755" s="52" t="str">
        <f>IF(A2755="","",VLOOKUP(A2755,'6.A'!$A$11:$E$7984,5,FALSE))</f>
        <v/>
      </c>
      <c r="I2755" s="52" t="str">
        <f t="shared" si="1177"/>
        <v/>
      </c>
      <c r="J2755" s="52" t="str">
        <f>IF(H2755="","",VLOOKUP(A2755,'6.A'!$A$11:$E$564,4,FALSE))</f>
        <v/>
      </c>
      <c r="K2755" s="52" t="str">
        <f t="shared" si="1178"/>
        <v/>
      </c>
      <c r="L2755" s="52" t="str">
        <f>IF(H2755="","",IF(C2755="","",G2716*C2755))</f>
        <v/>
      </c>
      <c r="M2755" s="117" t="str">
        <f>IF(A2755="","",VLOOKUP(A2755,'6.A'!$A$11:$C$564,2,FALSE))</f>
        <v/>
      </c>
      <c r="N2755" s="57" t="str">
        <f t="shared" si="1179"/>
        <v/>
      </c>
      <c r="O2755" s="56"/>
      <c r="P2755" s="56"/>
      <c r="Q2755" s="48"/>
      <c r="R2755" s="48"/>
      <c r="S2755" s="2"/>
    </row>
    <row r="2756" spans="1:22" ht="12.75" customHeight="1" x14ac:dyDescent="0.2">
      <c r="A2756" s="155"/>
      <c r="B2756" s="138" t="str">
        <f>IF(A2756="","",VLOOKUP(A2756,'6.A'!$A$11:$G$180,2,FALSE))</f>
        <v/>
      </c>
      <c r="C2756" s="156"/>
      <c r="D2756" s="57" t="str">
        <f>IF(A2756="","",VLOOKUP(A2756,'6.A'!$A$11:$G$180,4,FALSE))</f>
        <v/>
      </c>
      <c r="E2756" s="100" t="str">
        <f>IF(A2756="","",VLOOKUP(A2756,'6.A'!$A$11:$G$180,5,FALSE))</f>
        <v/>
      </c>
      <c r="F2756" s="24" t="str">
        <f t="shared" si="1176"/>
        <v>0,00</v>
      </c>
      <c r="G2756" s="52"/>
      <c r="H2756" s="52" t="str">
        <f>IF(A2756="","",VLOOKUP(A2756,'6.A'!$A$11:$E$7984,5,FALSE))</f>
        <v/>
      </c>
      <c r="I2756" s="52" t="str">
        <f t="shared" si="1177"/>
        <v/>
      </c>
      <c r="J2756" s="52" t="str">
        <f>IF(H2756="","",VLOOKUP(A2756,'6.A'!$A$11:$E$564,4,FALSE))</f>
        <v/>
      </c>
      <c r="K2756" s="52" t="str">
        <f t="shared" si="1178"/>
        <v/>
      </c>
      <c r="L2756" s="52" t="str">
        <f>IF(H2756="","",IF(C2756="","",G2716*C2756))</f>
        <v/>
      </c>
      <c r="M2756" s="117" t="str">
        <f>IF(A2756="","",VLOOKUP(A2756,'6.A'!$A$11:$C$564,2,FALSE))</f>
        <v/>
      </c>
      <c r="N2756" s="57" t="str">
        <f t="shared" si="1179"/>
        <v/>
      </c>
      <c r="O2756" s="56"/>
      <c r="P2756" s="56"/>
      <c r="Q2756" s="48"/>
      <c r="R2756" s="48"/>
    </row>
    <row r="2757" spans="1:22" ht="12.75" customHeight="1" x14ac:dyDescent="0.2">
      <c r="A2757" s="155"/>
      <c r="B2757" s="138" t="str">
        <f>IF(A2757="","",VLOOKUP(A2757,'6.A'!$A$11:$G$180,2,FALSE))</f>
        <v/>
      </c>
      <c r="C2757" s="156"/>
      <c r="D2757" s="57" t="str">
        <f>IF(A2757="","",VLOOKUP(A2757,'6.A'!$A$11:$G$180,4,FALSE))</f>
        <v/>
      </c>
      <c r="E2757" s="100" t="str">
        <f>IF(A2757="","",VLOOKUP(A2757,'6.A'!$A$11:$G$180,5,FALSE))</f>
        <v/>
      </c>
      <c r="F2757" s="24" t="str">
        <f t="shared" si="1176"/>
        <v>0,00</v>
      </c>
      <c r="G2757" s="52"/>
      <c r="H2757" s="52" t="str">
        <f>IF(A2757="","",VLOOKUP(A2757,'6.A'!$A$11:$E$7984,5,FALSE))</f>
        <v/>
      </c>
      <c r="I2757" s="52" t="str">
        <f t="shared" si="1177"/>
        <v/>
      </c>
      <c r="J2757" s="52" t="str">
        <f>IF(H2757="","",VLOOKUP(A2757,'6.A'!$A$11:$E$564,4,FALSE))</f>
        <v/>
      </c>
      <c r="K2757" s="52" t="str">
        <f t="shared" si="1178"/>
        <v/>
      </c>
      <c r="L2757" s="52" t="str">
        <f>IF(H2757="","",IF(C2757="","",G2716*C2757))</f>
        <v/>
      </c>
      <c r="M2757" s="117" t="str">
        <f>IF(A2757="","",VLOOKUP(A2757,'6.A'!$A$11:$C$564,2,FALSE))</f>
        <v/>
      </c>
      <c r="N2757" s="57" t="str">
        <f t="shared" si="1179"/>
        <v/>
      </c>
      <c r="O2757" s="56"/>
      <c r="P2757" s="56"/>
      <c r="Q2757" s="48"/>
      <c r="R2757" s="48"/>
    </row>
    <row r="2758" spans="1:22" ht="12.75" customHeight="1" x14ac:dyDescent="0.2">
      <c r="A2758" s="155"/>
      <c r="B2758" s="138" t="str">
        <f>IF(A2758="","",VLOOKUP(A2758,'6.A'!$A$11:$G$180,2,FALSE))</f>
        <v/>
      </c>
      <c r="C2758" s="156"/>
      <c r="D2758" s="57" t="str">
        <f>IF(A2758="","",VLOOKUP(A2758,'6.A'!$A$11:$G$180,4,FALSE))</f>
        <v/>
      </c>
      <c r="E2758" s="100" t="str">
        <f>IF(A2758="","",VLOOKUP(A2758,'6.A'!$A$11:$G$180,5,FALSE))</f>
        <v/>
      </c>
      <c r="F2758" s="24" t="str">
        <f t="shared" si="1176"/>
        <v>0,00</v>
      </c>
      <c r="G2758" s="52"/>
      <c r="H2758" s="52" t="str">
        <f>IF(A2758="","",VLOOKUP(A2758,'6.A'!$A$11:$E$7984,5,FALSE))</f>
        <v/>
      </c>
      <c r="I2758" s="52" t="str">
        <f t="shared" si="1177"/>
        <v/>
      </c>
      <c r="J2758" s="52" t="str">
        <f>IF(H2758="","",VLOOKUP(A2758,'6.A'!$A$11:$E$564,4,FALSE))</f>
        <v/>
      </c>
      <c r="K2758" s="52" t="str">
        <f t="shared" si="1178"/>
        <v/>
      </c>
      <c r="L2758" s="52" t="str">
        <f>IF(H2758="","",IF(C2758="","",G2716*C2758))</f>
        <v/>
      </c>
      <c r="M2758" s="117" t="str">
        <f>IF(A2758="","",VLOOKUP(A2758,'6.A'!$A$11:$C$564,2,FALSE))</f>
        <v/>
      </c>
      <c r="N2758" s="57" t="str">
        <f t="shared" si="1179"/>
        <v/>
      </c>
      <c r="O2758" s="56"/>
      <c r="P2758" s="56"/>
      <c r="Q2758" s="48"/>
      <c r="R2758" s="48"/>
    </row>
    <row r="2759" spans="1:22" ht="12.75" customHeight="1" x14ac:dyDescent="0.2">
      <c r="A2759" s="155"/>
      <c r="B2759" s="138" t="str">
        <f>IF(A2759="","",VLOOKUP(A2759,'6.A'!$A$11:$G$180,2,FALSE))</f>
        <v/>
      </c>
      <c r="C2759" s="156"/>
      <c r="D2759" s="57" t="str">
        <f>IF(A2759="","",VLOOKUP(A2759,'6.A'!$A$11:$G$180,4,FALSE))</f>
        <v/>
      </c>
      <c r="E2759" s="100" t="str">
        <f>IF(A2759="","",VLOOKUP(A2759,'6.A'!$A$11:$G$180,5,FALSE))</f>
        <v/>
      </c>
      <c r="F2759" s="24" t="str">
        <f t="shared" si="1176"/>
        <v>0,00</v>
      </c>
      <c r="G2759" s="52"/>
      <c r="H2759" s="52" t="str">
        <f>IF(A2759="","",VLOOKUP(A2759,'6.A'!$A$11:$E$7984,5,FALSE))</f>
        <v/>
      </c>
      <c r="I2759" s="52" t="str">
        <f t="shared" si="1177"/>
        <v/>
      </c>
      <c r="J2759" s="52" t="str">
        <f>IF(H2759="","",VLOOKUP(A2759,'6.A'!$A$11:$E$564,4,FALSE))</f>
        <v/>
      </c>
      <c r="K2759" s="52" t="str">
        <f t="shared" si="1178"/>
        <v/>
      </c>
      <c r="L2759" s="52" t="str">
        <f>IF(H2759="","",IF(C2759="","",G2716*C2759))</f>
        <v/>
      </c>
      <c r="M2759" s="117" t="str">
        <f>IF(A2759="","",VLOOKUP(A2759,'6.A'!$A$11:$C$564,2,FALSE))</f>
        <v/>
      </c>
      <c r="N2759" s="57" t="str">
        <f t="shared" si="1179"/>
        <v/>
      </c>
      <c r="O2759" s="56"/>
      <c r="P2759" s="56"/>
      <c r="Q2759" s="48"/>
      <c r="R2759" s="48"/>
    </row>
    <row r="2760" spans="1:22" ht="12.75" customHeight="1" x14ac:dyDescent="0.2">
      <c r="A2760" s="155"/>
      <c r="B2760" s="138" t="str">
        <f>IF(A2760="","",VLOOKUP(A2760,'6.A'!$A$11:$G$180,2,FALSE))</f>
        <v/>
      </c>
      <c r="C2760" s="156"/>
      <c r="D2760" s="57" t="str">
        <f>IF(A2760="","",VLOOKUP(A2760,'6.A'!$A$11:$G$180,4,FALSE))</f>
        <v/>
      </c>
      <c r="E2760" s="100" t="str">
        <f>IF(A2760="","",VLOOKUP(A2760,'6.A'!$A$11:$G$180,5,FALSE))</f>
        <v/>
      </c>
      <c r="F2760" s="24" t="str">
        <f>IF(A2760="","0,00",ROUND(C2760*E2760,2))</f>
        <v>0,00</v>
      </c>
      <c r="G2760" s="52"/>
      <c r="H2760" s="52" t="str">
        <f>IF(A2760="","",VLOOKUP(A2760,'6.A'!$A$11:$E$7984,5,FALSE))</f>
        <v/>
      </c>
      <c r="I2760" s="52" t="str">
        <f>IF(H2760="","",IF(E2760=H2760,"SIM","NÃO"))</f>
        <v/>
      </c>
      <c r="J2760" s="52" t="str">
        <f>IF(H2760="","",VLOOKUP(A2760,'6.A'!$A$11:$E$564,4,FALSE))</f>
        <v/>
      </c>
      <c r="K2760" s="52" t="str">
        <f>IF(H2760="","",IF(J2760=D2760,"SIM","NÃO"))</f>
        <v/>
      </c>
      <c r="L2760" s="52" t="str">
        <f>IF(H2760="","",IF(C2760="","",G2716*C2760))</f>
        <v/>
      </c>
      <c r="M2760" s="117" t="str">
        <f>IF(A2760="","",VLOOKUP(A2760,'6.A'!$A$11:$C$564,2,FALSE))</f>
        <v/>
      </c>
      <c r="N2760" s="57" t="str">
        <f>IF(A2760="","",IF(M2760=B2760,"si","no"))</f>
        <v/>
      </c>
      <c r="O2760" s="56"/>
      <c r="P2760" s="56"/>
      <c r="Q2760" s="48"/>
      <c r="R2760" s="48"/>
    </row>
    <row r="2761" spans="1:22" ht="12.75" customHeight="1" x14ac:dyDescent="0.2">
      <c r="A2761" s="155"/>
      <c r="B2761" s="171" t="str">
        <f>IF(A2761="","",VLOOKUP(A2761,'6.A'!$A$11:$G$180,2,FALSE))</f>
        <v/>
      </c>
      <c r="C2761" s="156"/>
      <c r="D2761" s="57" t="str">
        <f>IF(A2761="","",VLOOKUP(A2761,'6.A'!$A$11:$G$180,4,FALSE))</f>
        <v/>
      </c>
      <c r="E2761" s="100" t="str">
        <f>IF(A2761="","",VLOOKUP(A2761,'6.A'!$A$11:$G$180,5,FALSE))</f>
        <v/>
      </c>
      <c r="F2761" s="24" t="str">
        <f t="shared" ref="F2761:F2764" si="1180">IF(A2761="","0,00",ROUND(C2761*E2761,2))</f>
        <v>0,00</v>
      </c>
      <c r="G2761" s="52"/>
      <c r="H2761" s="52" t="str">
        <f>IF(A2761="","",VLOOKUP(A2761,'6.A'!$A$11:$E$7984,5,FALSE))</f>
        <v/>
      </c>
      <c r="I2761" s="52" t="str">
        <f t="shared" ref="I2761:I2764" si="1181">IF(H2761="","",IF(E2761=H2761,"SIM","NÃO"))</f>
        <v/>
      </c>
      <c r="J2761" s="52" t="str">
        <f>IF(H2761="","",VLOOKUP(A2761,'6.A'!$A$11:$E$564,4,FALSE))</f>
        <v/>
      </c>
      <c r="K2761" s="52" t="str">
        <f t="shared" ref="K2761:K2764" si="1182">IF(H2761="","",IF(J2761=D2761,"SIM","NÃO"))</f>
        <v/>
      </c>
      <c r="L2761" s="52" t="str">
        <f>IF(H2761="","",IF(C2761="","",G2716*C2761))</f>
        <v/>
      </c>
      <c r="M2761" s="117" t="str">
        <f>IF(A2761="","",VLOOKUP(A2761,'6.A'!$A$11:$C$564,2,FALSE))</f>
        <v/>
      </c>
      <c r="N2761" s="57" t="str">
        <f t="shared" ref="N2761:N2764" si="1183">IF(A2761="","",IF(M2761=B2761,"si","no"))</f>
        <v/>
      </c>
      <c r="O2761" s="56"/>
      <c r="P2761" s="56"/>
      <c r="Q2761" s="48"/>
      <c r="R2761" s="48"/>
    </row>
    <row r="2762" spans="1:22" ht="12.75" customHeight="1" x14ac:dyDescent="0.2">
      <c r="A2762" s="22"/>
      <c r="B2762" s="39" t="str">
        <f>IF(A2762="","",VLOOKUP(A2762,'6.A'!$A$11:$G$180,2,FALSE))</f>
        <v/>
      </c>
      <c r="C2762" s="99"/>
      <c r="D2762" s="57" t="str">
        <f>IF(A2762="","",VLOOKUP(A2762,'6.A'!$A$11:$G$180,4,FALSE))</f>
        <v/>
      </c>
      <c r="E2762" s="100" t="str">
        <f>IF(A2762="","",VLOOKUP(A2762,'6.A'!$A$11:$G$180,5,FALSE))</f>
        <v/>
      </c>
      <c r="F2762" s="24" t="str">
        <f t="shared" si="1180"/>
        <v>0,00</v>
      </c>
      <c r="G2762" s="52"/>
      <c r="H2762" s="52" t="str">
        <f>IF(A2762="","",VLOOKUP(A2762,'6.A'!$A$11:$E$7984,5,FALSE))</f>
        <v/>
      </c>
      <c r="I2762" s="52" t="str">
        <f t="shared" si="1181"/>
        <v/>
      </c>
      <c r="J2762" s="52" t="str">
        <f>IF(H2762="","",VLOOKUP(A2762,'6.A'!$A$11:$E$564,4,FALSE))</f>
        <v/>
      </c>
      <c r="K2762" s="52" t="str">
        <f t="shared" si="1182"/>
        <v/>
      </c>
      <c r="L2762" s="52" t="str">
        <f>IF(H2762="","",IF(C2762="","",G2716*C2762))</f>
        <v/>
      </c>
      <c r="M2762" s="117" t="str">
        <f>IF(A2762="","",VLOOKUP(A2762,'6.A'!$A$11:$C$564,2,FALSE))</f>
        <v/>
      </c>
      <c r="N2762" s="57" t="str">
        <f t="shared" si="1183"/>
        <v/>
      </c>
      <c r="O2762" s="56"/>
      <c r="P2762" s="56"/>
      <c r="Q2762" s="48"/>
      <c r="R2762" s="48"/>
    </row>
    <row r="2763" spans="1:22" ht="12.75" customHeight="1" x14ac:dyDescent="0.2">
      <c r="A2763" s="22"/>
      <c r="B2763" s="39" t="str">
        <f>IF(A2763="","",VLOOKUP(A2763,'6.A'!$A$11:$G$180,2,FALSE))</f>
        <v/>
      </c>
      <c r="C2763" s="99"/>
      <c r="D2763" s="57" t="str">
        <f>IF(A2763="","",VLOOKUP(A2763,'6.A'!$A$11:$G$180,4,FALSE))</f>
        <v/>
      </c>
      <c r="E2763" s="100" t="str">
        <f>IF(A2763="","",VLOOKUP(A2763,'6.A'!$A$11:$G$180,5,FALSE))</f>
        <v/>
      </c>
      <c r="F2763" s="24" t="str">
        <f t="shared" si="1180"/>
        <v>0,00</v>
      </c>
      <c r="G2763" s="52"/>
      <c r="H2763" s="52" t="str">
        <f>IF(A2763="","",VLOOKUP(A2763,'6.A'!$A$11:$E$7984,5,FALSE))</f>
        <v/>
      </c>
      <c r="I2763" s="52" t="str">
        <f t="shared" si="1181"/>
        <v/>
      </c>
      <c r="J2763" s="52" t="str">
        <f>IF(H2763="","",VLOOKUP(A2763,'6.A'!$A$11:$E$564,4,FALSE))</f>
        <v/>
      </c>
      <c r="K2763" s="52" t="str">
        <f t="shared" si="1182"/>
        <v/>
      </c>
      <c r="L2763" s="52" t="str">
        <f>IF(H2763="","",IF(C2763="","",G2716*C2763))</f>
        <v/>
      </c>
      <c r="M2763" s="117" t="str">
        <f>IF(A2763="","",VLOOKUP(A2763,'6.A'!$A$11:$C$564,2,FALSE))</f>
        <v/>
      </c>
      <c r="N2763" s="57" t="str">
        <f t="shared" si="1183"/>
        <v/>
      </c>
      <c r="O2763" s="56"/>
      <c r="P2763" s="56"/>
      <c r="Q2763" s="48"/>
      <c r="R2763" s="48"/>
    </row>
    <row r="2764" spans="1:22" ht="12.75" customHeight="1" x14ac:dyDescent="0.2">
      <c r="A2764" s="22"/>
      <c r="B2764" s="39" t="str">
        <f>IF(A2764="","",VLOOKUP(A2764,'6.A'!$A$11:$G$180,2,FALSE))</f>
        <v/>
      </c>
      <c r="C2764" s="99"/>
      <c r="D2764" s="57" t="str">
        <f>IF(A2764="","",VLOOKUP(A2764,'6.A'!$A$11:$G$180,4,FALSE))</f>
        <v/>
      </c>
      <c r="E2764" s="100" t="str">
        <f>IF(A2764="","",VLOOKUP(A2764,'6.A'!$A$11:$G$180,5,FALSE))</f>
        <v/>
      </c>
      <c r="F2764" s="24" t="str">
        <f t="shared" si="1180"/>
        <v>0,00</v>
      </c>
      <c r="G2764" s="52"/>
      <c r="H2764" s="52" t="str">
        <f>IF(A2764="","",VLOOKUP(A2764,'6.A'!$A$11:$E$7984,5,FALSE))</f>
        <v/>
      </c>
      <c r="I2764" s="52" t="str">
        <f t="shared" si="1181"/>
        <v/>
      </c>
      <c r="J2764" s="52" t="str">
        <f>IF(H2764="","",VLOOKUP(A2764,'6.A'!$A$11:$E$564,4,FALSE))</f>
        <v/>
      </c>
      <c r="K2764" s="52" t="str">
        <f t="shared" si="1182"/>
        <v/>
      </c>
      <c r="L2764" s="52" t="str">
        <f>IF(H2764="","",IF(C2764="","",G2716*C2764))</f>
        <v/>
      </c>
      <c r="M2764" s="117" t="str">
        <f>IF(A2764="","",VLOOKUP(A2764,'6.A'!$A$11:$C$564,2,FALSE))</f>
        <v/>
      </c>
      <c r="N2764" s="57" t="str">
        <f t="shared" si="1183"/>
        <v/>
      </c>
      <c r="O2764" s="56"/>
      <c r="P2764" s="56"/>
      <c r="Q2764" s="48"/>
      <c r="R2764" s="48"/>
    </row>
    <row r="2765" spans="1:22" ht="12.75" customHeight="1" x14ac:dyDescent="0.2">
      <c r="A2765" s="22"/>
      <c r="B2765" s="26" t="str">
        <f>$A$9</f>
        <v>BDI</v>
      </c>
      <c r="C2765" s="40">
        <f>$C$9</f>
        <v>0</v>
      </c>
      <c r="D2765" s="57"/>
      <c r="F2765" s="28">
        <f>ROUND(SUM(F2745:F2764)*C2765,2)</f>
        <v>0</v>
      </c>
      <c r="G2765" s="63"/>
      <c r="M2765" s="57"/>
      <c r="N2765" s="57"/>
      <c r="O2765" s="56"/>
      <c r="P2765" s="56"/>
      <c r="Q2765" s="48"/>
      <c r="R2765" s="48"/>
    </row>
    <row r="2766" spans="1:22" ht="12.75" customHeight="1" thickBot="1" x14ac:dyDescent="0.25">
      <c r="A2766" s="41"/>
      <c r="B2766" s="42" t="s">
        <v>57</v>
      </c>
      <c r="C2766" s="43"/>
      <c r="D2766" s="44"/>
      <c r="E2766" s="45"/>
      <c r="F2766" s="46">
        <f>ROUND(SUM(F2745:F2765),2)</f>
        <v>0</v>
      </c>
      <c r="G2766" s="63"/>
      <c r="M2766" s="57"/>
      <c r="N2766" s="57"/>
      <c r="O2766" s="56"/>
      <c r="P2766" s="56"/>
      <c r="Q2766" s="48"/>
      <c r="R2766" s="48"/>
    </row>
    <row r="2767" spans="1:22" s="137" customFormat="1" ht="12" customHeight="1" thickBot="1" x14ac:dyDescent="0.25">
      <c r="A2767" s="150"/>
      <c r="B2767" s="145"/>
      <c r="C2767" s="146"/>
      <c r="D2767" s="141"/>
      <c r="E2767" s="147"/>
      <c r="F2767" s="142"/>
      <c r="G2767" s="142"/>
      <c r="H2767" s="139"/>
      <c r="I2767" s="141"/>
      <c r="J2767" s="141"/>
      <c r="K2767" s="141"/>
      <c r="L2767" s="139"/>
      <c r="M2767" s="143"/>
      <c r="N2767" s="143"/>
      <c r="O2767" s="144"/>
      <c r="P2767" s="144"/>
      <c r="Q2767" s="135"/>
      <c r="R2767" s="135"/>
      <c r="S2767" s="149"/>
    </row>
    <row r="2768" spans="1:22" s="137" customFormat="1" ht="50.1" customHeight="1" x14ac:dyDescent="0.2">
      <c r="A2768" s="151" t="str">
        <f>'3.A'!$A$152</f>
        <v>3.3.10</v>
      </c>
      <c r="B2768" s="14" t="str">
        <f>IF(A2768="","",VLOOKUP(A2768,'3.A'!$A$17:$M$279,2,FALSE))</f>
        <v>DISJUNTOR TRIPOLAR TERMOMAGNÉTICO 3X300A</v>
      </c>
      <c r="C2768" s="413" t="s">
        <v>62</v>
      </c>
      <c r="D2768" s="413"/>
      <c r="E2768" s="15" t="str">
        <f>IF(A2768="","",VLOOKUP(A2768,'3.A'!$A$17:$M$279,3,FALSE))</f>
        <v>UN</v>
      </c>
      <c r="F2768" s="16">
        <f>ROUND(F2782+F2795+F2818,2)</f>
        <v>0</v>
      </c>
      <c r="G2768" s="118">
        <f>VLOOKUP(A2768,'3.A'!$A$19:$I$279,4,FALSE)</f>
        <v>1</v>
      </c>
      <c r="H2768" s="47">
        <f>SUM(F2770:F2781)</f>
        <v>0</v>
      </c>
      <c r="I2768" s="47">
        <f>SUM(F2784:F2794)</f>
        <v>0</v>
      </c>
      <c r="J2768" s="47">
        <f>SUM(F2797:F2817)</f>
        <v>0</v>
      </c>
      <c r="K2768" s="47">
        <f>SUM(H2768:J2768)</f>
        <v>0</v>
      </c>
      <c r="L2768" s="47" t="str">
        <f>IF(K2768=F2768,"SIM","NÃO")</f>
        <v>SIM</v>
      </c>
      <c r="M2768" s="58">
        <f>ROUND(SUM(F2770:F2779)*C2780,2)+ROUND(SUM(F2770:F2780)*C2781,2)+ROUND(SUM(F2770:F2779),2)+ROUND(SUM(F2784:F2793)*C2794,2)+ROUND(SUM(F2784:F2793),2)+ROUND(SUM(F2797:F2816)*C2817,2)+ROUND(SUM(F2797:F2816),2)</f>
        <v>0</v>
      </c>
      <c r="N2768" s="50" t="str">
        <f>IF(M2768=F2768,"SIM","NÃO")</f>
        <v>SIM</v>
      </c>
      <c r="O2768" s="51" t="str">
        <f>VLOOKUP(A2768,'3.A'!$A$8:$E$279,3,FALSE)</f>
        <v>UN</v>
      </c>
      <c r="P2768" s="51" t="str">
        <f>IF(O2768=E2768,"SIM","NÃO")</f>
        <v>SIM</v>
      </c>
      <c r="Q2768" s="53">
        <f>ROUND(G2768*F2782,2)+ROUND(G2768*F2795,2)+ROUND(G2768*F2818,2)</f>
        <v>0</v>
      </c>
      <c r="R2768" s="59">
        <f>VLOOKUP(A2768,'3.A'!$A$17:$L$279,12,FALSE)</f>
        <v>0</v>
      </c>
      <c r="S2768" s="60" t="str">
        <f>IF(Q2768=R2768,"si","no")</f>
        <v>si</v>
      </c>
      <c r="T2768" s="61">
        <f>SUM(L2770:L2779)+SUM(L2784:L2793)+SUM(L2797:L2816)</f>
        <v>3.4</v>
      </c>
      <c r="U2768" s="52">
        <f>G2768*C2776+G2768*C2778+G2768*C2771+G2768*C2772+G2768*C2774+G2768*C2777+G2768*C2775+G2768*C2770+G2768*C2773+G2768*C2779+G2768*C2790+G2768*C2784+G2768*C2792+G2768*C2791+G2768*C2789+G2768*C2786+G2768*C2785+G2768*C2787+G2768*C2793+G2768*C2788+G2768*C2797+G2768*C2798+G2768*C2799+G2768*C2807+G2768*C2808+G2768*C2809+G2768*C2810+G2768*C2811+G2768*C2812+G2768*C2813+G2768*C2814+G2768*C2815+G2768*C2816+G2768*C2805+G2768*C2806+G2768*C2800+G2768*C2801+G2768*C2802+G2768*C2803+G2768*C2804</f>
        <v>3.4</v>
      </c>
      <c r="V2768" s="54" t="str">
        <f>IF(T2768=U2768,"si","no")</f>
        <v>si</v>
      </c>
    </row>
    <row r="2769" spans="1:22" s="137" customFormat="1" ht="12.75" customHeight="1" x14ac:dyDescent="0.2">
      <c r="A2769" s="152" t="s">
        <v>3</v>
      </c>
      <c r="B2769" s="153" t="s">
        <v>58</v>
      </c>
      <c r="C2769" s="140" t="s">
        <v>59</v>
      </c>
      <c r="D2769" s="140" t="s">
        <v>16</v>
      </c>
      <c r="E2769" s="154" t="s">
        <v>60</v>
      </c>
      <c r="F2769" s="148" t="s">
        <v>61</v>
      </c>
      <c r="G2769" s="21"/>
      <c r="H2769" s="52"/>
      <c r="I2769" s="57"/>
      <c r="J2769" s="57"/>
      <c r="K2769" s="57"/>
      <c r="L2769" s="52"/>
      <c r="M2769" s="57"/>
      <c r="N2769" s="57"/>
      <c r="O2769" s="56"/>
      <c r="P2769" s="56"/>
      <c r="Q2769" s="48"/>
      <c r="R2769" s="48"/>
      <c r="S2769" s="65"/>
      <c r="T2769" s="2"/>
      <c r="U2769" s="2"/>
      <c r="V2769" s="2"/>
    </row>
    <row r="2770" spans="1:22" s="137" customFormat="1" ht="12.75" customHeight="1" x14ac:dyDescent="0.2">
      <c r="A2770" s="155">
        <f>'6.A'!$A$19</f>
        <v>88266</v>
      </c>
      <c r="B2770" s="138" t="str">
        <f>IF(A2770="","",VLOOKUP(A2770,'6.A'!$A$11:$G$180,2,FALSE))</f>
        <v>ELETROTÉCNICO COM ENCARGOS COMPLEMENTARES</v>
      </c>
      <c r="C2770" s="156">
        <v>0.6</v>
      </c>
      <c r="D2770" s="157" t="str">
        <f>IF(A2770="","",VLOOKUP(A2770,'6.A'!$A$11:$G$180,4,FALSE))</f>
        <v>H</v>
      </c>
      <c r="E2770" s="158">
        <f>IF(A2770="","",VLOOKUP(A2770,'6.A'!$A$11:$G$180,5,FALSE))</f>
        <v>0</v>
      </c>
      <c r="F2770" s="159">
        <f t="shared" ref="F2770:F2779" si="1184">IF(A2770="","0,00",ROUND(C2770*E2770,2))</f>
        <v>0</v>
      </c>
      <c r="G2770" s="52"/>
      <c r="H2770" s="52">
        <f>IF(A2770="","",VLOOKUP(A2770,'6.A'!$A$11:$E$7984,5,FALSE))</f>
        <v>0</v>
      </c>
      <c r="I2770" s="52" t="str">
        <f>IF(H2770="","",IF(E2770=H2770,"SIM","NÃO"))</f>
        <v>SIM</v>
      </c>
      <c r="J2770" s="52" t="str">
        <f>IF(H2770="","",VLOOKUP(A2770,'6.A'!$A$11:$E$564,4,FALSE))</f>
        <v>H</v>
      </c>
      <c r="K2770" s="52" t="str">
        <f>IF(H2770="","",IF(J2770=D2770,"SIM","NÃO"))</f>
        <v>SIM</v>
      </c>
      <c r="L2770" s="52">
        <f>IF(H2770="","",IF(C2770="","",G2768*C2770))</f>
        <v>0.6</v>
      </c>
      <c r="M2770" s="117" t="str">
        <f>IF(A2770="","",VLOOKUP(A2770,'6.A'!$A$11:$C$564,2,FALSE))</f>
        <v>ELETROTÉCNICO COM ENCARGOS COMPLEMENTARES</v>
      </c>
      <c r="N2770" s="57" t="str">
        <f>IF(A2770="","",IF(M2770=B2770,"si","no"))</f>
        <v>si</v>
      </c>
      <c r="O2770" s="56"/>
      <c r="P2770" s="56"/>
      <c r="Q2770" s="48"/>
      <c r="R2770" s="48"/>
      <c r="S2770" s="65"/>
      <c r="T2770" s="2"/>
      <c r="U2770" s="2"/>
      <c r="V2770" s="2"/>
    </row>
    <row r="2771" spans="1:22" s="137" customFormat="1" ht="12.75" customHeight="1" x14ac:dyDescent="0.2">
      <c r="A2771" s="155">
        <f>'6.A'!$A$18</f>
        <v>88264</v>
      </c>
      <c r="B2771" s="138" t="str">
        <f>IF(A2771="","",VLOOKUP(A2771,'6.A'!$A$11:$G$180,2,FALSE))</f>
        <v>ELETRICISTA COM ENCARGOS COMPLEMENTARES</v>
      </c>
      <c r="C2771" s="156">
        <v>0.9</v>
      </c>
      <c r="D2771" s="157" t="str">
        <f>IF(A2771="","",VLOOKUP(A2771,'6.A'!$A$11:$G$180,4,FALSE))</f>
        <v>H</v>
      </c>
      <c r="E2771" s="158">
        <f>IF(A2771="","",VLOOKUP(A2771,'6.A'!$A$11:$G$180,5,FALSE))</f>
        <v>0</v>
      </c>
      <c r="F2771" s="159">
        <f t="shared" si="1184"/>
        <v>0</v>
      </c>
      <c r="G2771" s="52"/>
      <c r="H2771" s="52">
        <f>IF(A2771="","",VLOOKUP(A2771,'6.A'!$A$11:$E$7984,5,FALSE))</f>
        <v>0</v>
      </c>
      <c r="I2771" s="52" t="str">
        <f>IF(H2771="","",IF(E2771=H2771,"SIM","NÃO"))</f>
        <v>SIM</v>
      </c>
      <c r="J2771" s="52" t="str">
        <f>IF(H2771="","",VLOOKUP(A2771,'6.A'!$A$11:$E$564,4,FALSE))</f>
        <v>H</v>
      </c>
      <c r="K2771" s="52" t="str">
        <f>IF(H2771="","",IF(J2771=D2771,"SIM","NÃO"))</f>
        <v>SIM</v>
      </c>
      <c r="L2771" s="52">
        <f>IF(H2771="","",IF(C2771="","",G2768*C2771))</f>
        <v>0.9</v>
      </c>
      <c r="M2771" s="117" t="str">
        <f>IF(A2771="","",VLOOKUP(A2771,'6.A'!$A$11:$C$564,2,FALSE))</f>
        <v>ELETRICISTA COM ENCARGOS COMPLEMENTARES</v>
      </c>
      <c r="N2771" s="57" t="str">
        <f>IF(A2771="","",IF(M2771=B2771,"si","no"))</f>
        <v>si</v>
      </c>
      <c r="O2771" s="56"/>
      <c r="P2771" s="56"/>
      <c r="Q2771" s="48"/>
      <c r="R2771" s="48"/>
      <c r="S2771" s="65"/>
      <c r="T2771" s="2"/>
      <c r="U2771" s="2"/>
      <c r="V2771" s="2"/>
    </row>
    <row r="2772" spans="1:22" s="149" customFormat="1" ht="12.75" customHeight="1" x14ac:dyDescent="0.2">
      <c r="A2772" s="155">
        <f>'6.A'!$A$22</f>
        <v>88316</v>
      </c>
      <c r="B2772" s="138" t="str">
        <f>IF(A2772="","",VLOOKUP(A2772,'6.A'!$A$11:$G$180,2,FALSE))</f>
        <v>SERVENTE COM ENCARGOS COMPLEMENTARES</v>
      </c>
      <c r="C2772" s="156">
        <v>0.9</v>
      </c>
      <c r="D2772" s="157" t="str">
        <f>IF(A2772="","",VLOOKUP(A2772,'6.A'!$A$11:$G$180,4,FALSE))</f>
        <v>H</v>
      </c>
      <c r="E2772" s="158">
        <f>IF(A2772="","",VLOOKUP(A2772,'6.A'!$A$11:$G$180,5,FALSE))</f>
        <v>0</v>
      </c>
      <c r="F2772" s="159">
        <f t="shared" si="1184"/>
        <v>0</v>
      </c>
      <c r="G2772" s="52"/>
      <c r="H2772" s="52">
        <f>IF(A2772="","",VLOOKUP(A2772,'6.A'!$A$11:$E$7984,5,FALSE))</f>
        <v>0</v>
      </c>
      <c r="I2772" s="52" t="str">
        <f>IF(H2772="","",IF(E2772=H2772,"SIM","NÃO"))</f>
        <v>SIM</v>
      </c>
      <c r="J2772" s="52" t="str">
        <f>IF(H2772="","",VLOOKUP(A2772,'6.A'!$A$11:$E$564,4,FALSE))</f>
        <v>H</v>
      </c>
      <c r="K2772" s="52" t="str">
        <f t="shared" ref="K2772" si="1185">IF(H2772="","",IF(J2772=D2772,"SIM","NÃO"))</f>
        <v>SIM</v>
      </c>
      <c r="L2772" s="52">
        <f>IF(H2772="","",IF(C2772="","",G2768*C2772))</f>
        <v>0.9</v>
      </c>
      <c r="M2772" s="117" t="str">
        <f>IF(A2772="","",VLOOKUP(A2772,'6.A'!$A$11:$C$564,2,FALSE))</f>
        <v>SERVENTE COM ENCARGOS COMPLEMENTARES</v>
      </c>
      <c r="N2772" s="57" t="str">
        <f t="shared" ref="N2772" si="1186">IF(A2772="","",IF(M2772=B2772,"si","no"))</f>
        <v>si</v>
      </c>
      <c r="O2772" s="56"/>
      <c r="P2772" s="56"/>
      <c r="Q2772" s="48"/>
      <c r="R2772" s="48"/>
      <c r="S2772" s="65"/>
      <c r="T2772" s="2"/>
      <c r="U2772" s="2"/>
      <c r="V2772" s="2"/>
    </row>
    <row r="2773" spans="1:22" s="149" customFormat="1" ht="12.75" customHeight="1" x14ac:dyDescent="0.2">
      <c r="A2773" s="155"/>
      <c r="B2773" s="138" t="str">
        <f>IF(A2773="","",VLOOKUP(A2773,'6.A'!$A$11:$G$180,2,FALSE))</f>
        <v/>
      </c>
      <c r="C2773" s="156"/>
      <c r="D2773" s="157" t="str">
        <f>IF(A2773="","",VLOOKUP(A2773,'6.A'!$A$11:$G$180,4,FALSE))</f>
        <v/>
      </c>
      <c r="E2773" s="158" t="str">
        <f>IF(A2773="","",VLOOKUP(A2773,'6.A'!$A$11:$G$180,5,FALSE))</f>
        <v/>
      </c>
      <c r="F2773" s="159" t="str">
        <f t="shared" si="1184"/>
        <v>0,00</v>
      </c>
      <c r="G2773" s="52"/>
      <c r="H2773" s="52" t="str">
        <f>IF(A2773="","",VLOOKUP(A2773,'6.A'!$A$11:$E$7984,5,FALSE))</f>
        <v/>
      </c>
      <c r="I2773" s="52" t="str">
        <f>IF(H2773="","",IF(E2773=H2773,"SIM","NÃO"))</f>
        <v/>
      </c>
      <c r="J2773" s="52" t="str">
        <f>IF(H2773="","",VLOOKUP(A2773,'6.A'!$A$11:$E$564,4,FALSE))</f>
        <v/>
      </c>
      <c r="K2773" s="52" t="str">
        <f>IF(H2773="","",IF(J2773=D2773,"SIM","NÃO"))</f>
        <v/>
      </c>
      <c r="L2773" s="52" t="str">
        <f>IF(H2773="","",IF(C2773="","",G2768*C2773))</f>
        <v/>
      </c>
      <c r="M2773" s="117" t="str">
        <f>IF(A2773="","",VLOOKUP(A2773,'6.A'!$A$11:$C$564,2,FALSE))</f>
        <v/>
      </c>
      <c r="N2773" s="57" t="str">
        <f>IF(A2773="","",IF(M2773=B2773,"si","no"))</f>
        <v/>
      </c>
      <c r="O2773" s="56"/>
      <c r="P2773" s="56"/>
      <c r="Q2773" s="48"/>
      <c r="R2773" s="48"/>
      <c r="S2773" s="65"/>
      <c r="T2773" s="2"/>
      <c r="U2773" s="2"/>
      <c r="V2773" s="2"/>
    </row>
    <row r="2774" spans="1:22" s="149" customFormat="1" ht="12.75" customHeight="1" x14ac:dyDescent="0.2">
      <c r="A2774" s="155"/>
      <c r="B2774" s="138" t="str">
        <f>IF(A2774="","",VLOOKUP(A2774,'6.A'!$A$11:$G$180,2,FALSE))</f>
        <v/>
      </c>
      <c r="C2774" s="156"/>
      <c r="D2774" s="157"/>
      <c r="E2774" s="158"/>
      <c r="F2774" s="159" t="str">
        <f t="shared" si="1184"/>
        <v>0,00</v>
      </c>
      <c r="G2774" s="52"/>
      <c r="H2774" s="52" t="str">
        <f>IF(A2774="","",VLOOKUP(A2774,'6.A'!$A$11:$E$7984,5,FALSE))</f>
        <v/>
      </c>
      <c r="I2774" s="52" t="str">
        <f t="shared" ref="I2774" si="1187">IF(H2774="","",IF(E2774=H2774,"SIM","NÃO"))</f>
        <v/>
      </c>
      <c r="J2774" s="52" t="str">
        <f>IF(H2774="","",VLOOKUP(A2774,'6.A'!$A$11:$E$564,4,FALSE))</f>
        <v/>
      </c>
      <c r="K2774" s="52" t="str">
        <f t="shared" ref="K2774" si="1188">IF(H2774="","",IF(J2774=D2774,"SIM","NÃO"))</f>
        <v/>
      </c>
      <c r="L2774" s="52" t="str">
        <f>IF(H2774="","",IF(C2774="","",G2768*C2774))</f>
        <v/>
      </c>
      <c r="M2774" s="117" t="str">
        <f>IF(A2774="","",VLOOKUP(A2774,'6.A'!$A$11:$C$564,2,FALSE))</f>
        <v/>
      </c>
      <c r="N2774" s="57" t="str">
        <f t="shared" ref="N2774" si="1189">IF(A2774="","",IF(M2774=B2774,"si","no"))</f>
        <v/>
      </c>
      <c r="O2774" s="56"/>
      <c r="P2774" s="56"/>
      <c r="Q2774" s="48"/>
      <c r="R2774" s="48"/>
      <c r="S2774" s="65"/>
      <c r="T2774" s="2"/>
      <c r="U2774" s="2"/>
      <c r="V2774" s="2"/>
    </row>
    <row r="2775" spans="1:22" s="149" customFormat="1" ht="12.75" customHeight="1" x14ac:dyDescent="0.2">
      <c r="A2775" s="155"/>
      <c r="B2775" s="138" t="str">
        <f>IF(A2775="","",VLOOKUP(A2775,'6.A'!$A$11:$G$180,2,FALSE))</f>
        <v/>
      </c>
      <c r="C2775" s="156"/>
      <c r="D2775" s="157"/>
      <c r="E2775" s="158"/>
      <c r="F2775" s="159" t="str">
        <f t="shared" si="1184"/>
        <v>0,00</v>
      </c>
      <c r="G2775" s="52"/>
      <c r="H2775" s="52" t="str">
        <f>IF(A2775="","",VLOOKUP(A2775,'6.A'!$A$11:$E$7984,5,FALSE))</f>
        <v/>
      </c>
      <c r="I2775" s="52" t="str">
        <f>IF(H2775="","",IF(E2775=H2775,"SIM","NÃO"))</f>
        <v/>
      </c>
      <c r="J2775" s="52" t="str">
        <f>IF(H2775="","",VLOOKUP(A2775,'6.A'!$A$11:$E$564,4,FALSE))</f>
        <v/>
      </c>
      <c r="K2775" s="52" t="str">
        <f>IF(H2775="","",IF(J2775=D2775,"SIM","NÃO"))</f>
        <v/>
      </c>
      <c r="L2775" s="52" t="str">
        <f>IF(H2775="","",IF(C2775="","",G2768*C2775))</f>
        <v/>
      </c>
      <c r="M2775" s="117" t="str">
        <f>IF(A2775="","",VLOOKUP(A2775,'6.A'!$A$11:$C$564,2,FALSE))</f>
        <v/>
      </c>
      <c r="N2775" s="57" t="str">
        <f>IF(A2775="","",IF(M2775=B2775,"si","no"))</f>
        <v/>
      </c>
      <c r="O2775" s="56"/>
      <c r="P2775" s="56"/>
      <c r="Q2775" s="48"/>
      <c r="R2775" s="48"/>
      <c r="S2775" s="65"/>
      <c r="T2775" s="2"/>
      <c r="U2775" s="2"/>
      <c r="V2775" s="2"/>
    </row>
    <row r="2776" spans="1:22" s="149" customFormat="1" ht="12.75" customHeight="1" x14ac:dyDescent="0.2">
      <c r="A2776" s="155"/>
      <c r="B2776" s="138" t="str">
        <f>IF(A2776="","",VLOOKUP(A2776,'6.A'!$A$11:$G$180,2,FALSE))</f>
        <v/>
      </c>
      <c r="C2776" s="156"/>
      <c r="D2776" s="141" t="str">
        <f>IF(A2776="","",VLOOKUP(A2776,'6.A'!$A$11:$G$180,4,FALSE))</f>
        <v/>
      </c>
      <c r="E2776" s="160" t="str">
        <f>IF(A2776="","",VLOOKUP(A2776,'6.A'!$A$11:$G$180,5,FALSE))</f>
        <v/>
      </c>
      <c r="F2776" s="159" t="str">
        <f t="shared" si="1184"/>
        <v>0,00</v>
      </c>
      <c r="G2776" s="52"/>
      <c r="H2776" s="52" t="str">
        <f>IF(A2776="","",VLOOKUP(A2776,'6.A'!$A$11:$E$7984,5,FALSE))</f>
        <v/>
      </c>
      <c r="I2776" s="52" t="str">
        <f>IF(H2776="","",IF(E2776=H2776,"SIM","NÃO"))</f>
        <v/>
      </c>
      <c r="J2776" s="52" t="str">
        <f>IF(H2776="","",VLOOKUP(A2776,'6.A'!$A$11:$E$564,4,FALSE))</f>
        <v/>
      </c>
      <c r="K2776" s="52" t="str">
        <f>IF(H2776="","",IF(J2776=D2776,"SIM","NÃO"))</f>
        <v/>
      </c>
      <c r="L2776" s="52" t="str">
        <f>IF(H2776="","",IF(C2776="","",G2768*C2776))</f>
        <v/>
      </c>
      <c r="M2776" s="117" t="str">
        <f>IF(A2776="","",VLOOKUP(A2776,'6.A'!$A$11:$C$564,2,FALSE))</f>
        <v/>
      </c>
      <c r="N2776" s="57" t="str">
        <f>IF(A2776="","",IF(M2776=B2776,"si","no"))</f>
        <v/>
      </c>
      <c r="O2776" s="56"/>
      <c r="P2776" s="56"/>
      <c r="Q2776" s="48"/>
      <c r="R2776" s="48"/>
      <c r="S2776" s="65"/>
      <c r="T2776" s="2"/>
      <c r="U2776" s="2"/>
      <c r="V2776" s="2"/>
    </row>
    <row r="2777" spans="1:22" s="149" customFormat="1" ht="12.75" customHeight="1" x14ac:dyDescent="0.2">
      <c r="A2777" s="155"/>
      <c r="B2777" s="138" t="str">
        <f>IF(A2777="","",VLOOKUP(A2777,'6.A'!$A$11:$G$180,2,FALSE))</f>
        <v/>
      </c>
      <c r="C2777" s="156"/>
      <c r="D2777" s="141" t="str">
        <f>IF(A2777="","",VLOOKUP(A2777,'6.A'!$A$11:$G$180,4,FALSE))</f>
        <v/>
      </c>
      <c r="E2777" s="158" t="str">
        <f>IF(A2777="","",VLOOKUP(A2777,'6.A'!$A$11:$G$180,5,FALSE))</f>
        <v/>
      </c>
      <c r="F2777" s="159" t="str">
        <f t="shared" si="1184"/>
        <v>0,00</v>
      </c>
      <c r="G2777" s="52"/>
      <c r="H2777" s="52" t="str">
        <f>IF(A2777="","",VLOOKUP(A2777,'6.A'!$A$11:$E$7984,5,FALSE))</f>
        <v/>
      </c>
      <c r="I2777" s="52" t="str">
        <f t="shared" ref="I2777" si="1190">IF(H2777="","",IF(E2777=H2777,"SIM","NÃO"))</f>
        <v/>
      </c>
      <c r="J2777" s="52" t="str">
        <f>IF(H2777="","",VLOOKUP(A2777,'6.A'!$A$11:$E$564,4,FALSE))</f>
        <v/>
      </c>
      <c r="K2777" s="52" t="str">
        <f t="shared" ref="K2777" si="1191">IF(H2777="","",IF(J2777=D2777,"SIM","NÃO"))</f>
        <v/>
      </c>
      <c r="L2777" s="52" t="str">
        <f>IF(H2777="","",IF(C2777="","",G2768*C2777))</f>
        <v/>
      </c>
      <c r="M2777" s="117" t="str">
        <f>IF(A2777="","",VLOOKUP(A2777,'6.A'!$A$11:$C$564,2,FALSE))</f>
        <v/>
      </c>
      <c r="N2777" s="57" t="str">
        <f t="shared" ref="N2777" si="1192">IF(A2777="","",IF(M2777=B2777,"si","no"))</f>
        <v/>
      </c>
      <c r="O2777" s="56"/>
      <c r="P2777" s="56"/>
      <c r="Q2777" s="48"/>
      <c r="R2777" s="48"/>
      <c r="S2777" s="65"/>
      <c r="T2777" s="2"/>
      <c r="U2777" s="2"/>
      <c r="V2777" s="2"/>
    </row>
    <row r="2778" spans="1:22" s="149" customFormat="1" ht="12.75" customHeight="1" x14ac:dyDescent="0.2">
      <c r="A2778" s="155"/>
      <c r="B2778" s="138" t="str">
        <f>IF(A2778="","",VLOOKUP(A2778,'6.A'!$A$11:$G$180,2,FALSE))</f>
        <v/>
      </c>
      <c r="C2778" s="156"/>
      <c r="D2778" s="141" t="str">
        <f>IF(A2778="","",VLOOKUP(A2778,'6.A'!$A$11:$G$180,4,FALSE))</f>
        <v/>
      </c>
      <c r="E2778" s="158" t="str">
        <f>IF(A2778="","",VLOOKUP(A2778,'6.A'!$A$11:$G$180,5,FALSE))</f>
        <v/>
      </c>
      <c r="F2778" s="159" t="str">
        <f t="shared" si="1184"/>
        <v>0,00</v>
      </c>
      <c r="G2778" s="52"/>
      <c r="H2778" s="52" t="str">
        <f>IF(A2778="","",VLOOKUP(A2778,'6.A'!$A$11:$E$7984,5,FALSE))</f>
        <v/>
      </c>
      <c r="I2778" s="52" t="str">
        <f>IF(H2778="","",IF(E2778=H2778,"SIM","NÃO"))</f>
        <v/>
      </c>
      <c r="J2778" s="52" t="str">
        <f>IF(H2778="","",VLOOKUP(A2778,'6.A'!$A$11:$E$564,4,FALSE))</f>
        <v/>
      </c>
      <c r="K2778" s="52" t="str">
        <f>IF(H2778="","",IF(J2778=D2778,"SIM","NÃO"))</f>
        <v/>
      </c>
      <c r="L2778" s="52" t="str">
        <f>IF(H2778="","",IF(C2778="","",G2768*C2778))</f>
        <v/>
      </c>
      <c r="M2778" s="117" t="str">
        <f>IF(A2778="","",VLOOKUP(A2778,'6.A'!$A$11:$C$564,2,FALSE))</f>
        <v/>
      </c>
      <c r="N2778" s="57" t="str">
        <f>IF(A2778="","",IF(M2778=B2778,"si","no"))</f>
        <v/>
      </c>
      <c r="O2778" s="56"/>
      <c r="P2778" s="56"/>
      <c r="Q2778" s="48"/>
      <c r="R2778" s="48"/>
      <c r="S2778" s="65"/>
      <c r="T2778" s="2"/>
      <c r="U2778" s="2"/>
      <c r="V2778" s="2"/>
    </row>
    <row r="2779" spans="1:22" s="149" customFormat="1" ht="12.75" customHeight="1" x14ac:dyDescent="0.2">
      <c r="A2779" s="155"/>
      <c r="B2779" s="138" t="str">
        <f>IF(A2779="","",VLOOKUP(A2779,'6.A'!$A$11:$G$180,2,FALSE))</f>
        <v/>
      </c>
      <c r="C2779" s="156"/>
      <c r="D2779" s="161" t="str">
        <f>IF(A2779="","",VLOOKUP(A2779,'6.A'!$A$11:$G$180,4,FALSE))</f>
        <v/>
      </c>
      <c r="E2779" s="158" t="str">
        <f>IF(A2779="","",VLOOKUP(A2779,'6.A'!$A$11:$G$180,5,FALSE))</f>
        <v/>
      </c>
      <c r="F2779" s="159" t="str">
        <f t="shared" si="1184"/>
        <v>0,00</v>
      </c>
      <c r="G2779" s="52"/>
      <c r="H2779" s="52" t="str">
        <f>IF(A2779="","",VLOOKUP(A2779,'6.A'!$A$11:$E$7984,5,FALSE))</f>
        <v/>
      </c>
      <c r="I2779" s="52" t="str">
        <f t="shared" ref="I2779" si="1193">IF(H2779="","",IF(E2779=H2779,"SIM","NÃO"))</f>
        <v/>
      </c>
      <c r="J2779" s="52" t="str">
        <f>IF(H2779="","",VLOOKUP(A2779,'6.A'!$A$11:$E$564,4,FALSE))</f>
        <v/>
      </c>
      <c r="K2779" s="52" t="str">
        <f t="shared" ref="K2779" si="1194">IF(H2779="","",IF(J2779=D2779,"SIM","NÃO"))</f>
        <v/>
      </c>
      <c r="L2779" s="52" t="str">
        <f>IF(H2779="","",IF(C2779="","",G2768*C2779))</f>
        <v/>
      </c>
      <c r="M2779" s="117" t="str">
        <f>IF(A2779="","",VLOOKUP(A2779,'6.A'!$A$11:$C$564,2,FALSE))</f>
        <v/>
      </c>
      <c r="N2779" s="57" t="str">
        <f t="shared" ref="N2779" si="1195">IF(A2779="","",IF(M2779=B2779,"si","no"))</f>
        <v/>
      </c>
      <c r="O2779" s="56"/>
      <c r="P2779" s="56"/>
      <c r="Q2779" s="48"/>
      <c r="R2779" s="48"/>
      <c r="S2779" s="65"/>
      <c r="T2779" s="2"/>
      <c r="U2779" s="2"/>
      <c r="V2779" s="2"/>
    </row>
    <row r="2780" spans="1:22" s="149" customFormat="1" ht="12.75" customHeight="1" x14ac:dyDescent="0.2">
      <c r="A2780" s="152"/>
      <c r="B2780" s="26" t="str">
        <f>$A$8</f>
        <v>LEIS SOCIAIS HORISTA - JORNADA NORMAL</v>
      </c>
      <c r="C2780" s="27">
        <f>$C$8</f>
        <v>0</v>
      </c>
      <c r="D2780" s="141"/>
      <c r="E2780" s="147"/>
      <c r="F2780" s="162">
        <f>ROUND(SUM(F2770:F2779)*C2780,2)</f>
        <v>0</v>
      </c>
      <c r="G2780" s="63"/>
      <c r="H2780" s="52"/>
      <c r="I2780" s="57"/>
      <c r="J2780" s="57"/>
      <c r="K2780" s="57"/>
      <c r="L2780" s="52"/>
      <c r="M2780" s="62"/>
      <c r="N2780" s="57"/>
      <c r="O2780" s="56"/>
      <c r="P2780" s="56"/>
      <c r="Q2780" s="48"/>
      <c r="R2780" s="48"/>
      <c r="S2780" s="65"/>
      <c r="T2780" s="2"/>
      <c r="U2780" s="2"/>
      <c r="V2780" s="2"/>
    </row>
    <row r="2781" spans="1:22" s="149" customFormat="1" ht="12.75" customHeight="1" x14ac:dyDescent="0.2">
      <c r="A2781" s="155"/>
      <c r="B2781" s="26" t="str">
        <f>$A$9</f>
        <v>BDI</v>
      </c>
      <c r="C2781" s="27">
        <f>$C$9</f>
        <v>0</v>
      </c>
      <c r="D2781" s="136"/>
      <c r="E2781" s="147"/>
      <c r="F2781" s="162">
        <f>ROUND(SUM(F2770:F2780)*C2781,2)</f>
        <v>0</v>
      </c>
      <c r="G2781" s="63"/>
      <c r="H2781" s="52"/>
      <c r="I2781" s="57"/>
      <c r="J2781" s="57"/>
      <c r="K2781" s="57"/>
      <c r="L2781" s="52"/>
      <c r="M2781" s="62"/>
      <c r="N2781" s="57"/>
      <c r="O2781" s="56"/>
      <c r="P2781" s="56"/>
      <c r="Q2781" s="48"/>
      <c r="R2781" s="48"/>
      <c r="S2781" s="65"/>
      <c r="T2781" s="2"/>
      <c r="U2781" s="2"/>
      <c r="V2781" s="2"/>
    </row>
    <row r="2782" spans="1:22" s="149" customFormat="1" ht="12.75" customHeight="1" x14ac:dyDescent="0.2">
      <c r="A2782" s="163"/>
      <c r="B2782" s="164" t="s">
        <v>56</v>
      </c>
      <c r="C2782" s="165"/>
      <c r="D2782" s="166"/>
      <c r="E2782" s="167"/>
      <c r="F2782" s="168">
        <f>ROUND(SUM(F2770:F2781),2)</f>
        <v>0</v>
      </c>
      <c r="G2782" s="63"/>
      <c r="H2782" s="52"/>
      <c r="I2782" s="57"/>
      <c r="J2782" s="57"/>
      <c r="K2782" s="57"/>
      <c r="L2782" s="52"/>
      <c r="M2782" s="62"/>
      <c r="N2782" s="57"/>
      <c r="O2782" s="56"/>
      <c r="P2782" s="56"/>
      <c r="Q2782" s="48"/>
      <c r="R2782" s="48"/>
      <c r="S2782" s="65"/>
      <c r="T2782" s="2"/>
      <c r="U2782" s="2"/>
      <c r="V2782" s="2"/>
    </row>
    <row r="2783" spans="1:22" s="149" customFormat="1" ht="12.75" customHeight="1" x14ac:dyDescent="0.2">
      <c r="A2783" s="152" t="s">
        <v>5</v>
      </c>
      <c r="B2783" s="153" t="s">
        <v>130</v>
      </c>
      <c r="C2783" s="140" t="s">
        <v>59</v>
      </c>
      <c r="D2783" s="140" t="s">
        <v>16</v>
      </c>
      <c r="E2783" s="154" t="s">
        <v>60</v>
      </c>
      <c r="F2783" s="148" t="s">
        <v>61</v>
      </c>
      <c r="G2783" s="21"/>
      <c r="H2783" s="52"/>
      <c r="I2783" s="57"/>
      <c r="J2783" s="57"/>
      <c r="K2783" s="57"/>
      <c r="L2783" s="52"/>
      <c r="M2783" s="62"/>
      <c r="N2783" s="57"/>
      <c r="O2783" s="56"/>
      <c r="P2783" s="56"/>
      <c r="Q2783" s="48"/>
      <c r="R2783" s="48"/>
      <c r="S2783" s="65"/>
      <c r="T2783" s="2"/>
      <c r="U2783" s="2"/>
      <c r="V2783" s="2"/>
    </row>
    <row r="2784" spans="1:22" s="149" customFormat="1" ht="12.75" customHeight="1" x14ac:dyDescent="0.2">
      <c r="A2784" s="155"/>
      <c r="B2784" s="138" t="str">
        <f>IF(A2784="","",VLOOKUP(A2784,'6.A'!$A$11:$G$180,2,FALSE))</f>
        <v/>
      </c>
      <c r="C2784" s="156"/>
      <c r="D2784" s="57" t="str">
        <f>IF(A2784="","",VLOOKUP(A2784,'6.A'!$A$11:$G$180,4,FALSE))</f>
        <v/>
      </c>
      <c r="E2784" s="100" t="str">
        <f>IF(A2784="","",VLOOKUP(A2784,'6.A'!$A$11:$G$180,5,FALSE))</f>
        <v/>
      </c>
      <c r="F2784" s="159" t="str">
        <f t="shared" ref="F2784:F2793" si="1196">IF(A2784="","0,00",ROUND(C2784*E2784,2))</f>
        <v>0,00</v>
      </c>
      <c r="G2784" s="52"/>
      <c r="H2784" s="52" t="str">
        <f>IF(A2784="","",VLOOKUP(A2784,'6.A'!$A$11:$E$7984,5,FALSE))</f>
        <v/>
      </c>
      <c r="I2784" s="52" t="str">
        <f t="shared" ref="I2784:I2793" si="1197">IF(H2784="","",IF(E2784=H2784,"SIM","NÃO"))</f>
        <v/>
      </c>
      <c r="J2784" s="52" t="str">
        <f>IF(H2784="","",VLOOKUP(A2784,'6.A'!$A$11:$E$564,4,FALSE))</f>
        <v/>
      </c>
      <c r="K2784" s="52" t="str">
        <f t="shared" ref="K2784:K2793" si="1198">IF(H2784="","",IF(J2784=D2784,"SIM","NÃO"))</f>
        <v/>
      </c>
      <c r="L2784" s="52" t="str">
        <f>IF(H2784="","",IF(C2784="","",G2768*C2784))</f>
        <v/>
      </c>
      <c r="M2784" s="117" t="str">
        <f>IF(A2784="","",VLOOKUP(A2784,'6.A'!$A$11:$C$564,2,FALSE))</f>
        <v/>
      </c>
      <c r="N2784" s="57" t="str">
        <f t="shared" ref="N2784:N2789" si="1199">IF(A2784="","",IF(M2784=B2784,"si","no"))</f>
        <v/>
      </c>
      <c r="O2784" s="56"/>
      <c r="P2784" s="56"/>
      <c r="Q2784" s="48"/>
      <c r="R2784" s="48"/>
      <c r="S2784" s="65"/>
      <c r="T2784" s="2"/>
      <c r="U2784" s="2"/>
      <c r="V2784" s="2"/>
    </row>
    <row r="2785" spans="1:22" s="149" customFormat="1" ht="12.75" customHeight="1" x14ac:dyDescent="0.2">
      <c r="A2785" s="155"/>
      <c r="B2785" s="138" t="str">
        <f>IF(A2785="","",VLOOKUP(A2785,'6.A'!$A$11:$G$180,2,FALSE))</f>
        <v/>
      </c>
      <c r="C2785" s="156"/>
      <c r="D2785" s="57" t="str">
        <f>IF(A2785="","",VLOOKUP(A2785,'6.A'!$A$11:$G$180,4,FALSE))</f>
        <v/>
      </c>
      <c r="E2785" s="100" t="str">
        <f>IF(A2785="","",VLOOKUP(A2785,'6.A'!$A$11:$G$180,5,FALSE))</f>
        <v/>
      </c>
      <c r="F2785" s="159" t="str">
        <f t="shared" si="1196"/>
        <v>0,00</v>
      </c>
      <c r="G2785" s="52"/>
      <c r="H2785" s="52" t="str">
        <f>IF(A2785="","",VLOOKUP(A2785,'6.A'!$A$11:$E$7984,5,FALSE))</f>
        <v/>
      </c>
      <c r="I2785" s="52" t="str">
        <f t="shared" si="1197"/>
        <v/>
      </c>
      <c r="J2785" s="52" t="str">
        <f>IF(H2785="","",VLOOKUP(A2785,'6.A'!$A$11:$E$564,4,FALSE))</f>
        <v/>
      </c>
      <c r="K2785" s="52" t="str">
        <f t="shared" si="1198"/>
        <v/>
      </c>
      <c r="L2785" s="52" t="str">
        <f>IF(H2785="","",IF(C2785="","",G2768*C2785))</f>
        <v/>
      </c>
      <c r="M2785" s="117" t="str">
        <f>IF(A2785="","",VLOOKUP(A2785,'6.A'!$A$11:$C$564,2,FALSE))</f>
        <v/>
      </c>
      <c r="N2785" s="57" t="str">
        <f t="shared" si="1199"/>
        <v/>
      </c>
      <c r="O2785" s="56"/>
      <c r="P2785" s="56"/>
      <c r="Q2785" s="48"/>
      <c r="R2785" s="48"/>
      <c r="S2785" s="65"/>
      <c r="T2785" s="2"/>
      <c r="U2785" s="2"/>
      <c r="V2785" s="2"/>
    </row>
    <row r="2786" spans="1:22" s="149" customFormat="1" ht="12.75" customHeight="1" x14ac:dyDescent="0.2">
      <c r="A2786" s="155"/>
      <c r="B2786" s="138" t="str">
        <f>IF(A2786="","",VLOOKUP(A2786,'6.A'!$A$11:$G$180,2,FALSE))</f>
        <v/>
      </c>
      <c r="C2786" s="156"/>
      <c r="D2786" s="141"/>
      <c r="E2786" s="160"/>
      <c r="F2786" s="159" t="str">
        <f t="shared" si="1196"/>
        <v>0,00</v>
      </c>
      <c r="G2786" s="52"/>
      <c r="H2786" s="52" t="str">
        <f>IF(A2786="","",VLOOKUP(A2786,'6.A'!$A$11:$E$7984,5,FALSE))</f>
        <v/>
      </c>
      <c r="I2786" s="52" t="str">
        <f t="shared" si="1197"/>
        <v/>
      </c>
      <c r="J2786" s="52" t="str">
        <f>IF(H2786="","",VLOOKUP(A2786,'6.A'!$A$11:$E$564,4,FALSE))</f>
        <v/>
      </c>
      <c r="K2786" s="52" t="str">
        <f t="shared" si="1198"/>
        <v/>
      </c>
      <c r="L2786" s="52" t="str">
        <f>IF(H2786="","",IF(C2786="","",G2768*C2786))</f>
        <v/>
      </c>
      <c r="M2786" s="117" t="str">
        <f>IF(A2786="","",VLOOKUP(A2786,'6.A'!$A$11:$C$564,2,FALSE))</f>
        <v/>
      </c>
      <c r="N2786" s="57" t="str">
        <f t="shared" si="1199"/>
        <v/>
      </c>
      <c r="O2786" s="56"/>
      <c r="P2786" s="56"/>
      <c r="Q2786" s="48"/>
      <c r="R2786" s="48"/>
      <c r="S2786" s="65"/>
      <c r="T2786" s="2"/>
      <c r="U2786" s="2"/>
      <c r="V2786" s="2"/>
    </row>
    <row r="2787" spans="1:22" s="149" customFormat="1" ht="12.75" customHeight="1" x14ac:dyDescent="0.2">
      <c r="A2787" s="155"/>
      <c r="B2787" s="176" t="str">
        <f>IF(A2787="","",VLOOKUP(A2787,'6.A'!$A$11:$G$180,2,FALSE))</f>
        <v/>
      </c>
      <c r="C2787" s="156"/>
      <c r="D2787" s="141"/>
      <c r="E2787" s="160"/>
      <c r="F2787" s="159" t="str">
        <f t="shared" si="1196"/>
        <v>0,00</v>
      </c>
      <c r="G2787" s="52"/>
      <c r="H2787" s="52" t="str">
        <f>IF(A2787="","",VLOOKUP(A2787,'6.A'!$A$11:$E$7984,5,FALSE))</f>
        <v/>
      </c>
      <c r="I2787" s="52" t="str">
        <f t="shared" si="1197"/>
        <v/>
      </c>
      <c r="J2787" s="52" t="str">
        <f>IF(H2787="","",VLOOKUP(A2787,'6.A'!$A$11:$E$564,4,FALSE))</f>
        <v/>
      </c>
      <c r="K2787" s="52" t="str">
        <f t="shared" si="1198"/>
        <v/>
      </c>
      <c r="L2787" s="52" t="str">
        <f>IF(H2787="","",IF(C2787="","",G2768*C2787))</f>
        <v/>
      </c>
      <c r="M2787" s="117" t="str">
        <f>IF(A2787="","",VLOOKUP(A2787,'6.A'!$A$11:$C$564,2,FALSE))</f>
        <v/>
      </c>
      <c r="N2787" s="57" t="str">
        <f t="shared" si="1199"/>
        <v/>
      </c>
      <c r="O2787" s="56"/>
      <c r="P2787" s="56"/>
      <c r="Q2787" s="48"/>
      <c r="R2787" s="48"/>
      <c r="S2787" s="65"/>
      <c r="T2787" s="2"/>
      <c r="U2787" s="2"/>
      <c r="V2787" s="2"/>
    </row>
    <row r="2788" spans="1:22" s="149" customFormat="1" ht="12.75" customHeight="1" x14ac:dyDescent="0.2">
      <c r="A2788" s="155"/>
      <c r="B2788" s="176" t="str">
        <f>IF(A2788="","",VLOOKUP(A2788,'6.A'!$A$11:$G$180,2,FALSE))</f>
        <v/>
      </c>
      <c r="C2788" s="156"/>
      <c r="D2788" s="141"/>
      <c r="E2788" s="160"/>
      <c r="F2788" s="159" t="str">
        <f t="shared" si="1196"/>
        <v>0,00</v>
      </c>
      <c r="G2788" s="52"/>
      <c r="H2788" s="52" t="str">
        <f>IF(A2788="","",VLOOKUP(A2788,'6.A'!$A$11:$E$7984,5,FALSE))</f>
        <v/>
      </c>
      <c r="I2788" s="52" t="str">
        <f t="shared" si="1197"/>
        <v/>
      </c>
      <c r="J2788" s="52" t="str">
        <f>IF(H2788="","",VLOOKUP(A2788,'6.A'!$A$11:$E$564,4,FALSE))</f>
        <v/>
      </c>
      <c r="K2788" s="52" t="str">
        <f t="shared" si="1198"/>
        <v/>
      </c>
      <c r="L2788" s="52" t="str">
        <f>IF(H2788="","",IF(C2788="","",G2768*C2788))</f>
        <v/>
      </c>
      <c r="M2788" s="117" t="str">
        <f>IF(A2788="","",VLOOKUP(A2788,'6.A'!$A$11:$C$564,2,FALSE))</f>
        <v/>
      </c>
      <c r="N2788" s="57" t="str">
        <f t="shared" si="1199"/>
        <v/>
      </c>
      <c r="O2788" s="56"/>
      <c r="P2788" s="56"/>
      <c r="Q2788" s="48"/>
      <c r="R2788" s="48"/>
      <c r="S2788" s="65"/>
      <c r="T2788" s="2"/>
      <c r="U2788" s="2"/>
      <c r="V2788" s="2"/>
    </row>
    <row r="2789" spans="1:22" s="149" customFormat="1" ht="12.75" customHeight="1" x14ac:dyDescent="0.2">
      <c r="A2789" s="155"/>
      <c r="B2789" s="176" t="str">
        <f>IF(A2789="","",VLOOKUP(A2789,'6.A'!$A$11:$G$180,2,FALSE))</f>
        <v/>
      </c>
      <c r="C2789" s="156"/>
      <c r="D2789" s="141"/>
      <c r="E2789" s="160"/>
      <c r="F2789" s="159" t="str">
        <f t="shared" si="1196"/>
        <v>0,00</v>
      </c>
      <c r="G2789" s="52"/>
      <c r="H2789" s="52" t="str">
        <f>IF(A2789="","",VLOOKUP(A2789,'6.A'!$A$11:$E$7984,5,FALSE))</f>
        <v/>
      </c>
      <c r="I2789" s="52" t="str">
        <f t="shared" si="1197"/>
        <v/>
      </c>
      <c r="J2789" s="52" t="str">
        <f>IF(H2789="","",VLOOKUP(A2789,'6.A'!$A$11:$E$564,4,FALSE))</f>
        <v/>
      </c>
      <c r="K2789" s="52" t="str">
        <f t="shared" si="1198"/>
        <v/>
      </c>
      <c r="L2789" s="52" t="str">
        <f>IF(H2789="","",IF(C2789="","",G2768*C2789))</f>
        <v/>
      </c>
      <c r="M2789" s="117" t="str">
        <f>IF(A2789="","",VLOOKUP(A2789,'6.A'!$A$11:$C$564,2,FALSE))</f>
        <v/>
      </c>
      <c r="N2789" s="57" t="str">
        <f t="shared" si="1199"/>
        <v/>
      </c>
      <c r="O2789" s="56"/>
      <c r="P2789" s="56"/>
      <c r="Q2789" s="48"/>
      <c r="R2789" s="48"/>
      <c r="S2789" s="65"/>
      <c r="T2789" s="2"/>
      <c r="U2789" s="2"/>
      <c r="V2789" s="2"/>
    </row>
    <row r="2790" spans="1:22" s="149" customFormat="1" ht="12.75" customHeight="1" x14ac:dyDescent="0.2">
      <c r="A2790" s="155"/>
      <c r="B2790" s="176" t="str">
        <f>IF(A2790="","",VLOOKUP(A2790,'6.A'!$A$11:$G$180,2,FALSE))</f>
        <v/>
      </c>
      <c r="C2790" s="156"/>
      <c r="D2790" s="141" t="str">
        <f>IF(A2790="","",VLOOKUP(A2790,'6.A'!$A$11:$G$180,4,FALSE))</f>
        <v/>
      </c>
      <c r="E2790" s="160" t="str">
        <f>IF(A2790="","",VLOOKUP(A2790,'6.A'!$A$11:$G$180,5,FALSE))</f>
        <v/>
      </c>
      <c r="F2790" s="159" t="str">
        <f t="shared" si="1196"/>
        <v>0,00</v>
      </c>
      <c r="G2790" s="52"/>
      <c r="H2790" s="52" t="str">
        <f>IF(A2790="","",VLOOKUP(A2790,'6.A'!$A$11:$E$7984,5,FALSE))</f>
        <v/>
      </c>
      <c r="I2790" s="52" t="str">
        <f t="shared" si="1197"/>
        <v/>
      </c>
      <c r="J2790" s="52" t="str">
        <f>IF(H2790="","",VLOOKUP(A2790,'6.A'!$A$11:$E$564,4,FALSE))</f>
        <v/>
      </c>
      <c r="K2790" s="52" t="str">
        <f t="shared" si="1198"/>
        <v/>
      </c>
      <c r="L2790" s="52" t="str">
        <f>IF(H2790="","",IF(C2790="","",G2768*C2790))</f>
        <v/>
      </c>
      <c r="M2790" s="117" t="str">
        <f>IF(A2790="","",VLOOKUP(A2790,'6.A'!$A$11:$C$564,2,FALSE))</f>
        <v/>
      </c>
      <c r="N2790" s="57" t="str">
        <f>IF(A2790="","",IF(M2790=B2790,"si","no"))</f>
        <v/>
      </c>
      <c r="O2790" s="56"/>
      <c r="P2790" s="56"/>
      <c r="Q2790" s="48"/>
      <c r="R2790" s="48"/>
      <c r="S2790" s="65"/>
      <c r="T2790" s="2"/>
      <c r="U2790" s="2"/>
      <c r="V2790" s="2"/>
    </row>
    <row r="2791" spans="1:22" s="149" customFormat="1" ht="12.75" customHeight="1" x14ac:dyDescent="0.2">
      <c r="A2791" s="155"/>
      <c r="B2791" s="138" t="str">
        <f>IF(A2791="","",VLOOKUP(A2791,'6.A'!$A$11:$G$180,2,FALSE))</f>
        <v/>
      </c>
      <c r="C2791" s="156"/>
      <c r="D2791" s="141" t="str">
        <f>IF(A2791="","",VLOOKUP(A2791,'6.A'!$A$11:$G$180,4,FALSE))</f>
        <v/>
      </c>
      <c r="E2791" s="160" t="str">
        <f>IF(A2791="","",VLOOKUP(A2791,'6.A'!$A$11:$G$180,5,FALSE))</f>
        <v/>
      </c>
      <c r="F2791" s="159" t="str">
        <f t="shared" si="1196"/>
        <v>0,00</v>
      </c>
      <c r="G2791" s="52"/>
      <c r="H2791" s="52" t="str">
        <f>IF(A2791="","",VLOOKUP(A2791,'6.A'!$A$11:$E$7984,5,FALSE))</f>
        <v/>
      </c>
      <c r="I2791" s="52" t="str">
        <f t="shared" si="1197"/>
        <v/>
      </c>
      <c r="J2791" s="52" t="str">
        <f>IF(H2791="","",VLOOKUP(A2791,'6.A'!$A$11:$E$564,4,FALSE))</f>
        <v/>
      </c>
      <c r="K2791" s="52" t="str">
        <f t="shared" si="1198"/>
        <v/>
      </c>
      <c r="L2791" s="52" t="str">
        <f>IF(H2791="","",IF(C2791="","",G2768*C2791))</f>
        <v/>
      </c>
      <c r="M2791" s="117" t="str">
        <f>IF(A2791="","",VLOOKUP(A2791,'6.A'!$A$11:$C$564,2,FALSE))</f>
        <v/>
      </c>
      <c r="N2791" s="57" t="str">
        <f>IF(A2791="","",IF(M2791=B2791,"si","no"))</f>
        <v/>
      </c>
      <c r="O2791" s="56"/>
      <c r="P2791" s="56"/>
      <c r="Q2791" s="48"/>
      <c r="R2791" s="48"/>
      <c r="S2791" s="65"/>
      <c r="T2791" s="2"/>
      <c r="U2791" s="2"/>
      <c r="V2791" s="2"/>
    </row>
    <row r="2792" spans="1:22" s="149" customFormat="1" ht="12.75" customHeight="1" x14ac:dyDescent="0.2">
      <c r="A2792" s="155"/>
      <c r="B2792" s="138" t="str">
        <f>IF(A2792="","",VLOOKUP(A2792,'6.A'!$A$11:$G$180,2,FALSE))</f>
        <v/>
      </c>
      <c r="C2792" s="156"/>
      <c r="D2792" s="141" t="str">
        <f>IF(A2792="","",VLOOKUP(A2792,'6.A'!$A$11:$G$180,4,FALSE))</f>
        <v/>
      </c>
      <c r="E2792" s="160" t="str">
        <f>IF(A2792="","",VLOOKUP(A2792,'6.A'!$A$11:$G$180,5,FALSE))</f>
        <v/>
      </c>
      <c r="F2792" s="159" t="str">
        <f t="shared" si="1196"/>
        <v>0,00</v>
      </c>
      <c r="G2792" s="52"/>
      <c r="H2792" s="52" t="str">
        <f>IF(A2792="","",VLOOKUP(A2792,'6.A'!$A$11:$E$7984,5,FALSE))</f>
        <v/>
      </c>
      <c r="I2792" s="52" t="str">
        <f t="shared" si="1197"/>
        <v/>
      </c>
      <c r="J2792" s="52" t="str">
        <f>IF(H2792="","",VLOOKUP(A2792,'6.A'!$A$11:$E$564,4,FALSE))</f>
        <v/>
      </c>
      <c r="K2792" s="52" t="str">
        <f t="shared" si="1198"/>
        <v/>
      </c>
      <c r="L2792" s="52" t="str">
        <f>IF(H2792="","",IF(C2792="","",G2768*C2792))</f>
        <v/>
      </c>
      <c r="M2792" s="117" t="str">
        <f>IF(A2792="","",VLOOKUP(A2792,'6.A'!$A$11:$C$564,2,FALSE))</f>
        <v/>
      </c>
      <c r="N2792" s="57" t="str">
        <f t="shared" ref="N2792:N2793" si="1200">IF(A2792="","",IF(M2792=B2792,"si","no"))</f>
        <v/>
      </c>
      <c r="O2792" s="56"/>
      <c r="P2792" s="56"/>
      <c r="Q2792" s="48"/>
      <c r="R2792" s="48"/>
      <c r="S2792" s="65"/>
      <c r="T2792" s="2"/>
      <c r="U2792" s="2"/>
      <c r="V2792" s="2"/>
    </row>
    <row r="2793" spans="1:22" s="149" customFormat="1" ht="12.75" customHeight="1" x14ac:dyDescent="0.2">
      <c r="A2793" s="155"/>
      <c r="B2793" s="138" t="str">
        <f>IF(A2793="","",VLOOKUP(A2793,'6.A'!$A$11:$G$180,2,FALSE))</f>
        <v/>
      </c>
      <c r="C2793" s="156"/>
      <c r="D2793" s="141" t="str">
        <f>IF(A2793="","",VLOOKUP(A2793,'6.A'!$A$11:$G$180,4,FALSE))</f>
        <v/>
      </c>
      <c r="E2793" s="160" t="str">
        <f>IF(A2793="","",VLOOKUP(A2793,'6.A'!$A$11:$G$180,5,FALSE))</f>
        <v/>
      </c>
      <c r="F2793" s="159" t="str">
        <f t="shared" si="1196"/>
        <v>0,00</v>
      </c>
      <c r="G2793" s="52"/>
      <c r="H2793" s="52" t="str">
        <f>IF(A2793="","",VLOOKUP(A2793,'6.A'!$A$11:$E$7984,5,FALSE))</f>
        <v/>
      </c>
      <c r="I2793" s="52" t="str">
        <f t="shared" si="1197"/>
        <v/>
      </c>
      <c r="J2793" s="52" t="str">
        <f>IF(H2793="","",VLOOKUP(A2793,'6.A'!$A$11:$E$564,4,FALSE))</f>
        <v/>
      </c>
      <c r="K2793" s="52" t="str">
        <f t="shared" si="1198"/>
        <v/>
      </c>
      <c r="L2793" s="52" t="str">
        <f>IF(H2793="","",IF(C2793="","",G2768*C2793))</f>
        <v/>
      </c>
      <c r="M2793" s="117" t="str">
        <f>IF(A2793="","",VLOOKUP(A2793,'6.A'!$A$11:$C$564,2,FALSE))</f>
        <v/>
      </c>
      <c r="N2793" s="57" t="str">
        <f t="shared" si="1200"/>
        <v/>
      </c>
      <c r="O2793" s="56"/>
      <c r="P2793" s="56"/>
      <c r="Q2793" s="48"/>
      <c r="R2793" s="48"/>
      <c r="S2793" s="65"/>
      <c r="T2793" s="2"/>
      <c r="U2793" s="2"/>
      <c r="V2793" s="2"/>
    </row>
    <row r="2794" spans="1:22" s="149" customFormat="1" ht="12.75" customHeight="1" x14ac:dyDescent="0.2">
      <c r="A2794" s="155"/>
      <c r="B2794" s="26" t="str">
        <f>$A$9</f>
        <v>BDI</v>
      </c>
      <c r="C2794" s="27">
        <f>$C$9</f>
        <v>0</v>
      </c>
      <c r="D2794" s="141"/>
      <c r="E2794" s="147"/>
      <c r="F2794" s="162">
        <f>ROUND(SUM(F2784:F2793)*C2794,2)</f>
        <v>0</v>
      </c>
      <c r="G2794" s="63"/>
      <c r="H2794" s="52"/>
      <c r="I2794" s="57"/>
      <c r="J2794" s="57"/>
      <c r="K2794" s="57"/>
      <c r="L2794" s="52"/>
      <c r="M2794" s="62"/>
      <c r="N2794" s="57"/>
      <c r="O2794" s="56"/>
      <c r="P2794" s="56"/>
      <c r="Q2794" s="48"/>
      <c r="R2794" s="48"/>
      <c r="S2794" s="65"/>
      <c r="T2794" s="2"/>
      <c r="U2794" s="2"/>
      <c r="V2794" s="2"/>
    </row>
    <row r="2795" spans="1:22" s="149" customFormat="1" ht="12.75" customHeight="1" x14ac:dyDescent="0.2">
      <c r="A2795" s="163"/>
      <c r="B2795" s="31" t="s">
        <v>117</v>
      </c>
      <c r="C2795" s="36"/>
      <c r="D2795" s="169"/>
      <c r="E2795" s="170"/>
      <c r="F2795" s="168">
        <f>ROUND(SUM(F2784:F2794),2)</f>
        <v>0</v>
      </c>
      <c r="G2795" s="63"/>
      <c r="H2795" s="52"/>
      <c r="I2795" s="57"/>
      <c r="J2795" s="57"/>
      <c r="K2795" s="57"/>
      <c r="L2795" s="52"/>
      <c r="M2795" s="62"/>
      <c r="N2795" s="57"/>
      <c r="O2795" s="56"/>
      <c r="P2795" s="56"/>
      <c r="Q2795" s="48"/>
      <c r="R2795" s="48"/>
      <c r="S2795" s="65"/>
      <c r="T2795" s="2"/>
      <c r="U2795" s="2"/>
      <c r="V2795" s="2"/>
    </row>
    <row r="2796" spans="1:22" s="149" customFormat="1" ht="12.75" customHeight="1" x14ac:dyDescent="0.2">
      <c r="A2796" s="152" t="s">
        <v>6</v>
      </c>
      <c r="B2796" s="153" t="s">
        <v>17</v>
      </c>
      <c r="C2796" s="140" t="s">
        <v>59</v>
      </c>
      <c r="D2796" s="140" t="s">
        <v>16</v>
      </c>
      <c r="E2796" s="154" t="s">
        <v>60</v>
      </c>
      <c r="F2796" s="148" t="s">
        <v>61</v>
      </c>
      <c r="G2796" s="21"/>
      <c r="H2796" s="52"/>
      <c r="I2796" s="57"/>
      <c r="J2796" s="57"/>
      <c r="K2796" s="57"/>
      <c r="L2796" s="52"/>
      <c r="M2796" s="62"/>
      <c r="N2796" s="57"/>
      <c r="O2796" s="56"/>
      <c r="P2796" s="56"/>
      <c r="Q2796" s="48"/>
      <c r="R2796" s="48"/>
      <c r="S2796" s="65"/>
      <c r="T2796" s="2"/>
      <c r="U2796" s="2"/>
      <c r="V2796" s="2"/>
    </row>
    <row r="2797" spans="1:22" s="149" customFormat="1" ht="12.75" customHeight="1" x14ac:dyDescent="0.2">
      <c r="A2797" s="155">
        <f>'6.A'!$A$129</f>
        <v>34707</v>
      </c>
      <c r="B2797" s="138" t="str">
        <f>IF(A2797="","",VLOOKUP(A2797,'6.A'!$A$11:$G$180,2,FALSE))</f>
        <v>DISJUNTOR TERMOMAGNETICO TRIPOLAR 3 X 350 A/ICC - 25 KA</v>
      </c>
      <c r="C2797" s="156">
        <v>1</v>
      </c>
      <c r="D2797" s="141" t="str">
        <f>IF(A2797="","",VLOOKUP(A2797,'6.A'!$A$11:$G$180,4,FALSE))</f>
        <v>UN</v>
      </c>
      <c r="E2797" s="160">
        <f>IF(A2797="","",VLOOKUP(A2797,'6.A'!$A$11:$G$180,5,FALSE))</f>
        <v>0</v>
      </c>
      <c r="F2797" s="159">
        <f t="shared" ref="F2797:F2816" si="1201">IF(A2797="","0,00",ROUND(C2797*E2797,2))</f>
        <v>0</v>
      </c>
      <c r="G2797" s="52"/>
      <c r="H2797" s="52">
        <f>IF(A2797="","",VLOOKUP(A2797,'6.A'!$A$11:$E$7984,5,FALSE))</f>
        <v>0</v>
      </c>
      <c r="I2797" s="52" t="str">
        <f t="shared" ref="I2797:I2816" si="1202">IF(H2797="","",IF(E2797=H2797,"SIM","NÃO"))</f>
        <v>SIM</v>
      </c>
      <c r="J2797" s="52" t="str">
        <f>IF(H2797="","",VLOOKUP(A2797,'6.A'!$A$11:$E$564,4,FALSE))</f>
        <v>UN</v>
      </c>
      <c r="K2797" s="52" t="str">
        <f t="shared" ref="K2797:K2816" si="1203">IF(H2797="","",IF(J2797=D2797,"SIM","NÃO"))</f>
        <v>SIM</v>
      </c>
      <c r="L2797" s="52">
        <f>IF(H2797="","",IF(C2797="","",G2768*C2797))</f>
        <v>1</v>
      </c>
      <c r="M2797" s="117" t="str">
        <f>IF(A2797="","",VLOOKUP(A2797,'6.A'!$A$11:$C$564,2,FALSE))</f>
        <v>DISJUNTOR TERMOMAGNETICO TRIPOLAR 3 X 350 A/ICC - 25 KA</v>
      </c>
      <c r="N2797" s="57" t="str">
        <f t="shared" ref="N2797:N2816" si="1204">IF(A2797="","",IF(M2797=B2797,"si","no"))</f>
        <v>si</v>
      </c>
      <c r="O2797" s="56"/>
      <c r="P2797" s="56"/>
      <c r="Q2797" s="48"/>
      <c r="R2797" s="48"/>
      <c r="S2797" s="65"/>
      <c r="T2797" s="2"/>
      <c r="U2797" s="2"/>
      <c r="V2797" s="2"/>
    </row>
    <row r="2798" spans="1:22" s="149" customFormat="1" ht="12.75" customHeight="1" x14ac:dyDescent="0.2">
      <c r="A2798" s="155"/>
      <c r="B2798" s="138" t="str">
        <f>IF(A2798="","",VLOOKUP(A2798,'6.A'!$A$11:$G$180,2,FALSE))</f>
        <v/>
      </c>
      <c r="C2798" s="156"/>
      <c r="D2798" s="141" t="str">
        <f>IF(A2798="","",VLOOKUP(A2798,'6.A'!$A$11:$G$180,4,FALSE))</f>
        <v/>
      </c>
      <c r="E2798" s="160" t="str">
        <f>IF(A2798="","",VLOOKUP(A2798,'6.A'!$A$11:$G$180,5,FALSE))</f>
        <v/>
      </c>
      <c r="F2798" s="159" t="str">
        <f t="shared" si="1201"/>
        <v>0,00</v>
      </c>
      <c r="G2798" s="52"/>
      <c r="H2798" s="52" t="str">
        <f>IF(A2798="","",VLOOKUP(A2798,'6.A'!$A$11:$E$7984,5,FALSE))</f>
        <v/>
      </c>
      <c r="I2798" s="52" t="str">
        <f t="shared" si="1202"/>
        <v/>
      </c>
      <c r="J2798" s="52" t="str">
        <f>IF(H2798="","",VLOOKUP(A2798,'6.A'!$A$11:$E$564,4,FALSE))</f>
        <v/>
      </c>
      <c r="K2798" s="52" t="str">
        <f t="shared" si="1203"/>
        <v/>
      </c>
      <c r="L2798" s="52" t="str">
        <f>IF(H2798="","",IF(C2798="","",G2768*C2798))</f>
        <v/>
      </c>
      <c r="M2798" s="117" t="str">
        <f>IF(A2798="","",VLOOKUP(A2798,'6.A'!$A$11:$C$564,2,FALSE))</f>
        <v/>
      </c>
      <c r="N2798" s="57" t="str">
        <f t="shared" si="1204"/>
        <v/>
      </c>
      <c r="O2798" s="56"/>
      <c r="P2798" s="56"/>
      <c r="Q2798" s="48"/>
      <c r="R2798" s="48"/>
      <c r="S2798" s="65"/>
      <c r="T2798" s="2"/>
      <c r="U2798" s="2"/>
      <c r="V2798" s="2"/>
    </row>
    <row r="2799" spans="1:22" s="149" customFormat="1" ht="12.75" customHeight="1" x14ac:dyDescent="0.2">
      <c r="A2799" s="155"/>
      <c r="B2799" s="138" t="str">
        <f>IF(A2799="","",VLOOKUP(A2799,'6.A'!$A$11:$G$180,2,FALSE))</f>
        <v/>
      </c>
      <c r="C2799" s="156"/>
      <c r="D2799" s="141" t="str">
        <f>IF(A2799="","",VLOOKUP(A2799,'6.A'!$A$11:$G$180,4,FALSE))</f>
        <v/>
      </c>
      <c r="E2799" s="160" t="str">
        <f>IF(A2799="","",VLOOKUP(A2799,'6.A'!$A$11:$G$180,5,FALSE))</f>
        <v/>
      </c>
      <c r="F2799" s="159" t="str">
        <f t="shared" si="1201"/>
        <v>0,00</v>
      </c>
      <c r="G2799" s="52"/>
      <c r="H2799" s="52" t="str">
        <f>IF(A2799="","",VLOOKUP(A2799,'6.A'!$A$11:$E$7984,5,FALSE))</f>
        <v/>
      </c>
      <c r="I2799" s="52" t="str">
        <f t="shared" si="1202"/>
        <v/>
      </c>
      <c r="J2799" s="52" t="str">
        <f>IF(H2799="","",VLOOKUP(A2799,'6.A'!$A$11:$E$564,4,FALSE))</f>
        <v/>
      </c>
      <c r="K2799" s="52" t="str">
        <f t="shared" si="1203"/>
        <v/>
      </c>
      <c r="L2799" s="52" t="str">
        <f>IF(H2799="","",IF(C2799="","",G2768*C2799))</f>
        <v/>
      </c>
      <c r="M2799" s="117" t="str">
        <f>IF(A2799="","",VLOOKUP(A2799,'6.A'!$A$11:$C$564,2,FALSE))</f>
        <v/>
      </c>
      <c r="N2799" s="57" t="str">
        <f t="shared" si="1204"/>
        <v/>
      </c>
      <c r="O2799" s="56"/>
      <c r="P2799" s="56"/>
      <c r="Q2799" s="48"/>
      <c r="R2799" s="48"/>
      <c r="S2799" s="65"/>
      <c r="T2799" s="2"/>
      <c r="U2799" s="2"/>
      <c r="V2799" s="2"/>
    </row>
    <row r="2800" spans="1:22" s="149" customFormat="1" ht="12.75" customHeight="1" x14ac:dyDescent="0.2">
      <c r="A2800" s="155"/>
      <c r="B2800" s="138" t="str">
        <f>IF(A2800="","",VLOOKUP(A2800,'6.A'!$A$11:$G$180,2,FALSE))</f>
        <v/>
      </c>
      <c r="C2800" s="156"/>
      <c r="D2800" s="141" t="str">
        <f>IF(A2800="","",VLOOKUP(A2800,'6.A'!$A$11:$G$180,4,FALSE))</f>
        <v/>
      </c>
      <c r="E2800" s="160" t="str">
        <f>IF(A2800="","",VLOOKUP(A2800,'6.A'!$A$11:$G$180,5,FALSE))</f>
        <v/>
      </c>
      <c r="F2800" s="159" t="str">
        <f t="shared" si="1201"/>
        <v>0,00</v>
      </c>
      <c r="G2800" s="52"/>
      <c r="H2800" s="52" t="str">
        <f>IF(A2800="","",VLOOKUP(A2800,'6.A'!$A$11:$E$7984,5,FALSE))</f>
        <v/>
      </c>
      <c r="I2800" s="52" t="str">
        <f t="shared" si="1202"/>
        <v/>
      </c>
      <c r="J2800" s="52" t="str">
        <f>IF(H2800="","",VLOOKUP(A2800,'6.A'!$A$11:$E$564,4,FALSE))</f>
        <v/>
      </c>
      <c r="K2800" s="52" t="str">
        <f t="shared" si="1203"/>
        <v/>
      </c>
      <c r="L2800" s="52" t="str">
        <f>IF(H2800="","",IF(C2800="","",G2768*C2800))</f>
        <v/>
      </c>
      <c r="M2800" s="117" t="str">
        <f>IF(A2800="","",VLOOKUP(A2800,'6.A'!$A$11:$C$564,2,FALSE))</f>
        <v/>
      </c>
      <c r="N2800" s="57" t="str">
        <f t="shared" si="1204"/>
        <v/>
      </c>
      <c r="O2800" s="56"/>
      <c r="P2800" s="56"/>
      <c r="Q2800" s="48"/>
      <c r="R2800" s="48"/>
      <c r="S2800" s="65"/>
      <c r="T2800" s="2"/>
      <c r="U2800" s="2"/>
      <c r="V2800" s="2"/>
    </row>
    <row r="2801" spans="1:22" s="149" customFormat="1" ht="12.75" customHeight="1" x14ac:dyDescent="0.2">
      <c r="A2801" s="155"/>
      <c r="B2801" s="138" t="str">
        <f>IF(A2801="","",VLOOKUP(A2801,'6.A'!$A$11:$G$180,2,FALSE))</f>
        <v/>
      </c>
      <c r="C2801" s="156"/>
      <c r="D2801" s="141" t="str">
        <f>IF(A2801="","",VLOOKUP(A2801,'6.A'!$A$11:$G$180,4,FALSE))</f>
        <v/>
      </c>
      <c r="E2801" s="160" t="str">
        <f>IF(A2801="","",VLOOKUP(A2801,'6.A'!$A$11:$G$180,5,FALSE))</f>
        <v/>
      </c>
      <c r="F2801" s="159" t="str">
        <f t="shared" si="1201"/>
        <v>0,00</v>
      </c>
      <c r="G2801" s="52"/>
      <c r="H2801" s="52" t="str">
        <f>IF(A2801="","",VLOOKUP(A2801,'6.A'!$A$11:$E$7984,5,FALSE))</f>
        <v/>
      </c>
      <c r="I2801" s="52" t="str">
        <f t="shared" si="1202"/>
        <v/>
      </c>
      <c r="J2801" s="52" t="str">
        <f>IF(H2801="","",VLOOKUP(A2801,'6.A'!$A$11:$E$564,4,FALSE))</f>
        <v/>
      </c>
      <c r="K2801" s="52" t="str">
        <f t="shared" si="1203"/>
        <v/>
      </c>
      <c r="L2801" s="52" t="str">
        <f>IF(H2801="","",IF(C2801="","",G2768*C2801))</f>
        <v/>
      </c>
      <c r="M2801" s="117" t="str">
        <f>IF(A2801="","",VLOOKUP(A2801,'6.A'!$A$11:$C$564,2,FALSE))</f>
        <v/>
      </c>
      <c r="N2801" s="57" t="str">
        <f t="shared" si="1204"/>
        <v/>
      </c>
      <c r="O2801" s="56"/>
      <c r="P2801" s="56"/>
      <c r="Q2801" s="48"/>
      <c r="R2801" s="48"/>
      <c r="S2801" s="65"/>
      <c r="T2801" s="2"/>
      <c r="U2801" s="2"/>
      <c r="V2801" s="2"/>
    </row>
    <row r="2802" spans="1:22" s="149" customFormat="1" ht="12.75" customHeight="1" x14ac:dyDescent="0.2">
      <c r="A2802" s="155"/>
      <c r="B2802" s="138" t="str">
        <f>IF(A2802="","",VLOOKUP(A2802,'6.A'!$A$11:$G$180,2,FALSE))</f>
        <v/>
      </c>
      <c r="C2802" s="156"/>
      <c r="D2802" s="141" t="str">
        <f>IF(A2802="","",VLOOKUP(A2802,'6.A'!$A$11:$G$180,4,FALSE))</f>
        <v/>
      </c>
      <c r="E2802" s="160" t="str">
        <f>IF(A2802="","",VLOOKUP(A2802,'6.A'!$A$11:$G$180,5,FALSE))</f>
        <v/>
      </c>
      <c r="F2802" s="159" t="str">
        <f t="shared" si="1201"/>
        <v>0,00</v>
      </c>
      <c r="G2802" s="52"/>
      <c r="H2802" s="52" t="str">
        <f>IF(A2802="","",VLOOKUP(A2802,'6.A'!$A$11:$E$7984,5,FALSE))</f>
        <v/>
      </c>
      <c r="I2802" s="52" t="str">
        <f t="shared" si="1202"/>
        <v/>
      </c>
      <c r="J2802" s="52" t="str">
        <f>IF(H2802="","",VLOOKUP(A2802,'6.A'!$A$11:$E$564,4,FALSE))</f>
        <v/>
      </c>
      <c r="K2802" s="52" t="str">
        <f t="shared" si="1203"/>
        <v/>
      </c>
      <c r="L2802" s="52" t="str">
        <f>IF(H2802="","",IF(C2802="","",G2768*C2802))</f>
        <v/>
      </c>
      <c r="M2802" s="117" t="str">
        <f>IF(A2802="","",VLOOKUP(A2802,'6.A'!$A$11:$C$564,2,FALSE))</f>
        <v/>
      </c>
      <c r="N2802" s="57" t="str">
        <f t="shared" si="1204"/>
        <v/>
      </c>
      <c r="O2802" s="56"/>
      <c r="P2802" s="56"/>
      <c r="Q2802" s="48"/>
      <c r="R2802" s="48"/>
      <c r="S2802" s="65"/>
      <c r="T2802" s="2"/>
      <c r="U2802" s="2"/>
      <c r="V2802" s="2"/>
    </row>
    <row r="2803" spans="1:22" s="149" customFormat="1" ht="12.75" customHeight="1" x14ac:dyDescent="0.2">
      <c r="A2803" s="155"/>
      <c r="B2803" s="138" t="str">
        <f>IF(A2803="","",VLOOKUP(A2803,'6.A'!$A$11:$G$180,2,FALSE))</f>
        <v/>
      </c>
      <c r="C2803" s="156"/>
      <c r="D2803" s="141" t="str">
        <f>IF(A2803="","",VLOOKUP(A2803,'6.A'!$A$11:$G$180,4,FALSE))</f>
        <v/>
      </c>
      <c r="E2803" s="160" t="str">
        <f>IF(A2803="","",VLOOKUP(A2803,'6.A'!$A$11:$G$180,5,FALSE))</f>
        <v/>
      </c>
      <c r="F2803" s="159" t="str">
        <f t="shared" si="1201"/>
        <v>0,00</v>
      </c>
      <c r="G2803" s="52"/>
      <c r="H2803" s="52" t="str">
        <f>IF(A2803="","",VLOOKUP(A2803,'6.A'!$A$11:$E$7984,5,FALSE))</f>
        <v/>
      </c>
      <c r="I2803" s="52" t="str">
        <f t="shared" si="1202"/>
        <v/>
      </c>
      <c r="J2803" s="52" t="str">
        <f>IF(H2803="","",VLOOKUP(A2803,'6.A'!$A$11:$E$564,4,FALSE))</f>
        <v/>
      </c>
      <c r="K2803" s="52" t="str">
        <f t="shared" si="1203"/>
        <v/>
      </c>
      <c r="L2803" s="52" t="str">
        <f>IF(H2803="","",IF(C2803="","",G2768*C2803))</f>
        <v/>
      </c>
      <c r="M2803" s="117" t="str">
        <f>IF(A2803="","",VLOOKUP(A2803,'6.A'!$A$11:$C$564,2,FALSE))</f>
        <v/>
      </c>
      <c r="N2803" s="57" t="str">
        <f t="shared" si="1204"/>
        <v/>
      </c>
      <c r="O2803" s="56"/>
      <c r="P2803" s="56"/>
      <c r="Q2803" s="48"/>
      <c r="R2803" s="48"/>
      <c r="S2803" s="65"/>
      <c r="T2803" s="2"/>
      <c r="U2803" s="2"/>
      <c r="V2803" s="2"/>
    </row>
    <row r="2804" spans="1:22" s="149" customFormat="1" ht="12.75" customHeight="1" x14ac:dyDescent="0.2">
      <c r="A2804" s="155"/>
      <c r="B2804" s="138" t="str">
        <f>IF(A2804="","",VLOOKUP(A2804,'6.A'!$A$11:$G$180,2,FALSE))</f>
        <v/>
      </c>
      <c r="C2804" s="156"/>
      <c r="D2804" s="141" t="str">
        <f>IF(A2804="","",VLOOKUP(A2804,'6.A'!$A$11:$G$180,4,FALSE))</f>
        <v/>
      </c>
      <c r="E2804" s="160" t="str">
        <f>IF(A2804="","",VLOOKUP(A2804,'6.A'!$A$11:$G$180,5,FALSE))</f>
        <v/>
      </c>
      <c r="F2804" s="159" t="str">
        <f t="shared" si="1201"/>
        <v>0,00</v>
      </c>
      <c r="G2804" s="52"/>
      <c r="H2804" s="52" t="str">
        <f>IF(A2804="","",VLOOKUP(A2804,'6.A'!$A$11:$E$7984,5,FALSE))</f>
        <v/>
      </c>
      <c r="I2804" s="52" t="str">
        <f t="shared" si="1202"/>
        <v/>
      </c>
      <c r="J2804" s="52" t="str">
        <f>IF(H2804="","",VLOOKUP(A2804,'6.A'!$A$11:$E$564,4,FALSE))</f>
        <v/>
      </c>
      <c r="K2804" s="52" t="str">
        <f t="shared" si="1203"/>
        <v/>
      </c>
      <c r="L2804" s="52" t="str">
        <f>IF(H2804="","",IF(C2804="","",G2768*C2804))</f>
        <v/>
      </c>
      <c r="M2804" s="117" t="str">
        <f>IF(A2804="","",VLOOKUP(A2804,'6.A'!$A$11:$C$564,2,FALSE))</f>
        <v/>
      </c>
      <c r="N2804" s="57" t="str">
        <f t="shared" si="1204"/>
        <v/>
      </c>
      <c r="O2804" s="56"/>
      <c r="P2804" s="56"/>
      <c r="Q2804" s="48"/>
      <c r="R2804" s="48"/>
      <c r="S2804" s="65"/>
      <c r="T2804" s="2"/>
      <c r="U2804" s="2"/>
      <c r="V2804" s="2"/>
    </row>
    <row r="2805" spans="1:22" s="149" customFormat="1" ht="12.75" customHeight="1" x14ac:dyDescent="0.2">
      <c r="A2805" s="155"/>
      <c r="B2805" s="138" t="str">
        <f>IF(A2805="","",VLOOKUP(A2805,'6.A'!$A$11:$G$180,2,FALSE))</f>
        <v/>
      </c>
      <c r="C2805" s="156"/>
      <c r="D2805" s="141" t="str">
        <f>IF(A2805="","",VLOOKUP(A2805,'6.A'!$A$11:$G$180,4,FALSE))</f>
        <v/>
      </c>
      <c r="E2805" s="160" t="str">
        <f>IF(A2805="","",VLOOKUP(A2805,'6.A'!$A$11:$G$180,5,FALSE))</f>
        <v/>
      </c>
      <c r="F2805" s="159" t="str">
        <f t="shared" si="1201"/>
        <v>0,00</v>
      </c>
      <c r="G2805" s="52"/>
      <c r="H2805" s="52" t="str">
        <f>IF(A2805="","",VLOOKUP(A2805,'6.A'!$A$11:$E$7984,5,FALSE))</f>
        <v/>
      </c>
      <c r="I2805" s="52" t="str">
        <f t="shared" si="1202"/>
        <v/>
      </c>
      <c r="J2805" s="52" t="str">
        <f>IF(H2805="","",VLOOKUP(A2805,'6.A'!$A$11:$E$564,4,FALSE))</f>
        <v/>
      </c>
      <c r="K2805" s="52" t="str">
        <f t="shared" si="1203"/>
        <v/>
      </c>
      <c r="L2805" s="52" t="str">
        <f>IF(H2805="","",IF(C2805="","",G2768*C2805))</f>
        <v/>
      </c>
      <c r="M2805" s="117" t="str">
        <f>IF(A2805="","",VLOOKUP(A2805,'6.A'!$A$11:$C$564,2,FALSE))</f>
        <v/>
      </c>
      <c r="N2805" s="57" t="str">
        <f t="shared" si="1204"/>
        <v/>
      </c>
      <c r="O2805" s="56"/>
      <c r="P2805" s="56"/>
      <c r="Q2805" s="48"/>
      <c r="R2805" s="48"/>
      <c r="S2805" s="65"/>
      <c r="T2805" s="2"/>
      <c r="U2805" s="2"/>
      <c r="V2805" s="2"/>
    </row>
    <row r="2806" spans="1:22" s="149" customFormat="1" ht="12.75" customHeight="1" x14ac:dyDescent="0.2">
      <c r="A2806" s="155"/>
      <c r="B2806" s="138" t="str">
        <f>IF(A2806="","",VLOOKUP(A2806,'6.A'!$A$11:$G$180,2,FALSE))</f>
        <v/>
      </c>
      <c r="C2806" s="156"/>
      <c r="D2806" s="141" t="str">
        <f>IF(A2806="","",VLOOKUP(A2806,'6.A'!$A$11:$G$180,4,FALSE))</f>
        <v/>
      </c>
      <c r="E2806" s="160" t="str">
        <f>IF(A2806="","",VLOOKUP(A2806,'6.A'!$A$11:$G$180,5,FALSE))</f>
        <v/>
      </c>
      <c r="F2806" s="159" t="str">
        <f t="shared" si="1201"/>
        <v>0,00</v>
      </c>
      <c r="G2806" s="52"/>
      <c r="H2806" s="52" t="str">
        <f>IF(A2806="","",VLOOKUP(A2806,'6.A'!$A$11:$E$7984,5,FALSE))</f>
        <v/>
      </c>
      <c r="I2806" s="52" t="str">
        <f t="shared" si="1202"/>
        <v/>
      </c>
      <c r="J2806" s="52" t="str">
        <f>IF(H2806="","",VLOOKUP(A2806,'6.A'!$A$11:$E$564,4,FALSE))</f>
        <v/>
      </c>
      <c r="K2806" s="52" t="str">
        <f t="shared" si="1203"/>
        <v/>
      </c>
      <c r="L2806" s="52" t="str">
        <f>IF(H2806="","",IF(C2806="","",G2768*C2806))</f>
        <v/>
      </c>
      <c r="M2806" s="117" t="str">
        <f>IF(A2806="","",VLOOKUP(A2806,'6.A'!$A$11:$C$564,2,FALSE))</f>
        <v/>
      </c>
      <c r="N2806" s="57" t="str">
        <f t="shared" si="1204"/>
        <v/>
      </c>
      <c r="O2806" s="56"/>
      <c r="P2806" s="56"/>
      <c r="Q2806" s="48"/>
      <c r="R2806" s="48"/>
      <c r="S2806" s="65"/>
      <c r="T2806" s="2"/>
      <c r="U2806" s="2"/>
      <c r="V2806" s="2"/>
    </row>
    <row r="2807" spans="1:22" s="149" customFormat="1" ht="12.75" customHeight="1" x14ac:dyDescent="0.2">
      <c r="A2807" s="155"/>
      <c r="B2807" s="138" t="str">
        <f>IF(A2807="","",VLOOKUP(A2807,'6.A'!$A$11:$G$180,2,FALSE))</f>
        <v/>
      </c>
      <c r="C2807" s="156"/>
      <c r="D2807" s="141" t="str">
        <f>IF(A2807="","",VLOOKUP(A2807,'6.A'!$A$11:$G$180,4,FALSE))</f>
        <v/>
      </c>
      <c r="E2807" s="160" t="str">
        <f>IF(A2807="","",VLOOKUP(A2807,'6.A'!$A$11:$G$180,5,FALSE))</f>
        <v/>
      </c>
      <c r="F2807" s="159" t="str">
        <f t="shared" si="1201"/>
        <v>0,00</v>
      </c>
      <c r="G2807" s="52"/>
      <c r="H2807" s="52" t="str">
        <f>IF(A2807="","",VLOOKUP(A2807,'6.A'!$A$11:$E$7984,5,FALSE))</f>
        <v/>
      </c>
      <c r="I2807" s="52" t="str">
        <f t="shared" si="1202"/>
        <v/>
      </c>
      <c r="J2807" s="52" t="str">
        <f>IF(H2807="","",VLOOKUP(A2807,'6.A'!$A$11:$E$564,4,FALSE))</f>
        <v/>
      </c>
      <c r="K2807" s="52" t="str">
        <f t="shared" si="1203"/>
        <v/>
      </c>
      <c r="L2807" s="52" t="str">
        <f>IF(H2807="","",IF(C2807="","",G2768*C2807))</f>
        <v/>
      </c>
      <c r="M2807" s="117" t="str">
        <f>IF(A2807="","",VLOOKUP(A2807,'6.A'!$A$11:$C$564,2,FALSE))</f>
        <v/>
      </c>
      <c r="N2807" s="57" t="str">
        <f t="shared" si="1204"/>
        <v/>
      </c>
      <c r="O2807" s="56"/>
      <c r="P2807" s="56"/>
      <c r="Q2807" s="48"/>
      <c r="R2807" s="48"/>
      <c r="S2807" s="65"/>
      <c r="T2807" s="2"/>
      <c r="U2807" s="2"/>
      <c r="V2807" s="2"/>
    </row>
    <row r="2808" spans="1:22" s="149" customFormat="1" ht="12.75" customHeight="1" x14ac:dyDescent="0.2">
      <c r="A2808" s="155"/>
      <c r="B2808" s="138" t="str">
        <f>IF(A2808="","",VLOOKUP(A2808,'6.A'!$A$11:$G$180,2,FALSE))</f>
        <v/>
      </c>
      <c r="C2808" s="156"/>
      <c r="D2808" s="141" t="str">
        <f>IF(A2808="","",VLOOKUP(A2808,'6.A'!$A$11:$G$180,4,FALSE))</f>
        <v/>
      </c>
      <c r="E2808" s="160" t="str">
        <f>IF(A2808="","",VLOOKUP(A2808,'6.A'!$A$11:$G$180,5,FALSE))</f>
        <v/>
      </c>
      <c r="F2808" s="159" t="str">
        <f t="shared" si="1201"/>
        <v>0,00</v>
      </c>
      <c r="G2808" s="52"/>
      <c r="H2808" s="52" t="str">
        <f>IF(A2808="","",VLOOKUP(A2808,'6.A'!$A$11:$E$7984,5,FALSE))</f>
        <v/>
      </c>
      <c r="I2808" s="52" t="str">
        <f t="shared" si="1202"/>
        <v/>
      </c>
      <c r="J2808" s="52" t="str">
        <f>IF(H2808="","",VLOOKUP(A2808,'6.A'!$A$11:$E$564,4,FALSE))</f>
        <v/>
      </c>
      <c r="K2808" s="52" t="str">
        <f t="shared" si="1203"/>
        <v/>
      </c>
      <c r="L2808" s="52" t="str">
        <f>IF(H2808="","",IF(C2808="","",G2768*C2808))</f>
        <v/>
      </c>
      <c r="M2808" s="117" t="str">
        <f>IF(A2808="","",VLOOKUP(A2808,'6.A'!$A$11:$C$564,2,FALSE))</f>
        <v/>
      </c>
      <c r="N2808" s="57" t="str">
        <f t="shared" si="1204"/>
        <v/>
      </c>
      <c r="O2808" s="56"/>
      <c r="P2808" s="56"/>
      <c r="Q2808" s="48"/>
      <c r="R2808" s="48"/>
      <c r="S2808" s="65"/>
      <c r="T2808" s="2"/>
      <c r="U2808" s="2"/>
      <c r="V2808" s="2"/>
    </row>
    <row r="2809" spans="1:22" s="149" customFormat="1" ht="12.75" customHeight="1" x14ac:dyDescent="0.2">
      <c r="A2809" s="155"/>
      <c r="B2809" s="138" t="str">
        <f>IF(A2809="","",VLOOKUP(A2809,'6.A'!$A$11:$G$180,2,FALSE))</f>
        <v/>
      </c>
      <c r="C2809" s="156"/>
      <c r="D2809" s="141" t="str">
        <f>IF(A2809="","",VLOOKUP(A2809,'6.A'!$A$11:$G$180,4,FALSE))</f>
        <v/>
      </c>
      <c r="E2809" s="160" t="str">
        <f>IF(A2809="","",VLOOKUP(A2809,'6.A'!$A$11:$G$180,5,FALSE))</f>
        <v/>
      </c>
      <c r="F2809" s="159" t="str">
        <f t="shared" si="1201"/>
        <v>0,00</v>
      </c>
      <c r="G2809" s="52"/>
      <c r="H2809" s="52" t="str">
        <f>IF(A2809="","",VLOOKUP(A2809,'6.A'!$A$11:$E$7984,5,FALSE))</f>
        <v/>
      </c>
      <c r="I2809" s="52" t="str">
        <f t="shared" si="1202"/>
        <v/>
      </c>
      <c r="J2809" s="52" t="str">
        <f>IF(H2809="","",VLOOKUP(A2809,'6.A'!$A$11:$E$564,4,FALSE))</f>
        <v/>
      </c>
      <c r="K2809" s="52" t="str">
        <f t="shared" si="1203"/>
        <v/>
      </c>
      <c r="L2809" s="52" t="str">
        <f>IF(H2809="","",IF(C2809="","",G2768*C2809))</f>
        <v/>
      </c>
      <c r="M2809" s="117" t="str">
        <f>IF(A2809="","",VLOOKUP(A2809,'6.A'!$A$11:$C$564,2,FALSE))</f>
        <v/>
      </c>
      <c r="N2809" s="57" t="str">
        <f t="shared" si="1204"/>
        <v/>
      </c>
      <c r="O2809" s="56"/>
      <c r="P2809" s="56"/>
      <c r="Q2809" s="48"/>
      <c r="R2809" s="48"/>
      <c r="S2809" s="65"/>
      <c r="T2809" s="2"/>
      <c r="U2809" s="2"/>
      <c r="V2809" s="2"/>
    </row>
    <row r="2810" spans="1:22" s="149" customFormat="1" ht="12.75" customHeight="1" x14ac:dyDescent="0.2">
      <c r="A2810" s="155"/>
      <c r="B2810" s="138" t="str">
        <f>IF(A2810="","",VLOOKUP(A2810,'6.A'!$A$11:$G$180,2,FALSE))</f>
        <v/>
      </c>
      <c r="C2810" s="156"/>
      <c r="D2810" s="141" t="str">
        <f>IF(A2810="","",VLOOKUP(A2810,'6.A'!$A$11:$G$180,4,FALSE))</f>
        <v/>
      </c>
      <c r="E2810" s="160" t="str">
        <f>IF(A2810="","",VLOOKUP(A2810,'6.A'!$A$11:$G$180,5,FALSE))</f>
        <v/>
      </c>
      <c r="F2810" s="159" t="str">
        <f t="shared" si="1201"/>
        <v>0,00</v>
      </c>
      <c r="G2810" s="52"/>
      <c r="H2810" s="52" t="str">
        <f>IF(A2810="","",VLOOKUP(A2810,'6.A'!$A$11:$E$7984,5,FALSE))</f>
        <v/>
      </c>
      <c r="I2810" s="52" t="str">
        <f t="shared" si="1202"/>
        <v/>
      </c>
      <c r="J2810" s="52" t="str">
        <f>IF(H2810="","",VLOOKUP(A2810,'6.A'!$A$11:$E$564,4,FALSE))</f>
        <v/>
      </c>
      <c r="K2810" s="52" t="str">
        <f t="shared" si="1203"/>
        <v/>
      </c>
      <c r="L2810" s="52" t="str">
        <f>IF(H2810="","",IF(C2810="","",G2768*C2810))</f>
        <v/>
      </c>
      <c r="M2810" s="117" t="str">
        <f>IF(A2810="","",VLOOKUP(A2810,'6.A'!$A$11:$C$564,2,FALSE))</f>
        <v/>
      </c>
      <c r="N2810" s="57" t="str">
        <f t="shared" si="1204"/>
        <v/>
      </c>
      <c r="O2810" s="56"/>
      <c r="P2810" s="56"/>
      <c r="Q2810" s="48"/>
      <c r="R2810" s="48"/>
      <c r="S2810" s="65"/>
      <c r="T2810" s="2"/>
      <c r="U2810" s="2"/>
      <c r="V2810" s="2"/>
    </row>
    <row r="2811" spans="1:22" s="149" customFormat="1" ht="12.75" customHeight="1" x14ac:dyDescent="0.2">
      <c r="A2811" s="155"/>
      <c r="B2811" s="138" t="str">
        <f>IF(A2811="","",VLOOKUP(A2811,'6.A'!$A$11:$G$180,2,FALSE))</f>
        <v/>
      </c>
      <c r="C2811" s="156"/>
      <c r="D2811" s="141" t="str">
        <f>IF(A2811="","",VLOOKUP(A2811,'6.A'!$A$11:$G$180,4,FALSE))</f>
        <v/>
      </c>
      <c r="E2811" s="160" t="str">
        <f>IF(A2811="","",VLOOKUP(A2811,'6.A'!$A$11:$G$180,5,FALSE))</f>
        <v/>
      </c>
      <c r="F2811" s="159" t="str">
        <f t="shared" si="1201"/>
        <v>0,00</v>
      </c>
      <c r="G2811" s="52"/>
      <c r="H2811" s="52" t="str">
        <f>IF(A2811="","",VLOOKUP(A2811,'6.A'!$A$11:$E$7984,5,FALSE))</f>
        <v/>
      </c>
      <c r="I2811" s="52" t="str">
        <f t="shared" si="1202"/>
        <v/>
      </c>
      <c r="J2811" s="52" t="str">
        <f>IF(H2811="","",VLOOKUP(A2811,'6.A'!$A$11:$E$564,4,FALSE))</f>
        <v/>
      </c>
      <c r="K2811" s="52" t="str">
        <f t="shared" si="1203"/>
        <v/>
      </c>
      <c r="L2811" s="52" t="str">
        <f>IF(H2811="","",IF(C2811="","",G2768*C2811))</f>
        <v/>
      </c>
      <c r="M2811" s="117" t="str">
        <f>IF(A2811="","",VLOOKUP(A2811,'6.A'!$A$11:$C$564,2,FALSE))</f>
        <v/>
      </c>
      <c r="N2811" s="57" t="str">
        <f t="shared" si="1204"/>
        <v/>
      </c>
      <c r="O2811" s="56"/>
      <c r="P2811" s="56"/>
      <c r="Q2811" s="48"/>
      <c r="R2811" s="48"/>
      <c r="S2811" s="65"/>
      <c r="T2811" s="2"/>
      <c r="U2811" s="2"/>
      <c r="V2811" s="2"/>
    </row>
    <row r="2812" spans="1:22" s="149" customFormat="1" ht="12.75" customHeight="1" x14ac:dyDescent="0.2">
      <c r="A2812" s="155"/>
      <c r="B2812" s="138" t="str">
        <f>IF(A2812="","",VLOOKUP(A2812,'6.A'!$A$11:$G$180,2,FALSE))</f>
        <v/>
      </c>
      <c r="C2812" s="156"/>
      <c r="D2812" s="141" t="str">
        <f>IF(A2812="","",VLOOKUP(A2812,'6.A'!$A$11:$G$180,4,FALSE))</f>
        <v/>
      </c>
      <c r="E2812" s="160" t="str">
        <f>IF(A2812="","",VLOOKUP(A2812,'6.A'!$A$11:$G$180,5,FALSE))</f>
        <v/>
      </c>
      <c r="F2812" s="159" t="str">
        <f t="shared" si="1201"/>
        <v>0,00</v>
      </c>
      <c r="G2812" s="52"/>
      <c r="H2812" s="52" t="str">
        <f>IF(A2812="","",VLOOKUP(A2812,'6.A'!$A$11:$E$7984,5,FALSE))</f>
        <v/>
      </c>
      <c r="I2812" s="52" t="str">
        <f t="shared" si="1202"/>
        <v/>
      </c>
      <c r="J2812" s="52" t="str">
        <f>IF(H2812="","",VLOOKUP(A2812,'6.A'!$A$11:$E$564,4,FALSE))</f>
        <v/>
      </c>
      <c r="K2812" s="52" t="str">
        <f t="shared" si="1203"/>
        <v/>
      </c>
      <c r="L2812" s="52" t="str">
        <f>IF(H2812="","",IF(C2812="","",G2768*C2812))</f>
        <v/>
      </c>
      <c r="M2812" s="117" t="str">
        <f>IF(A2812="","",VLOOKUP(A2812,'6.A'!$A$11:$C$564,2,FALSE))</f>
        <v/>
      </c>
      <c r="N2812" s="57" t="str">
        <f t="shared" si="1204"/>
        <v/>
      </c>
      <c r="O2812" s="56"/>
      <c r="P2812" s="56"/>
      <c r="Q2812" s="48"/>
      <c r="R2812" s="48"/>
      <c r="S2812" s="65"/>
      <c r="T2812" s="2"/>
      <c r="U2812" s="2"/>
      <c r="V2812" s="2"/>
    </row>
    <row r="2813" spans="1:22" s="149" customFormat="1" ht="12.75" customHeight="1" x14ac:dyDescent="0.2">
      <c r="A2813" s="155"/>
      <c r="B2813" s="171" t="str">
        <f>IF(A2813="","",VLOOKUP(A2813,'6.A'!$A$11:$G$180,2,FALSE))</f>
        <v/>
      </c>
      <c r="C2813" s="156"/>
      <c r="D2813" s="141" t="str">
        <f>IF(A2813="","",VLOOKUP(A2813,'6.A'!$A$11:$G$180,4,FALSE))</f>
        <v/>
      </c>
      <c r="E2813" s="160" t="str">
        <f>IF(A2813="","",VLOOKUP(A2813,'6.A'!$A$11:$G$180,5,FALSE))</f>
        <v/>
      </c>
      <c r="F2813" s="159" t="str">
        <f t="shared" si="1201"/>
        <v>0,00</v>
      </c>
      <c r="G2813" s="52"/>
      <c r="H2813" s="52" t="str">
        <f>IF(A2813="","",VLOOKUP(A2813,'6.A'!$A$11:$E$7984,5,FALSE))</f>
        <v/>
      </c>
      <c r="I2813" s="52" t="str">
        <f t="shared" si="1202"/>
        <v/>
      </c>
      <c r="J2813" s="52" t="str">
        <f>IF(H2813="","",VLOOKUP(A2813,'6.A'!$A$11:$E$564,4,FALSE))</f>
        <v/>
      </c>
      <c r="K2813" s="52" t="str">
        <f t="shared" si="1203"/>
        <v/>
      </c>
      <c r="L2813" s="52" t="str">
        <f>IF(H2813="","",IF(C2813="","",G2768*C2813))</f>
        <v/>
      </c>
      <c r="M2813" s="117" t="str">
        <f>IF(A2813="","",VLOOKUP(A2813,'6.A'!$A$11:$C$564,2,FALSE))</f>
        <v/>
      </c>
      <c r="N2813" s="57" t="str">
        <f t="shared" si="1204"/>
        <v/>
      </c>
      <c r="O2813" s="56"/>
      <c r="P2813" s="56"/>
      <c r="Q2813" s="48"/>
      <c r="R2813" s="48"/>
      <c r="S2813" s="65"/>
      <c r="T2813" s="2"/>
      <c r="U2813" s="2"/>
      <c r="V2813" s="2"/>
    </row>
    <row r="2814" spans="1:22" s="149" customFormat="1" ht="12.75" customHeight="1" x14ac:dyDescent="0.2">
      <c r="A2814" s="155"/>
      <c r="B2814" s="171" t="str">
        <f>IF(A2814="","",VLOOKUP(A2814,'6.A'!$A$11:$G$180,2,FALSE))</f>
        <v/>
      </c>
      <c r="C2814" s="156"/>
      <c r="D2814" s="141" t="str">
        <f>IF(A2814="","",VLOOKUP(A2814,'6.A'!$A$11:$G$180,4,FALSE))</f>
        <v/>
      </c>
      <c r="E2814" s="160" t="str">
        <f>IF(A2814="","",VLOOKUP(A2814,'6.A'!$A$11:$G$180,5,FALSE))</f>
        <v/>
      </c>
      <c r="F2814" s="159" t="str">
        <f t="shared" si="1201"/>
        <v>0,00</v>
      </c>
      <c r="G2814" s="52"/>
      <c r="H2814" s="52" t="str">
        <f>IF(A2814="","",VLOOKUP(A2814,'6.A'!$A$11:$E$7984,5,FALSE))</f>
        <v/>
      </c>
      <c r="I2814" s="52" t="str">
        <f t="shared" si="1202"/>
        <v/>
      </c>
      <c r="J2814" s="52" t="str">
        <f>IF(H2814="","",VLOOKUP(A2814,'6.A'!$A$11:$E$564,4,FALSE))</f>
        <v/>
      </c>
      <c r="K2814" s="52" t="str">
        <f t="shared" si="1203"/>
        <v/>
      </c>
      <c r="L2814" s="52" t="str">
        <f>IF(H2814="","",IF(C2814="","",G2768*C2814))</f>
        <v/>
      </c>
      <c r="M2814" s="117" t="str">
        <f>IF(A2814="","",VLOOKUP(A2814,'6.A'!$A$11:$C$564,2,FALSE))</f>
        <v/>
      </c>
      <c r="N2814" s="57" t="str">
        <f t="shared" si="1204"/>
        <v/>
      </c>
      <c r="O2814" s="56"/>
      <c r="P2814" s="56"/>
      <c r="Q2814" s="48"/>
      <c r="R2814" s="48"/>
      <c r="S2814" s="65"/>
      <c r="T2814" s="2"/>
      <c r="U2814" s="2"/>
      <c r="V2814" s="2"/>
    </row>
    <row r="2815" spans="1:22" s="149" customFormat="1" ht="12.75" customHeight="1" x14ac:dyDescent="0.2">
      <c r="A2815" s="155"/>
      <c r="B2815" s="171" t="str">
        <f>IF(A2815="","",VLOOKUP(A2815,'6.A'!$A$11:$G$180,2,FALSE))</f>
        <v/>
      </c>
      <c r="C2815" s="156"/>
      <c r="D2815" s="141" t="str">
        <f>IF(A2815="","",VLOOKUP(A2815,'6.A'!$A$11:$G$180,4,FALSE))</f>
        <v/>
      </c>
      <c r="E2815" s="160" t="str">
        <f>IF(A2815="","",VLOOKUP(A2815,'6.A'!$A$11:$G$180,5,FALSE))</f>
        <v/>
      </c>
      <c r="F2815" s="159" t="str">
        <f t="shared" si="1201"/>
        <v>0,00</v>
      </c>
      <c r="G2815" s="52"/>
      <c r="H2815" s="52" t="str">
        <f>IF(A2815="","",VLOOKUP(A2815,'6.A'!$A$11:$E$7984,5,FALSE))</f>
        <v/>
      </c>
      <c r="I2815" s="52" t="str">
        <f t="shared" si="1202"/>
        <v/>
      </c>
      <c r="J2815" s="52" t="str">
        <f>IF(H2815="","",VLOOKUP(A2815,'6.A'!$A$11:$E$564,4,FALSE))</f>
        <v/>
      </c>
      <c r="K2815" s="52" t="str">
        <f t="shared" si="1203"/>
        <v/>
      </c>
      <c r="L2815" s="52" t="str">
        <f>IF(H2815="","",IF(C2815="","",G2768*C2815))</f>
        <v/>
      </c>
      <c r="M2815" s="117" t="str">
        <f>IF(A2815="","",VLOOKUP(A2815,'6.A'!$A$11:$C$564,2,FALSE))</f>
        <v/>
      </c>
      <c r="N2815" s="57" t="str">
        <f t="shared" si="1204"/>
        <v/>
      </c>
      <c r="O2815" s="56"/>
      <c r="P2815" s="56"/>
      <c r="Q2815" s="48"/>
      <c r="R2815" s="48"/>
      <c r="S2815" s="65"/>
      <c r="T2815" s="2"/>
      <c r="U2815" s="2"/>
      <c r="V2815" s="2"/>
    </row>
    <row r="2816" spans="1:22" s="149" customFormat="1" ht="12.75" customHeight="1" x14ac:dyDescent="0.2">
      <c r="A2816" s="155"/>
      <c r="B2816" s="171" t="str">
        <f>IF(A2816="","",VLOOKUP(A2816,'6.A'!$A$11:$G$180,2,FALSE))</f>
        <v/>
      </c>
      <c r="C2816" s="156"/>
      <c r="D2816" s="141" t="str">
        <f>IF(A2816="","",VLOOKUP(A2816,'6.A'!$A$11:$G$180,4,FALSE))</f>
        <v/>
      </c>
      <c r="E2816" s="160" t="str">
        <f>IF(A2816="","",VLOOKUP(A2816,'6.A'!$A$11:$G$180,5,FALSE))</f>
        <v/>
      </c>
      <c r="F2816" s="159" t="str">
        <f t="shared" si="1201"/>
        <v>0,00</v>
      </c>
      <c r="G2816" s="52"/>
      <c r="H2816" s="52" t="str">
        <f>IF(A2816="","",VLOOKUP(A2816,'6.A'!$A$11:$E$7984,5,FALSE))</f>
        <v/>
      </c>
      <c r="I2816" s="52" t="str">
        <f t="shared" si="1202"/>
        <v/>
      </c>
      <c r="J2816" s="52" t="str">
        <f>IF(H2816="","",VLOOKUP(A2816,'6.A'!$A$11:$E$564,4,FALSE))</f>
        <v/>
      </c>
      <c r="K2816" s="52" t="str">
        <f t="shared" si="1203"/>
        <v/>
      </c>
      <c r="L2816" s="52" t="str">
        <f>IF(H2816="","",IF(C2816="","",G2768*C2816))</f>
        <v/>
      </c>
      <c r="M2816" s="117" t="str">
        <f>IF(A2816="","",VLOOKUP(A2816,'6.A'!$A$11:$C$564,2,FALSE))</f>
        <v/>
      </c>
      <c r="N2816" s="57" t="str">
        <f t="shared" si="1204"/>
        <v/>
      </c>
      <c r="O2816" s="56"/>
      <c r="P2816" s="56"/>
      <c r="Q2816" s="48"/>
      <c r="R2816" s="48"/>
      <c r="S2816" s="65"/>
      <c r="T2816" s="2"/>
      <c r="U2816" s="2"/>
      <c r="V2816" s="2"/>
    </row>
    <row r="2817" spans="1:23" s="137" customFormat="1" ht="12.75" customHeight="1" x14ac:dyDescent="0.2">
      <c r="A2817" s="155"/>
      <c r="B2817" s="26" t="str">
        <f>$A$9</f>
        <v>BDI</v>
      </c>
      <c r="C2817" s="40">
        <f>$C$9</f>
        <v>0</v>
      </c>
      <c r="D2817" s="141"/>
      <c r="E2817" s="147"/>
      <c r="F2817" s="162">
        <f>ROUND(SUM(F2797:F2816)*C2817,2)</f>
        <v>0</v>
      </c>
      <c r="G2817" s="63"/>
      <c r="H2817" s="52"/>
      <c r="I2817" s="57"/>
      <c r="J2817" s="57"/>
      <c r="K2817" s="57"/>
      <c r="L2817" s="52"/>
      <c r="M2817" s="57"/>
      <c r="N2817" s="57"/>
      <c r="O2817" s="56"/>
      <c r="P2817" s="56"/>
      <c r="Q2817" s="48"/>
      <c r="R2817" s="48"/>
      <c r="S2817" s="65"/>
      <c r="T2817" s="2"/>
      <c r="U2817" s="2"/>
      <c r="V2817" s="2"/>
    </row>
    <row r="2818" spans="1:23" s="137" customFormat="1" ht="12.75" customHeight="1" thickBot="1" x14ac:dyDescent="0.25">
      <c r="A2818" s="172"/>
      <c r="B2818" s="42" t="s">
        <v>57</v>
      </c>
      <c r="C2818" s="43"/>
      <c r="D2818" s="173"/>
      <c r="E2818" s="174"/>
      <c r="F2818" s="175">
        <f>ROUND(SUM(F2797:F2817),2)</f>
        <v>0</v>
      </c>
      <c r="G2818" s="63"/>
      <c r="H2818" s="52"/>
      <c r="I2818" s="57"/>
      <c r="J2818" s="57"/>
      <c r="K2818" s="57"/>
      <c r="L2818" s="52"/>
      <c r="M2818" s="57"/>
      <c r="N2818" s="57"/>
      <c r="O2818" s="56"/>
      <c r="P2818" s="56"/>
      <c r="Q2818" s="48"/>
      <c r="R2818" s="48"/>
      <c r="S2818" s="65"/>
      <c r="T2818" s="2"/>
      <c r="U2818" s="2"/>
      <c r="V2818" s="2"/>
    </row>
    <row r="2819" spans="1:23" ht="12" customHeight="1" thickBot="1" x14ac:dyDescent="0.25">
      <c r="A2819" s="8"/>
      <c r="B2819" s="9"/>
      <c r="C2819" s="10"/>
      <c r="D2819" s="57"/>
      <c r="F2819" s="12"/>
      <c r="M2819" s="57"/>
      <c r="N2819" s="57"/>
      <c r="O2819" s="56"/>
      <c r="P2819" s="56"/>
    </row>
    <row r="2820" spans="1:23" ht="50.1" customHeight="1" x14ac:dyDescent="0.2">
      <c r="A2820" s="243" t="str">
        <f>'3.A'!$A$64</f>
        <v>3.3.11</v>
      </c>
      <c r="B2820" s="14" t="str">
        <f>IF(A2820="","",VLOOKUP(A2820,'3.A'!$A$17:$M$279,2,FALSE))</f>
        <v>DISJUNTOR CAIXA MOLDADA TRIPOLAR 100A COM DISPARADOR TERMOMAGNÉTICO AJUSTÁVEL</v>
      </c>
      <c r="C2820" s="413" t="s">
        <v>62</v>
      </c>
      <c r="D2820" s="413"/>
      <c r="E2820" s="15" t="str">
        <f>IF(A2820="","",VLOOKUP(A2820,'3.A'!$A$17:$M$279,3,FALSE))</f>
        <v>UN</v>
      </c>
      <c r="F2820" s="16">
        <f>ROUND(F2834+F2847+F2870,2)</f>
        <v>0</v>
      </c>
      <c r="G2820" s="118">
        <f>VLOOKUP(A2820,'3.A'!$A$19:$I$279,4,FALSE)</f>
        <v>6</v>
      </c>
      <c r="H2820" s="47">
        <f>SUM(F2822:F2833)</f>
        <v>0</v>
      </c>
      <c r="I2820" s="47">
        <f>SUM(F2836:F2846)</f>
        <v>0</v>
      </c>
      <c r="J2820" s="47">
        <f>SUM(F2849:F2869)</f>
        <v>0</v>
      </c>
      <c r="K2820" s="47">
        <f>SUM(H2820:J2820)</f>
        <v>0</v>
      </c>
      <c r="L2820" s="47" t="str">
        <f>IF(K2820=F2820,"SIM","NÃO")</f>
        <v>SIM</v>
      </c>
      <c r="M2820" s="58">
        <f>ROUND(SUM(F2822:F2831)*C2832,2)+ROUND(SUM(F2822:F2832)*C2833,2)+ROUND(SUM(F2822:F2831),2)+ROUND(SUM(F2836:F2845)*C2846,2)+ROUND(SUM(F2836:F2845),2)+ROUND(SUM(F2849:F2868)*C2869,2)+ROUND(SUM(F2849:F2868),2)</f>
        <v>0</v>
      </c>
      <c r="N2820" s="50" t="str">
        <f>IF(M2820=F2820,"SIM","NÃO")</f>
        <v>SIM</v>
      </c>
      <c r="O2820" s="51" t="str">
        <f>VLOOKUP(A2820,'3.A'!$A$8:$E$279,3,FALSE)</f>
        <v>UN</v>
      </c>
      <c r="P2820" s="51" t="str">
        <f>IF(O2820=E2820,"SIM","NÃO")</f>
        <v>SIM</v>
      </c>
      <c r="Q2820" s="53">
        <f>ROUND(G2820*F2834,2)+ROUND(G2820*F2847,2)+ROUND(G2820*F2870,2)</f>
        <v>0</v>
      </c>
      <c r="R2820" s="59">
        <f>VLOOKUP(A2820,'3.A'!$A$17:$L$279,12,FALSE)</f>
        <v>0</v>
      </c>
      <c r="S2820" s="60" t="str">
        <f>IF(Q2820=R2820,"si","no")</f>
        <v>si</v>
      </c>
      <c r="T2820" s="61">
        <f>SUM(L2822:L2831)+SUM(L2836:L2845)+SUM(L2849:L2868)</f>
        <v>31.200000000000003</v>
      </c>
      <c r="U2820" s="52">
        <f>G2820*C2828+G2820*C2830+G2820*C2823+G2820*C2824+G2820*C2826+G2820*C2829+G2820*C2827+G2820*C2822+G2820*C2825+G2820*C2831+G2820*C2842+G2820*C2836+G2820*C2844+G2820*C2843+G2820*C2841+G2820*C2838+G2820*C2837+G2820*C2839+G2820*C2845+G2820*C2840+G2820*C2849+G2820*C2850+G2820*C2851+G2820*C2859+G2820*C2860+G2820*C2861+G2820*C2862+G2820*C2863+G2820*C2864+G2820*C2865+G2820*C2866+G2820*C2867+G2820*C2868+G2820*C2857+G2820*C2858+G2820*C2852+G2820*C2853+G2820*C2854+G2820*C2855+G2820*C2856</f>
        <v>31.200000000000003</v>
      </c>
      <c r="V2820" s="54" t="str">
        <f>IF(T2820=U2820,"si","no")</f>
        <v>si</v>
      </c>
      <c r="W2820" s="137"/>
    </row>
    <row r="2821" spans="1:23" ht="12.75" customHeight="1" x14ac:dyDescent="0.2">
      <c r="A2821" s="17" t="s">
        <v>3</v>
      </c>
      <c r="B2821" s="18" t="s">
        <v>58</v>
      </c>
      <c r="C2821" s="56" t="s">
        <v>59</v>
      </c>
      <c r="D2821" s="56" t="s">
        <v>16</v>
      </c>
      <c r="E2821" s="19" t="s">
        <v>60</v>
      </c>
      <c r="F2821" s="20" t="s">
        <v>61</v>
      </c>
      <c r="G2821" s="21"/>
      <c r="M2821" s="57"/>
      <c r="N2821" s="57"/>
      <c r="O2821" s="56"/>
      <c r="P2821" s="56"/>
      <c r="Q2821" s="48"/>
      <c r="R2821" s="48"/>
    </row>
    <row r="2822" spans="1:23" ht="12.75" customHeight="1" x14ac:dyDescent="0.2">
      <c r="A2822" s="155">
        <f>'6.A'!$A$19</f>
        <v>88266</v>
      </c>
      <c r="B2822" s="138" t="str">
        <f>IF(A2822="","",VLOOKUP(A2822,'6.A'!$A$11:$G$180,2,FALSE))</f>
        <v>ELETROTÉCNICO COM ENCARGOS COMPLEMENTARES</v>
      </c>
      <c r="C2822" s="156">
        <v>0.6</v>
      </c>
      <c r="D2822" s="57" t="str">
        <f>IF(A2822="","",VLOOKUP(A2822,'6.A'!$A$11:$G$180,4,FALSE))</f>
        <v>H</v>
      </c>
      <c r="E2822" s="100">
        <f>IF(A2822="","",VLOOKUP(A2822,'6.A'!$A$11:$G$180,5,FALSE))</f>
        <v>0</v>
      </c>
      <c r="F2822" s="24">
        <f t="shared" ref="F2822" si="1205">IF(A2822="","0,00",ROUND(C2822*E2822,2))</f>
        <v>0</v>
      </c>
      <c r="G2822" s="52"/>
      <c r="H2822" s="52">
        <f>IF(A2822="","",VLOOKUP(A2822,'6.A'!$A$11:$E$7984,5,FALSE))</f>
        <v>0</v>
      </c>
      <c r="I2822" s="52" t="str">
        <f>IF(H2822="","",IF(E2822=H2822,"SIM","NÃO"))</f>
        <v>SIM</v>
      </c>
      <c r="J2822" s="52" t="str">
        <f>IF(H2822="","",VLOOKUP(A2822,'6.A'!$A$11:$E$564,4,FALSE))</f>
        <v>H</v>
      </c>
      <c r="K2822" s="52" t="str">
        <f>IF(H2822="","",IF(J2822=D2822,"SIM","NÃO"))</f>
        <v>SIM</v>
      </c>
      <c r="L2822" s="52">
        <f>IF(H2822="","",IF(C2822="","",G2820*C2822))</f>
        <v>3.5999999999999996</v>
      </c>
      <c r="M2822" s="117" t="str">
        <f>IF(A2822="","",VLOOKUP(A2822,'6.A'!$A$11:$C$564,2,FALSE))</f>
        <v>ELETROTÉCNICO COM ENCARGOS COMPLEMENTARES</v>
      </c>
      <c r="N2822" s="57" t="str">
        <f>IF(A2822="","",IF(M2822=B2822,"si","no"))</f>
        <v>si</v>
      </c>
      <c r="O2822" s="56"/>
      <c r="P2822" s="56"/>
      <c r="Q2822" s="48"/>
      <c r="R2822" s="48"/>
    </row>
    <row r="2823" spans="1:23" ht="12.75" customHeight="1" x14ac:dyDescent="0.2">
      <c r="A2823" s="155">
        <f>'6.A'!$A$18</f>
        <v>88264</v>
      </c>
      <c r="B2823" s="138" t="str">
        <f>IF(A2823="","",VLOOKUP(A2823,'6.A'!$A$11:$G$180,2,FALSE))</f>
        <v>ELETRICISTA COM ENCARGOS COMPLEMENTARES</v>
      </c>
      <c r="C2823" s="156">
        <v>1.8</v>
      </c>
      <c r="D2823" s="57" t="str">
        <f>IF(A2823="","",VLOOKUP(A2823,'6.A'!$A$11:$G$180,4,FALSE))</f>
        <v>H</v>
      </c>
      <c r="E2823" s="100">
        <f>IF(A2823="","",VLOOKUP(A2823,'6.A'!$A$11:$G$180,5,FALSE))</f>
        <v>0</v>
      </c>
      <c r="F2823" s="24">
        <f>IF(A2823="","0,00",ROUND(C2823*E2823,2))</f>
        <v>0</v>
      </c>
      <c r="G2823" s="52"/>
      <c r="H2823" s="52">
        <f>IF(A2823="","",VLOOKUP(A2823,'6.A'!$A$11:$E$7984,5,FALSE))</f>
        <v>0</v>
      </c>
      <c r="I2823" s="52" t="str">
        <f>IF(H2823="","",IF(E2823=H2823,"SIM","NÃO"))</f>
        <v>SIM</v>
      </c>
      <c r="J2823" s="52" t="str">
        <f>IF(H2823="","",VLOOKUP(A2823,'6.A'!$A$11:$E$564,4,FALSE))</f>
        <v>H</v>
      </c>
      <c r="K2823" s="52" t="str">
        <f>IF(H2823="","",IF(J2823=D2823,"SIM","NÃO"))</f>
        <v>SIM</v>
      </c>
      <c r="L2823" s="52">
        <f>IF(H2823="","",IF(C2823="","",G2820*C2823))</f>
        <v>10.8</v>
      </c>
      <c r="M2823" s="117" t="str">
        <f>IF(A2823="","",VLOOKUP(A2823,'6.A'!$A$11:$C$564,2,FALSE))</f>
        <v>ELETRICISTA COM ENCARGOS COMPLEMENTARES</v>
      </c>
      <c r="N2823" s="57" t="str">
        <f>IF(A2823="","",IF(M2823=B2823,"si","no"))</f>
        <v>si</v>
      </c>
      <c r="O2823" s="56"/>
      <c r="P2823" s="56"/>
      <c r="Q2823" s="48"/>
      <c r="R2823" s="48"/>
    </row>
    <row r="2824" spans="1:23" ht="12.75" customHeight="1" x14ac:dyDescent="0.2">
      <c r="A2824" s="155">
        <f>'6.A'!$A$22</f>
        <v>88316</v>
      </c>
      <c r="B2824" s="138" t="str">
        <f>IF(A2824="","",VLOOKUP(A2824,'6.A'!$A$11:$G$180,2,FALSE))</f>
        <v>SERVENTE COM ENCARGOS COMPLEMENTARES</v>
      </c>
      <c r="C2824" s="156">
        <v>1.8</v>
      </c>
      <c r="D2824" s="57" t="str">
        <f>IF(A2824="","",VLOOKUP(A2824,'6.A'!$A$11:$G$180,4,FALSE))</f>
        <v>H</v>
      </c>
      <c r="E2824" s="100">
        <f>IF(A2824="","",VLOOKUP(A2824,'6.A'!$A$11:$G$180,5,FALSE))</f>
        <v>0</v>
      </c>
      <c r="F2824" s="24">
        <f t="shared" ref="F2824:F2831" si="1206">IF(A2824="","0,00",ROUND(C2824*E2824,2))</f>
        <v>0</v>
      </c>
      <c r="G2824" s="52"/>
      <c r="H2824" s="52">
        <f>IF(A2824="","",VLOOKUP(A2824,'6.A'!$A$11:$E$7984,5,FALSE))</f>
        <v>0</v>
      </c>
      <c r="I2824" s="52" t="str">
        <f>IF(H2824="","",IF(E2824=H2824,"SIM","NÃO"))</f>
        <v>SIM</v>
      </c>
      <c r="J2824" s="52" t="str">
        <f>IF(H2824="","",VLOOKUP(A2824,'6.A'!$A$11:$E$564,4,FALSE))</f>
        <v>H</v>
      </c>
      <c r="K2824" s="52" t="str">
        <f t="shared" ref="K2824" si="1207">IF(H2824="","",IF(J2824=D2824,"SIM","NÃO"))</f>
        <v>SIM</v>
      </c>
      <c r="L2824" s="52">
        <f>IF(H2824="","",IF(C2824="","",G2820*C2824))</f>
        <v>10.8</v>
      </c>
      <c r="M2824" s="117" t="str">
        <f>IF(A2824="","",VLOOKUP(A2824,'6.A'!$A$11:$C$564,2,FALSE))</f>
        <v>SERVENTE COM ENCARGOS COMPLEMENTARES</v>
      </c>
      <c r="N2824" s="57" t="str">
        <f t="shared" ref="N2824" si="1208">IF(A2824="","",IF(M2824=B2824,"si","no"))</f>
        <v>si</v>
      </c>
      <c r="O2824" s="56"/>
      <c r="P2824" s="56"/>
      <c r="Q2824" s="48"/>
      <c r="R2824" s="48"/>
      <c r="S2824" s="2"/>
    </row>
    <row r="2825" spans="1:23" ht="12.75" customHeight="1" x14ac:dyDescent="0.2">
      <c r="A2825" s="155"/>
      <c r="B2825" s="138" t="str">
        <f>IF(A2825="","",VLOOKUP(A2825,'6.A'!$A$11:$G$180,2,FALSE))</f>
        <v/>
      </c>
      <c r="C2825" s="156"/>
      <c r="D2825" s="57" t="str">
        <f>IF(A2825="","",VLOOKUP(A2825,'6.A'!$A$11:$G$180,4,FALSE))</f>
        <v/>
      </c>
      <c r="E2825" s="100" t="str">
        <f>IF(A2825="","",VLOOKUP(A2825,'6.A'!$A$11:$G$180,5,FALSE))</f>
        <v/>
      </c>
      <c r="F2825" s="24" t="str">
        <f t="shared" si="1206"/>
        <v>0,00</v>
      </c>
      <c r="G2825" s="52"/>
      <c r="H2825" s="52" t="str">
        <f>IF(A2825="","",VLOOKUP(A2825,'6.A'!$A$11:$E$7984,5,FALSE))</f>
        <v/>
      </c>
      <c r="I2825" s="52" t="str">
        <f>IF(H2825="","",IF(E2825=H2825,"SIM","NÃO"))</f>
        <v/>
      </c>
      <c r="J2825" s="52" t="str">
        <f>IF(H2825="","",VLOOKUP(A2825,'6.A'!$A$11:$E$564,4,FALSE))</f>
        <v/>
      </c>
      <c r="K2825" s="52" t="str">
        <f>IF(H2825="","",IF(J2825=D2825,"SIM","NÃO"))</f>
        <v/>
      </c>
      <c r="L2825" s="52" t="str">
        <f>IF(H2825="","",IF(C2825="","",G2820*C2825))</f>
        <v/>
      </c>
      <c r="M2825" s="117" t="str">
        <f>IF(A2825="","",VLOOKUP(A2825,'6.A'!$A$11:$C$564,2,FALSE))</f>
        <v/>
      </c>
      <c r="N2825" s="57" t="str">
        <f>IF(A2825="","",IF(M2825=B2825,"si","no"))</f>
        <v/>
      </c>
      <c r="O2825" s="56"/>
      <c r="P2825" s="56"/>
      <c r="Q2825" s="48"/>
      <c r="R2825" s="48"/>
      <c r="S2825" s="2"/>
    </row>
    <row r="2826" spans="1:23" ht="12.75" customHeight="1" x14ac:dyDescent="0.2">
      <c r="A2826" s="155"/>
      <c r="B2826" s="138" t="str">
        <f>IF(A2826="","",VLOOKUP(A2826,'6.A'!$A$11:$G$180,2,FALSE))</f>
        <v/>
      </c>
      <c r="C2826" s="156"/>
      <c r="D2826" s="57" t="str">
        <f>IF(A2826="","",VLOOKUP(A2826,'6.A'!$A$11:$G$180,4,FALSE))</f>
        <v/>
      </c>
      <c r="E2826" s="101" t="str">
        <f>IF(A2826="","",VLOOKUP(A2826,'6.A'!$A$11:$G$180,5,FALSE))</f>
        <v/>
      </c>
      <c r="F2826" s="24" t="str">
        <f t="shared" si="1206"/>
        <v>0,00</v>
      </c>
      <c r="G2826" s="52"/>
      <c r="H2826" s="52" t="str">
        <f>IF(A2826="","",VLOOKUP(A2826,'6.A'!$A$11:$E$7984,5,FALSE))</f>
        <v/>
      </c>
      <c r="I2826" s="52" t="str">
        <f t="shared" ref="I2826" si="1209">IF(H2826="","",IF(E2826=H2826,"SIM","NÃO"))</f>
        <v/>
      </c>
      <c r="J2826" s="52" t="str">
        <f>IF(H2826="","",VLOOKUP(A2826,'6.A'!$A$11:$E$564,4,FALSE))</f>
        <v/>
      </c>
      <c r="K2826" s="52" t="str">
        <f t="shared" ref="K2826" si="1210">IF(H2826="","",IF(J2826=D2826,"SIM","NÃO"))</f>
        <v/>
      </c>
      <c r="L2826" s="52" t="str">
        <f>IF(H2826="","",IF(C2826="","",G2820*C2826))</f>
        <v/>
      </c>
      <c r="M2826" s="117" t="str">
        <f>IF(A2826="","",VLOOKUP(A2826,'6.A'!$A$11:$C$564,2,FALSE))</f>
        <v/>
      </c>
      <c r="N2826" s="57" t="str">
        <f t="shared" ref="N2826" si="1211">IF(A2826="","",IF(M2826=B2826,"si","no"))</f>
        <v/>
      </c>
      <c r="O2826" s="56"/>
      <c r="P2826" s="56"/>
      <c r="Q2826" s="48"/>
      <c r="R2826" s="48"/>
      <c r="S2826" s="2"/>
    </row>
    <row r="2827" spans="1:23" ht="12.75" customHeight="1" x14ac:dyDescent="0.2">
      <c r="A2827" s="155"/>
      <c r="B2827" s="138" t="str">
        <f>IF(A2827="","",VLOOKUP(A2827,'6.A'!$A$11:$G$180,2,FALSE))</f>
        <v/>
      </c>
      <c r="C2827" s="156"/>
      <c r="D2827" s="57" t="str">
        <f>IF(A2827="","",VLOOKUP(A2827,'6.A'!$A$11:$G$180,4,FALSE))</f>
        <v/>
      </c>
      <c r="E2827" s="101" t="str">
        <f>IF(A2827="","",VLOOKUP(A2827,'6.A'!$A$11:$G$180,5,FALSE))</f>
        <v/>
      </c>
      <c r="F2827" s="24" t="str">
        <f t="shared" si="1206"/>
        <v>0,00</v>
      </c>
      <c r="G2827" s="52"/>
      <c r="H2827" s="52" t="str">
        <f>IF(A2827="","",VLOOKUP(A2827,'6.A'!$A$11:$E$7984,5,FALSE))</f>
        <v/>
      </c>
      <c r="I2827" s="52" t="str">
        <f>IF(H2827="","",IF(E2827=H2827,"SIM","NÃO"))</f>
        <v/>
      </c>
      <c r="J2827" s="52" t="str">
        <f>IF(H2827="","",VLOOKUP(A2827,'6.A'!$A$11:$E$564,4,FALSE))</f>
        <v/>
      </c>
      <c r="K2827" s="52" t="str">
        <f>IF(H2827="","",IF(J2827=D2827,"SIM","NÃO"))</f>
        <v/>
      </c>
      <c r="L2827" s="52" t="str">
        <f>IF(H2827="","",IF(C2827="","",G2820*C2827))</f>
        <v/>
      </c>
      <c r="M2827" s="117" t="str">
        <f>IF(A2827="","",VLOOKUP(A2827,'6.A'!$A$11:$C$564,2,FALSE))</f>
        <v/>
      </c>
      <c r="N2827" s="57" t="str">
        <f>IF(A2827="","",IF(M2827=B2827,"si","no"))</f>
        <v/>
      </c>
      <c r="O2827" s="56"/>
      <c r="P2827" s="56"/>
      <c r="Q2827" s="48"/>
      <c r="R2827" s="48"/>
      <c r="S2827" s="2"/>
    </row>
    <row r="2828" spans="1:23" ht="12.75" customHeight="1" x14ac:dyDescent="0.2">
      <c r="A2828" s="155"/>
      <c r="B2828" s="138" t="str">
        <f>IF(A2828="","",VLOOKUP(A2828,'6.A'!$A$11:$G$180,2,FALSE))</f>
        <v/>
      </c>
      <c r="C2828" s="156"/>
      <c r="D2828" s="57" t="str">
        <f>IF(A2828="","",VLOOKUP(A2828,'6.A'!$A$11:$G$180,4,FALSE))</f>
        <v/>
      </c>
      <c r="E2828" s="100" t="str">
        <f>IF(A2828="","",VLOOKUP(A2828,'6.A'!$A$11:$G$180,5,FALSE))</f>
        <v/>
      </c>
      <c r="F2828" s="24" t="str">
        <f t="shared" si="1206"/>
        <v>0,00</v>
      </c>
      <c r="G2828" s="52"/>
      <c r="H2828" s="52" t="str">
        <f>IF(A2828="","",VLOOKUP(A2828,'6.A'!$A$11:$E$7984,5,FALSE))</f>
        <v/>
      </c>
      <c r="I2828" s="52" t="str">
        <f>IF(H2828="","",IF(E2828=H2828,"SIM","NÃO"))</f>
        <v/>
      </c>
      <c r="J2828" s="52" t="str">
        <f>IF(H2828="","",VLOOKUP(A2828,'6.A'!$A$11:$E$564,4,FALSE))</f>
        <v/>
      </c>
      <c r="K2828" s="52" t="str">
        <f>IF(H2828="","",IF(J2828=D2828,"SIM","NÃO"))</f>
        <v/>
      </c>
      <c r="L2828" s="52" t="str">
        <f>IF(H2828="","",IF(C2828="","",G2820*C2828))</f>
        <v/>
      </c>
      <c r="M2828" s="117" t="str">
        <f>IF(A2828="","",VLOOKUP(A2828,'6.A'!$A$11:$C$564,2,FALSE))</f>
        <v/>
      </c>
      <c r="N2828" s="57" t="str">
        <f>IF(A2828="","",IF(M2828=B2828,"si","no"))</f>
        <v/>
      </c>
      <c r="O2828" s="56"/>
      <c r="P2828" s="56"/>
      <c r="Q2828" s="48"/>
      <c r="R2828" s="48"/>
      <c r="S2828" s="2"/>
    </row>
    <row r="2829" spans="1:23" ht="12.75" customHeight="1" x14ac:dyDescent="0.2">
      <c r="A2829" s="155"/>
      <c r="B2829" s="138" t="str">
        <f>IF(A2829="","",VLOOKUP(A2829,'6.A'!$A$11:$G$180,2,FALSE))</f>
        <v/>
      </c>
      <c r="C2829" s="156"/>
      <c r="D2829" s="57" t="str">
        <f>IF(A2829="","",VLOOKUP(A2829,'6.A'!$A$11:$G$180,4,FALSE))</f>
        <v/>
      </c>
      <c r="E2829" s="100" t="str">
        <f>IF(A2829="","",VLOOKUP(A2829,'6.A'!$A$11:$G$180,5,FALSE))</f>
        <v/>
      </c>
      <c r="F2829" s="24" t="str">
        <f t="shared" si="1206"/>
        <v>0,00</v>
      </c>
      <c r="G2829" s="52"/>
      <c r="H2829" s="52" t="str">
        <f>IF(A2829="","",VLOOKUP(A2829,'6.A'!$A$11:$E$7984,5,FALSE))</f>
        <v/>
      </c>
      <c r="I2829" s="52" t="str">
        <f t="shared" ref="I2829" si="1212">IF(H2829="","",IF(E2829=H2829,"SIM","NÃO"))</f>
        <v/>
      </c>
      <c r="J2829" s="52" t="str">
        <f>IF(H2829="","",VLOOKUP(A2829,'6.A'!$A$11:$E$564,4,FALSE))</f>
        <v/>
      </c>
      <c r="K2829" s="52" t="str">
        <f t="shared" ref="K2829" si="1213">IF(H2829="","",IF(J2829=D2829,"SIM","NÃO"))</f>
        <v/>
      </c>
      <c r="L2829" s="52" t="str">
        <f>IF(H2829="","",IF(C2829="","",G2820*C2829))</f>
        <v/>
      </c>
      <c r="M2829" s="117" t="str">
        <f>IF(A2829="","",VLOOKUP(A2829,'6.A'!$A$11:$C$564,2,FALSE))</f>
        <v/>
      </c>
      <c r="N2829" s="57" t="str">
        <f t="shared" ref="N2829" si="1214">IF(A2829="","",IF(M2829=B2829,"si","no"))</f>
        <v/>
      </c>
      <c r="O2829" s="56"/>
      <c r="P2829" s="56"/>
      <c r="Q2829" s="48"/>
      <c r="R2829" s="48"/>
      <c r="S2829" s="2"/>
    </row>
    <row r="2830" spans="1:23" ht="12.75" customHeight="1" x14ac:dyDescent="0.2">
      <c r="A2830" s="155"/>
      <c r="B2830" s="138" t="str">
        <f>IF(A2830="","",VLOOKUP(A2830,'6.A'!$A$11:$G$180,2,FALSE))</f>
        <v/>
      </c>
      <c r="C2830" s="156"/>
      <c r="D2830" s="73" t="str">
        <f>IF(A2830="","",VLOOKUP(A2830,'6.A'!$A$11:$G$180,4,FALSE))</f>
        <v/>
      </c>
      <c r="E2830" s="101" t="str">
        <f>IF(A2830="","",VLOOKUP(A2830,'6.A'!$A$11:$G$180,5,FALSE))</f>
        <v/>
      </c>
      <c r="F2830" s="24" t="str">
        <f t="shared" si="1206"/>
        <v>0,00</v>
      </c>
      <c r="G2830" s="52"/>
      <c r="H2830" s="52" t="str">
        <f>IF(A2830="","",VLOOKUP(A2830,'6.A'!$A$11:$E$7984,5,FALSE))</f>
        <v/>
      </c>
      <c r="I2830" s="52" t="str">
        <f>IF(H2830="","",IF(E2830=H2830,"SIM","NÃO"))</f>
        <v/>
      </c>
      <c r="J2830" s="52" t="str">
        <f>IF(H2830="","",VLOOKUP(A2830,'6.A'!$A$11:$E$564,4,FALSE))</f>
        <v/>
      </c>
      <c r="K2830" s="52" t="str">
        <f>IF(H2830="","",IF(J2830=D2830,"SIM","NÃO"))</f>
        <v/>
      </c>
      <c r="L2830" s="52" t="str">
        <f>IF(H2830="","",IF(C2830="","",G2820*C2830))</f>
        <v/>
      </c>
      <c r="M2830" s="117" t="str">
        <f>IF(A2830="","",VLOOKUP(A2830,'6.A'!$A$11:$C$564,2,FALSE))</f>
        <v/>
      </c>
      <c r="N2830" s="57" t="str">
        <f>IF(A2830="","",IF(M2830=B2830,"si","no"))</f>
        <v/>
      </c>
      <c r="O2830" s="56"/>
      <c r="P2830" s="56"/>
      <c r="Q2830" s="48"/>
      <c r="R2830" s="48"/>
      <c r="S2830" s="2"/>
    </row>
    <row r="2831" spans="1:23" ht="12.75" customHeight="1" x14ac:dyDescent="0.2">
      <c r="A2831" s="155"/>
      <c r="B2831" s="138" t="str">
        <f>IF(A2831="","",VLOOKUP(A2831,'6.A'!$A$11:$G$180,2,FALSE))</f>
        <v/>
      </c>
      <c r="C2831" s="156"/>
      <c r="D2831" s="25" t="str">
        <f>IF(A2831="","",VLOOKUP(A2831,'6.A'!$A$11:$G$180,4,FALSE))</f>
        <v/>
      </c>
      <c r="E2831" s="101" t="str">
        <f>IF(A2831="","",VLOOKUP(A2831,'6.A'!$A$11:$G$180,5,FALSE))</f>
        <v/>
      </c>
      <c r="F2831" s="24" t="str">
        <f t="shared" si="1206"/>
        <v>0,00</v>
      </c>
      <c r="G2831" s="52"/>
      <c r="H2831" s="52" t="str">
        <f>IF(A2831="","",VLOOKUP(A2831,'6.A'!$A$11:$E$7984,5,FALSE))</f>
        <v/>
      </c>
      <c r="I2831" s="52" t="str">
        <f t="shared" ref="I2831" si="1215">IF(H2831="","",IF(E2831=H2831,"SIM","NÃO"))</f>
        <v/>
      </c>
      <c r="J2831" s="52" t="str">
        <f>IF(H2831="","",VLOOKUP(A2831,'6.A'!$A$11:$E$564,4,FALSE))</f>
        <v/>
      </c>
      <c r="K2831" s="52" t="str">
        <f t="shared" ref="K2831" si="1216">IF(H2831="","",IF(J2831=D2831,"SIM","NÃO"))</f>
        <v/>
      </c>
      <c r="L2831" s="52" t="str">
        <f>IF(H2831="","",IF(C2831="","",G2820*C2831))</f>
        <v/>
      </c>
      <c r="M2831" s="117" t="str">
        <f>IF(A2831="","",VLOOKUP(A2831,'6.A'!$A$11:$C$564,2,FALSE))</f>
        <v/>
      </c>
      <c r="N2831" s="57" t="str">
        <f t="shared" ref="N2831" si="1217">IF(A2831="","",IF(M2831=B2831,"si","no"))</f>
        <v/>
      </c>
      <c r="O2831" s="56"/>
      <c r="P2831" s="56"/>
      <c r="Q2831" s="48"/>
      <c r="R2831" s="48"/>
      <c r="S2831" s="2"/>
    </row>
    <row r="2832" spans="1:23" ht="12.75" customHeight="1" x14ac:dyDescent="0.2">
      <c r="A2832" s="152"/>
      <c r="B2832" s="26" t="str">
        <f>$A$8</f>
        <v>LEIS SOCIAIS HORISTA - JORNADA NORMAL</v>
      </c>
      <c r="C2832" s="27">
        <f>$C$8</f>
        <v>0</v>
      </c>
      <c r="D2832" s="57"/>
      <c r="F2832" s="28">
        <f>ROUND(SUM(F2822:F2831)*C2832,2)</f>
        <v>0</v>
      </c>
      <c r="G2832" s="63"/>
      <c r="M2832" s="62"/>
      <c r="N2832" s="57"/>
      <c r="O2832" s="56"/>
      <c r="P2832" s="56"/>
      <c r="Q2832" s="48"/>
      <c r="R2832" s="48"/>
      <c r="S2832" s="2"/>
    </row>
    <row r="2833" spans="1:19" ht="12.75" customHeight="1" x14ac:dyDescent="0.2">
      <c r="A2833" s="155"/>
      <c r="B2833" s="26" t="str">
        <f>$A$9</f>
        <v>BDI</v>
      </c>
      <c r="C2833" s="27">
        <f>$C$9</f>
        <v>0</v>
      </c>
      <c r="D2833" s="29"/>
      <c r="F2833" s="28">
        <f>ROUND(SUM(F2822:F2832)*C2833,2)</f>
        <v>0</v>
      </c>
      <c r="G2833" s="63"/>
      <c r="M2833" s="62"/>
      <c r="N2833" s="57"/>
      <c r="O2833" s="56"/>
      <c r="P2833" s="56"/>
      <c r="Q2833" s="48"/>
      <c r="R2833" s="48"/>
      <c r="S2833" s="2"/>
    </row>
    <row r="2834" spans="1:19" ht="12.75" customHeight="1" x14ac:dyDescent="0.2">
      <c r="A2834" s="163"/>
      <c r="B2834" s="164" t="s">
        <v>56</v>
      </c>
      <c r="C2834" s="165"/>
      <c r="D2834" s="33"/>
      <c r="E2834" s="34"/>
      <c r="F2834" s="35">
        <f>ROUND(SUM(F2822:F2833),2)</f>
        <v>0</v>
      </c>
      <c r="G2834" s="63"/>
      <c r="M2834" s="62"/>
      <c r="N2834" s="57"/>
      <c r="O2834" s="56"/>
      <c r="P2834" s="56"/>
      <c r="Q2834" s="48"/>
      <c r="R2834" s="48"/>
      <c r="S2834" s="2"/>
    </row>
    <row r="2835" spans="1:19" ht="12.75" customHeight="1" x14ac:dyDescent="0.2">
      <c r="A2835" s="152" t="s">
        <v>5</v>
      </c>
      <c r="B2835" s="153" t="s">
        <v>130</v>
      </c>
      <c r="C2835" s="140" t="s">
        <v>59</v>
      </c>
      <c r="D2835" s="56" t="s">
        <v>16</v>
      </c>
      <c r="E2835" s="19" t="s">
        <v>60</v>
      </c>
      <c r="F2835" s="20" t="s">
        <v>61</v>
      </c>
      <c r="G2835" s="21"/>
      <c r="M2835" s="62"/>
      <c r="N2835" s="57"/>
      <c r="O2835" s="56"/>
      <c r="P2835" s="56"/>
      <c r="Q2835" s="48"/>
      <c r="R2835" s="48"/>
      <c r="S2835" s="2"/>
    </row>
    <row r="2836" spans="1:19" ht="12.75" customHeight="1" x14ac:dyDescent="0.2">
      <c r="A2836" s="155"/>
      <c r="B2836" s="138" t="str">
        <f>IF(A2836="","",VLOOKUP(A2836,'6.A'!$A$11:$G$180,2,FALSE))</f>
        <v/>
      </c>
      <c r="C2836" s="156"/>
      <c r="D2836" s="57" t="str">
        <f>IF(A2836="","",VLOOKUP(A2836,'6.A'!$A$11:$G$180,4,FALSE))</f>
        <v/>
      </c>
      <c r="E2836" s="100" t="str">
        <f>IF(A2836="","",VLOOKUP(A2836,'6.A'!$A$11:$G$180,5,FALSE))</f>
        <v/>
      </c>
      <c r="F2836" s="24" t="str">
        <f t="shared" ref="F2836:F2845" si="1218">IF(A2836="","0,00",ROUND(C2836*E2836,2))</f>
        <v>0,00</v>
      </c>
      <c r="G2836" s="52"/>
      <c r="H2836" s="52" t="str">
        <f>IF(A2836="","",VLOOKUP(A2836,'6.A'!$A$11:$E$7984,5,FALSE))</f>
        <v/>
      </c>
      <c r="I2836" s="52" t="str">
        <f t="shared" ref="I2836:I2845" si="1219">IF(H2836="","",IF(E2836=H2836,"SIM","NÃO"))</f>
        <v/>
      </c>
      <c r="J2836" s="52" t="str">
        <f>IF(H2836="","",VLOOKUP(A2836,'6.A'!$A$11:$E$564,4,FALSE))</f>
        <v/>
      </c>
      <c r="K2836" s="52" t="str">
        <f t="shared" ref="K2836:K2845" si="1220">IF(H2836="","",IF(J2836=D2836,"SIM","NÃO"))</f>
        <v/>
      </c>
      <c r="L2836" s="52" t="str">
        <f>IF(H2836="","",IF(C2836="","",G2820*C2836))</f>
        <v/>
      </c>
      <c r="M2836" s="117" t="str">
        <f>IF(A2836="","",VLOOKUP(A2836,'6.A'!$A$11:$C$564,2,FALSE))</f>
        <v/>
      </c>
      <c r="N2836" s="57" t="str">
        <f t="shared" ref="N2836:N2841" si="1221">IF(A2836="","",IF(M2836=B2836,"si","no"))</f>
        <v/>
      </c>
      <c r="O2836" s="56"/>
      <c r="P2836" s="56"/>
      <c r="Q2836" s="48"/>
      <c r="R2836" s="48"/>
      <c r="S2836" s="2"/>
    </row>
    <row r="2837" spans="1:19" ht="12.75" customHeight="1" x14ac:dyDescent="0.2">
      <c r="A2837" s="155"/>
      <c r="B2837" s="138" t="str">
        <f>IF(A2837="","",VLOOKUP(A2837,'6.A'!$A$11:$G$180,2,FALSE))</f>
        <v/>
      </c>
      <c r="C2837" s="156"/>
      <c r="D2837" s="57" t="str">
        <f>IF(A2837="","",VLOOKUP(A2837,'6.A'!$A$11:$G$180,4,FALSE))</f>
        <v/>
      </c>
      <c r="E2837" s="100" t="str">
        <f>IF(A2837="","",VLOOKUP(A2837,'6.A'!$A$11:$G$180,5,FALSE))</f>
        <v/>
      </c>
      <c r="F2837" s="24" t="str">
        <f t="shared" si="1218"/>
        <v>0,00</v>
      </c>
      <c r="G2837" s="52"/>
      <c r="H2837" s="52" t="str">
        <f>IF(A2837="","",VLOOKUP(A2837,'6.A'!$A$11:$E$7984,5,FALSE))</f>
        <v/>
      </c>
      <c r="I2837" s="52" t="str">
        <f t="shared" si="1219"/>
        <v/>
      </c>
      <c r="J2837" s="52" t="str">
        <f>IF(H2837="","",VLOOKUP(A2837,'6.A'!$A$11:$E$564,4,FALSE))</f>
        <v/>
      </c>
      <c r="K2837" s="52" t="str">
        <f t="shared" si="1220"/>
        <v/>
      </c>
      <c r="L2837" s="52" t="str">
        <f>IF(H2837="","",IF(C2837="","",G2820*C2837))</f>
        <v/>
      </c>
      <c r="M2837" s="117" t="str">
        <f>IF(A2837="","",VLOOKUP(A2837,'6.A'!$A$11:$C$564,2,FALSE))</f>
        <v/>
      </c>
      <c r="N2837" s="57" t="str">
        <f t="shared" si="1221"/>
        <v/>
      </c>
      <c r="O2837" s="56"/>
      <c r="P2837" s="56"/>
      <c r="Q2837" s="48"/>
      <c r="R2837" s="48"/>
      <c r="S2837" s="2"/>
    </row>
    <row r="2838" spans="1:19" ht="12.75" customHeight="1" x14ac:dyDescent="0.2">
      <c r="A2838" s="155"/>
      <c r="B2838" s="138" t="str">
        <f>IF(A2838="","",VLOOKUP(A2838,'6.A'!$A$11:$G$180,2,FALSE))</f>
        <v/>
      </c>
      <c r="C2838" s="156"/>
      <c r="D2838" s="57" t="str">
        <f>IF(A2838="","",VLOOKUP(A2838,'6.A'!$A$11:$G$180,4,FALSE))</f>
        <v/>
      </c>
      <c r="E2838" s="100" t="str">
        <f>IF(A2838="","",VLOOKUP(A2838,'6.A'!$A$11:$G$180,5,FALSE))</f>
        <v/>
      </c>
      <c r="F2838" s="24" t="str">
        <f t="shared" si="1218"/>
        <v>0,00</v>
      </c>
      <c r="G2838" s="52"/>
      <c r="H2838" s="52" t="str">
        <f>IF(A2838="","",VLOOKUP(A2838,'6.A'!$A$11:$E$7984,5,FALSE))</f>
        <v/>
      </c>
      <c r="I2838" s="52" t="str">
        <f t="shared" si="1219"/>
        <v/>
      </c>
      <c r="J2838" s="52" t="str">
        <f>IF(H2838="","",VLOOKUP(A2838,'6.A'!$A$11:$E$564,4,FALSE))</f>
        <v/>
      </c>
      <c r="K2838" s="52" t="str">
        <f t="shared" si="1220"/>
        <v/>
      </c>
      <c r="L2838" s="52" t="str">
        <f>IF(H2838="","",IF(C2838="","",G2820*C2838))</f>
        <v/>
      </c>
      <c r="M2838" s="117" t="str">
        <f>IF(A2838="","",VLOOKUP(A2838,'6.A'!$A$11:$C$564,2,FALSE))</f>
        <v/>
      </c>
      <c r="N2838" s="57" t="str">
        <f t="shared" si="1221"/>
        <v/>
      </c>
      <c r="O2838" s="56"/>
      <c r="P2838" s="56"/>
      <c r="Q2838" s="48"/>
      <c r="R2838" s="48"/>
      <c r="S2838" s="2"/>
    </row>
    <row r="2839" spans="1:19" ht="12.75" customHeight="1" x14ac:dyDescent="0.2">
      <c r="A2839" s="155"/>
      <c r="B2839" s="176" t="str">
        <f>IF(A2839="","",VLOOKUP(A2839,'6.A'!$A$11:$G$180,2,FALSE))</f>
        <v/>
      </c>
      <c r="C2839" s="156"/>
      <c r="D2839" s="57" t="str">
        <f>IF(A2839="","",VLOOKUP(A2839,'6.A'!$A$11:$G$180,4,FALSE))</f>
        <v/>
      </c>
      <c r="E2839" s="100" t="str">
        <f>IF(A2839="","",VLOOKUP(A2839,'6.A'!$A$11:$G$180,5,FALSE))</f>
        <v/>
      </c>
      <c r="F2839" s="24" t="str">
        <f t="shared" si="1218"/>
        <v>0,00</v>
      </c>
      <c r="G2839" s="52"/>
      <c r="H2839" s="52" t="str">
        <f>IF(A2839="","",VLOOKUP(A2839,'6.A'!$A$11:$E$7984,5,FALSE))</f>
        <v/>
      </c>
      <c r="I2839" s="52" t="str">
        <f t="shared" si="1219"/>
        <v/>
      </c>
      <c r="J2839" s="52" t="str">
        <f>IF(H2839="","",VLOOKUP(A2839,'6.A'!$A$11:$E$564,4,FALSE))</f>
        <v/>
      </c>
      <c r="K2839" s="52" t="str">
        <f t="shared" si="1220"/>
        <v/>
      </c>
      <c r="L2839" s="52" t="str">
        <f>IF(H2839="","",IF(C2839="","",G2820*C2839))</f>
        <v/>
      </c>
      <c r="M2839" s="117" t="str">
        <f>IF(A2839="","",VLOOKUP(A2839,'6.A'!$A$11:$C$564,2,FALSE))</f>
        <v/>
      </c>
      <c r="N2839" s="57" t="str">
        <f t="shared" si="1221"/>
        <v/>
      </c>
      <c r="O2839" s="56"/>
      <c r="P2839" s="56"/>
      <c r="Q2839" s="48"/>
      <c r="R2839" s="48"/>
      <c r="S2839" s="2"/>
    </row>
    <row r="2840" spans="1:19" ht="12.75" customHeight="1" x14ac:dyDescent="0.2">
      <c r="A2840" s="155"/>
      <c r="B2840" s="176" t="str">
        <f>IF(A2840="","",VLOOKUP(A2840,'6.A'!$A$11:$G$180,2,FALSE))</f>
        <v/>
      </c>
      <c r="C2840" s="156"/>
      <c r="D2840" s="57" t="str">
        <f>IF(A2840="","",VLOOKUP(A2840,'6.A'!$A$11:$G$180,4,FALSE))</f>
        <v/>
      </c>
      <c r="E2840" s="100" t="str">
        <f>IF(A2840="","",VLOOKUP(A2840,'6.A'!$A$11:$G$180,5,FALSE))</f>
        <v/>
      </c>
      <c r="F2840" s="24" t="str">
        <f t="shared" si="1218"/>
        <v>0,00</v>
      </c>
      <c r="G2840" s="52"/>
      <c r="H2840" s="52" t="str">
        <f>IF(A2840="","",VLOOKUP(A2840,'6.A'!$A$11:$E$7984,5,FALSE))</f>
        <v/>
      </c>
      <c r="I2840" s="52" t="str">
        <f t="shared" si="1219"/>
        <v/>
      </c>
      <c r="J2840" s="52" t="str">
        <f>IF(H2840="","",VLOOKUP(A2840,'6.A'!$A$11:$E$564,4,FALSE))</f>
        <v/>
      </c>
      <c r="K2840" s="52" t="str">
        <f t="shared" si="1220"/>
        <v/>
      </c>
      <c r="L2840" s="52" t="str">
        <f>IF(H2840="","",IF(C2840="","",G2820*C2840))</f>
        <v/>
      </c>
      <c r="M2840" s="117" t="str">
        <f>IF(A2840="","",VLOOKUP(A2840,'6.A'!$A$11:$C$564,2,FALSE))</f>
        <v/>
      </c>
      <c r="N2840" s="57" t="str">
        <f t="shared" si="1221"/>
        <v/>
      </c>
      <c r="O2840" s="56"/>
      <c r="P2840" s="56"/>
      <c r="Q2840" s="48"/>
      <c r="R2840" s="48"/>
      <c r="S2840" s="2"/>
    </row>
    <row r="2841" spans="1:19" ht="12.75" customHeight="1" x14ac:dyDescent="0.2">
      <c r="A2841" s="155"/>
      <c r="B2841" s="176" t="str">
        <f>IF(A2841="","",VLOOKUP(A2841,'6.A'!$A$11:$G$180,2,FALSE))</f>
        <v/>
      </c>
      <c r="C2841" s="156"/>
      <c r="D2841" s="57" t="str">
        <f>IF(A2841="","",VLOOKUP(A2841,'6.A'!$A$11:$G$180,4,FALSE))</f>
        <v/>
      </c>
      <c r="E2841" s="100" t="str">
        <f>IF(A2841="","",VLOOKUP(A2841,'6.A'!$A$11:$G$180,5,FALSE))</f>
        <v/>
      </c>
      <c r="F2841" s="24" t="str">
        <f t="shared" si="1218"/>
        <v>0,00</v>
      </c>
      <c r="G2841" s="52"/>
      <c r="H2841" s="52" t="str">
        <f>IF(A2841="","",VLOOKUP(A2841,'6.A'!$A$11:$E$7984,5,FALSE))</f>
        <v/>
      </c>
      <c r="I2841" s="52" t="str">
        <f t="shared" si="1219"/>
        <v/>
      </c>
      <c r="J2841" s="52" t="str">
        <f>IF(H2841="","",VLOOKUP(A2841,'6.A'!$A$11:$E$564,4,FALSE))</f>
        <v/>
      </c>
      <c r="K2841" s="52" t="str">
        <f t="shared" si="1220"/>
        <v/>
      </c>
      <c r="L2841" s="52" t="str">
        <f>IF(H2841="","",IF(C2841="","",G2820*C2841))</f>
        <v/>
      </c>
      <c r="M2841" s="117" t="str">
        <f>IF(A2841="","",VLOOKUP(A2841,'6.A'!$A$11:$C$564,2,FALSE))</f>
        <v/>
      </c>
      <c r="N2841" s="57" t="str">
        <f t="shared" si="1221"/>
        <v/>
      </c>
      <c r="O2841" s="56"/>
      <c r="P2841" s="56"/>
      <c r="Q2841" s="48"/>
      <c r="R2841" s="48"/>
      <c r="S2841" s="2"/>
    </row>
    <row r="2842" spans="1:19" ht="12.75" customHeight="1" x14ac:dyDescent="0.2">
      <c r="A2842" s="155"/>
      <c r="B2842" s="176" t="str">
        <f>IF(A2842="","",VLOOKUP(A2842,'6.A'!$A$11:$G$180,2,FALSE))</f>
        <v/>
      </c>
      <c r="C2842" s="156"/>
      <c r="D2842" s="57" t="str">
        <f>IF(A2842="","",VLOOKUP(A2842,'6.A'!$A$11:$G$180,4,FALSE))</f>
        <v/>
      </c>
      <c r="E2842" s="100" t="str">
        <f>IF(A2842="","",VLOOKUP(A2842,'6.A'!$A$11:$G$180,5,FALSE))</f>
        <v/>
      </c>
      <c r="F2842" s="24" t="str">
        <f t="shared" si="1218"/>
        <v>0,00</v>
      </c>
      <c r="G2842" s="52"/>
      <c r="H2842" s="52" t="str">
        <f>IF(A2842="","",VLOOKUP(A2842,'6.A'!$A$11:$E$7984,5,FALSE))</f>
        <v/>
      </c>
      <c r="I2842" s="52" t="str">
        <f t="shared" si="1219"/>
        <v/>
      </c>
      <c r="J2842" s="52" t="str">
        <f>IF(H2842="","",VLOOKUP(A2842,'6.A'!$A$11:$E$564,4,FALSE))</f>
        <v/>
      </c>
      <c r="K2842" s="52" t="str">
        <f t="shared" si="1220"/>
        <v/>
      </c>
      <c r="L2842" s="52" t="str">
        <f>IF(H2842="","",IF(C2842="","",G2820*C2842))</f>
        <v/>
      </c>
      <c r="M2842" s="117" t="str">
        <f>IF(A2842="","",VLOOKUP(A2842,'6.A'!$A$11:$C$564,2,FALSE))</f>
        <v/>
      </c>
      <c r="N2842" s="57" t="str">
        <f>IF(A2842="","",IF(M2842=B2842,"si","no"))</f>
        <v/>
      </c>
      <c r="O2842" s="56"/>
      <c r="P2842" s="56"/>
      <c r="Q2842" s="48"/>
      <c r="R2842" s="48"/>
      <c r="S2842" s="2"/>
    </row>
    <row r="2843" spans="1:19" ht="12.75" customHeight="1" x14ac:dyDescent="0.2">
      <c r="A2843" s="155"/>
      <c r="B2843" s="138" t="str">
        <f>IF(A2843="","",VLOOKUP(A2843,'6.A'!$A$11:$G$180,2,FALSE))</f>
        <v/>
      </c>
      <c r="C2843" s="156"/>
      <c r="D2843" s="57" t="str">
        <f>IF(A2843="","",VLOOKUP(A2843,'6.A'!$A$11:$G$180,4,FALSE))</f>
        <v/>
      </c>
      <c r="E2843" s="100" t="str">
        <f>IF(A2843="","",VLOOKUP(A2843,'6.A'!$A$11:$G$180,5,FALSE))</f>
        <v/>
      </c>
      <c r="F2843" s="24" t="str">
        <f t="shared" si="1218"/>
        <v>0,00</v>
      </c>
      <c r="G2843" s="52"/>
      <c r="H2843" s="52" t="str">
        <f>IF(A2843="","",VLOOKUP(A2843,'6.A'!$A$11:$E$7984,5,FALSE))</f>
        <v/>
      </c>
      <c r="I2843" s="52" t="str">
        <f t="shared" si="1219"/>
        <v/>
      </c>
      <c r="J2843" s="52" t="str">
        <f>IF(H2843="","",VLOOKUP(A2843,'6.A'!$A$11:$E$564,4,FALSE))</f>
        <v/>
      </c>
      <c r="K2843" s="52" t="str">
        <f t="shared" si="1220"/>
        <v/>
      </c>
      <c r="L2843" s="52" t="str">
        <f>IF(H2843="","",IF(C2843="","",G2820*C2843))</f>
        <v/>
      </c>
      <c r="M2843" s="117" t="str">
        <f>IF(A2843="","",VLOOKUP(A2843,'6.A'!$A$11:$C$564,2,FALSE))</f>
        <v/>
      </c>
      <c r="N2843" s="57" t="str">
        <f>IF(A2843="","",IF(M2843=B2843,"si","no"))</f>
        <v/>
      </c>
      <c r="O2843" s="56"/>
      <c r="P2843" s="56"/>
      <c r="Q2843" s="48"/>
      <c r="R2843" s="48"/>
      <c r="S2843" s="2"/>
    </row>
    <row r="2844" spans="1:19" ht="12.75" customHeight="1" x14ac:dyDescent="0.2">
      <c r="A2844" s="155"/>
      <c r="B2844" s="138" t="str">
        <f>IF(A2844="","",VLOOKUP(A2844,'6.A'!$A$11:$G$180,2,FALSE))</f>
        <v/>
      </c>
      <c r="C2844" s="156"/>
      <c r="D2844" s="57" t="str">
        <f>IF(A2844="","",VLOOKUP(A2844,'6.A'!$A$11:$G$180,4,FALSE))</f>
        <v/>
      </c>
      <c r="E2844" s="100" t="str">
        <f>IF(A2844="","",VLOOKUP(A2844,'6.A'!$A$11:$G$180,5,FALSE))</f>
        <v/>
      </c>
      <c r="F2844" s="24" t="str">
        <f t="shared" si="1218"/>
        <v>0,00</v>
      </c>
      <c r="G2844" s="52"/>
      <c r="H2844" s="52" t="str">
        <f>IF(A2844="","",VLOOKUP(A2844,'6.A'!$A$11:$E$7984,5,FALSE))</f>
        <v/>
      </c>
      <c r="I2844" s="52" t="str">
        <f t="shared" si="1219"/>
        <v/>
      </c>
      <c r="J2844" s="52" t="str">
        <f>IF(H2844="","",VLOOKUP(A2844,'6.A'!$A$11:$E$564,4,FALSE))</f>
        <v/>
      </c>
      <c r="K2844" s="52" t="str">
        <f t="shared" si="1220"/>
        <v/>
      </c>
      <c r="L2844" s="52" t="str">
        <f>IF(H2844="","",IF(C2844="","",G2820*C2844))</f>
        <v/>
      </c>
      <c r="M2844" s="117" t="str">
        <f>IF(A2844="","",VLOOKUP(A2844,'6.A'!$A$11:$C$564,2,FALSE))</f>
        <v/>
      </c>
      <c r="N2844" s="57" t="str">
        <f t="shared" ref="N2844:N2845" si="1222">IF(A2844="","",IF(M2844=B2844,"si","no"))</f>
        <v/>
      </c>
      <c r="O2844" s="56"/>
      <c r="P2844" s="56"/>
      <c r="Q2844" s="48"/>
      <c r="R2844" s="48"/>
      <c r="S2844" s="2"/>
    </row>
    <row r="2845" spans="1:19" ht="12.75" customHeight="1" x14ac:dyDescent="0.2">
      <c r="A2845" s="155"/>
      <c r="B2845" s="138" t="str">
        <f>IF(A2845="","",VLOOKUP(A2845,'6.A'!$A$11:$G$180,2,FALSE))</f>
        <v/>
      </c>
      <c r="C2845" s="156"/>
      <c r="D2845" s="57" t="str">
        <f>IF(A2845="","",VLOOKUP(A2845,'6.A'!$A$11:$G$180,4,FALSE))</f>
        <v/>
      </c>
      <c r="E2845" s="100" t="str">
        <f>IF(A2845="","",VLOOKUP(A2845,'6.A'!$A$11:$G$180,5,FALSE))</f>
        <v/>
      </c>
      <c r="F2845" s="24" t="str">
        <f t="shared" si="1218"/>
        <v>0,00</v>
      </c>
      <c r="G2845" s="52"/>
      <c r="H2845" s="52" t="str">
        <f>IF(A2845="","",VLOOKUP(A2845,'6.A'!$A$11:$E$7984,5,FALSE))</f>
        <v/>
      </c>
      <c r="I2845" s="52" t="str">
        <f t="shared" si="1219"/>
        <v/>
      </c>
      <c r="J2845" s="52" t="str">
        <f>IF(H2845="","",VLOOKUP(A2845,'6.A'!$A$11:$E$564,4,FALSE))</f>
        <v/>
      </c>
      <c r="K2845" s="52" t="str">
        <f t="shared" si="1220"/>
        <v/>
      </c>
      <c r="L2845" s="52" t="str">
        <f>IF(H2845="","",IF(C2845="","",G2820*C2845))</f>
        <v/>
      </c>
      <c r="M2845" s="117" t="str">
        <f>IF(A2845="","",VLOOKUP(A2845,'6.A'!$A$11:$C$564,2,FALSE))</f>
        <v/>
      </c>
      <c r="N2845" s="57" t="str">
        <f t="shared" si="1222"/>
        <v/>
      </c>
      <c r="O2845" s="56"/>
      <c r="P2845" s="56"/>
      <c r="Q2845" s="48"/>
      <c r="R2845" s="48"/>
      <c r="S2845" s="2"/>
    </row>
    <row r="2846" spans="1:19" ht="12.75" customHeight="1" x14ac:dyDescent="0.2">
      <c r="A2846" s="155"/>
      <c r="B2846" s="26" t="str">
        <f>$A$9</f>
        <v>BDI</v>
      </c>
      <c r="C2846" s="27">
        <f>$C$9</f>
        <v>0</v>
      </c>
      <c r="D2846" s="57"/>
      <c r="F2846" s="28">
        <f>ROUND(SUM(F2836:F2845)*C2846,2)</f>
        <v>0</v>
      </c>
      <c r="G2846" s="63"/>
      <c r="M2846" s="62"/>
      <c r="N2846" s="57"/>
      <c r="O2846" s="56"/>
      <c r="P2846" s="56"/>
      <c r="Q2846" s="48"/>
      <c r="R2846" s="48"/>
      <c r="S2846" s="2"/>
    </row>
    <row r="2847" spans="1:19" ht="12.75" customHeight="1" x14ac:dyDescent="0.2">
      <c r="A2847" s="163"/>
      <c r="B2847" s="31" t="s">
        <v>117</v>
      </c>
      <c r="C2847" s="36"/>
      <c r="D2847" s="37"/>
      <c r="E2847" s="38"/>
      <c r="F2847" s="35">
        <f>ROUND(SUM(F2836:F2846),2)</f>
        <v>0</v>
      </c>
      <c r="G2847" s="63"/>
      <c r="M2847" s="62"/>
      <c r="N2847" s="57"/>
      <c r="O2847" s="56"/>
      <c r="P2847" s="56"/>
      <c r="Q2847" s="48"/>
      <c r="R2847" s="48"/>
      <c r="S2847" s="2"/>
    </row>
    <row r="2848" spans="1:19" ht="12.75" customHeight="1" x14ac:dyDescent="0.2">
      <c r="A2848" s="152" t="s">
        <v>6</v>
      </c>
      <c r="B2848" s="153" t="s">
        <v>17</v>
      </c>
      <c r="C2848" s="140" t="s">
        <v>59</v>
      </c>
      <c r="D2848" s="56" t="s">
        <v>16</v>
      </c>
      <c r="E2848" s="19" t="s">
        <v>60</v>
      </c>
      <c r="F2848" s="20" t="s">
        <v>61</v>
      </c>
      <c r="G2848" s="21"/>
      <c r="M2848" s="62"/>
      <c r="N2848" s="57"/>
      <c r="O2848" s="56"/>
      <c r="P2848" s="56"/>
      <c r="Q2848" s="48"/>
      <c r="R2848" s="48"/>
      <c r="S2848" s="2"/>
    </row>
    <row r="2849" spans="1:22" ht="12.75" customHeight="1" x14ac:dyDescent="0.2">
      <c r="A2849" s="155">
        <f>'6.A'!$A$174</f>
        <v>54485</v>
      </c>
      <c r="B2849" s="138" t="str">
        <f>IF(A2849="","",VLOOKUP(A2849,'6.A'!$A$11:$G$180,2,FALSE))</f>
        <v>DISJUNTOR CX. MOLD. TRIP. C/ DISPARADOR TÉRMICO AJUSTÁVEL E MAGNÉTICO FIXO - 100A</v>
      </c>
      <c r="C2849" s="156">
        <v>1</v>
      </c>
      <c r="D2849" s="57" t="str">
        <f>IF(A2849="","",VLOOKUP(A2849,'6.A'!$A$11:$G$180,4,FALSE))</f>
        <v>UN</v>
      </c>
      <c r="E2849" s="100">
        <f>IF(A2849="","",VLOOKUP(A2849,'6.A'!$A$11:$G$180,5,FALSE))</f>
        <v>0</v>
      </c>
      <c r="F2849" s="24">
        <f t="shared" ref="F2849" si="1223">IF(A2849="","0,00",ROUND(C2849*E2849,2))</f>
        <v>0</v>
      </c>
      <c r="G2849" s="52"/>
      <c r="H2849" s="52">
        <f>IF(A2849="","",VLOOKUP(A2849,'6.A'!$A$11:$E$7984,5,FALSE))</f>
        <v>0</v>
      </c>
      <c r="I2849" s="52" t="str">
        <f t="shared" ref="I2849" si="1224">IF(H2849="","",IF(E2849=H2849,"SIM","NÃO"))</f>
        <v>SIM</v>
      </c>
      <c r="J2849" s="52" t="str">
        <f>IF(H2849="","",VLOOKUP(A2849,'6.A'!$A$11:$E$564,4,FALSE))</f>
        <v>UN</v>
      </c>
      <c r="K2849" s="52" t="str">
        <f t="shared" ref="K2849" si="1225">IF(H2849="","",IF(J2849=D2849,"SIM","NÃO"))</f>
        <v>SIM</v>
      </c>
      <c r="L2849" s="52">
        <f>IF(H2849="","",IF(C2849="","",G2820*C2849))</f>
        <v>6</v>
      </c>
      <c r="M2849" s="117" t="str">
        <f>IF(A2849="","",VLOOKUP(A2849,'6.A'!$A$11:$C$564,2,FALSE))</f>
        <v>DISJUNTOR CX. MOLD. TRIP. C/ DISPARADOR TÉRMICO AJUSTÁVEL E MAGNÉTICO FIXO - 100A</v>
      </c>
      <c r="N2849" s="57" t="str">
        <f t="shared" ref="N2849" si="1226">IF(A2849="","",IF(M2849=B2849,"si","no"))</f>
        <v>si</v>
      </c>
      <c r="O2849" s="56"/>
      <c r="P2849" s="56"/>
      <c r="Q2849" s="48"/>
      <c r="R2849" s="48"/>
    </row>
    <row r="2850" spans="1:22" ht="12.75" customHeight="1" x14ac:dyDescent="0.2">
      <c r="A2850" s="155"/>
      <c r="B2850" s="138" t="str">
        <f>IF(A2850="","",VLOOKUP(A2850,'6.A'!$A$11:$G$180,2,FALSE))</f>
        <v/>
      </c>
      <c r="C2850" s="156"/>
      <c r="D2850" s="57" t="str">
        <f>IF(A2850="","",VLOOKUP(A2850,'6.A'!$A$11:$G$180,4,FALSE))</f>
        <v/>
      </c>
      <c r="E2850" s="100" t="str">
        <f>IF(A2850="","",VLOOKUP(A2850,'6.A'!$A$11:$G$180,5,FALSE))</f>
        <v/>
      </c>
      <c r="F2850" s="24" t="str">
        <f>IF(A2850="","0,00",ROUND(C2850*E2850,2))</f>
        <v>0,00</v>
      </c>
      <c r="G2850" s="52"/>
      <c r="H2850" s="52" t="str">
        <f>IF(A2850="","",VLOOKUP(A2850,'6.A'!$A$11:$E$7984,5,FALSE))</f>
        <v/>
      </c>
      <c r="I2850" s="52" t="str">
        <f>IF(H2850="","",IF(E2850=H2850,"SIM","NÃO"))</f>
        <v/>
      </c>
      <c r="J2850" s="52" t="str">
        <f>IF(H2850="","",VLOOKUP(A2850,'6.A'!$A$11:$E$564,4,FALSE))</f>
        <v/>
      </c>
      <c r="K2850" s="52" t="str">
        <f>IF(H2850="","",IF(J2850=D2850,"SIM","NÃO"))</f>
        <v/>
      </c>
      <c r="L2850" s="52" t="str">
        <f>IF(H2850="","",IF(C2850="","",G2820*C2850))</f>
        <v/>
      </c>
      <c r="M2850" s="117" t="str">
        <f>IF(A2850="","",VLOOKUP(A2850,'6.A'!$A$11:$C$564,2,FALSE))</f>
        <v/>
      </c>
      <c r="N2850" s="57" t="str">
        <f>IF(A2850="","",IF(M2850=B2850,"si","no"))</f>
        <v/>
      </c>
      <c r="O2850" s="56"/>
      <c r="P2850" s="56"/>
      <c r="Q2850" s="48"/>
      <c r="R2850" s="48"/>
      <c r="S2850" s="2"/>
    </row>
    <row r="2851" spans="1:22" ht="12.75" customHeight="1" x14ac:dyDescent="0.2">
      <c r="A2851" s="155"/>
      <c r="B2851" s="138" t="str">
        <f>IF(A2851="","",VLOOKUP(A2851,'6.A'!$A$11:$G$180,2,FALSE))</f>
        <v/>
      </c>
      <c r="C2851" s="156"/>
      <c r="D2851" s="57" t="str">
        <f>IF(A2851="","",VLOOKUP(A2851,'6.A'!$A$11:$G$180,4,FALSE))</f>
        <v/>
      </c>
      <c r="E2851" s="100" t="str">
        <f>IF(A2851="","",VLOOKUP(A2851,'6.A'!$A$11:$G$180,5,FALSE))</f>
        <v/>
      </c>
      <c r="F2851" s="24" t="str">
        <f t="shared" ref="F2851:F2868" si="1227">IF(A2851="","0,00",ROUND(C2851*E2851,2))</f>
        <v>0,00</v>
      </c>
      <c r="G2851" s="52"/>
      <c r="H2851" s="52" t="str">
        <f>IF(A2851="","",VLOOKUP(A2851,'6.A'!$A$11:$E$7984,5,FALSE))</f>
        <v/>
      </c>
      <c r="I2851" s="52" t="str">
        <f t="shared" ref="I2851:I2868" si="1228">IF(H2851="","",IF(E2851=H2851,"SIM","NÃO"))</f>
        <v/>
      </c>
      <c r="J2851" s="52" t="str">
        <f>IF(H2851="","",VLOOKUP(A2851,'6.A'!$A$11:$E$564,4,FALSE))</f>
        <v/>
      </c>
      <c r="K2851" s="52" t="str">
        <f t="shared" ref="K2851:K2868" si="1229">IF(H2851="","",IF(J2851=D2851,"SIM","NÃO"))</f>
        <v/>
      </c>
      <c r="L2851" s="52" t="str">
        <f>IF(H2851="","",IF(C2851="","",G2820*C2851))</f>
        <v/>
      </c>
      <c r="M2851" s="117" t="str">
        <f>IF(A2851="","",VLOOKUP(A2851,'6.A'!$A$11:$C$564,2,FALSE))</f>
        <v/>
      </c>
      <c r="N2851" s="57" t="str">
        <f t="shared" ref="N2851:N2868" si="1230">IF(A2851="","",IF(M2851=B2851,"si","no"))</f>
        <v/>
      </c>
      <c r="O2851" s="56"/>
      <c r="P2851" s="56"/>
      <c r="Q2851" s="48"/>
      <c r="R2851" s="48"/>
    </row>
    <row r="2852" spans="1:22" ht="12.75" customHeight="1" x14ac:dyDescent="0.2">
      <c r="A2852" s="155"/>
      <c r="B2852" s="138" t="str">
        <f>IF(A2852="","",VLOOKUP(A2852,'6.A'!$A$11:$G$180,2,FALSE))</f>
        <v/>
      </c>
      <c r="C2852" s="156"/>
      <c r="D2852" s="57" t="str">
        <f>IF(A2852="","",VLOOKUP(A2852,'6.A'!$A$11:$G$180,4,FALSE))</f>
        <v/>
      </c>
      <c r="E2852" s="100" t="str">
        <f>IF(A2852="","",VLOOKUP(A2852,'6.A'!$A$11:$G$180,5,FALSE))</f>
        <v/>
      </c>
      <c r="F2852" s="24" t="str">
        <f t="shared" si="1227"/>
        <v>0,00</v>
      </c>
      <c r="G2852" s="52"/>
      <c r="H2852" s="52" t="str">
        <f>IF(A2852="","",VLOOKUP(A2852,'6.A'!$A$11:$E$7984,5,FALSE))</f>
        <v/>
      </c>
      <c r="I2852" s="52" t="str">
        <f t="shared" si="1228"/>
        <v/>
      </c>
      <c r="J2852" s="52" t="str">
        <f>IF(H2852="","",VLOOKUP(A2852,'6.A'!$A$11:$E$564,4,FALSE))</f>
        <v/>
      </c>
      <c r="K2852" s="52" t="str">
        <f t="shared" si="1229"/>
        <v/>
      </c>
      <c r="L2852" s="52" t="str">
        <f>IF(H2852="","",IF(C2852="","",G2820*C2852))</f>
        <v/>
      </c>
      <c r="M2852" s="117" t="str">
        <f>IF(A2852="","",VLOOKUP(A2852,'6.A'!$A$11:$C$564,2,FALSE))</f>
        <v/>
      </c>
      <c r="N2852" s="57" t="str">
        <f t="shared" si="1230"/>
        <v/>
      </c>
      <c r="O2852" s="56"/>
      <c r="P2852" s="56"/>
      <c r="Q2852" s="48"/>
      <c r="R2852" s="48"/>
      <c r="S2852" s="2"/>
    </row>
    <row r="2853" spans="1:22" ht="12.75" customHeight="1" x14ac:dyDescent="0.2">
      <c r="A2853" s="155"/>
      <c r="B2853" s="138" t="str">
        <f>IF(A2853="","",VLOOKUP(A2853,'6.A'!$A$11:$G$180,2,FALSE))</f>
        <v/>
      </c>
      <c r="C2853" s="156"/>
      <c r="D2853" s="57" t="str">
        <f>IF(A2853="","",VLOOKUP(A2853,'6.A'!$A$11:$G$180,4,FALSE))</f>
        <v/>
      </c>
      <c r="E2853" s="100" t="str">
        <f>IF(A2853="","",VLOOKUP(A2853,'6.A'!$A$11:$G$180,5,FALSE))</f>
        <v/>
      </c>
      <c r="F2853" s="24" t="str">
        <f t="shared" si="1227"/>
        <v>0,00</v>
      </c>
      <c r="G2853" s="52"/>
      <c r="H2853" s="52" t="str">
        <f>IF(A2853="","",VLOOKUP(A2853,'6.A'!$A$11:$E$7984,5,FALSE))</f>
        <v/>
      </c>
      <c r="I2853" s="52" t="str">
        <f t="shared" si="1228"/>
        <v/>
      </c>
      <c r="J2853" s="52" t="str">
        <f>IF(H2853="","",VLOOKUP(A2853,'6.A'!$A$11:$E$564,4,FALSE))</f>
        <v/>
      </c>
      <c r="K2853" s="52" t="str">
        <f t="shared" si="1229"/>
        <v/>
      </c>
      <c r="L2853" s="52" t="str">
        <f>IF(H2853="","",IF(C2853="","",G2820*C2853))</f>
        <v/>
      </c>
      <c r="M2853" s="117" t="str">
        <f>IF(A2853="","",VLOOKUP(A2853,'6.A'!$A$11:$C$564,2,FALSE))</f>
        <v/>
      </c>
      <c r="N2853" s="57" t="str">
        <f t="shared" si="1230"/>
        <v/>
      </c>
      <c r="O2853" s="56"/>
      <c r="P2853" s="56"/>
      <c r="Q2853" s="48"/>
      <c r="R2853" s="48"/>
      <c r="S2853" s="2"/>
    </row>
    <row r="2854" spans="1:22" ht="12.75" customHeight="1" x14ac:dyDescent="0.2">
      <c r="A2854" s="155"/>
      <c r="B2854" s="138" t="str">
        <f>IF(A2854="","",VLOOKUP(A2854,'6.A'!$A$11:$G$180,2,FALSE))</f>
        <v/>
      </c>
      <c r="C2854" s="156"/>
      <c r="D2854" s="57" t="str">
        <f>IF(A2854="","",VLOOKUP(A2854,'6.A'!$A$11:$G$180,4,FALSE))</f>
        <v/>
      </c>
      <c r="E2854" s="100" t="str">
        <f>IF(A2854="","",VLOOKUP(A2854,'6.A'!$A$11:$G$180,5,FALSE))</f>
        <v/>
      </c>
      <c r="F2854" s="24" t="str">
        <f t="shared" si="1227"/>
        <v>0,00</v>
      </c>
      <c r="G2854" s="52"/>
      <c r="H2854" s="52" t="str">
        <f>IF(A2854="","",VLOOKUP(A2854,'6.A'!$A$11:$E$7984,5,FALSE))</f>
        <v/>
      </c>
      <c r="I2854" s="52" t="str">
        <f t="shared" si="1228"/>
        <v/>
      </c>
      <c r="J2854" s="52" t="str">
        <f>IF(H2854="","",VLOOKUP(A2854,'6.A'!$A$11:$E$564,4,FALSE))</f>
        <v/>
      </c>
      <c r="K2854" s="52" t="str">
        <f t="shared" si="1229"/>
        <v/>
      </c>
      <c r="L2854" s="52" t="str">
        <f>IF(H2854="","",IF(C2854="","",G2820*C2854))</f>
        <v/>
      </c>
      <c r="M2854" s="117" t="str">
        <f>IF(A2854="","",VLOOKUP(A2854,'6.A'!$A$11:$C$564,2,FALSE))</f>
        <v/>
      </c>
      <c r="N2854" s="57" t="str">
        <f t="shared" si="1230"/>
        <v/>
      </c>
      <c r="O2854" s="56"/>
      <c r="P2854" s="56"/>
      <c r="Q2854" s="48"/>
      <c r="R2854" s="48"/>
      <c r="S2854" s="2"/>
    </row>
    <row r="2855" spans="1:22" ht="12.75" customHeight="1" x14ac:dyDescent="0.2">
      <c r="A2855" s="155"/>
      <c r="B2855" s="138" t="str">
        <f>IF(A2855="","",VLOOKUP(A2855,'6.A'!$A$11:$G$180,2,FALSE))</f>
        <v/>
      </c>
      <c r="C2855" s="156"/>
      <c r="D2855" s="57" t="str">
        <f>IF(A2855="","",VLOOKUP(A2855,'6.A'!$A$11:$G$180,4,FALSE))</f>
        <v/>
      </c>
      <c r="E2855" s="100" t="str">
        <f>IF(A2855="","",VLOOKUP(A2855,'6.A'!$A$11:$G$180,5,FALSE))</f>
        <v/>
      </c>
      <c r="F2855" s="24" t="str">
        <f t="shared" si="1227"/>
        <v>0,00</v>
      </c>
      <c r="G2855" s="52"/>
      <c r="H2855" s="52" t="str">
        <f>IF(A2855="","",VLOOKUP(A2855,'6.A'!$A$11:$E$7984,5,FALSE))</f>
        <v/>
      </c>
      <c r="I2855" s="52" t="str">
        <f t="shared" si="1228"/>
        <v/>
      </c>
      <c r="J2855" s="52" t="str">
        <f>IF(H2855="","",VLOOKUP(A2855,'6.A'!$A$11:$E$564,4,FALSE))</f>
        <v/>
      </c>
      <c r="K2855" s="52" t="str">
        <f t="shared" si="1229"/>
        <v/>
      </c>
      <c r="L2855" s="52" t="str">
        <f>IF(H2855="","",IF(C2855="","",G2820*C2855))</f>
        <v/>
      </c>
      <c r="M2855" s="117" t="str">
        <f>IF(A2855="","",VLOOKUP(A2855,'6.A'!$A$11:$C$564,2,FALSE))</f>
        <v/>
      </c>
      <c r="N2855" s="57" t="str">
        <f t="shared" si="1230"/>
        <v/>
      </c>
      <c r="O2855" s="56"/>
      <c r="P2855" s="56"/>
      <c r="Q2855" s="48"/>
      <c r="R2855" s="48"/>
    </row>
    <row r="2856" spans="1:22" ht="12.75" customHeight="1" x14ac:dyDescent="0.2">
      <c r="A2856" s="155"/>
      <c r="B2856" s="138" t="str">
        <f>IF(A2856="","",VLOOKUP(A2856,'6.A'!$A$11:$G$180,2,FALSE))</f>
        <v/>
      </c>
      <c r="C2856" s="156"/>
      <c r="D2856" s="57" t="str">
        <f>IF(A2856="","",VLOOKUP(A2856,'6.A'!$A$11:$G$180,4,FALSE))</f>
        <v/>
      </c>
      <c r="E2856" s="100" t="str">
        <f>IF(A2856="","",VLOOKUP(A2856,'6.A'!$A$11:$G$180,5,FALSE))</f>
        <v/>
      </c>
      <c r="F2856" s="24" t="str">
        <f t="shared" si="1227"/>
        <v>0,00</v>
      </c>
      <c r="G2856" s="52"/>
      <c r="H2856" s="52" t="str">
        <f>IF(A2856="","",VLOOKUP(A2856,'6.A'!$A$11:$E$7984,5,FALSE))</f>
        <v/>
      </c>
      <c r="I2856" s="52" t="str">
        <f t="shared" si="1228"/>
        <v/>
      </c>
      <c r="J2856" s="52" t="str">
        <f>IF(H2856="","",VLOOKUP(A2856,'6.A'!$A$11:$E$564,4,FALSE))</f>
        <v/>
      </c>
      <c r="K2856" s="52" t="str">
        <f t="shared" si="1229"/>
        <v/>
      </c>
      <c r="L2856" s="52" t="str">
        <f>IF(H2856="","",IF(C2856="","",G2820*C2856))</f>
        <v/>
      </c>
      <c r="M2856" s="117" t="str">
        <f>IF(A2856="","",VLOOKUP(A2856,'6.A'!$A$11:$C$564,2,FALSE))</f>
        <v/>
      </c>
      <c r="N2856" s="57" t="str">
        <f t="shared" si="1230"/>
        <v/>
      </c>
      <c r="O2856" s="56"/>
      <c r="P2856" s="56"/>
      <c r="Q2856" s="48"/>
      <c r="R2856" s="48"/>
    </row>
    <row r="2857" spans="1:22" ht="12.75" customHeight="1" x14ac:dyDescent="0.2">
      <c r="A2857" s="155"/>
      <c r="B2857" s="138" t="str">
        <f>IF(A2857="","",VLOOKUP(A2857,'6.A'!$A$11:$G$180,2,FALSE))</f>
        <v/>
      </c>
      <c r="C2857" s="156"/>
      <c r="D2857" s="57" t="str">
        <f>IF(A2857="","",VLOOKUP(A2857,'6.A'!$A$11:$G$180,4,FALSE))</f>
        <v/>
      </c>
      <c r="E2857" s="100" t="str">
        <f>IF(A2857="","",VLOOKUP(A2857,'6.A'!$A$11:$G$180,5,FALSE))</f>
        <v/>
      </c>
      <c r="F2857" s="24" t="str">
        <f t="shared" si="1227"/>
        <v>0,00</v>
      </c>
      <c r="G2857" s="52"/>
      <c r="H2857" s="52" t="str">
        <f>IF(A2857="","",VLOOKUP(A2857,'6.A'!$A$11:$E$7984,5,FALSE))</f>
        <v/>
      </c>
      <c r="I2857" s="52" t="str">
        <f t="shared" si="1228"/>
        <v/>
      </c>
      <c r="J2857" s="52" t="str">
        <f>IF(H2857="","",VLOOKUP(A2857,'6.A'!$A$11:$E$564,4,FALSE))</f>
        <v/>
      </c>
      <c r="K2857" s="52" t="str">
        <f t="shared" si="1229"/>
        <v/>
      </c>
      <c r="L2857" s="52" t="str">
        <f>IF(H2857="","",IF(C2857="","",G2820*C2857))</f>
        <v/>
      </c>
      <c r="M2857" s="117" t="str">
        <f>IF(A2857="","",VLOOKUP(A2857,'6.A'!$A$11:$C$564,2,FALSE))</f>
        <v/>
      </c>
      <c r="N2857" s="57" t="str">
        <f t="shared" si="1230"/>
        <v/>
      </c>
      <c r="O2857" s="56"/>
      <c r="P2857" s="56"/>
      <c r="Q2857" s="48"/>
      <c r="R2857" s="48"/>
      <c r="S2857" s="2"/>
    </row>
    <row r="2858" spans="1:22" ht="12.75" customHeight="1" x14ac:dyDescent="0.2">
      <c r="A2858" s="155"/>
      <c r="B2858" s="138" t="str">
        <f>IF(A2858="","",VLOOKUP(A2858,'6.A'!$A$11:$G$180,2,FALSE))</f>
        <v/>
      </c>
      <c r="C2858" s="156"/>
      <c r="D2858" s="57" t="str">
        <f>IF(A2858="","",VLOOKUP(A2858,'6.A'!$A$11:$G$180,4,FALSE))</f>
        <v/>
      </c>
      <c r="E2858" s="100" t="str">
        <f>IF(A2858="","",VLOOKUP(A2858,'6.A'!$A$11:$G$180,5,FALSE))</f>
        <v/>
      </c>
      <c r="F2858" s="24" t="str">
        <f t="shared" si="1227"/>
        <v>0,00</v>
      </c>
      <c r="G2858" s="52"/>
      <c r="H2858" s="52" t="str">
        <f>IF(A2858="","",VLOOKUP(A2858,'6.A'!$A$11:$E$7984,5,FALSE))</f>
        <v/>
      </c>
      <c r="I2858" s="52" t="str">
        <f t="shared" si="1228"/>
        <v/>
      </c>
      <c r="J2858" s="52" t="str">
        <f>IF(H2858="","",VLOOKUP(A2858,'6.A'!$A$11:$E$564,4,FALSE))</f>
        <v/>
      </c>
      <c r="K2858" s="52" t="str">
        <f t="shared" si="1229"/>
        <v/>
      </c>
      <c r="L2858" s="52" t="str">
        <f>IF(H2858="","",IF(C2858="","",G2820*C2858))</f>
        <v/>
      </c>
      <c r="M2858" s="117" t="str">
        <f>IF(A2858="","",VLOOKUP(A2858,'6.A'!$A$11:$C$564,2,FALSE))</f>
        <v/>
      </c>
      <c r="N2858" s="57" t="str">
        <f t="shared" si="1230"/>
        <v/>
      </c>
      <c r="O2858" s="56"/>
      <c r="P2858" s="56"/>
      <c r="Q2858" s="48"/>
      <c r="R2858" s="48"/>
    </row>
    <row r="2859" spans="1:22" ht="12.75" customHeight="1" x14ac:dyDescent="0.2">
      <c r="A2859" s="155"/>
      <c r="B2859" s="138" t="str">
        <f>IF(A2859="","",VLOOKUP(A2859,'6.A'!$A$11:$G$180,2,FALSE))</f>
        <v/>
      </c>
      <c r="C2859" s="156"/>
      <c r="D2859" s="57" t="str">
        <f>IF(A2859="","",VLOOKUP(A2859,'6.A'!$A$11:$G$180,4,FALSE))</f>
        <v/>
      </c>
      <c r="E2859" s="100" t="str">
        <f>IF(A2859="","",VLOOKUP(A2859,'6.A'!$A$11:$G$180,5,FALSE))</f>
        <v/>
      </c>
      <c r="F2859" s="24" t="str">
        <f t="shared" si="1227"/>
        <v>0,00</v>
      </c>
      <c r="G2859" s="52"/>
      <c r="H2859" s="52" t="str">
        <f>IF(A2859="","",VLOOKUP(A2859,'6.A'!$A$11:$E$7984,5,FALSE))</f>
        <v/>
      </c>
      <c r="I2859" s="52" t="str">
        <f t="shared" si="1228"/>
        <v/>
      </c>
      <c r="J2859" s="52" t="str">
        <f>IF(H2859="","",VLOOKUP(A2859,'6.A'!$A$11:$E$564,4,FALSE))</f>
        <v/>
      </c>
      <c r="K2859" s="52" t="str">
        <f t="shared" si="1229"/>
        <v/>
      </c>
      <c r="L2859" s="52" t="str">
        <f>IF(H2859="","",IF(C2859="","",G2820*C2859))</f>
        <v/>
      </c>
      <c r="M2859" s="117" t="str">
        <f>IF(A2859="","",VLOOKUP(A2859,'6.A'!$A$11:$C$564,2,FALSE))</f>
        <v/>
      </c>
      <c r="N2859" s="57" t="str">
        <f t="shared" si="1230"/>
        <v/>
      </c>
      <c r="O2859" s="56"/>
      <c r="P2859" s="56"/>
      <c r="Q2859" s="48"/>
      <c r="R2859" s="48"/>
    </row>
    <row r="2860" spans="1:22" ht="12.75" customHeight="1" x14ac:dyDescent="0.2">
      <c r="A2860" s="155"/>
      <c r="B2860" s="138" t="str">
        <f>IF(A2860="","",VLOOKUP(A2860,'6.A'!$A$11:$G$180,2,FALSE))</f>
        <v/>
      </c>
      <c r="C2860" s="156"/>
      <c r="D2860" s="57" t="str">
        <f>IF(A2860="","",VLOOKUP(A2860,'6.A'!$A$11:$G$180,4,FALSE))</f>
        <v/>
      </c>
      <c r="E2860" s="100" t="str">
        <f>IF(A2860="","",VLOOKUP(A2860,'6.A'!$A$11:$G$180,5,FALSE))</f>
        <v/>
      </c>
      <c r="F2860" s="24" t="str">
        <f t="shared" si="1227"/>
        <v>0,00</v>
      </c>
      <c r="G2860" s="52"/>
      <c r="H2860" s="52" t="str">
        <f>IF(A2860="","",VLOOKUP(A2860,'6.A'!$A$11:$E$7984,5,FALSE))</f>
        <v/>
      </c>
      <c r="I2860" s="52" t="str">
        <f t="shared" si="1228"/>
        <v/>
      </c>
      <c r="J2860" s="52" t="str">
        <f>IF(H2860="","",VLOOKUP(A2860,'6.A'!$A$11:$E$564,4,FALSE))</f>
        <v/>
      </c>
      <c r="K2860" s="52" t="str">
        <f t="shared" si="1229"/>
        <v/>
      </c>
      <c r="L2860" s="52" t="str">
        <f>IF(H2860="","",IF(C2860="","",G2820*C2860))</f>
        <v/>
      </c>
      <c r="M2860" s="117" t="str">
        <f>IF(A2860="","",VLOOKUP(A2860,'6.A'!$A$11:$C$564,2,FALSE))</f>
        <v/>
      </c>
      <c r="N2860" s="57" t="str">
        <f t="shared" si="1230"/>
        <v/>
      </c>
      <c r="O2860" s="56"/>
      <c r="P2860" s="56"/>
      <c r="Q2860" s="48"/>
      <c r="R2860" s="48"/>
      <c r="S2860" s="2"/>
    </row>
    <row r="2861" spans="1:22" s="65" customFormat="1" ht="12.75" customHeight="1" x14ac:dyDescent="0.2">
      <c r="A2861" s="155"/>
      <c r="B2861" s="138" t="str">
        <f>IF(A2861="","",VLOOKUP(A2861,'6.A'!$A$11:$G$180,2,FALSE))</f>
        <v/>
      </c>
      <c r="C2861" s="156"/>
      <c r="D2861" s="57" t="str">
        <f>IF(A2861="","",VLOOKUP(A2861,'6.A'!$A$11:$G$180,4,FALSE))</f>
        <v/>
      </c>
      <c r="E2861" s="100" t="str">
        <f>IF(A2861="","",VLOOKUP(A2861,'6.A'!$A$11:$G$180,5,FALSE))</f>
        <v/>
      </c>
      <c r="F2861" s="24" t="str">
        <f t="shared" si="1227"/>
        <v>0,00</v>
      </c>
      <c r="G2861" s="52"/>
      <c r="H2861" s="52" t="str">
        <f>IF(A2861="","",VLOOKUP(A2861,'6.A'!$A$11:$E$7984,5,FALSE))</f>
        <v/>
      </c>
      <c r="I2861" s="52" t="str">
        <f t="shared" si="1228"/>
        <v/>
      </c>
      <c r="J2861" s="52" t="str">
        <f>IF(H2861="","",VLOOKUP(A2861,'6.A'!$A$11:$E$564,4,FALSE))</f>
        <v/>
      </c>
      <c r="K2861" s="52" t="str">
        <f t="shared" si="1229"/>
        <v/>
      </c>
      <c r="L2861" s="52" t="str">
        <f>IF(H2861="","",IF(C2861="","",G2820*C2861))</f>
        <v/>
      </c>
      <c r="M2861" s="117" t="str">
        <f>IF(A2861="","",VLOOKUP(A2861,'6.A'!$A$11:$C$564,2,FALSE))</f>
        <v/>
      </c>
      <c r="N2861" s="57" t="str">
        <f t="shared" si="1230"/>
        <v/>
      </c>
      <c r="O2861" s="56"/>
      <c r="P2861" s="56"/>
      <c r="Q2861" s="48"/>
      <c r="R2861" s="48"/>
      <c r="T2861" s="2"/>
      <c r="U2861" s="2"/>
      <c r="V2861" s="2"/>
    </row>
    <row r="2862" spans="1:22" ht="12.75" customHeight="1" x14ac:dyDescent="0.2">
      <c r="A2862" s="155"/>
      <c r="B2862" s="138" t="str">
        <f>IF(A2862="","",VLOOKUP(A2862,'6.A'!$A$11:$G$180,2,FALSE))</f>
        <v/>
      </c>
      <c r="C2862" s="156"/>
      <c r="D2862" s="57" t="str">
        <f>IF(A2862="","",VLOOKUP(A2862,'6.A'!$A$11:$G$180,4,FALSE))</f>
        <v/>
      </c>
      <c r="E2862" s="100" t="str">
        <f>IF(A2862="","",VLOOKUP(A2862,'6.A'!$A$11:$G$180,5,FALSE))</f>
        <v/>
      </c>
      <c r="F2862" s="24" t="str">
        <f t="shared" si="1227"/>
        <v>0,00</v>
      </c>
      <c r="G2862" s="52"/>
      <c r="H2862" s="52" t="str">
        <f>IF(A2862="","",VLOOKUP(A2862,'6.A'!$A$11:$E$7984,5,FALSE))</f>
        <v/>
      </c>
      <c r="I2862" s="52" t="str">
        <f t="shared" si="1228"/>
        <v/>
      </c>
      <c r="J2862" s="52" t="str">
        <f>IF(H2862="","",VLOOKUP(A2862,'6.A'!$A$11:$E$564,4,FALSE))</f>
        <v/>
      </c>
      <c r="K2862" s="52" t="str">
        <f t="shared" si="1229"/>
        <v/>
      </c>
      <c r="L2862" s="52" t="str">
        <f>IF(H2862="","",IF(C2862="","",G2820*C2862))</f>
        <v/>
      </c>
      <c r="M2862" s="117" t="str">
        <f>IF(A2862="","",VLOOKUP(A2862,'6.A'!$A$11:$C$564,2,FALSE))</f>
        <v/>
      </c>
      <c r="N2862" s="57" t="str">
        <f t="shared" si="1230"/>
        <v/>
      </c>
      <c r="O2862" s="56"/>
      <c r="P2862" s="56"/>
      <c r="Q2862" s="48"/>
      <c r="R2862" s="48"/>
    </row>
    <row r="2863" spans="1:22" ht="12.75" customHeight="1" x14ac:dyDescent="0.2">
      <c r="A2863" s="155"/>
      <c r="B2863" s="138" t="str">
        <f>IF(A2863="","",VLOOKUP(A2863,'6.A'!$A$11:$G$180,2,FALSE))</f>
        <v/>
      </c>
      <c r="C2863" s="156"/>
      <c r="D2863" s="57" t="str">
        <f>IF(A2863="","",VLOOKUP(A2863,'6.A'!$A$11:$G$180,4,FALSE))</f>
        <v/>
      </c>
      <c r="E2863" s="100" t="str">
        <f>IF(A2863="","",VLOOKUP(A2863,'6.A'!$A$11:$G$180,5,FALSE))</f>
        <v/>
      </c>
      <c r="F2863" s="24" t="str">
        <f t="shared" si="1227"/>
        <v>0,00</v>
      </c>
      <c r="G2863" s="52"/>
      <c r="H2863" s="52" t="str">
        <f>IF(A2863="","",VLOOKUP(A2863,'6.A'!$A$11:$E$7984,5,FALSE))</f>
        <v/>
      </c>
      <c r="I2863" s="52" t="str">
        <f t="shared" si="1228"/>
        <v/>
      </c>
      <c r="J2863" s="52" t="str">
        <f>IF(H2863="","",VLOOKUP(A2863,'6.A'!$A$11:$E$564,4,FALSE))</f>
        <v/>
      </c>
      <c r="K2863" s="52" t="str">
        <f t="shared" si="1229"/>
        <v/>
      </c>
      <c r="L2863" s="52" t="str">
        <f>IF(H2863="","",IF(C2863="","",G2820*C2863))</f>
        <v/>
      </c>
      <c r="M2863" s="117" t="str">
        <f>IF(A2863="","",VLOOKUP(A2863,'6.A'!$A$11:$C$564,2,FALSE))</f>
        <v/>
      </c>
      <c r="N2863" s="57" t="str">
        <f t="shared" si="1230"/>
        <v/>
      </c>
      <c r="O2863" s="56"/>
      <c r="P2863" s="56"/>
      <c r="Q2863" s="48"/>
      <c r="R2863" s="48"/>
      <c r="S2863" s="2"/>
    </row>
    <row r="2864" spans="1:22" s="65" customFormat="1" ht="12.75" customHeight="1" x14ac:dyDescent="0.2">
      <c r="A2864" s="155"/>
      <c r="B2864" s="138" t="str">
        <f>IF(A2864="","",VLOOKUP(A2864,'6.A'!$A$11:$G$180,2,FALSE))</f>
        <v/>
      </c>
      <c r="C2864" s="156"/>
      <c r="D2864" s="57" t="str">
        <f>IF(A2864="","",VLOOKUP(A2864,'6.A'!$A$11:$G$180,4,FALSE))</f>
        <v/>
      </c>
      <c r="E2864" s="100" t="str">
        <f>IF(A2864="","",VLOOKUP(A2864,'6.A'!$A$11:$G$180,5,FALSE))</f>
        <v/>
      </c>
      <c r="F2864" s="24" t="str">
        <f t="shared" si="1227"/>
        <v>0,00</v>
      </c>
      <c r="G2864" s="52"/>
      <c r="H2864" s="52" t="str">
        <f>IF(A2864="","",VLOOKUP(A2864,'6.A'!$A$11:$E$7984,5,FALSE))</f>
        <v/>
      </c>
      <c r="I2864" s="52" t="str">
        <f t="shared" si="1228"/>
        <v/>
      </c>
      <c r="J2864" s="52" t="str">
        <f>IF(H2864="","",VLOOKUP(A2864,'6.A'!$A$11:$E$564,4,FALSE))</f>
        <v/>
      </c>
      <c r="K2864" s="52" t="str">
        <f t="shared" si="1229"/>
        <v/>
      </c>
      <c r="L2864" s="52" t="str">
        <f>IF(H2864="","",IF(C2864="","",G2820*C2864))</f>
        <v/>
      </c>
      <c r="M2864" s="117" t="str">
        <f>IF(A2864="","",VLOOKUP(A2864,'6.A'!$A$11:$C$564,2,FALSE))</f>
        <v/>
      </c>
      <c r="N2864" s="57" t="str">
        <f t="shared" si="1230"/>
        <v/>
      </c>
      <c r="O2864" s="56"/>
      <c r="P2864" s="56"/>
      <c r="Q2864" s="48"/>
      <c r="R2864" s="48"/>
      <c r="T2864" s="2"/>
      <c r="U2864" s="2"/>
      <c r="V2864" s="2"/>
    </row>
    <row r="2865" spans="1:23" s="65" customFormat="1" ht="12.75" customHeight="1" x14ac:dyDescent="0.2">
      <c r="A2865" s="155"/>
      <c r="B2865" s="171" t="str">
        <f>IF(A2865="","",VLOOKUP(A2865,'6.A'!$A$11:$G$180,2,FALSE))</f>
        <v/>
      </c>
      <c r="C2865" s="156"/>
      <c r="D2865" s="57" t="str">
        <f>IF(A2865="","",VLOOKUP(A2865,'6.A'!$A$11:$G$180,4,FALSE))</f>
        <v/>
      </c>
      <c r="E2865" s="100" t="str">
        <f>IF(A2865="","",VLOOKUP(A2865,'6.A'!$A$11:$G$180,5,FALSE))</f>
        <v/>
      </c>
      <c r="F2865" s="24" t="str">
        <f t="shared" si="1227"/>
        <v>0,00</v>
      </c>
      <c r="G2865" s="52"/>
      <c r="H2865" s="52" t="str">
        <f>IF(A2865="","",VLOOKUP(A2865,'6.A'!$A$11:$E$7984,5,FALSE))</f>
        <v/>
      </c>
      <c r="I2865" s="52" t="str">
        <f t="shared" si="1228"/>
        <v/>
      </c>
      <c r="J2865" s="52" t="str">
        <f>IF(H2865="","",VLOOKUP(A2865,'6.A'!$A$11:$E$564,4,FALSE))</f>
        <v/>
      </c>
      <c r="K2865" s="52" t="str">
        <f t="shared" si="1229"/>
        <v/>
      </c>
      <c r="L2865" s="52" t="str">
        <f>IF(H2865="","",IF(C2865="","",G2820*C2865))</f>
        <v/>
      </c>
      <c r="M2865" s="117" t="str">
        <f>IF(A2865="","",VLOOKUP(A2865,'6.A'!$A$11:$C$564,2,FALSE))</f>
        <v/>
      </c>
      <c r="N2865" s="57" t="str">
        <f t="shared" si="1230"/>
        <v/>
      </c>
      <c r="O2865" s="56"/>
      <c r="P2865" s="56"/>
      <c r="Q2865" s="48"/>
      <c r="R2865" s="48"/>
      <c r="T2865" s="2"/>
      <c r="U2865" s="2"/>
      <c r="V2865" s="2"/>
    </row>
    <row r="2866" spans="1:23" s="65" customFormat="1" ht="12.75" customHeight="1" x14ac:dyDescent="0.2">
      <c r="A2866" s="22"/>
      <c r="B2866" s="23" t="str">
        <f>IF(A2866="","",VLOOKUP(A2866,'6.A'!$A$11:$G$180,2,FALSE))</f>
        <v/>
      </c>
      <c r="C2866" s="99"/>
      <c r="D2866" s="57" t="str">
        <f>IF(A2866="","",VLOOKUP(A2866,'6.A'!$A$11:$G$180,4,FALSE))</f>
        <v/>
      </c>
      <c r="E2866" s="100" t="str">
        <f>IF(A2866="","",VLOOKUP(A2866,'6.A'!$A$11:$G$180,5,FALSE))</f>
        <v/>
      </c>
      <c r="F2866" s="24" t="str">
        <f t="shared" si="1227"/>
        <v>0,00</v>
      </c>
      <c r="G2866" s="52"/>
      <c r="H2866" s="52" t="str">
        <f>IF(A2866="","",VLOOKUP(A2866,'6.A'!$A$11:$E$7984,5,FALSE))</f>
        <v/>
      </c>
      <c r="I2866" s="52" t="str">
        <f t="shared" si="1228"/>
        <v/>
      </c>
      <c r="J2866" s="52" t="str">
        <f>IF(H2866="","",VLOOKUP(A2866,'6.A'!$A$11:$E$564,4,FALSE))</f>
        <v/>
      </c>
      <c r="K2866" s="52" t="str">
        <f t="shared" si="1229"/>
        <v/>
      </c>
      <c r="L2866" s="52" t="str">
        <f>IF(H2866="","",IF(C2866="","",G2820*C2866))</f>
        <v/>
      </c>
      <c r="M2866" s="117" t="str">
        <f>IF(A2866="","",VLOOKUP(A2866,'6.A'!$A$11:$C$564,2,FALSE))</f>
        <v/>
      </c>
      <c r="N2866" s="57" t="str">
        <f t="shared" si="1230"/>
        <v/>
      </c>
      <c r="O2866" s="56"/>
      <c r="P2866" s="56"/>
      <c r="Q2866" s="48"/>
      <c r="R2866" s="48"/>
      <c r="T2866" s="2"/>
      <c r="U2866" s="2"/>
      <c r="V2866" s="2"/>
    </row>
    <row r="2867" spans="1:23" ht="12.75" customHeight="1" x14ac:dyDescent="0.2">
      <c r="A2867" s="22"/>
      <c r="B2867" s="23" t="str">
        <f>IF(A2867="","",VLOOKUP(A2867,'6.A'!$A$11:$G$180,2,FALSE))</f>
        <v/>
      </c>
      <c r="C2867" s="99"/>
      <c r="D2867" s="57" t="str">
        <f>IF(A2867="","",VLOOKUP(A2867,'6.A'!$A$11:$G$180,4,FALSE))</f>
        <v/>
      </c>
      <c r="E2867" s="100" t="str">
        <f>IF(A2867="","",VLOOKUP(A2867,'6.A'!$A$11:$G$180,5,FALSE))</f>
        <v/>
      </c>
      <c r="F2867" s="24" t="str">
        <f t="shared" si="1227"/>
        <v>0,00</v>
      </c>
      <c r="G2867" s="52"/>
      <c r="H2867" s="52" t="str">
        <f>IF(A2867="","",VLOOKUP(A2867,'6.A'!$A$11:$E$7984,5,FALSE))</f>
        <v/>
      </c>
      <c r="I2867" s="52" t="str">
        <f t="shared" si="1228"/>
        <v/>
      </c>
      <c r="J2867" s="52" t="str">
        <f>IF(H2867="","",VLOOKUP(A2867,'6.A'!$A$11:$E$564,4,FALSE))</f>
        <v/>
      </c>
      <c r="K2867" s="52" t="str">
        <f t="shared" si="1229"/>
        <v/>
      </c>
      <c r="L2867" s="52" t="str">
        <f>IF(H2867="","",IF(C2867="","",G2820*C2867))</f>
        <v/>
      </c>
      <c r="M2867" s="117" t="str">
        <f>IF(A2867="","",VLOOKUP(A2867,'6.A'!$A$11:$C$564,2,FALSE))</f>
        <v/>
      </c>
      <c r="N2867" s="57" t="str">
        <f t="shared" si="1230"/>
        <v/>
      </c>
      <c r="O2867" s="56"/>
      <c r="P2867" s="56"/>
      <c r="Q2867" s="48"/>
      <c r="R2867" s="48"/>
    </row>
    <row r="2868" spans="1:23" ht="12.75" customHeight="1" x14ac:dyDescent="0.2">
      <c r="A2868" s="22"/>
      <c r="B2868" s="23" t="str">
        <f>IF(A2868="","",VLOOKUP(A2868,'6.A'!$A$11:$G$180,2,FALSE))</f>
        <v/>
      </c>
      <c r="C2868" s="99"/>
      <c r="D2868" s="57" t="str">
        <f>IF(A2868="","",VLOOKUP(A2868,'6.A'!$A$11:$G$180,4,FALSE))</f>
        <v/>
      </c>
      <c r="E2868" s="100" t="str">
        <f>IF(A2868="","",VLOOKUP(A2868,'6.A'!$A$11:$G$180,5,FALSE))</f>
        <v/>
      </c>
      <c r="F2868" s="24" t="str">
        <f t="shared" si="1227"/>
        <v>0,00</v>
      </c>
      <c r="G2868" s="52"/>
      <c r="H2868" s="52" t="str">
        <f>IF(A2868="","",VLOOKUP(A2868,'6.A'!$A$11:$E$7984,5,FALSE))</f>
        <v/>
      </c>
      <c r="I2868" s="52" t="str">
        <f t="shared" si="1228"/>
        <v/>
      </c>
      <c r="J2868" s="52" t="str">
        <f>IF(H2868="","",VLOOKUP(A2868,'6.A'!$A$11:$E$564,4,FALSE))</f>
        <v/>
      </c>
      <c r="K2868" s="52" t="str">
        <f t="shared" si="1229"/>
        <v/>
      </c>
      <c r="L2868" s="52" t="str">
        <f>IF(H2868="","",IF(C2868="","",G2820*C2868))</f>
        <v/>
      </c>
      <c r="M2868" s="117" t="str">
        <f>IF(A2868="","",VLOOKUP(A2868,'6.A'!$A$11:$C$564,2,FALSE))</f>
        <v/>
      </c>
      <c r="N2868" s="57" t="str">
        <f t="shared" si="1230"/>
        <v/>
      </c>
      <c r="O2868" s="56"/>
      <c r="P2868" s="56"/>
      <c r="Q2868" s="48"/>
      <c r="R2868" s="48"/>
    </row>
    <row r="2869" spans="1:23" ht="12.75" customHeight="1" x14ac:dyDescent="0.2">
      <c r="A2869" s="22"/>
      <c r="B2869" s="26" t="str">
        <f>$A$9</f>
        <v>BDI</v>
      </c>
      <c r="C2869" s="40">
        <f>$C$9</f>
        <v>0</v>
      </c>
      <c r="D2869" s="57"/>
      <c r="F2869" s="28">
        <f>ROUND(SUM(F2849:F2868)*C2869,2)</f>
        <v>0</v>
      </c>
      <c r="G2869" s="63"/>
      <c r="M2869" s="57"/>
      <c r="N2869" s="57"/>
      <c r="O2869" s="56"/>
      <c r="P2869" s="56"/>
      <c r="Q2869" s="48"/>
      <c r="R2869" s="48"/>
    </row>
    <row r="2870" spans="1:23" ht="12.75" customHeight="1" thickBot="1" x14ac:dyDescent="0.25">
      <c r="A2870" s="41"/>
      <c r="B2870" s="42" t="s">
        <v>57</v>
      </c>
      <c r="C2870" s="43"/>
      <c r="D2870" s="44"/>
      <c r="E2870" s="45"/>
      <c r="F2870" s="46">
        <f>ROUND(SUM(F2849:F2869),2)</f>
        <v>0</v>
      </c>
      <c r="G2870" s="63"/>
      <c r="M2870" s="57"/>
      <c r="N2870" s="57"/>
      <c r="O2870" s="56"/>
      <c r="P2870" s="56"/>
      <c r="Q2870" s="48"/>
      <c r="R2870" s="48"/>
    </row>
    <row r="2871" spans="1:23" ht="12" customHeight="1" thickBot="1" x14ac:dyDescent="0.25">
      <c r="A2871" s="8"/>
      <c r="B2871" s="9"/>
      <c r="C2871" s="10"/>
      <c r="D2871" s="57"/>
      <c r="F2871" s="12"/>
      <c r="M2871" s="57"/>
      <c r="N2871" s="57"/>
      <c r="O2871" s="56"/>
      <c r="P2871" s="56"/>
    </row>
    <row r="2872" spans="1:23" ht="50.1" customHeight="1" x14ac:dyDescent="0.2">
      <c r="A2872" s="243" t="str">
        <f>'3.A'!$A$65</f>
        <v>3.3.12</v>
      </c>
      <c r="B2872" s="14" t="str">
        <f>IF(A2872="","",VLOOKUP(A2872,'3.A'!$A$17:$M$279,2,FALSE))</f>
        <v>DISJUNTOR CAIXA MOLDADA TRIPOLAR 150A COM DISPARADOR TERMOMAGNÉTICO AJUSTÁVEL</v>
      </c>
      <c r="C2872" s="413" t="s">
        <v>62</v>
      </c>
      <c r="D2872" s="413"/>
      <c r="E2872" s="15" t="str">
        <f>IF(A2872="","",VLOOKUP(A2872,'3.A'!$A$17:$M$279,3,FALSE))</f>
        <v>UN</v>
      </c>
      <c r="F2872" s="16">
        <f>ROUND(F2886+F2899+F2922,2)</f>
        <v>0</v>
      </c>
      <c r="G2872" s="118">
        <f>VLOOKUP(A2872,'3.A'!$A$19:$I$279,4,FALSE)</f>
        <v>3</v>
      </c>
      <c r="H2872" s="47">
        <f>SUM(F2874:F2885)</f>
        <v>0</v>
      </c>
      <c r="I2872" s="47">
        <f>SUM(F2888:F2898)</f>
        <v>0</v>
      </c>
      <c r="J2872" s="47">
        <f>SUM(F2901:F2921)</f>
        <v>0</v>
      </c>
      <c r="K2872" s="47">
        <f>SUM(H2872:J2872)</f>
        <v>0</v>
      </c>
      <c r="L2872" s="47" t="str">
        <f>IF(K2872=F2872,"SIM","NÃO")</f>
        <v>SIM</v>
      </c>
      <c r="M2872" s="58">
        <f>ROUND(SUM(F2874:F2883)*C2884,2)+ROUND(SUM(F2874:F2884)*C2885,2)+ROUND(SUM(F2874:F2883),2)+ROUND(SUM(F2888:F2897)*C2898,2)+ROUND(SUM(F2888:F2897),2)+ROUND(SUM(F2901:F2920)*C2921,2)+ROUND(SUM(F2901:F2920),2)</f>
        <v>0</v>
      </c>
      <c r="N2872" s="50" t="str">
        <f>IF(M2872=F2872,"SIM","NÃO")</f>
        <v>SIM</v>
      </c>
      <c r="O2872" s="51" t="str">
        <f>VLOOKUP(A2872,'3.A'!$A$8:$E$279,3,FALSE)</f>
        <v>UN</v>
      </c>
      <c r="P2872" s="51" t="str">
        <f>IF(O2872=E2872,"SIM","NÃO")</f>
        <v>SIM</v>
      </c>
      <c r="Q2872" s="53">
        <f>ROUND(G2872*F2886,2)+ROUND(G2872*F2899,2)+ROUND(G2872*F2922,2)</f>
        <v>0</v>
      </c>
      <c r="R2872" s="59">
        <f>VLOOKUP(A2872,'3.A'!$A$17:$L$279,12,FALSE)</f>
        <v>0</v>
      </c>
      <c r="S2872" s="60" t="str">
        <f>IF(Q2872=R2872,"si","no")</f>
        <v>si</v>
      </c>
      <c r="T2872" s="61">
        <f>SUM(L2874:L2883)+SUM(L2888:L2897)+SUM(L2901:L2920)</f>
        <v>15.600000000000001</v>
      </c>
      <c r="U2872" s="52">
        <f>G2872*C2880+G2872*C2882+G2872*C2875+G2872*C2876+G2872*C2878+G2872*C2881+G2872*C2879+G2872*C2874+G2872*C2877+G2872*C2883+G2872*C2894+G2872*C2888+G2872*C2896+G2872*C2895+G2872*C2893+G2872*C2890+G2872*C2889+G2872*C2891+G2872*C2897+G2872*C2892+G2872*C2901+G2872*C2902+G2872*C2903+G2872*C2911+G2872*C2912+G2872*C2913+G2872*C2914+G2872*C2915+G2872*C2916+G2872*C2917+G2872*C2918+G2872*C2919+G2872*C2920+G2872*C2909+G2872*C2910+G2872*C2904+G2872*C2905+G2872*C2906+G2872*C2907+G2872*C2908</f>
        <v>15.600000000000001</v>
      </c>
      <c r="V2872" s="54" t="str">
        <f>IF(T2872=U2872,"si","no")</f>
        <v>si</v>
      </c>
      <c r="W2872" s="137"/>
    </row>
    <row r="2873" spans="1:23" ht="12.75" customHeight="1" x14ac:dyDescent="0.2">
      <c r="A2873" s="17" t="s">
        <v>3</v>
      </c>
      <c r="B2873" s="18" t="s">
        <v>58</v>
      </c>
      <c r="C2873" s="56" t="s">
        <v>59</v>
      </c>
      <c r="D2873" s="56" t="s">
        <v>16</v>
      </c>
      <c r="E2873" s="19" t="s">
        <v>60</v>
      </c>
      <c r="F2873" s="20" t="s">
        <v>61</v>
      </c>
      <c r="G2873" s="21"/>
      <c r="M2873" s="57"/>
      <c r="N2873" s="57"/>
      <c r="O2873" s="56"/>
      <c r="P2873" s="56"/>
      <c r="Q2873" s="48"/>
      <c r="R2873" s="48"/>
    </row>
    <row r="2874" spans="1:23" ht="12.75" customHeight="1" x14ac:dyDescent="0.2">
      <c r="A2874" s="155">
        <f>'6.A'!$A$19</f>
        <v>88266</v>
      </c>
      <c r="B2874" s="138" t="str">
        <f>IF(A2874="","",VLOOKUP(A2874,'6.A'!$A$11:$G$180,2,FALSE))</f>
        <v>ELETROTÉCNICO COM ENCARGOS COMPLEMENTARES</v>
      </c>
      <c r="C2874" s="156">
        <v>0.6</v>
      </c>
      <c r="D2874" s="57" t="str">
        <f>IF(A2874="","",VLOOKUP(A2874,'6.A'!$A$11:$G$180,4,FALSE))</f>
        <v>H</v>
      </c>
      <c r="E2874" s="100">
        <f>IF(A2874="","",VLOOKUP(A2874,'6.A'!$A$11:$G$180,5,FALSE))</f>
        <v>0</v>
      </c>
      <c r="F2874" s="24">
        <f t="shared" ref="F2874" si="1231">IF(A2874="","0,00",ROUND(C2874*E2874,2))</f>
        <v>0</v>
      </c>
      <c r="G2874" s="52"/>
      <c r="H2874" s="52">
        <f>IF(A2874="","",VLOOKUP(A2874,'6.A'!$A$11:$E$7984,5,FALSE))</f>
        <v>0</v>
      </c>
      <c r="I2874" s="52" t="str">
        <f>IF(H2874="","",IF(E2874=H2874,"SIM","NÃO"))</f>
        <v>SIM</v>
      </c>
      <c r="J2874" s="52" t="str">
        <f>IF(H2874="","",VLOOKUP(A2874,'6.A'!$A$11:$E$564,4,FALSE))</f>
        <v>H</v>
      </c>
      <c r="K2874" s="52" t="str">
        <f>IF(H2874="","",IF(J2874=D2874,"SIM","NÃO"))</f>
        <v>SIM</v>
      </c>
      <c r="L2874" s="52">
        <f>IF(H2874="","",IF(C2874="","",G2872*C2874))</f>
        <v>1.7999999999999998</v>
      </c>
      <c r="M2874" s="117" t="str">
        <f>IF(A2874="","",VLOOKUP(A2874,'6.A'!$A$11:$C$564,2,FALSE))</f>
        <v>ELETROTÉCNICO COM ENCARGOS COMPLEMENTARES</v>
      </c>
      <c r="N2874" s="57" t="str">
        <f>IF(A2874="","",IF(M2874=B2874,"si","no"))</f>
        <v>si</v>
      </c>
      <c r="O2874" s="56"/>
      <c r="P2874" s="56"/>
      <c r="Q2874" s="48"/>
      <c r="R2874" s="48"/>
    </row>
    <row r="2875" spans="1:23" ht="12.75" customHeight="1" x14ac:dyDescent="0.2">
      <c r="A2875" s="155">
        <f>'6.A'!$A$18</f>
        <v>88264</v>
      </c>
      <c r="B2875" s="138" t="str">
        <f>IF(A2875="","",VLOOKUP(A2875,'6.A'!$A$11:$G$180,2,FALSE))</f>
        <v>ELETRICISTA COM ENCARGOS COMPLEMENTARES</v>
      </c>
      <c r="C2875" s="156">
        <v>1.8</v>
      </c>
      <c r="D2875" s="57" t="str">
        <f>IF(A2875="","",VLOOKUP(A2875,'6.A'!$A$11:$G$180,4,FALSE))</f>
        <v>H</v>
      </c>
      <c r="E2875" s="100">
        <f>IF(A2875="","",VLOOKUP(A2875,'6.A'!$A$11:$G$180,5,FALSE))</f>
        <v>0</v>
      </c>
      <c r="F2875" s="24">
        <f>IF(A2875="","0,00",ROUND(C2875*E2875,2))</f>
        <v>0</v>
      </c>
      <c r="G2875" s="52"/>
      <c r="H2875" s="52">
        <f>IF(A2875="","",VLOOKUP(A2875,'6.A'!$A$11:$E$7984,5,FALSE))</f>
        <v>0</v>
      </c>
      <c r="I2875" s="52" t="str">
        <f>IF(H2875="","",IF(E2875=H2875,"SIM","NÃO"))</f>
        <v>SIM</v>
      </c>
      <c r="J2875" s="52" t="str">
        <f>IF(H2875="","",VLOOKUP(A2875,'6.A'!$A$11:$E$564,4,FALSE))</f>
        <v>H</v>
      </c>
      <c r="K2875" s="52" t="str">
        <f>IF(H2875="","",IF(J2875=D2875,"SIM","NÃO"))</f>
        <v>SIM</v>
      </c>
      <c r="L2875" s="52">
        <f>IF(H2875="","",IF(C2875="","",G2872*C2875))</f>
        <v>5.4</v>
      </c>
      <c r="M2875" s="117" t="str">
        <f>IF(A2875="","",VLOOKUP(A2875,'6.A'!$A$11:$C$564,2,FALSE))</f>
        <v>ELETRICISTA COM ENCARGOS COMPLEMENTARES</v>
      </c>
      <c r="N2875" s="57" t="str">
        <f>IF(A2875="","",IF(M2875=B2875,"si","no"))</f>
        <v>si</v>
      </c>
      <c r="O2875" s="56"/>
      <c r="P2875" s="56"/>
      <c r="Q2875" s="48"/>
      <c r="R2875" s="48"/>
    </row>
    <row r="2876" spans="1:23" ht="12.75" customHeight="1" x14ac:dyDescent="0.2">
      <c r="A2876" s="155">
        <f>'6.A'!$A$22</f>
        <v>88316</v>
      </c>
      <c r="B2876" s="138" t="str">
        <f>IF(A2876="","",VLOOKUP(A2876,'6.A'!$A$11:$G$180,2,FALSE))</f>
        <v>SERVENTE COM ENCARGOS COMPLEMENTARES</v>
      </c>
      <c r="C2876" s="156">
        <v>1.8</v>
      </c>
      <c r="D2876" s="57" t="str">
        <f>IF(A2876="","",VLOOKUP(A2876,'6.A'!$A$11:$G$180,4,FALSE))</f>
        <v>H</v>
      </c>
      <c r="E2876" s="100">
        <f>IF(A2876="","",VLOOKUP(A2876,'6.A'!$A$11:$G$180,5,FALSE))</f>
        <v>0</v>
      </c>
      <c r="F2876" s="24">
        <f t="shared" ref="F2876:F2883" si="1232">IF(A2876="","0,00",ROUND(C2876*E2876,2))</f>
        <v>0</v>
      </c>
      <c r="G2876" s="52"/>
      <c r="H2876" s="52">
        <f>IF(A2876="","",VLOOKUP(A2876,'6.A'!$A$11:$E$7984,5,FALSE))</f>
        <v>0</v>
      </c>
      <c r="I2876" s="52" t="str">
        <f>IF(H2876="","",IF(E2876=H2876,"SIM","NÃO"))</f>
        <v>SIM</v>
      </c>
      <c r="J2876" s="52" t="str">
        <f>IF(H2876="","",VLOOKUP(A2876,'6.A'!$A$11:$E$564,4,FALSE))</f>
        <v>H</v>
      </c>
      <c r="K2876" s="52" t="str">
        <f t="shared" ref="K2876" si="1233">IF(H2876="","",IF(J2876=D2876,"SIM","NÃO"))</f>
        <v>SIM</v>
      </c>
      <c r="L2876" s="52">
        <f>IF(H2876="","",IF(C2876="","",G2872*C2876))</f>
        <v>5.4</v>
      </c>
      <c r="M2876" s="117" t="str">
        <f>IF(A2876="","",VLOOKUP(A2876,'6.A'!$A$11:$C$564,2,FALSE))</f>
        <v>SERVENTE COM ENCARGOS COMPLEMENTARES</v>
      </c>
      <c r="N2876" s="57" t="str">
        <f t="shared" ref="N2876" si="1234">IF(A2876="","",IF(M2876=B2876,"si","no"))</f>
        <v>si</v>
      </c>
      <c r="O2876" s="56"/>
      <c r="P2876" s="56"/>
      <c r="Q2876" s="48"/>
      <c r="R2876" s="48"/>
      <c r="S2876" s="2"/>
    </row>
    <row r="2877" spans="1:23" ht="12.75" customHeight="1" x14ac:dyDescent="0.2">
      <c r="A2877" s="155"/>
      <c r="B2877" s="138" t="str">
        <f>IF(A2877="","",VLOOKUP(A2877,'6.A'!$A$11:$G$180,2,FALSE))</f>
        <v/>
      </c>
      <c r="C2877" s="156"/>
      <c r="D2877" s="57" t="str">
        <f>IF(A2877="","",VLOOKUP(A2877,'6.A'!$A$11:$G$180,4,FALSE))</f>
        <v/>
      </c>
      <c r="E2877" s="100" t="str">
        <f>IF(A2877="","",VLOOKUP(A2877,'6.A'!$A$11:$G$180,5,FALSE))</f>
        <v/>
      </c>
      <c r="F2877" s="24" t="str">
        <f t="shared" si="1232"/>
        <v>0,00</v>
      </c>
      <c r="G2877" s="52"/>
      <c r="H2877" s="52" t="str">
        <f>IF(A2877="","",VLOOKUP(A2877,'6.A'!$A$11:$E$7984,5,FALSE))</f>
        <v/>
      </c>
      <c r="I2877" s="52" t="str">
        <f>IF(H2877="","",IF(E2877=H2877,"SIM","NÃO"))</f>
        <v/>
      </c>
      <c r="J2877" s="52" t="str">
        <f>IF(H2877="","",VLOOKUP(A2877,'6.A'!$A$11:$E$564,4,FALSE))</f>
        <v/>
      </c>
      <c r="K2877" s="52" t="str">
        <f>IF(H2877="","",IF(J2877=D2877,"SIM","NÃO"))</f>
        <v/>
      </c>
      <c r="L2877" s="52" t="str">
        <f>IF(H2877="","",IF(C2877="","",G2872*C2877))</f>
        <v/>
      </c>
      <c r="M2877" s="117" t="str">
        <f>IF(A2877="","",VLOOKUP(A2877,'6.A'!$A$11:$C$564,2,FALSE))</f>
        <v/>
      </c>
      <c r="N2877" s="57" t="str">
        <f>IF(A2877="","",IF(M2877=B2877,"si","no"))</f>
        <v/>
      </c>
      <c r="O2877" s="56"/>
      <c r="P2877" s="56"/>
      <c r="Q2877" s="48"/>
      <c r="R2877" s="48"/>
      <c r="S2877" s="2"/>
    </row>
    <row r="2878" spans="1:23" ht="12.75" customHeight="1" x14ac:dyDescent="0.2">
      <c r="A2878" s="155"/>
      <c r="B2878" s="138" t="str">
        <f>IF(A2878="","",VLOOKUP(A2878,'6.A'!$A$11:$G$180,2,FALSE))</f>
        <v/>
      </c>
      <c r="C2878" s="156"/>
      <c r="D2878" s="57" t="str">
        <f>IF(A2878="","",VLOOKUP(A2878,'6.A'!$A$11:$G$180,4,FALSE))</f>
        <v/>
      </c>
      <c r="E2878" s="101" t="str">
        <f>IF(A2878="","",VLOOKUP(A2878,'6.A'!$A$11:$G$180,5,FALSE))</f>
        <v/>
      </c>
      <c r="F2878" s="24" t="str">
        <f t="shared" si="1232"/>
        <v>0,00</v>
      </c>
      <c r="G2878" s="52"/>
      <c r="H2878" s="52" t="str">
        <f>IF(A2878="","",VLOOKUP(A2878,'6.A'!$A$11:$E$7984,5,FALSE))</f>
        <v/>
      </c>
      <c r="I2878" s="52" t="str">
        <f t="shared" ref="I2878" si="1235">IF(H2878="","",IF(E2878=H2878,"SIM","NÃO"))</f>
        <v/>
      </c>
      <c r="J2878" s="52" t="str">
        <f>IF(H2878="","",VLOOKUP(A2878,'6.A'!$A$11:$E$564,4,FALSE))</f>
        <v/>
      </c>
      <c r="K2878" s="52" t="str">
        <f t="shared" ref="K2878" si="1236">IF(H2878="","",IF(J2878=D2878,"SIM","NÃO"))</f>
        <v/>
      </c>
      <c r="L2878" s="52" t="str">
        <f>IF(H2878="","",IF(C2878="","",G2872*C2878))</f>
        <v/>
      </c>
      <c r="M2878" s="117" t="str">
        <f>IF(A2878="","",VLOOKUP(A2878,'6.A'!$A$11:$C$564,2,FALSE))</f>
        <v/>
      </c>
      <c r="N2878" s="57" t="str">
        <f t="shared" ref="N2878" si="1237">IF(A2878="","",IF(M2878=B2878,"si","no"))</f>
        <v/>
      </c>
      <c r="O2878" s="56"/>
      <c r="P2878" s="56"/>
      <c r="Q2878" s="48"/>
      <c r="R2878" s="48"/>
      <c r="S2878" s="2"/>
    </row>
    <row r="2879" spans="1:23" ht="12.75" customHeight="1" x14ac:dyDescent="0.2">
      <c r="A2879" s="155"/>
      <c r="B2879" s="138" t="str">
        <f>IF(A2879="","",VLOOKUP(A2879,'6.A'!$A$11:$G$180,2,FALSE))</f>
        <v/>
      </c>
      <c r="C2879" s="156"/>
      <c r="D2879" s="57" t="str">
        <f>IF(A2879="","",VLOOKUP(A2879,'6.A'!$A$11:$G$180,4,FALSE))</f>
        <v/>
      </c>
      <c r="E2879" s="101" t="str">
        <f>IF(A2879="","",VLOOKUP(A2879,'6.A'!$A$11:$G$180,5,FALSE))</f>
        <v/>
      </c>
      <c r="F2879" s="24" t="str">
        <f t="shared" si="1232"/>
        <v>0,00</v>
      </c>
      <c r="G2879" s="52"/>
      <c r="H2879" s="52" t="str">
        <f>IF(A2879="","",VLOOKUP(A2879,'6.A'!$A$11:$E$7984,5,FALSE))</f>
        <v/>
      </c>
      <c r="I2879" s="52" t="str">
        <f>IF(H2879="","",IF(E2879=H2879,"SIM","NÃO"))</f>
        <v/>
      </c>
      <c r="J2879" s="52" t="str">
        <f>IF(H2879="","",VLOOKUP(A2879,'6.A'!$A$11:$E$564,4,FALSE))</f>
        <v/>
      </c>
      <c r="K2879" s="52" t="str">
        <f>IF(H2879="","",IF(J2879=D2879,"SIM","NÃO"))</f>
        <v/>
      </c>
      <c r="L2879" s="52" t="str">
        <f>IF(H2879="","",IF(C2879="","",G2872*C2879))</f>
        <v/>
      </c>
      <c r="M2879" s="117" t="str">
        <f>IF(A2879="","",VLOOKUP(A2879,'6.A'!$A$11:$C$564,2,FALSE))</f>
        <v/>
      </c>
      <c r="N2879" s="57" t="str">
        <f>IF(A2879="","",IF(M2879=B2879,"si","no"))</f>
        <v/>
      </c>
      <c r="O2879" s="56"/>
      <c r="P2879" s="56"/>
      <c r="Q2879" s="48"/>
      <c r="R2879" s="48"/>
      <c r="S2879" s="2"/>
    </row>
    <row r="2880" spans="1:23" ht="12.75" customHeight="1" x14ac:dyDescent="0.2">
      <c r="A2880" s="155"/>
      <c r="B2880" s="138" t="str">
        <f>IF(A2880="","",VLOOKUP(A2880,'6.A'!$A$11:$G$180,2,FALSE))</f>
        <v/>
      </c>
      <c r="C2880" s="156"/>
      <c r="D2880" s="57" t="str">
        <f>IF(A2880="","",VLOOKUP(A2880,'6.A'!$A$11:$G$180,4,FALSE))</f>
        <v/>
      </c>
      <c r="E2880" s="100" t="str">
        <f>IF(A2880="","",VLOOKUP(A2880,'6.A'!$A$11:$G$180,5,FALSE))</f>
        <v/>
      </c>
      <c r="F2880" s="24" t="str">
        <f t="shared" si="1232"/>
        <v>0,00</v>
      </c>
      <c r="G2880" s="52"/>
      <c r="H2880" s="52" t="str">
        <f>IF(A2880="","",VLOOKUP(A2880,'6.A'!$A$11:$E$7984,5,FALSE))</f>
        <v/>
      </c>
      <c r="I2880" s="52" t="str">
        <f>IF(H2880="","",IF(E2880=H2880,"SIM","NÃO"))</f>
        <v/>
      </c>
      <c r="J2880" s="52" t="str">
        <f>IF(H2880="","",VLOOKUP(A2880,'6.A'!$A$11:$E$564,4,FALSE))</f>
        <v/>
      </c>
      <c r="K2880" s="52" t="str">
        <f>IF(H2880="","",IF(J2880=D2880,"SIM","NÃO"))</f>
        <v/>
      </c>
      <c r="L2880" s="52" t="str">
        <f>IF(H2880="","",IF(C2880="","",G2872*C2880))</f>
        <v/>
      </c>
      <c r="M2880" s="117" t="str">
        <f>IF(A2880="","",VLOOKUP(A2880,'6.A'!$A$11:$C$564,2,FALSE))</f>
        <v/>
      </c>
      <c r="N2880" s="57" t="str">
        <f>IF(A2880="","",IF(M2880=B2880,"si","no"))</f>
        <v/>
      </c>
      <c r="O2880" s="56"/>
      <c r="P2880" s="56"/>
      <c r="Q2880" s="48"/>
      <c r="R2880" s="48"/>
      <c r="S2880" s="2"/>
    </row>
    <row r="2881" spans="1:19" ht="12.75" customHeight="1" x14ac:dyDescent="0.2">
      <c r="A2881" s="155"/>
      <c r="B2881" s="138" t="str">
        <f>IF(A2881="","",VLOOKUP(A2881,'6.A'!$A$11:$G$180,2,FALSE))</f>
        <v/>
      </c>
      <c r="C2881" s="156"/>
      <c r="D2881" s="57" t="str">
        <f>IF(A2881="","",VLOOKUP(A2881,'6.A'!$A$11:$G$180,4,FALSE))</f>
        <v/>
      </c>
      <c r="E2881" s="100" t="str">
        <f>IF(A2881="","",VLOOKUP(A2881,'6.A'!$A$11:$G$180,5,FALSE))</f>
        <v/>
      </c>
      <c r="F2881" s="24" t="str">
        <f t="shared" si="1232"/>
        <v>0,00</v>
      </c>
      <c r="G2881" s="52"/>
      <c r="H2881" s="52" t="str">
        <f>IF(A2881="","",VLOOKUP(A2881,'6.A'!$A$11:$E$7984,5,FALSE))</f>
        <v/>
      </c>
      <c r="I2881" s="52" t="str">
        <f t="shared" ref="I2881" si="1238">IF(H2881="","",IF(E2881=H2881,"SIM","NÃO"))</f>
        <v/>
      </c>
      <c r="J2881" s="52" t="str">
        <f>IF(H2881="","",VLOOKUP(A2881,'6.A'!$A$11:$E$564,4,FALSE))</f>
        <v/>
      </c>
      <c r="K2881" s="52" t="str">
        <f t="shared" ref="K2881" si="1239">IF(H2881="","",IF(J2881=D2881,"SIM","NÃO"))</f>
        <v/>
      </c>
      <c r="L2881" s="52" t="str">
        <f>IF(H2881="","",IF(C2881="","",G2872*C2881))</f>
        <v/>
      </c>
      <c r="M2881" s="117" t="str">
        <f>IF(A2881="","",VLOOKUP(A2881,'6.A'!$A$11:$C$564,2,FALSE))</f>
        <v/>
      </c>
      <c r="N2881" s="57" t="str">
        <f t="shared" ref="N2881" si="1240">IF(A2881="","",IF(M2881=B2881,"si","no"))</f>
        <v/>
      </c>
      <c r="O2881" s="56"/>
      <c r="P2881" s="56"/>
      <c r="Q2881" s="48"/>
      <c r="R2881" s="48"/>
      <c r="S2881" s="2"/>
    </row>
    <row r="2882" spans="1:19" ht="12.75" customHeight="1" x14ac:dyDescent="0.2">
      <c r="A2882" s="155"/>
      <c r="B2882" s="138" t="str">
        <f>IF(A2882="","",VLOOKUP(A2882,'6.A'!$A$11:$G$180,2,FALSE))</f>
        <v/>
      </c>
      <c r="C2882" s="156"/>
      <c r="D2882" s="73" t="str">
        <f>IF(A2882="","",VLOOKUP(A2882,'6.A'!$A$11:$G$180,4,FALSE))</f>
        <v/>
      </c>
      <c r="E2882" s="101" t="str">
        <f>IF(A2882="","",VLOOKUP(A2882,'6.A'!$A$11:$G$180,5,FALSE))</f>
        <v/>
      </c>
      <c r="F2882" s="24" t="str">
        <f t="shared" si="1232"/>
        <v>0,00</v>
      </c>
      <c r="G2882" s="52"/>
      <c r="H2882" s="52" t="str">
        <f>IF(A2882="","",VLOOKUP(A2882,'6.A'!$A$11:$E$7984,5,FALSE))</f>
        <v/>
      </c>
      <c r="I2882" s="52" t="str">
        <f>IF(H2882="","",IF(E2882=H2882,"SIM","NÃO"))</f>
        <v/>
      </c>
      <c r="J2882" s="52" t="str">
        <f>IF(H2882="","",VLOOKUP(A2882,'6.A'!$A$11:$E$564,4,FALSE))</f>
        <v/>
      </c>
      <c r="K2882" s="52" t="str">
        <f>IF(H2882="","",IF(J2882=D2882,"SIM","NÃO"))</f>
        <v/>
      </c>
      <c r="L2882" s="52" t="str">
        <f>IF(H2882="","",IF(C2882="","",G2872*C2882))</f>
        <v/>
      </c>
      <c r="M2882" s="117" t="str">
        <f>IF(A2882="","",VLOOKUP(A2882,'6.A'!$A$11:$C$564,2,FALSE))</f>
        <v/>
      </c>
      <c r="N2882" s="57" t="str">
        <f>IF(A2882="","",IF(M2882=B2882,"si","no"))</f>
        <v/>
      </c>
      <c r="O2882" s="56"/>
      <c r="P2882" s="56"/>
      <c r="Q2882" s="48"/>
      <c r="R2882" s="48"/>
      <c r="S2882" s="2"/>
    </row>
    <row r="2883" spans="1:19" ht="12.75" customHeight="1" x14ac:dyDescent="0.2">
      <c r="A2883" s="155"/>
      <c r="B2883" s="138" t="str">
        <f>IF(A2883="","",VLOOKUP(A2883,'6.A'!$A$11:$G$180,2,FALSE))</f>
        <v/>
      </c>
      <c r="C2883" s="156"/>
      <c r="D2883" s="25" t="str">
        <f>IF(A2883="","",VLOOKUP(A2883,'6.A'!$A$11:$G$180,4,FALSE))</f>
        <v/>
      </c>
      <c r="E2883" s="101" t="str">
        <f>IF(A2883="","",VLOOKUP(A2883,'6.A'!$A$11:$G$180,5,FALSE))</f>
        <v/>
      </c>
      <c r="F2883" s="24" t="str">
        <f t="shared" si="1232"/>
        <v>0,00</v>
      </c>
      <c r="G2883" s="52"/>
      <c r="H2883" s="52" t="str">
        <f>IF(A2883="","",VLOOKUP(A2883,'6.A'!$A$11:$E$7984,5,FALSE))</f>
        <v/>
      </c>
      <c r="I2883" s="52" t="str">
        <f t="shared" ref="I2883" si="1241">IF(H2883="","",IF(E2883=H2883,"SIM","NÃO"))</f>
        <v/>
      </c>
      <c r="J2883" s="52" t="str">
        <f>IF(H2883="","",VLOOKUP(A2883,'6.A'!$A$11:$E$564,4,FALSE))</f>
        <v/>
      </c>
      <c r="K2883" s="52" t="str">
        <f t="shared" ref="K2883" si="1242">IF(H2883="","",IF(J2883=D2883,"SIM","NÃO"))</f>
        <v/>
      </c>
      <c r="L2883" s="52" t="str">
        <f>IF(H2883="","",IF(C2883="","",G2872*C2883))</f>
        <v/>
      </c>
      <c r="M2883" s="117" t="str">
        <f>IF(A2883="","",VLOOKUP(A2883,'6.A'!$A$11:$C$564,2,FALSE))</f>
        <v/>
      </c>
      <c r="N2883" s="57" t="str">
        <f t="shared" ref="N2883" si="1243">IF(A2883="","",IF(M2883=B2883,"si","no"))</f>
        <v/>
      </c>
      <c r="O2883" s="56"/>
      <c r="P2883" s="56"/>
      <c r="Q2883" s="48"/>
      <c r="R2883" s="48"/>
      <c r="S2883" s="2"/>
    </row>
    <row r="2884" spans="1:19" ht="12.75" customHeight="1" x14ac:dyDescent="0.2">
      <c r="A2884" s="152"/>
      <c r="B2884" s="26" t="str">
        <f>$A$8</f>
        <v>LEIS SOCIAIS HORISTA - JORNADA NORMAL</v>
      </c>
      <c r="C2884" s="27">
        <f>$C$8</f>
        <v>0</v>
      </c>
      <c r="D2884" s="57"/>
      <c r="F2884" s="28">
        <f>ROUND(SUM(F2874:F2883)*C2884,2)</f>
        <v>0</v>
      </c>
      <c r="G2884" s="63"/>
      <c r="M2884" s="62"/>
      <c r="N2884" s="57"/>
      <c r="O2884" s="56"/>
      <c r="P2884" s="56"/>
      <c r="Q2884" s="48"/>
      <c r="R2884" s="48"/>
      <c r="S2884" s="2"/>
    </row>
    <row r="2885" spans="1:19" ht="12.75" customHeight="1" x14ac:dyDescent="0.2">
      <c r="A2885" s="155"/>
      <c r="B2885" s="26" t="str">
        <f>$A$9</f>
        <v>BDI</v>
      </c>
      <c r="C2885" s="27">
        <f>$C$9</f>
        <v>0</v>
      </c>
      <c r="D2885" s="29"/>
      <c r="F2885" s="28">
        <f>ROUND(SUM(F2874:F2884)*C2885,2)</f>
        <v>0</v>
      </c>
      <c r="G2885" s="63"/>
      <c r="M2885" s="62"/>
      <c r="N2885" s="57"/>
      <c r="O2885" s="56"/>
      <c r="P2885" s="56"/>
      <c r="Q2885" s="48"/>
      <c r="R2885" s="48"/>
      <c r="S2885" s="2"/>
    </row>
    <row r="2886" spans="1:19" ht="12.75" customHeight="1" x14ac:dyDescent="0.2">
      <c r="A2886" s="163"/>
      <c r="B2886" s="164" t="s">
        <v>56</v>
      </c>
      <c r="C2886" s="165"/>
      <c r="D2886" s="33"/>
      <c r="E2886" s="34"/>
      <c r="F2886" s="35">
        <f>ROUND(SUM(F2874:F2885),2)</f>
        <v>0</v>
      </c>
      <c r="G2886" s="63"/>
      <c r="M2886" s="62"/>
      <c r="N2886" s="57"/>
      <c r="O2886" s="56"/>
      <c r="P2886" s="56"/>
      <c r="Q2886" s="48"/>
      <c r="R2886" s="48"/>
      <c r="S2886" s="2"/>
    </row>
    <row r="2887" spans="1:19" ht="12.75" customHeight="1" x14ac:dyDescent="0.2">
      <c r="A2887" s="152" t="s">
        <v>5</v>
      </c>
      <c r="B2887" s="153" t="s">
        <v>130</v>
      </c>
      <c r="C2887" s="140" t="s">
        <v>59</v>
      </c>
      <c r="D2887" s="56" t="s">
        <v>16</v>
      </c>
      <c r="E2887" s="19" t="s">
        <v>60</v>
      </c>
      <c r="F2887" s="20" t="s">
        <v>61</v>
      </c>
      <c r="G2887" s="21"/>
      <c r="M2887" s="62"/>
      <c r="N2887" s="57"/>
      <c r="O2887" s="56"/>
      <c r="P2887" s="56"/>
      <c r="Q2887" s="48"/>
      <c r="R2887" s="48"/>
      <c r="S2887" s="2"/>
    </row>
    <row r="2888" spans="1:19" ht="12.75" customHeight="1" x14ac:dyDescent="0.2">
      <c r="A2888" s="155"/>
      <c r="B2888" s="138" t="str">
        <f>IF(A2888="","",VLOOKUP(A2888,'6.A'!$A$11:$G$180,2,FALSE))</f>
        <v/>
      </c>
      <c r="C2888" s="156"/>
      <c r="D2888" s="57" t="str">
        <f>IF(A2888="","",VLOOKUP(A2888,'6.A'!$A$11:$G$180,4,FALSE))</f>
        <v/>
      </c>
      <c r="E2888" s="100" t="str">
        <f>IF(A2888="","",VLOOKUP(A2888,'6.A'!$A$11:$G$180,5,FALSE))</f>
        <v/>
      </c>
      <c r="F2888" s="24" t="str">
        <f t="shared" ref="F2888:F2897" si="1244">IF(A2888="","0,00",ROUND(C2888*E2888,2))</f>
        <v>0,00</v>
      </c>
      <c r="G2888" s="52"/>
      <c r="H2888" s="52" t="str">
        <f>IF(A2888="","",VLOOKUP(A2888,'6.A'!$A$11:$E$7984,5,FALSE))</f>
        <v/>
      </c>
      <c r="I2888" s="52" t="str">
        <f t="shared" ref="I2888:I2897" si="1245">IF(H2888="","",IF(E2888=H2888,"SIM","NÃO"))</f>
        <v/>
      </c>
      <c r="J2888" s="52" t="str">
        <f>IF(H2888="","",VLOOKUP(A2888,'6.A'!$A$11:$E$564,4,FALSE))</f>
        <v/>
      </c>
      <c r="K2888" s="52" t="str">
        <f t="shared" ref="K2888:K2897" si="1246">IF(H2888="","",IF(J2888=D2888,"SIM","NÃO"))</f>
        <v/>
      </c>
      <c r="L2888" s="52" t="str">
        <f>IF(H2888="","",IF(C2888="","",G2872*C2888))</f>
        <v/>
      </c>
      <c r="M2888" s="117" t="str">
        <f>IF(A2888="","",VLOOKUP(A2888,'6.A'!$A$11:$C$564,2,FALSE))</f>
        <v/>
      </c>
      <c r="N2888" s="57" t="str">
        <f t="shared" ref="N2888:N2893" si="1247">IF(A2888="","",IF(M2888=B2888,"si","no"))</f>
        <v/>
      </c>
      <c r="O2888" s="56"/>
      <c r="P2888" s="56"/>
      <c r="Q2888" s="48"/>
      <c r="R2888" s="48"/>
      <c r="S2888" s="2"/>
    </row>
    <row r="2889" spans="1:19" ht="12.75" customHeight="1" x14ac:dyDescent="0.2">
      <c r="A2889" s="155"/>
      <c r="B2889" s="138" t="str">
        <f>IF(A2889="","",VLOOKUP(A2889,'6.A'!$A$11:$G$180,2,FALSE))</f>
        <v/>
      </c>
      <c r="C2889" s="156"/>
      <c r="D2889" s="57" t="str">
        <f>IF(A2889="","",VLOOKUP(A2889,'6.A'!$A$11:$G$180,4,FALSE))</f>
        <v/>
      </c>
      <c r="E2889" s="100" t="str">
        <f>IF(A2889="","",VLOOKUP(A2889,'6.A'!$A$11:$G$180,5,FALSE))</f>
        <v/>
      </c>
      <c r="F2889" s="24" t="str">
        <f t="shared" si="1244"/>
        <v>0,00</v>
      </c>
      <c r="G2889" s="52"/>
      <c r="H2889" s="52" t="str">
        <f>IF(A2889="","",VLOOKUP(A2889,'6.A'!$A$11:$E$7984,5,FALSE))</f>
        <v/>
      </c>
      <c r="I2889" s="52" t="str">
        <f t="shared" si="1245"/>
        <v/>
      </c>
      <c r="J2889" s="52" t="str">
        <f>IF(H2889="","",VLOOKUP(A2889,'6.A'!$A$11:$E$564,4,FALSE))</f>
        <v/>
      </c>
      <c r="K2889" s="52" t="str">
        <f t="shared" si="1246"/>
        <v/>
      </c>
      <c r="L2889" s="52" t="str">
        <f>IF(H2889="","",IF(C2889="","",G2872*C2889))</f>
        <v/>
      </c>
      <c r="M2889" s="117" t="str">
        <f>IF(A2889="","",VLOOKUP(A2889,'6.A'!$A$11:$C$564,2,FALSE))</f>
        <v/>
      </c>
      <c r="N2889" s="57" t="str">
        <f t="shared" si="1247"/>
        <v/>
      </c>
      <c r="O2889" s="56"/>
      <c r="P2889" s="56"/>
      <c r="Q2889" s="48"/>
      <c r="R2889" s="48"/>
      <c r="S2889" s="2"/>
    </row>
    <row r="2890" spans="1:19" ht="12.75" customHeight="1" x14ac:dyDescent="0.2">
      <c r="A2890" s="155"/>
      <c r="B2890" s="138" t="str">
        <f>IF(A2890="","",VLOOKUP(A2890,'6.A'!$A$11:$G$180,2,FALSE))</f>
        <v/>
      </c>
      <c r="C2890" s="156"/>
      <c r="D2890" s="57" t="str">
        <f>IF(A2890="","",VLOOKUP(A2890,'6.A'!$A$11:$G$180,4,FALSE))</f>
        <v/>
      </c>
      <c r="E2890" s="100" t="str">
        <f>IF(A2890="","",VLOOKUP(A2890,'6.A'!$A$11:$G$180,5,FALSE))</f>
        <v/>
      </c>
      <c r="F2890" s="24" t="str">
        <f t="shared" si="1244"/>
        <v>0,00</v>
      </c>
      <c r="G2890" s="52"/>
      <c r="H2890" s="52" t="str">
        <f>IF(A2890="","",VLOOKUP(A2890,'6.A'!$A$11:$E$7984,5,FALSE))</f>
        <v/>
      </c>
      <c r="I2890" s="52" t="str">
        <f t="shared" si="1245"/>
        <v/>
      </c>
      <c r="J2890" s="52" t="str">
        <f>IF(H2890="","",VLOOKUP(A2890,'6.A'!$A$11:$E$564,4,FALSE))</f>
        <v/>
      </c>
      <c r="K2890" s="52" t="str">
        <f t="shared" si="1246"/>
        <v/>
      </c>
      <c r="L2890" s="52" t="str">
        <f>IF(H2890="","",IF(C2890="","",G2872*C2890))</f>
        <v/>
      </c>
      <c r="M2890" s="117" t="str">
        <f>IF(A2890="","",VLOOKUP(A2890,'6.A'!$A$11:$C$564,2,FALSE))</f>
        <v/>
      </c>
      <c r="N2890" s="57" t="str">
        <f t="shared" si="1247"/>
        <v/>
      </c>
      <c r="O2890" s="56"/>
      <c r="P2890" s="56"/>
      <c r="Q2890" s="48"/>
      <c r="R2890" s="48"/>
      <c r="S2890" s="2"/>
    </row>
    <row r="2891" spans="1:19" ht="12.75" customHeight="1" x14ac:dyDescent="0.2">
      <c r="A2891" s="155"/>
      <c r="B2891" s="176" t="str">
        <f>IF(A2891="","",VLOOKUP(A2891,'6.A'!$A$11:$G$180,2,FALSE))</f>
        <v/>
      </c>
      <c r="C2891" s="156"/>
      <c r="D2891" s="57" t="str">
        <f>IF(A2891="","",VLOOKUP(A2891,'6.A'!$A$11:$G$180,4,FALSE))</f>
        <v/>
      </c>
      <c r="E2891" s="100" t="str">
        <f>IF(A2891="","",VLOOKUP(A2891,'6.A'!$A$11:$G$180,5,FALSE))</f>
        <v/>
      </c>
      <c r="F2891" s="24" t="str">
        <f t="shared" si="1244"/>
        <v>0,00</v>
      </c>
      <c r="G2891" s="52"/>
      <c r="H2891" s="52" t="str">
        <f>IF(A2891="","",VLOOKUP(A2891,'6.A'!$A$11:$E$7984,5,FALSE))</f>
        <v/>
      </c>
      <c r="I2891" s="52" t="str">
        <f t="shared" si="1245"/>
        <v/>
      </c>
      <c r="J2891" s="52" t="str">
        <f>IF(H2891="","",VLOOKUP(A2891,'6.A'!$A$11:$E$564,4,FALSE))</f>
        <v/>
      </c>
      <c r="K2891" s="52" t="str">
        <f t="shared" si="1246"/>
        <v/>
      </c>
      <c r="L2891" s="52" t="str">
        <f>IF(H2891="","",IF(C2891="","",G2872*C2891))</f>
        <v/>
      </c>
      <c r="M2891" s="117" t="str">
        <f>IF(A2891="","",VLOOKUP(A2891,'6.A'!$A$11:$C$564,2,FALSE))</f>
        <v/>
      </c>
      <c r="N2891" s="57" t="str">
        <f t="shared" si="1247"/>
        <v/>
      </c>
      <c r="O2891" s="56"/>
      <c r="P2891" s="56"/>
      <c r="Q2891" s="48"/>
      <c r="R2891" s="48"/>
      <c r="S2891" s="2"/>
    </row>
    <row r="2892" spans="1:19" ht="12.75" customHeight="1" x14ac:dyDescent="0.2">
      <c r="A2892" s="155"/>
      <c r="B2892" s="176" t="str">
        <f>IF(A2892="","",VLOOKUP(A2892,'6.A'!$A$11:$G$180,2,FALSE))</f>
        <v/>
      </c>
      <c r="C2892" s="156"/>
      <c r="D2892" s="57" t="str">
        <f>IF(A2892="","",VLOOKUP(A2892,'6.A'!$A$11:$G$180,4,FALSE))</f>
        <v/>
      </c>
      <c r="E2892" s="100" t="str">
        <f>IF(A2892="","",VLOOKUP(A2892,'6.A'!$A$11:$G$180,5,FALSE))</f>
        <v/>
      </c>
      <c r="F2892" s="24" t="str">
        <f t="shared" si="1244"/>
        <v>0,00</v>
      </c>
      <c r="G2892" s="52"/>
      <c r="H2892" s="52" t="str">
        <f>IF(A2892="","",VLOOKUP(A2892,'6.A'!$A$11:$E$7984,5,FALSE))</f>
        <v/>
      </c>
      <c r="I2892" s="52" t="str">
        <f t="shared" si="1245"/>
        <v/>
      </c>
      <c r="J2892" s="52" t="str">
        <f>IF(H2892="","",VLOOKUP(A2892,'6.A'!$A$11:$E$564,4,FALSE))</f>
        <v/>
      </c>
      <c r="K2892" s="52" t="str">
        <f t="shared" si="1246"/>
        <v/>
      </c>
      <c r="L2892" s="52" t="str">
        <f>IF(H2892="","",IF(C2892="","",G2872*C2892))</f>
        <v/>
      </c>
      <c r="M2892" s="117" t="str">
        <f>IF(A2892="","",VLOOKUP(A2892,'6.A'!$A$11:$C$564,2,FALSE))</f>
        <v/>
      </c>
      <c r="N2892" s="57" t="str">
        <f t="shared" si="1247"/>
        <v/>
      </c>
      <c r="O2892" s="56"/>
      <c r="P2892" s="56"/>
      <c r="Q2892" s="48"/>
      <c r="R2892" s="48"/>
      <c r="S2892" s="2"/>
    </row>
    <row r="2893" spans="1:19" ht="12.75" customHeight="1" x14ac:dyDescent="0.2">
      <c r="A2893" s="155"/>
      <c r="B2893" s="176" t="str">
        <f>IF(A2893="","",VLOOKUP(A2893,'6.A'!$A$11:$G$180,2,FALSE))</f>
        <v/>
      </c>
      <c r="C2893" s="156"/>
      <c r="D2893" s="57" t="str">
        <f>IF(A2893="","",VLOOKUP(A2893,'6.A'!$A$11:$G$180,4,FALSE))</f>
        <v/>
      </c>
      <c r="E2893" s="100" t="str">
        <f>IF(A2893="","",VLOOKUP(A2893,'6.A'!$A$11:$G$180,5,FALSE))</f>
        <v/>
      </c>
      <c r="F2893" s="24" t="str">
        <f t="shared" si="1244"/>
        <v>0,00</v>
      </c>
      <c r="G2893" s="52"/>
      <c r="H2893" s="52" t="str">
        <f>IF(A2893="","",VLOOKUP(A2893,'6.A'!$A$11:$E$7984,5,FALSE))</f>
        <v/>
      </c>
      <c r="I2893" s="52" t="str">
        <f t="shared" si="1245"/>
        <v/>
      </c>
      <c r="J2893" s="52" t="str">
        <f>IF(H2893="","",VLOOKUP(A2893,'6.A'!$A$11:$E$564,4,FALSE))</f>
        <v/>
      </c>
      <c r="K2893" s="52" t="str">
        <f t="shared" si="1246"/>
        <v/>
      </c>
      <c r="L2893" s="52" t="str">
        <f>IF(H2893="","",IF(C2893="","",G2872*C2893))</f>
        <v/>
      </c>
      <c r="M2893" s="117" t="str">
        <f>IF(A2893="","",VLOOKUP(A2893,'6.A'!$A$11:$C$564,2,FALSE))</f>
        <v/>
      </c>
      <c r="N2893" s="57" t="str">
        <f t="shared" si="1247"/>
        <v/>
      </c>
      <c r="O2893" s="56"/>
      <c r="P2893" s="56"/>
      <c r="Q2893" s="48"/>
      <c r="R2893" s="48"/>
      <c r="S2893" s="2"/>
    </row>
    <row r="2894" spans="1:19" ht="12.75" customHeight="1" x14ac:dyDescent="0.2">
      <c r="A2894" s="155"/>
      <c r="B2894" s="176" t="str">
        <f>IF(A2894="","",VLOOKUP(A2894,'6.A'!$A$11:$G$180,2,FALSE))</f>
        <v/>
      </c>
      <c r="C2894" s="156"/>
      <c r="D2894" s="57" t="str">
        <f>IF(A2894="","",VLOOKUP(A2894,'6.A'!$A$11:$G$180,4,FALSE))</f>
        <v/>
      </c>
      <c r="E2894" s="100" t="str">
        <f>IF(A2894="","",VLOOKUP(A2894,'6.A'!$A$11:$G$180,5,FALSE))</f>
        <v/>
      </c>
      <c r="F2894" s="24" t="str">
        <f t="shared" si="1244"/>
        <v>0,00</v>
      </c>
      <c r="G2894" s="52"/>
      <c r="H2894" s="52" t="str">
        <f>IF(A2894="","",VLOOKUP(A2894,'6.A'!$A$11:$E$7984,5,FALSE))</f>
        <v/>
      </c>
      <c r="I2894" s="52" t="str">
        <f t="shared" si="1245"/>
        <v/>
      </c>
      <c r="J2894" s="52" t="str">
        <f>IF(H2894="","",VLOOKUP(A2894,'6.A'!$A$11:$E$564,4,FALSE))</f>
        <v/>
      </c>
      <c r="K2894" s="52" t="str">
        <f t="shared" si="1246"/>
        <v/>
      </c>
      <c r="L2894" s="52" t="str">
        <f>IF(H2894="","",IF(C2894="","",G2872*C2894))</f>
        <v/>
      </c>
      <c r="M2894" s="117" t="str">
        <f>IF(A2894="","",VLOOKUP(A2894,'6.A'!$A$11:$C$564,2,FALSE))</f>
        <v/>
      </c>
      <c r="N2894" s="57" t="str">
        <f>IF(A2894="","",IF(M2894=B2894,"si","no"))</f>
        <v/>
      </c>
      <c r="O2894" s="56"/>
      <c r="P2894" s="56"/>
      <c r="Q2894" s="48"/>
      <c r="R2894" s="48"/>
      <c r="S2894" s="2"/>
    </row>
    <row r="2895" spans="1:19" ht="12.75" customHeight="1" x14ac:dyDescent="0.2">
      <c r="A2895" s="155"/>
      <c r="B2895" s="138" t="str">
        <f>IF(A2895="","",VLOOKUP(A2895,'6.A'!$A$11:$G$180,2,FALSE))</f>
        <v/>
      </c>
      <c r="C2895" s="156"/>
      <c r="D2895" s="57" t="str">
        <f>IF(A2895="","",VLOOKUP(A2895,'6.A'!$A$11:$G$180,4,FALSE))</f>
        <v/>
      </c>
      <c r="E2895" s="100" t="str">
        <f>IF(A2895="","",VLOOKUP(A2895,'6.A'!$A$11:$G$180,5,FALSE))</f>
        <v/>
      </c>
      <c r="F2895" s="24" t="str">
        <f t="shared" si="1244"/>
        <v>0,00</v>
      </c>
      <c r="G2895" s="52"/>
      <c r="H2895" s="52" t="str">
        <f>IF(A2895="","",VLOOKUP(A2895,'6.A'!$A$11:$E$7984,5,FALSE))</f>
        <v/>
      </c>
      <c r="I2895" s="52" t="str">
        <f t="shared" si="1245"/>
        <v/>
      </c>
      <c r="J2895" s="52" t="str">
        <f>IF(H2895="","",VLOOKUP(A2895,'6.A'!$A$11:$E$564,4,FALSE))</f>
        <v/>
      </c>
      <c r="K2895" s="52" t="str">
        <f t="shared" si="1246"/>
        <v/>
      </c>
      <c r="L2895" s="52" t="str">
        <f>IF(H2895="","",IF(C2895="","",G2872*C2895))</f>
        <v/>
      </c>
      <c r="M2895" s="117" t="str">
        <f>IF(A2895="","",VLOOKUP(A2895,'6.A'!$A$11:$C$564,2,FALSE))</f>
        <v/>
      </c>
      <c r="N2895" s="57" t="str">
        <f>IF(A2895="","",IF(M2895=B2895,"si","no"))</f>
        <v/>
      </c>
      <c r="O2895" s="56"/>
      <c r="P2895" s="56"/>
      <c r="Q2895" s="48"/>
      <c r="R2895" s="48"/>
      <c r="S2895" s="2"/>
    </row>
    <row r="2896" spans="1:19" ht="12.75" customHeight="1" x14ac:dyDescent="0.2">
      <c r="A2896" s="155"/>
      <c r="B2896" s="138" t="str">
        <f>IF(A2896="","",VLOOKUP(A2896,'6.A'!$A$11:$G$180,2,FALSE))</f>
        <v/>
      </c>
      <c r="C2896" s="156"/>
      <c r="D2896" s="57" t="str">
        <f>IF(A2896="","",VLOOKUP(A2896,'6.A'!$A$11:$G$180,4,FALSE))</f>
        <v/>
      </c>
      <c r="E2896" s="100" t="str">
        <f>IF(A2896="","",VLOOKUP(A2896,'6.A'!$A$11:$G$180,5,FALSE))</f>
        <v/>
      </c>
      <c r="F2896" s="24" t="str">
        <f t="shared" si="1244"/>
        <v>0,00</v>
      </c>
      <c r="G2896" s="52"/>
      <c r="H2896" s="52" t="str">
        <f>IF(A2896="","",VLOOKUP(A2896,'6.A'!$A$11:$E$7984,5,FALSE))</f>
        <v/>
      </c>
      <c r="I2896" s="52" t="str">
        <f t="shared" si="1245"/>
        <v/>
      </c>
      <c r="J2896" s="52" t="str">
        <f>IF(H2896="","",VLOOKUP(A2896,'6.A'!$A$11:$E$564,4,FALSE))</f>
        <v/>
      </c>
      <c r="K2896" s="52" t="str">
        <f t="shared" si="1246"/>
        <v/>
      </c>
      <c r="L2896" s="52" t="str">
        <f>IF(H2896="","",IF(C2896="","",G2872*C2896))</f>
        <v/>
      </c>
      <c r="M2896" s="117" t="str">
        <f>IF(A2896="","",VLOOKUP(A2896,'6.A'!$A$11:$C$564,2,FALSE))</f>
        <v/>
      </c>
      <c r="N2896" s="57" t="str">
        <f t="shared" ref="N2896:N2897" si="1248">IF(A2896="","",IF(M2896=B2896,"si","no"))</f>
        <v/>
      </c>
      <c r="O2896" s="56"/>
      <c r="P2896" s="56"/>
      <c r="Q2896" s="48"/>
      <c r="R2896" s="48"/>
      <c r="S2896" s="2"/>
    </row>
    <row r="2897" spans="1:22" ht="12.75" customHeight="1" x14ac:dyDescent="0.2">
      <c r="A2897" s="155"/>
      <c r="B2897" s="138" t="str">
        <f>IF(A2897="","",VLOOKUP(A2897,'6.A'!$A$11:$G$180,2,FALSE))</f>
        <v/>
      </c>
      <c r="C2897" s="156"/>
      <c r="D2897" s="57" t="str">
        <f>IF(A2897="","",VLOOKUP(A2897,'6.A'!$A$11:$G$180,4,FALSE))</f>
        <v/>
      </c>
      <c r="E2897" s="100" t="str">
        <f>IF(A2897="","",VLOOKUP(A2897,'6.A'!$A$11:$G$180,5,FALSE))</f>
        <v/>
      </c>
      <c r="F2897" s="24" t="str">
        <f t="shared" si="1244"/>
        <v>0,00</v>
      </c>
      <c r="G2897" s="52"/>
      <c r="H2897" s="52" t="str">
        <f>IF(A2897="","",VLOOKUP(A2897,'6.A'!$A$11:$E$7984,5,FALSE))</f>
        <v/>
      </c>
      <c r="I2897" s="52" t="str">
        <f t="shared" si="1245"/>
        <v/>
      </c>
      <c r="J2897" s="52" t="str">
        <f>IF(H2897="","",VLOOKUP(A2897,'6.A'!$A$11:$E$564,4,FALSE))</f>
        <v/>
      </c>
      <c r="K2897" s="52" t="str">
        <f t="shared" si="1246"/>
        <v/>
      </c>
      <c r="L2897" s="52" t="str">
        <f>IF(H2897="","",IF(C2897="","",G2872*C2897))</f>
        <v/>
      </c>
      <c r="M2897" s="117" t="str">
        <f>IF(A2897="","",VLOOKUP(A2897,'6.A'!$A$11:$C$564,2,FALSE))</f>
        <v/>
      </c>
      <c r="N2897" s="57" t="str">
        <f t="shared" si="1248"/>
        <v/>
      </c>
      <c r="O2897" s="56"/>
      <c r="P2897" s="56"/>
      <c r="Q2897" s="48"/>
      <c r="R2897" s="48"/>
      <c r="S2897" s="2"/>
    </row>
    <row r="2898" spans="1:22" ht="12.75" customHeight="1" x14ac:dyDescent="0.2">
      <c r="A2898" s="155"/>
      <c r="B2898" s="26" t="str">
        <f>$A$9</f>
        <v>BDI</v>
      </c>
      <c r="C2898" s="27">
        <f>$C$9</f>
        <v>0</v>
      </c>
      <c r="D2898" s="57"/>
      <c r="F2898" s="28">
        <f>ROUND(SUM(F2888:F2897)*C2898,2)</f>
        <v>0</v>
      </c>
      <c r="G2898" s="63"/>
      <c r="M2898" s="62"/>
      <c r="N2898" s="57"/>
      <c r="O2898" s="56"/>
      <c r="P2898" s="56"/>
      <c r="Q2898" s="48"/>
      <c r="R2898" s="48"/>
      <c r="S2898" s="2"/>
    </row>
    <row r="2899" spans="1:22" ht="12.75" customHeight="1" x14ac:dyDescent="0.2">
      <c r="A2899" s="163"/>
      <c r="B2899" s="31" t="s">
        <v>117</v>
      </c>
      <c r="C2899" s="36"/>
      <c r="D2899" s="37"/>
      <c r="E2899" s="38"/>
      <c r="F2899" s="35">
        <f>ROUND(SUM(F2888:F2898),2)</f>
        <v>0</v>
      </c>
      <c r="G2899" s="63"/>
      <c r="M2899" s="62"/>
      <c r="N2899" s="57"/>
      <c r="O2899" s="56"/>
      <c r="P2899" s="56"/>
      <c r="Q2899" s="48"/>
      <c r="R2899" s="48"/>
      <c r="S2899" s="2"/>
    </row>
    <row r="2900" spans="1:22" ht="12.75" customHeight="1" x14ac:dyDescent="0.2">
      <c r="A2900" s="152" t="s">
        <v>6</v>
      </c>
      <c r="B2900" s="153" t="s">
        <v>17</v>
      </c>
      <c r="C2900" s="140" t="s">
        <v>59</v>
      </c>
      <c r="D2900" s="56" t="s">
        <v>16</v>
      </c>
      <c r="E2900" s="19" t="s">
        <v>60</v>
      </c>
      <c r="F2900" s="20" t="s">
        <v>61</v>
      </c>
      <c r="G2900" s="21"/>
      <c r="M2900" s="62"/>
      <c r="N2900" s="57"/>
      <c r="O2900" s="56"/>
      <c r="P2900" s="56"/>
      <c r="Q2900" s="48"/>
      <c r="R2900" s="48"/>
      <c r="S2900" s="2"/>
    </row>
    <row r="2901" spans="1:22" ht="12.75" customHeight="1" x14ac:dyDescent="0.2">
      <c r="A2901" s="155">
        <f>'6.A'!$A$175</f>
        <v>54487</v>
      </c>
      <c r="B2901" s="138" t="str">
        <f>IF(A2901="","",VLOOKUP(A2901,'6.A'!$A$11:$G$180,2,FALSE))</f>
        <v>DISJUNTOR CX. MOLD. TRIP. C/ DISPARADOR TÉRMICO AJUSTÁVEL E MAGNÉTICO FIXO - 150A</v>
      </c>
      <c r="C2901" s="156">
        <v>1</v>
      </c>
      <c r="D2901" s="57" t="str">
        <f>IF(A2901="","",VLOOKUP(A2901,'6.A'!$A$11:$G$180,4,FALSE))</f>
        <v>UN</v>
      </c>
      <c r="E2901" s="100">
        <f>IF(A2901="","",VLOOKUP(A2901,'6.A'!$A$11:$G$180,5,FALSE))</f>
        <v>0</v>
      </c>
      <c r="F2901" s="24">
        <f>IF(A2901="","0,00",ROUND(C2901*E2901,2))</f>
        <v>0</v>
      </c>
      <c r="G2901" s="52"/>
      <c r="H2901" s="52">
        <f>IF(A2901="","",VLOOKUP(A2901,'6.A'!$A$11:$E$7984,5,FALSE))</f>
        <v>0</v>
      </c>
      <c r="I2901" s="52" t="str">
        <f>IF(H2901="","",IF(E2901=H2901,"SIM","NÃO"))</f>
        <v>SIM</v>
      </c>
      <c r="J2901" s="52" t="str">
        <f>IF(H2901="","",VLOOKUP(A2901,'6.A'!$A$11:$E$564,4,FALSE))</f>
        <v>UN</v>
      </c>
      <c r="K2901" s="52" t="str">
        <f>IF(H2901="","",IF(J2901=D2901,"SIM","NÃO"))</f>
        <v>SIM</v>
      </c>
      <c r="L2901" s="52">
        <f>IF(H2901="","",IF(C2901="","",G2872*C2901))</f>
        <v>3</v>
      </c>
      <c r="M2901" s="117" t="str">
        <f>IF(A2901="","",VLOOKUP(A2901,'6.A'!$A$11:$C$564,2,FALSE))</f>
        <v>DISJUNTOR CX. MOLD. TRIP. C/ DISPARADOR TÉRMICO AJUSTÁVEL E MAGNÉTICO FIXO - 150A</v>
      </c>
      <c r="N2901" s="57" t="str">
        <f>IF(A2901="","",IF(M2901=B2901,"si","no"))</f>
        <v>si</v>
      </c>
      <c r="O2901" s="56"/>
      <c r="P2901" s="56"/>
      <c r="Q2901" s="48"/>
      <c r="R2901" s="48"/>
    </row>
    <row r="2902" spans="1:22" s="65" customFormat="1" ht="12.75" customHeight="1" x14ac:dyDescent="0.2">
      <c r="A2902" s="155"/>
      <c r="B2902" s="138" t="str">
        <f>IF(A2902="","",VLOOKUP(A2902,'6.A'!$A$11:$G$180,2,FALSE))</f>
        <v/>
      </c>
      <c r="C2902" s="156"/>
      <c r="D2902" s="57" t="str">
        <f>IF(A2902="","",VLOOKUP(A2902,'6.A'!$A$11:$G$180,4,FALSE))</f>
        <v/>
      </c>
      <c r="E2902" s="100" t="str">
        <f>IF(A2902="","",VLOOKUP(A2902,'6.A'!$A$11:$G$180,5,FALSE))</f>
        <v/>
      </c>
      <c r="F2902" s="24" t="str">
        <f t="shared" ref="F2902:F2918" si="1249">IF(A2902="","0,00",ROUND(C2902*E2902,2))</f>
        <v>0,00</v>
      </c>
      <c r="G2902" s="52"/>
      <c r="H2902" s="52" t="str">
        <f>IF(A2902="","",VLOOKUP(A2902,'6.A'!$A$11:$E$7984,5,FALSE))</f>
        <v/>
      </c>
      <c r="I2902" s="52" t="str">
        <f t="shared" ref="I2902:I2918" si="1250">IF(H2902="","",IF(E2902=H2902,"SIM","NÃO"))</f>
        <v/>
      </c>
      <c r="J2902" s="52" t="str">
        <f>IF(H2902="","",VLOOKUP(A2902,'6.A'!$A$11:$E$564,4,FALSE))</f>
        <v/>
      </c>
      <c r="K2902" s="52" t="str">
        <f t="shared" ref="K2902:K2918" si="1251">IF(H2902="","",IF(J2902=D2902,"SIM","NÃO"))</f>
        <v/>
      </c>
      <c r="L2902" s="52" t="str">
        <f>IF(H2902="","",IF(C2902="","",G2872*C2902))</f>
        <v/>
      </c>
      <c r="M2902" s="117" t="str">
        <f>IF(A2902="","",VLOOKUP(A2902,'6.A'!$A$11:$C$564,2,FALSE))</f>
        <v/>
      </c>
      <c r="N2902" s="57" t="str">
        <f t="shared" ref="N2902:N2918" si="1252">IF(A2902="","",IF(M2902=B2902,"si","no"))</f>
        <v/>
      </c>
      <c r="O2902" s="56"/>
      <c r="P2902" s="56"/>
      <c r="Q2902" s="48"/>
      <c r="R2902" s="48"/>
      <c r="T2902" s="2"/>
      <c r="U2902" s="2"/>
      <c r="V2902" s="2"/>
    </row>
    <row r="2903" spans="1:22" ht="12.75" customHeight="1" x14ac:dyDescent="0.2">
      <c r="A2903" s="155"/>
      <c r="B2903" s="138" t="str">
        <f>IF(A2903="","",VLOOKUP(A2903,'6.A'!$A$11:$G$180,2,FALSE))</f>
        <v/>
      </c>
      <c r="C2903" s="156"/>
      <c r="D2903" s="57" t="str">
        <f>IF(A2903="","",VLOOKUP(A2903,'6.A'!$A$11:$G$180,4,FALSE))</f>
        <v/>
      </c>
      <c r="E2903" s="100" t="str">
        <f>IF(A2903="","",VLOOKUP(A2903,'6.A'!$A$11:$G$180,5,FALSE))</f>
        <v/>
      </c>
      <c r="F2903" s="24" t="str">
        <f t="shared" si="1249"/>
        <v>0,00</v>
      </c>
      <c r="G2903" s="52"/>
      <c r="H2903" s="52" t="str">
        <f>IF(A2903="","",VLOOKUP(A2903,'6.A'!$A$11:$E$7984,5,FALSE))</f>
        <v/>
      </c>
      <c r="I2903" s="52" t="str">
        <f t="shared" si="1250"/>
        <v/>
      </c>
      <c r="J2903" s="52" t="str">
        <f>IF(H2903="","",VLOOKUP(A2903,'6.A'!$A$11:$E$564,4,FALSE))</f>
        <v/>
      </c>
      <c r="K2903" s="52" t="str">
        <f t="shared" si="1251"/>
        <v/>
      </c>
      <c r="L2903" s="52" t="str">
        <f>IF(H2903="","",IF(C2903="","",G2872*C2903))</f>
        <v/>
      </c>
      <c r="M2903" s="117" t="str">
        <f>IF(A2903="","",VLOOKUP(A2903,'6.A'!$A$11:$C$564,2,FALSE))</f>
        <v/>
      </c>
      <c r="N2903" s="57" t="str">
        <f t="shared" si="1252"/>
        <v/>
      </c>
      <c r="O2903" s="56"/>
      <c r="P2903" s="56"/>
      <c r="Q2903" s="48"/>
      <c r="R2903" s="48"/>
    </row>
    <row r="2904" spans="1:22" ht="12.75" customHeight="1" x14ac:dyDescent="0.2">
      <c r="A2904" s="155"/>
      <c r="B2904" s="138" t="str">
        <f>IF(A2904="","",VLOOKUP(A2904,'6.A'!$A$11:$G$180,2,FALSE))</f>
        <v/>
      </c>
      <c r="C2904" s="156"/>
      <c r="D2904" s="57" t="str">
        <f>IF(A2904="","",VLOOKUP(A2904,'6.A'!$A$11:$G$180,4,FALSE))</f>
        <v/>
      </c>
      <c r="E2904" s="100" t="str">
        <f>IF(A2904="","",VLOOKUP(A2904,'6.A'!$A$11:$G$180,5,FALSE))</f>
        <v/>
      </c>
      <c r="F2904" s="24" t="str">
        <f t="shared" si="1249"/>
        <v>0,00</v>
      </c>
      <c r="G2904" s="52"/>
      <c r="H2904" s="52" t="str">
        <f>IF(A2904="","",VLOOKUP(A2904,'6.A'!$A$11:$E$7984,5,FALSE))</f>
        <v/>
      </c>
      <c r="I2904" s="52" t="str">
        <f t="shared" si="1250"/>
        <v/>
      </c>
      <c r="J2904" s="52" t="str">
        <f>IF(H2904="","",VLOOKUP(A2904,'6.A'!$A$11:$E$564,4,FALSE))</f>
        <v/>
      </c>
      <c r="K2904" s="52" t="str">
        <f t="shared" si="1251"/>
        <v/>
      </c>
      <c r="L2904" s="52" t="str">
        <f>IF(H2904="","",IF(C2904="","",G2872*C2904))</f>
        <v/>
      </c>
      <c r="M2904" s="117" t="str">
        <f>IF(A2904="","",VLOOKUP(A2904,'6.A'!$A$11:$C$564,2,FALSE))</f>
        <v/>
      </c>
      <c r="N2904" s="57" t="str">
        <f t="shared" si="1252"/>
        <v/>
      </c>
      <c r="O2904" s="56"/>
      <c r="P2904" s="56"/>
      <c r="Q2904" s="48"/>
      <c r="R2904" s="48"/>
      <c r="S2904" s="2"/>
    </row>
    <row r="2905" spans="1:22" ht="12.75" customHeight="1" x14ac:dyDescent="0.2">
      <c r="A2905" s="155"/>
      <c r="B2905" s="138" t="str">
        <f>IF(A2905="","",VLOOKUP(A2905,'6.A'!$A$11:$G$180,2,FALSE))</f>
        <v/>
      </c>
      <c r="C2905" s="156"/>
      <c r="D2905" s="57" t="str">
        <f>IF(A2905="","",VLOOKUP(A2905,'6.A'!$A$11:$G$180,4,FALSE))</f>
        <v/>
      </c>
      <c r="E2905" s="100" t="str">
        <f>IF(A2905="","",VLOOKUP(A2905,'6.A'!$A$11:$G$180,5,FALSE))</f>
        <v/>
      </c>
      <c r="F2905" s="24" t="str">
        <f t="shared" si="1249"/>
        <v>0,00</v>
      </c>
      <c r="G2905" s="52"/>
      <c r="H2905" s="52" t="str">
        <f>IF(A2905="","",VLOOKUP(A2905,'6.A'!$A$11:$E$7984,5,FALSE))</f>
        <v/>
      </c>
      <c r="I2905" s="52" t="str">
        <f t="shared" si="1250"/>
        <v/>
      </c>
      <c r="J2905" s="52" t="str">
        <f>IF(H2905="","",VLOOKUP(A2905,'6.A'!$A$11:$E$564,4,FALSE))</f>
        <v/>
      </c>
      <c r="K2905" s="52" t="str">
        <f t="shared" si="1251"/>
        <v/>
      </c>
      <c r="L2905" s="52" t="str">
        <f>IF(H2905="","",IF(C2905="","",G2872*C2905))</f>
        <v/>
      </c>
      <c r="M2905" s="117" t="str">
        <f>IF(A2905="","",VLOOKUP(A2905,'6.A'!$A$11:$C$564,2,FALSE))</f>
        <v/>
      </c>
      <c r="N2905" s="57" t="str">
        <f t="shared" si="1252"/>
        <v/>
      </c>
      <c r="O2905" s="56"/>
      <c r="P2905" s="56"/>
      <c r="Q2905" s="48"/>
      <c r="R2905" s="48"/>
      <c r="S2905" s="2"/>
    </row>
    <row r="2906" spans="1:22" ht="12.75" customHeight="1" x14ac:dyDescent="0.2">
      <c r="A2906" s="155"/>
      <c r="B2906" s="138" t="str">
        <f>IF(A2906="","",VLOOKUP(A2906,'6.A'!$A$11:$G$180,2,FALSE))</f>
        <v/>
      </c>
      <c r="C2906" s="156"/>
      <c r="D2906" s="57" t="str">
        <f>IF(A2906="","",VLOOKUP(A2906,'6.A'!$A$11:$G$180,4,FALSE))</f>
        <v/>
      </c>
      <c r="E2906" s="100" t="str">
        <f>IF(A2906="","",VLOOKUP(A2906,'6.A'!$A$11:$G$180,5,FALSE))</f>
        <v/>
      </c>
      <c r="F2906" s="24" t="str">
        <f t="shared" si="1249"/>
        <v>0,00</v>
      </c>
      <c r="G2906" s="52"/>
      <c r="H2906" s="52" t="str">
        <f>IF(A2906="","",VLOOKUP(A2906,'6.A'!$A$11:$E$7984,5,FALSE))</f>
        <v/>
      </c>
      <c r="I2906" s="52" t="str">
        <f t="shared" si="1250"/>
        <v/>
      </c>
      <c r="J2906" s="52" t="str">
        <f>IF(H2906="","",VLOOKUP(A2906,'6.A'!$A$11:$E$564,4,FALSE))</f>
        <v/>
      </c>
      <c r="K2906" s="52" t="str">
        <f t="shared" si="1251"/>
        <v/>
      </c>
      <c r="L2906" s="52" t="str">
        <f>IF(H2906="","",IF(C2906="","",G2872*C2906))</f>
        <v/>
      </c>
      <c r="M2906" s="117" t="str">
        <f>IF(A2906="","",VLOOKUP(A2906,'6.A'!$A$11:$C$564,2,FALSE))</f>
        <v/>
      </c>
      <c r="N2906" s="57" t="str">
        <f t="shared" si="1252"/>
        <v/>
      </c>
      <c r="O2906" s="56"/>
      <c r="P2906" s="56"/>
      <c r="Q2906" s="48"/>
      <c r="R2906" s="48"/>
    </row>
    <row r="2907" spans="1:22" s="65" customFormat="1" ht="12.75" customHeight="1" x14ac:dyDescent="0.2">
      <c r="A2907" s="155"/>
      <c r="B2907" s="138" t="str">
        <f>IF(A2907="","",VLOOKUP(A2907,'6.A'!$A$11:$G$180,2,FALSE))</f>
        <v/>
      </c>
      <c r="C2907" s="156"/>
      <c r="D2907" s="57" t="str">
        <f>IF(A2907="","",VLOOKUP(A2907,'6.A'!$A$11:$G$180,4,FALSE))</f>
        <v/>
      </c>
      <c r="E2907" s="100" t="str">
        <f>IF(A2907="","",VLOOKUP(A2907,'6.A'!$A$11:$G$180,5,FALSE))</f>
        <v/>
      </c>
      <c r="F2907" s="24" t="str">
        <f t="shared" si="1249"/>
        <v>0,00</v>
      </c>
      <c r="G2907" s="52"/>
      <c r="H2907" s="52" t="str">
        <f>IF(A2907="","",VLOOKUP(A2907,'6.A'!$A$11:$E$7984,5,FALSE))</f>
        <v/>
      </c>
      <c r="I2907" s="52" t="str">
        <f t="shared" si="1250"/>
        <v/>
      </c>
      <c r="J2907" s="52" t="str">
        <f>IF(H2907="","",VLOOKUP(A2907,'6.A'!$A$11:$E$564,4,FALSE))</f>
        <v/>
      </c>
      <c r="K2907" s="52" t="str">
        <f t="shared" si="1251"/>
        <v/>
      </c>
      <c r="L2907" s="52" t="str">
        <f>IF(H2907="","",IF(C2907="","",G2872*C2907))</f>
        <v/>
      </c>
      <c r="M2907" s="117" t="str">
        <f>IF(A2907="","",VLOOKUP(A2907,'6.A'!$A$11:$C$564,2,FALSE))</f>
        <v/>
      </c>
      <c r="N2907" s="57" t="str">
        <f t="shared" si="1252"/>
        <v/>
      </c>
      <c r="O2907" s="56"/>
      <c r="P2907" s="56"/>
      <c r="Q2907" s="48"/>
      <c r="R2907" s="48"/>
      <c r="T2907" s="2"/>
      <c r="U2907" s="2"/>
      <c r="V2907" s="2"/>
    </row>
    <row r="2908" spans="1:22" ht="12.75" customHeight="1" x14ac:dyDescent="0.2">
      <c r="A2908" s="155"/>
      <c r="B2908" s="138" t="str">
        <f>IF(A2908="","",VLOOKUP(A2908,'6.A'!$A$11:$G$180,2,FALSE))</f>
        <v/>
      </c>
      <c r="C2908" s="156"/>
      <c r="D2908" s="57" t="str">
        <f>IF(A2908="","",VLOOKUP(A2908,'6.A'!$A$11:$G$180,4,FALSE))</f>
        <v/>
      </c>
      <c r="E2908" s="100" t="str">
        <f>IF(A2908="","",VLOOKUP(A2908,'6.A'!$A$11:$G$180,5,FALSE))</f>
        <v/>
      </c>
      <c r="F2908" s="24" t="str">
        <f t="shared" si="1249"/>
        <v>0,00</v>
      </c>
      <c r="G2908" s="52"/>
      <c r="H2908" s="52" t="str">
        <f>IF(A2908="","",VLOOKUP(A2908,'6.A'!$A$11:$E$7984,5,FALSE))</f>
        <v/>
      </c>
      <c r="I2908" s="52" t="str">
        <f t="shared" si="1250"/>
        <v/>
      </c>
      <c r="J2908" s="52" t="str">
        <f>IF(H2908="","",VLOOKUP(A2908,'6.A'!$A$11:$E$564,4,FALSE))</f>
        <v/>
      </c>
      <c r="K2908" s="52" t="str">
        <f t="shared" si="1251"/>
        <v/>
      </c>
      <c r="L2908" s="52" t="str">
        <f>IF(H2908="","",IF(C2908="","",G2872*C2908))</f>
        <v/>
      </c>
      <c r="M2908" s="117" t="str">
        <f>IF(A2908="","",VLOOKUP(A2908,'6.A'!$A$11:$C$564,2,FALSE))</f>
        <v/>
      </c>
      <c r="N2908" s="57" t="str">
        <f t="shared" si="1252"/>
        <v/>
      </c>
      <c r="O2908" s="56"/>
      <c r="P2908" s="56"/>
      <c r="Q2908" s="48"/>
      <c r="R2908" s="48"/>
      <c r="S2908" s="2"/>
    </row>
    <row r="2909" spans="1:22" ht="12.75" customHeight="1" x14ac:dyDescent="0.2">
      <c r="A2909" s="155"/>
      <c r="B2909" s="138" t="str">
        <f>IF(A2909="","",VLOOKUP(A2909,'6.A'!$A$11:$G$180,2,FALSE))</f>
        <v/>
      </c>
      <c r="C2909" s="156"/>
      <c r="D2909" s="57" t="str">
        <f>IF(A2909="","",VLOOKUP(A2909,'6.A'!$A$11:$G$180,4,FALSE))</f>
        <v/>
      </c>
      <c r="E2909" s="100" t="str">
        <f>IF(A2909="","",VLOOKUP(A2909,'6.A'!$A$11:$G$180,5,FALSE))</f>
        <v/>
      </c>
      <c r="F2909" s="24" t="str">
        <f t="shared" si="1249"/>
        <v>0,00</v>
      </c>
      <c r="G2909" s="52"/>
      <c r="H2909" s="52" t="str">
        <f>IF(A2909="","",VLOOKUP(A2909,'6.A'!$A$11:$E$7984,5,FALSE))</f>
        <v/>
      </c>
      <c r="I2909" s="52" t="str">
        <f t="shared" si="1250"/>
        <v/>
      </c>
      <c r="J2909" s="52" t="str">
        <f>IF(H2909="","",VLOOKUP(A2909,'6.A'!$A$11:$E$564,4,FALSE))</f>
        <v/>
      </c>
      <c r="K2909" s="52" t="str">
        <f t="shared" si="1251"/>
        <v/>
      </c>
      <c r="L2909" s="52" t="str">
        <f>IF(H2909="","",IF(C2909="","",G2872*C2909))</f>
        <v/>
      </c>
      <c r="M2909" s="117" t="str">
        <f>IF(A2909="","",VLOOKUP(A2909,'6.A'!$A$11:$C$564,2,FALSE))</f>
        <v/>
      </c>
      <c r="N2909" s="57" t="str">
        <f t="shared" si="1252"/>
        <v/>
      </c>
      <c r="O2909" s="56"/>
      <c r="P2909" s="56"/>
      <c r="Q2909" s="48"/>
      <c r="R2909" s="48"/>
    </row>
    <row r="2910" spans="1:22" s="65" customFormat="1" ht="12.75" customHeight="1" x14ac:dyDescent="0.2">
      <c r="A2910" s="155"/>
      <c r="B2910" s="138" t="str">
        <f>IF(A2910="","",VLOOKUP(A2910,'6.A'!$A$11:$G$180,2,FALSE))</f>
        <v/>
      </c>
      <c r="C2910" s="156"/>
      <c r="D2910" s="57" t="str">
        <f>IF(A2910="","",VLOOKUP(A2910,'6.A'!$A$11:$G$180,4,FALSE))</f>
        <v/>
      </c>
      <c r="E2910" s="100" t="str">
        <f>IF(A2910="","",VLOOKUP(A2910,'6.A'!$A$11:$G$180,5,FALSE))</f>
        <v/>
      </c>
      <c r="F2910" s="24" t="str">
        <f t="shared" si="1249"/>
        <v>0,00</v>
      </c>
      <c r="G2910" s="52"/>
      <c r="H2910" s="52" t="str">
        <f>IF(A2910="","",VLOOKUP(A2910,'6.A'!$A$11:$E$7984,5,FALSE))</f>
        <v/>
      </c>
      <c r="I2910" s="52" t="str">
        <f t="shared" si="1250"/>
        <v/>
      </c>
      <c r="J2910" s="52" t="str">
        <f>IF(H2910="","",VLOOKUP(A2910,'6.A'!$A$11:$E$564,4,FALSE))</f>
        <v/>
      </c>
      <c r="K2910" s="52" t="str">
        <f t="shared" si="1251"/>
        <v/>
      </c>
      <c r="L2910" s="52" t="str">
        <f>IF(H2910="","",IF(C2910="","",G2872*C2910))</f>
        <v/>
      </c>
      <c r="M2910" s="117" t="str">
        <f>IF(A2910="","",VLOOKUP(A2910,'6.A'!$A$11:$C$564,2,FALSE))</f>
        <v/>
      </c>
      <c r="N2910" s="57" t="str">
        <f t="shared" si="1252"/>
        <v/>
      </c>
      <c r="O2910" s="56"/>
      <c r="P2910" s="56"/>
      <c r="Q2910" s="48"/>
      <c r="R2910" s="48"/>
      <c r="T2910" s="2"/>
      <c r="U2910" s="2"/>
      <c r="V2910" s="2"/>
    </row>
    <row r="2911" spans="1:22" ht="12.75" customHeight="1" x14ac:dyDescent="0.2">
      <c r="A2911" s="155"/>
      <c r="B2911" s="138" t="str">
        <f>IF(A2911="","",VLOOKUP(A2911,'6.A'!$A$11:$G$180,2,FALSE))</f>
        <v/>
      </c>
      <c r="C2911" s="156"/>
      <c r="D2911" s="57" t="str">
        <f>IF(A2911="","",VLOOKUP(A2911,'6.A'!$A$11:$G$180,4,FALSE))</f>
        <v/>
      </c>
      <c r="E2911" s="100" t="str">
        <f>IF(A2911="","",VLOOKUP(A2911,'6.A'!$A$11:$G$180,5,FALSE))</f>
        <v/>
      </c>
      <c r="F2911" s="24" t="str">
        <f t="shared" si="1249"/>
        <v>0,00</v>
      </c>
      <c r="G2911" s="52"/>
      <c r="H2911" s="52" t="str">
        <f>IF(A2911="","",VLOOKUP(A2911,'6.A'!$A$11:$E$7984,5,FALSE))</f>
        <v/>
      </c>
      <c r="I2911" s="52" t="str">
        <f t="shared" si="1250"/>
        <v/>
      </c>
      <c r="J2911" s="52" t="str">
        <f>IF(H2911="","",VLOOKUP(A2911,'6.A'!$A$11:$E$564,4,FALSE))</f>
        <v/>
      </c>
      <c r="K2911" s="52" t="str">
        <f t="shared" si="1251"/>
        <v/>
      </c>
      <c r="L2911" s="52" t="str">
        <f>IF(H2911="","",IF(C2911="","",G2872*C2911))</f>
        <v/>
      </c>
      <c r="M2911" s="117" t="str">
        <f>IF(A2911="","",VLOOKUP(A2911,'6.A'!$A$11:$C$564,2,FALSE))</f>
        <v/>
      </c>
      <c r="N2911" s="57" t="str">
        <f t="shared" si="1252"/>
        <v/>
      </c>
      <c r="O2911" s="56"/>
      <c r="P2911" s="56"/>
      <c r="Q2911" s="48"/>
      <c r="R2911" s="48"/>
    </row>
    <row r="2912" spans="1:22" ht="12.75" customHeight="1" x14ac:dyDescent="0.2">
      <c r="A2912" s="155"/>
      <c r="B2912" s="138" t="str">
        <f>IF(A2912="","",VLOOKUP(A2912,'6.A'!$A$11:$G$180,2,FALSE))</f>
        <v/>
      </c>
      <c r="C2912" s="156"/>
      <c r="D2912" s="57" t="str">
        <f>IF(A2912="","",VLOOKUP(A2912,'6.A'!$A$11:$G$180,4,FALSE))</f>
        <v/>
      </c>
      <c r="E2912" s="100" t="str">
        <f>IF(A2912="","",VLOOKUP(A2912,'6.A'!$A$11:$G$180,5,FALSE))</f>
        <v/>
      </c>
      <c r="F2912" s="24" t="str">
        <f t="shared" si="1249"/>
        <v>0,00</v>
      </c>
      <c r="G2912" s="52"/>
      <c r="H2912" s="52" t="str">
        <f>IF(A2912="","",VLOOKUP(A2912,'6.A'!$A$11:$E$7984,5,FALSE))</f>
        <v/>
      </c>
      <c r="I2912" s="52" t="str">
        <f t="shared" si="1250"/>
        <v/>
      </c>
      <c r="J2912" s="52" t="str">
        <f>IF(H2912="","",VLOOKUP(A2912,'6.A'!$A$11:$E$564,4,FALSE))</f>
        <v/>
      </c>
      <c r="K2912" s="52" t="str">
        <f t="shared" si="1251"/>
        <v/>
      </c>
      <c r="L2912" s="52" t="str">
        <f>IF(H2912="","",IF(C2912="","",G2872*C2912))</f>
        <v/>
      </c>
      <c r="M2912" s="117" t="str">
        <f>IF(A2912="","",VLOOKUP(A2912,'6.A'!$A$11:$C$564,2,FALSE))</f>
        <v/>
      </c>
      <c r="N2912" s="57" t="str">
        <f t="shared" si="1252"/>
        <v/>
      </c>
      <c r="O2912" s="56"/>
      <c r="P2912" s="56"/>
      <c r="Q2912" s="48"/>
      <c r="R2912" s="48"/>
      <c r="S2912" s="2"/>
    </row>
    <row r="2913" spans="1:23" ht="12.75" customHeight="1" x14ac:dyDescent="0.2">
      <c r="A2913" s="155"/>
      <c r="B2913" s="138" t="str">
        <f>IF(A2913="","",VLOOKUP(A2913,'6.A'!$A$11:$G$180,2,FALSE))</f>
        <v/>
      </c>
      <c r="C2913" s="156"/>
      <c r="D2913" s="57" t="str">
        <f>IF(A2913="","",VLOOKUP(A2913,'6.A'!$A$11:$G$180,4,FALSE))</f>
        <v/>
      </c>
      <c r="E2913" s="100" t="str">
        <f>IF(A2913="","",VLOOKUP(A2913,'6.A'!$A$11:$G$180,5,FALSE))</f>
        <v/>
      </c>
      <c r="F2913" s="24" t="str">
        <f t="shared" si="1249"/>
        <v>0,00</v>
      </c>
      <c r="G2913" s="52"/>
      <c r="H2913" s="52" t="str">
        <f>IF(A2913="","",VLOOKUP(A2913,'6.A'!$A$11:$E$7984,5,FALSE))</f>
        <v/>
      </c>
      <c r="I2913" s="52" t="str">
        <f t="shared" si="1250"/>
        <v/>
      </c>
      <c r="J2913" s="52" t="str">
        <f>IF(H2913="","",VLOOKUP(A2913,'6.A'!$A$11:$E$564,4,FALSE))</f>
        <v/>
      </c>
      <c r="K2913" s="52" t="str">
        <f t="shared" si="1251"/>
        <v/>
      </c>
      <c r="L2913" s="52" t="str">
        <f>IF(H2913="","",IF(C2913="","",G2872*C2913))</f>
        <v/>
      </c>
      <c r="M2913" s="117" t="str">
        <f>IF(A2913="","",VLOOKUP(A2913,'6.A'!$A$11:$C$564,2,FALSE))</f>
        <v/>
      </c>
      <c r="N2913" s="57" t="str">
        <f t="shared" si="1252"/>
        <v/>
      </c>
      <c r="O2913" s="56"/>
      <c r="P2913" s="56"/>
      <c r="Q2913" s="48"/>
      <c r="R2913" s="48"/>
      <c r="S2913" s="2"/>
    </row>
    <row r="2914" spans="1:23" s="65" customFormat="1" ht="12.75" customHeight="1" x14ac:dyDescent="0.2">
      <c r="A2914" s="155"/>
      <c r="B2914" s="138" t="str">
        <f>IF(A2914="","",VLOOKUP(A2914,'6.A'!$A$11:$G$180,2,FALSE))</f>
        <v/>
      </c>
      <c r="C2914" s="156"/>
      <c r="D2914" s="57" t="str">
        <f>IF(A2914="","",VLOOKUP(A2914,'6.A'!$A$11:$G$180,4,FALSE))</f>
        <v/>
      </c>
      <c r="E2914" s="100" t="str">
        <f>IF(A2914="","",VLOOKUP(A2914,'6.A'!$A$11:$G$180,5,FALSE))</f>
        <v/>
      </c>
      <c r="F2914" s="24" t="str">
        <f t="shared" si="1249"/>
        <v>0,00</v>
      </c>
      <c r="G2914" s="52"/>
      <c r="H2914" s="52" t="str">
        <f>IF(A2914="","",VLOOKUP(A2914,'6.A'!$A$11:$E$7984,5,FALSE))</f>
        <v/>
      </c>
      <c r="I2914" s="52" t="str">
        <f t="shared" si="1250"/>
        <v/>
      </c>
      <c r="J2914" s="52" t="str">
        <f>IF(H2914="","",VLOOKUP(A2914,'6.A'!$A$11:$E$564,4,FALSE))</f>
        <v/>
      </c>
      <c r="K2914" s="52" t="str">
        <f t="shared" si="1251"/>
        <v/>
      </c>
      <c r="L2914" s="52" t="str">
        <f>IF(H2914="","",IF(C2914="","",G2872*C2914))</f>
        <v/>
      </c>
      <c r="M2914" s="117" t="str">
        <f>IF(A2914="","",VLOOKUP(A2914,'6.A'!$A$11:$C$564,2,FALSE))</f>
        <v/>
      </c>
      <c r="N2914" s="57" t="str">
        <f t="shared" si="1252"/>
        <v/>
      </c>
      <c r="O2914" s="56"/>
      <c r="P2914" s="56"/>
      <c r="Q2914" s="48"/>
      <c r="R2914" s="48"/>
      <c r="T2914" s="2"/>
      <c r="U2914" s="2"/>
      <c r="V2914" s="2"/>
    </row>
    <row r="2915" spans="1:23" ht="12.75" customHeight="1" x14ac:dyDescent="0.2">
      <c r="A2915" s="155"/>
      <c r="B2915" s="138" t="str">
        <f>IF(A2915="","",VLOOKUP(A2915,'6.A'!$A$11:$G$180,2,FALSE))</f>
        <v/>
      </c>
      <c r="C2915" s="156"/>
      <c r="D2915" s="57" t="str">
        <f>IF(A2915="","",VLOOKUP(A2915,'6.A'!$A$11:$G$180,4,FALSE))</f>
        <v/>
      </c>
      <c r="E2915" s="100" t="str">
        <f>IF(A2915="","",VLOOKUP(A2915,'6.A'!$A$11:$G$180,5,FALSE))</f>
        <v/>
      </c>
      <c r="F2915" s="24" t="str">
        <f t="shared" si="1249"/>
        <v>0,00</v>
      </c>
      <c r="G2915" s="52"/>
      <c r="H2915" s="52" t="str">
        <f>IF(A2915="","",VLOOKUP(A2915,'6.A'!$A$11:$E$7984,5,FALSE))</f>
        <v/>
      </c>
      <c r="I2915" s="52" t="str">
        <f t="shared" si="1250"/>
        <v/>
      </c>
      <c r="J2915" s="52" t="str">
        <f>IF(H2915="","",VLOOKUP(A2915,'6.A'!$A$11:$E$564,4,FALSE))</f>
        <v/>
      </c>
      <c r="K2915" s="52" t="str">
        <f t="shared" si="1251"/>
        <v/>
      </c>
      <c r="L2915" s="52" t="str">
        <f>IF(H2915="","",IF(C2915="","",G2872*C2915))</f>
        <v/>
      </c>
      <c r="M2915" s="117" t="str">
        <f>IF(A2915="","",VLOOKUP(A2915,'6.A'!$A$11:$C$564,2,FALSE))</f>
        <v/>
      </c>
      <c r="N2915" s="57" t="str">
        <f t="shared" si="1252"/>
        <v/>
      </c>
      <c r="O2915" s="56"/>
      <c r="P2915" s="56"/>
      <c r="Q2915" s="48"/>
      <c r="R2915" s="48"/>
    </row>
    <row r="2916" spans="1:23" ht="12.75" customHeight="1" x14ac:dyDescent="0.2">
      <c r="A2916" s="155"/>
      <c r="B2916" s="138" t="str">
        <f>IF(A2916="","",VLOOKUP(A2916,'6.A'!$A$11:$G$180,2,FALSE))</f>
        <v/>
      </c>
      <c r="C2916" s="156"/>
      <c r="D2916" s="57" t="str">
        <f>IF(A2916="","",VLOOKUP(A2916,'6.A'!$A$11:$G$180,4,FALSE))</f>
        <v/>
      </c>
      <c r="E2916" s="100" t="str">
        <f>IF(A2916="","",VLOOKUP(A2916,'6.A'!$A$11:$G$180,5,FALSE))</f>
        <v/>
      </c>
      <c r="F2916" s="24" t="str">
        <f t="shared" si="1249"/>
        <v>0,00</v>
      </c>
      <c r="G2916" s="52"/>
      <c r="H2916" s="52" t="str">
        <f>IF(A2916="","",VLOOKUP(A2916,'6.A'!$A$11:$E$7984,5,FALSE))</f>
        <v/>
      </c>
      <c r="I2916" s="52" t="str">
        <f t="shared" si="1250"/>
        <v/>
      </c>
      <c r="J2916" s="52" t="str">
        <f>IF(H2916="","",VLOOKUP(A2916,'6.A'!$A$11:$E$564,4,FALSE))</f>
        <v/>
      </c>
      <c r="K2916" s="52" t="str">
        <f t="shared" si="1251"/>
        <v/>
      </c>
      <c r="L2916" s="52" t="str">
        <f>IF(H2916="","",IF(C2916="","",G2872*C2916))</f>
        <v/>
      </c>
      <c r="M2916" s="117" t="str">
        <f>IF(A2916="","",VLOOKUP(A2916,'6.A'!$A$11:$C$564,2,FALSE))</f>
        <v/>
      </c>
      <c r="N2916" s="57" t="str">
        <f t="shared" si="1252"/>
        <v/>
      </c>
      <c r="O2916" s="56"/>
      <c r="P2916" s="56"/>
      <c r="Q2916" s="48"/>
      <c r="R2916" s="48"/>
    </row>
    <row r="2917" spans="1:23" ht="12.75" customHeight="1" x14ac:dyDescent="0.2">
      <c r="A2917" s="155"/>
      <c r="B2917" s="171" t="str">
        <f>IF(A2917="","",VLOOKUP(A2917,'6.A'!$A$11:$G$180,2,FALSE))</f>
        <v/>
      </c>
      <c r="C2917" s="156"/>
      <c r="D2917" s="57" t="str">
        <f>IF(A2917="","",VLOOKUP(A2917,'6.A'!$A$11:$G$180,4,FALSE))</f>
        <v/>
      </c>
      <c r="E2917" s="100" t="str">
        <f>IF(A2917="","",VLOOKUP(A2917,'6.A'!$A$11:$G$180,5,FALSE))</f>
        <v/>
      </c>
      <c r="F2917" s="24" t="str">
        <f t="shared" si="1249"/>
        <v>0,00</v>
      </c>
      <c r="G2917" s="52"/>
      <c r="H2917" s="52" t="str">
        <f>IF(A2917="","",VLOOKUP(A2917,'6.A'!$A$11:$E$7984,5,FALSE))</f>
        <v/>
      </c>
      <c r="I2917" s="52" t="str">
        <f t="shared" si="1250"/>
        <v/>
      </c>
      <c r="J2917" s="52" t="str">
        <f>IF(H2917="","",VLOOKUP(A2917,'6.A'!$A$11:$E$564,4,FALSE))</f>
        <v/>
      </c>
      <c r="K2917" s="52" t="str">
        <f t="shared" si="1251"/>
        <v/>
      </c>
      <c r="L2917" s="52" t="str">
        <f>IF(H2917="","",IF(C2917="","",G2872*C2917))</f>
        <v/>
      </c>
      <c r="M2917" s="117" t="str">
        <f>IF(A2917="","",VLOOKUP(A2917,'6.A'!$A$11:$C$564,2,FALSE))</f>
        <v/>
      </c>
      <c r="N2917" s="57" t="str">
        <f t="shared" si="1252"/>
        <v/>
      </c>
      <c r="O2917" s="56"/>
      <c r="P2917" s="56"/>
      <c r="Q2917" s="48"/>
      <c r="R2917" s="48"/>
    </row>
    <row r="2918" spans="1:23" ht="12.75" customHeight="1" x14ac:dyDescent="0.2">
      <c r="A2918" s="22"/>
      <c r="B2918" s="39" t="str">
        <f>IF(A2918="","",VLOOKUP(A2918,'6.A'!$A$11:$G$180,2,FALSE))</f>
        <v/>
      </c>
      <c r="C2918" s="99"/>
      <c r="D2918" s="57" t="str">
        <f>IF(A2918="","",VLOOKUP(A2918,'6.A'!$A$11:$G$180,4,FALSE))</f>
        <v/>
      </c>
      <c r="E2918" s="100" t="str">
        <f>IF(A2918="","",VLOOKUP(A2918,'6.A'!$A$11:$G$180,5,FALSE))</f>
        <v/>
      </c>
      <c r="F2918" s="24" t="str">
        <f t="shared" si="1249"/>
        <v>0,00</v>
      </c>
      <c r="G2918" s="52"/>
      <c r="H2918" s="52" t="str">
        <f>IF(A2918="","",VLOOKUP(A2918,'6.A'!$A$11:$E$7984,5,FALSE))</f>
        <v/>
      </c>
      <c r="I2918" s="52" t="str">
        <f t="shared" si="1250"/>
        <v/>
      </c>
      <c r="J2918" s="52" t="str">
        <f>IF(H2918="","",VLOOKUP(A2918,'6.A'!$A$11:$E$564,4,FALSE))</f>
        <v/>
      </c>
      <c r="K2918" s="52" t="str">
        <f t="shared" si="1251"/>
        <v/>
      </c>
      <c r="L2918" s="52" t="str">
        <f>IF(H2918="","",IF(C2918="","",G2872*C2918))</f>
        <v/>
      </c>
      <c r="M2918" s="117" t="str">
        <f>IF(A2918="","",VLOOKUP(A2918,'6.A'!$A$11:$C$564,2,FALSE))</f>
        <v/>
      </c>
      <c r="N2918" s="57" t="str">
        <f t="shared" si="1252"/>
        <v/>
      </c>
      <c r="O2918" s="56"/>
      <c r="P2918" s="56"/>
      <c r="Q2918" s="48"/>
      <c r="R2918" s="48"/>
    </row>
    <row r="2919" spans="1:23" ht="12.75" customHeight="1" x14ac:dyDescent="0.2">
      <c r="A2919" s="22"/>
      <c r="B2919" s="23" t="str">
        <f>IF(A2919="","",VLOOKUP(A2919,'6.A'!$A$11:$G$180,2,FALSE))</f>
        <v/>
      </c>
      <c r="C2919" s="99"/>
      <c r="D2919" s="57" t="str">
        <f>IF(A2919="","",VLOOKUP(A2919,'6.A'!$A$11:$G$180,4,FALSE))</f>
        <v/>
      </c>
      <c r="E2919" s="100" t="str">
        <f>IF(A2919="","",VLOOKUP(A2919,'6.A'!$A$11:$G$180,5,FALSE))</f>
        <v/>
      </c>
      <c r="F2919" s="24" t="str">
        <f>IF(A2919="","0,00",ROUND(C2919*E2919,2))</f>
        <v>0,00</v>
      </c>
      <c r="G2919" s="52"/>
      <c r="H2919" s="52" t="str">
        <f>IF(A2919="","",VLOOKUP(A2919,'6.A'!$A$11:$E$7984,5,FALSE))</f>
        <v/>
      </c>
      <c r="I2919" s="52" t="str">
        <f>IF(H2919="","",IF(E2919=H2919,"SIM","NÃO"))</f>
        <v/>
      </c>
      <c r="J2919" s="52" t="str">
        <f>IF(H2919="","",VLOOKUP(A2919,'6.A'!$A$11:$E$564,4,FALSE))</f>
        <v/>
      </c>
      <c r="K2919" s="52" t="str">
        <f>IF(H2919="","",IF(J2919=D2919,"SIM","NÃO"))</f>
        <v/>
      </c>
      <c r="L2919" s="52" t="str">
        <f>IF(H2919="","",IF(C2919="","",G2872*C2919))</f>
        <v/>
      </c>
      <c r="M2919" s="117" t="str">
        <f>IF(A2919="","",VLOOKUP(A2919,'6.A'!$A$11:$C$564,2,FALSE))</f>
        <v/>
      </c>
      <c r="N2919" s="57" t="str">
        <f>IF(A2919="","",IF(M2919=B2919,"si","no"))</f>
        <v/>
      </c>
      <c r="O2919" s="56"/>
      <c r="P2919" s="56"/>
      <c r="Q2919" s="48"/>
      <c r="R2919" s="48"/>
      <c r="S2919" s="2"/>
    </row>
    <row r="2920" spans="1:23" ht="12.75" customHeight="1" x14ac:dyDescent="0.2">
      <c r="A2920" s="22"/>
      <c r="B2920" s="23" t="str">
        <f>IF(A2920="","",VLOOKUP(A2920,'6.A'!$A$11:$G$180,2,FALSE))</f>
        <v/>
      </c>
      <c r="C2920" s="99"/>
      <c r="D2920" s="57" t="str">
        <f>IF(A2920="","",VLOOKUP(A2920,'6.A'!$A$11:$G$180,4,FALSE))</f>
        <v/>
      </c>
      <c r="E2920" s="100" t="str">
        <f>IF(A2920="","",VLOOKUP(A2920,'6.A'!$A$11:$G$180,5,FALSE))</f>
        <v/>
      </c>
      <c r="F2920" s="24" t="str">
        <f>IF(A2920="","0,00",ROUND(C2920*E2920,2))</f>
        <v>0,00</v>
      </c>
      <c r="G2920" s="52"/>
      <c r="H2920" s="52" t="str">
        <f>IF(A2920="","",VLOOKUP(A2920,'6.A'!$A$11:$E$7984,5,FALSE))</f>
        <v/>
      </c>
      <c r="I2920" s="52" t="str">
        <f>IF(H2920="","",IF(E2920=H2920,"SIM","NÃO"))</f>
        <v/>
      </c>
      <c r="J2920" s="52" t="str">
        <f>IF(H2920="","",VLOOKUP(A2920,'6.A'!$A$11:$E$564,4,FALSE))</f>
        <v/>
      </c>
      <c r="K2920" s="52" t="str">
        <f>IF(H2920="","",IF(J2920=D2920,"SIM","NÃO"))</f>
        <v/>
      </c>
      <c r="L2920" s="52" t="str">
        <f>IF(H2920="","",IF(C2920="","",G2872*C2920))</f>
        <v/>
      </c>
      <c r="M2920" s="117" t="str">
        <f>IF(A2920="","",VLOOKUP(A2920,'6.A'!$A$11:$C$564,2,FALSE))</f>
        <v/>
      </c>
      <c r="N2920" s="57" t="str">
        <f>IF(A2920="","",IF(M2920=B2920,"si","no"))</f>
        <v/>
      </c>
      <c r="O2920" s="56"/>
      <c r="P2920" s="56"/>
      <c r="Q2920" s="48"/>
      <c r="R2920" s="48"/>
      <c r="S2920" s="2"/>
    </row>
    <row r="2921" spans="1:23" ht="12.75" customHeight="1" x14ac:dyDescent="0.2">
      <c r="A2921" s="22"/>
      <c r="B2921" s="26" t="str">
        <f>$A$9</f>
        <v>BDI</v>
      </c>
      <c r="C2921" s="40">
        <f>$C$9</f>
        <v>0</v>
      </c>
      <c r="D2921" s="57"/>
      <c r="F2921" s="28">
        <f>ROUND(SUM(F2901:F2920)*C2921,2)</f>
        <v>0</v>
      </c>
      <c r="G2921" s="63"/>
      <c r="M2921" s="57"/>
      <c r="N2921" s="57"/>
      <c r="O2921" s="56"/>
      <c r="P2921" s="56"/>
      <c r="Q2921" s="48"/>
      <c r="R2921" s="48"/>
    </row>
    <row r="2922" spans="1:23" ht="12.75" customHeight="1" thickBot="1" x14ac:dyDescent="0.25">
      <c r="A2922" s="41"/>
      <c r="B2922" s="42" t="s">
        <v>57</v>
      </c>
      <c r="C2922" s="43"/>
      <c r="D2922" s="44"/>
      <c r="E2922" s="45"/>
      <c r="F2922" s="46">
        <f>ROUND(SUM(F2901:F2921),2)</f>
        <v>0</v>
      </c>
      <c r="G2922" s="63"/>
      <c r="M2922" s="57"/>
      <c r="N2922" s="57"/>
      <c r="O2922" s="56"/>
      <c r="P2922" s="56"/>
      <c r="Q2922" s="48"/>
      <c r="R2922" s="48"/>
    </row>
    <row r="2923" spans="1:23" ht="12" customHeight="1" thickBot="1" x14ac:dyDescent="0.25">
      <c r="A2923" s="8"/>
      <c r="B2923" s="9"/>
      <c r="C2923" s="10"/>
      <c r="D2923" s="57"/>
      <c r="F2923" s="12"/>
      <c r="M2923" s="57"/>
      <c r="N2923" s="57"/>
      <c r="O2923" s="56"/>
      <c r="P2923" s="56"/>
    </row>
    <row r="2924" spans="1:23" ht="50.1" customHeight="1" x14ac:dyDescent="0.2">
      <c r="A2924" s="13" t="str">
        <f>'3.A'!$A$66</f>
        <v>3.3.13</v>
      </c>
      <c r="B2924" s="14" t="str">
        <f>IF(A2924="","",VLOOKUP(A2924,'3.A'!$A$17:$M$279,2,FALSE))</f>
        <v>DISJUNTOR CAIXA MOLDADA TRIPOLAR 400A COM DISPARADOR TERMOMAGNÉTICO AJUSTÁVEL</v>
      </c>
      <c r="C2924" s="413" t="s">
        <v>62</v>
      </c>
      <c r="D2924" s="413"/>
      <c r="E2924" s="15" t="str">
        <f>IF(A2924="","",VLOOKUP(A2924,'3.A'!$A$17:$M$279,3,FALSE))</f>
        <v>UN</v>
      </c>
      <c r="F2924" s="16">
        <f>ROUND(F2938+F2951+F2974,2)</f>
        <v>0</v>
      </c>
      <c r="G2924" s="118">
        <f>VLOOKUP(A2924,'3.A'!$A$19:$I$279,4,FALSE)</f>
        <v>1</v>
      </c>
      <c r="H2924" s="47">
        <f>SUM(F2926:F2937)</f>
        <v>0</v>
      </c>
      <c r="I2924" s="47">
        <f>SUM(F2940:F2950)</f>
        <v>0</v>
      </c>
      <c r="J2924" s="47">
        <f>SUM(F2953:F2973)</f>
        <v>0</v>
      </c>
      <c r="K2924" s="47">
        <f>SUM(H2924:J2924)</f>
        <v>0</v>
      </c>
      <c r="L2924" s="47" t="str">
        <f>IF(K2924=F2924,"SIM","NÃO")</f>
        <v>SIM</v>
      </c>
      <c r="M2924" s="58">
        <f>ROUND(SUM(F2926:F2935)*C2936,2)+ROUND(SUM(F2926:F2936)*C2937,2)+ROUND(SUM(F2926:F2935),2)+ROUND(SUM(F2940:F2949)*C2950,2)+ROUND(SUM(F2940:F2949),2)+ROUND(SUM(F2953:F2972)*C2973,2)+ROUND(SUM(F2953:F2972),2)</f>
        <v>0</v>
      </c>
      <c r="N2924" s="50" t="str">
        <f>IF(M2924=F2924,"SIM","NÃO")</f>
        <v>SIM</v>
      </c>
      <c r="O2924" s="51" t="str">
        <f>VLOOKUP(A2924,'3.A'!$A$8:$E$279,3,FALSE)</f>
        <v>UN</v>
      </c>
      <c r="P2924" s="51" t="str">
        <f>IF(O2924=E2924,"SIM","NÃO")</f>
        <v>SIM</v>
      </c>
      <c r="Q2924" s="53">
        <f>ROUND(G2924*F2938,2)+ROUND(G2924*F2951,2)+ROUND(G2924*F2974,2)</f>
        <v>0</v>
      </c>
      <c r="R2924" s="59">
        <f>VLOOKUP(A2924,'3.A'!$A$17:$L$279,12,FALSE)</f>
        <v>0</v>
      </c>
      <c r="S2924" s="60" t="str">
        <f>IF(Q2924=R2924,"si","no")</f>
        <v>si</v>
      </c>
      <c r="T2924" s="61">
        <f>SUM(L2926:L2935)+SUM(L2940:L2949)+SUM(L2953:L2972)</f>
        <v>6.8000000000000007</v>
      </c>
      <c r="U2924" s="52">
        <f>G2924*C2932+G2924*C2934+G2924*C2927+G2924*C2928+G2924*C2930+G2924*C2933+G2924*C2931+G2924*C2926+G2924*C2929+G2924*C2935+G2924*C2946+G2924*C2940+G2924*C2948+G2924*C2947+G2924*C2945+G2924*C2942+G2924*C2941+G2924*C2943+G2924*C2949+G2924*C2944+G2924*C2953+G2924*C2954+G2924*C2955+G2924*C2963+G2924*C2964+G2924*C2965+G2924*C2966+G2924*C2967+G2924*C2968+G2924*C2969+G2924*C2970+G2924*C2971+G2924*C2972+G2924*C2961+G2924*C2962+G2924*C2956+G2924*C2957+G2924*C2958+G2924*C2959+G2924*C2960</f>
        <v>6.8</v>
      </c>
      <c r="V2924" s="54" t="str">
        <f>IF(T2924=U2924,"si","no")</f>
        <v>si</v>
      </c>
      <c r="W2924" s="137"/>
    </row>
    <row r="2925" spans="1:23" ht="12.75" customHeight="1" x14ac:dyDescent="0.2">
      <c r="A2925" s="17" t="s">
        <v>3</v>
      </c>
      <c r="B2925" s="18" t="s">
        <v>58</v>
      </c>
      <c r="C2925" s="56" t="s">
        <v>59</v>
      </c>
      <c r="D2925" s="56" t="s">
        <v>16</v>
      </c>
      <c r="E2925" s="19" t="s">
        <v>60</v>
      </c>
      <c r="F2925" s="20" t="s">
        <v>61</v>
      </c>
      <c r="G2925" s="21"/>
      <c r="M2925" s="57"/>
      <c r="N2925" s="57"/>
      <c r="O2925" s="56"/>
      <c r="P2925" s="56"/>
      <c r="Q2925" s="48"/>
      <c r="R2925" s="48"/>
    </row>
    <row r="2926" spans="1:23" ht="12.75" customHeight="1" x14ac:dyDescent="0.2">
      <c r="A2926" s="155">
        <f>'6.A'!$A$19</f>
        <v>88266</v>
      </c>
      <c r="B2926" s="138" t="str">
        <f>IF(A2926="","",VLOOKUP(A2926,'6.A'!$A$11:$G$180,2,FALSE))</f>
        <v>ELETROTÉCNICO COM ENCARGOS COMPLEMENTARES</v>
      </c>
      <c r="C2926" s="156">
        <v>0.6</v>
      </c>
      <c r="D2926" s="57" t="str">
        <f>IF(A2926="","",VLOOKUP(A2926,'6.A'!$A$11:$G$180,4,FALSE))</f>
        <v>H</v>
      </c>
      <c r="E2926" s="101">
        <f>IF(A2926="","",VLOOKUP(A2926,'6.A'!$A$11:$G$180,5,FALSE))</f>
        <v>0</v>
      </c>
      <c r="F2926" s="24">
        <f t="shared" ref="F2926:F2935" si="1253">IF(A2926="","0,00",ROUND(C2926*E2926,2))</f>
        <v>0</v>
      </c>
      <c r="G2926" s="52"/>
      <c r="H2926" s="52">
        <f>IF(A2926="","",VLOOKUP(A2926,'6.A'!$A$11:$E$7984,5,FALSE))</f>
        <v>0</v>
      </c>
      <c r="I2926" s="52" t="str">
        <f>IF(H2926="","",IF(E2926=H2926,"SIM","NÃO"))</f>
        <v>SIM</v>
      </c>
      <c r="J2926" s="52" t="str">
        <f>IF(H2926="","",VLOOKUP(A2926,'6.A'!$A$11:$E$564,4,FALSE))</f>
        <v>H</v>
      </c>
      <c r="K2926" s="52" t="str">
        <f>IF(H2926="","",IF(J2926=D2926,"SIM","NÃO"))</f>
        <v>SIM</v>
      </c>
      <c r="L2926" s="52">
        <f>IF(H2926="","",IF(C2926="","",G2924*C2926))</f>
        <v>0.6</v>
      </c>
      <c r="M2926" s="117" t="str">
        <f>IF(A2926="","",VLOOKUP(A2926,'6.A'!$A$11:$C$564,2,FALSE))</f>
        <v>ELETROTÉCNICO COM ENCARGOS COMPLEMENTARES</v>
      </c>
      <c r="N2926" s="57" t="str">
        <f>IF(A2926="","",IF(M2926=B2926,"si","no"))</f>
        <v>si</v>
      </c>
      <c r="O2926" s="56"/>
      <c r="P2926" s="56"/>
      <c r="Q2926" s="48"/>
      <c r="R2926" s="48"/>
      <c r="S2926" s="2"/>
    </row>
    <row r="2927" spans="1:23" ht="12.75" customHeight="1" x14ac:dyDescent="0.2">
      <c r="A2927" s="155">
        <f>'6.A'!$A$18</f>
        <v>88264</v>
      </c>
      <c r="B2927" s="138" t="str">
        <f>IF(A2927="","",VLOOKUP(A2927,'6.A'!$A$11:$G$180,2,FALSE))</f>
        <v>ELETRICISTA COM ENCARGOS COMPLEMENTARES</v>
      </c>
      <c r="C2927" s="156">
        <v>2.6</v>
      </c>
      <c r="D2927" s="57" t="str">
        <f>IF(A2927="","",VLOOKUP(A2927,'6.A'!$A$11:$G$180,4,FALSE))</f>
        <v>H</v>
      </c>
      <c r="E2927" s="100">
        <f>IF(A2927="","",VLOOKUP(A2927,'6.A'!$A$11:$G$180,5,FALSE))</f>
        <v>0</v>
      </c>
      <c r="F2927" s="24">
        <f t="shared" si="1253"/>
        <v>0</v>
      </c>
      <c r="G2927" s="52"/>
      <c r="H2927" s="52">
        <f>IF(A2927="","",VLOOKUP(A2927,'6.A'!$A$11:$E$7984,5,FALSE))</f>
        <v>0</v>
      </c>
      <c r="I2927" s="52" t="str">
        <f>IF(H2927="","",IF(E2927=H2927,"SIM","NÃO"))</f>
        <v>SIM</v>
      </c>
      <c r="J2927" s="52" t="str">
        <f>IF(H2927="","",VLOOKUP(A2927,'6.A'!$A$11:$E$564,4,FALSE))</f>
        <v>H</v>
      </c>
      <c r="K2927" s="52" t="str">
        <f>IF(H2927="","",IF(J2927=D2927,"SIM","NÃO"))</f>
        <v>SIM</v>
      </c>
      <c r="L2927" s="52">
        <f>IF(H2927="","",IF(C2927="","",G2924*C2927))</f>
        <v>2.6</v>
      </c>
      <c r="M2927" s="117" t="str">
        <f>IF(A2927="","",VLOOKUP(A2927,'6.A'!$A$11:$C$564,2,FALSE))</f>
        <v>ELETRICISTA COM ENCARGOS COMPLEMENTARES</v>
      </c>
      <c r="N2927" s="57" t="str">
        <f>IF(A2927="","",IF(M2927=B2927,"si","no"))</f>
        <v>si</v>
      </c>
      <c r="O2927" s="56"/>
      <c r="P2927" s="56"/>
      <c r="Q2927" s="48"/>
      <c r="R2927" s="48"/>
      <c r="S2927" s="2"/>
    </row>
    <row r="2928" spans="1:23" ht="12.75" customHeight="1" x14ac:dyDescent="0.2">
      <c r="A2928" s="155">
        <f>'6.A'!$A$22</f>
        <v>88316</v>
      </c>
      <c r="B2928" s="138" t="str">
        <f>IF(A2928="","",VLOOKUP(A2928,'6.A'!$A$11:$G$180,2,FALSE))</f>
        <v>SERVENTE COM ENCARGOS COMPLEMENTARES</v>
      </c>
      <c r="C2928" s="156">
        <v>2.6</v>
      </c>
      <c r="D2928" s="57" t="str">
        <f>IF(A2928="","",VLOOKUP(A2928,'6.A'!$A$11:$G$180,4,FALSE))</f>
        <v>H</v>
      </c>
      <c r="E2928" s="100">
        <f>IF(A2928="","",VLOOKUP(A2928,'6.A'!$A$11:$G$180,5,FALSE))</f>
        <v>0</v>
      </c>
      <c r="F2928" s="24">
        <f t="shared" si="1253"/>
        <v>0</v>
      </c>
      <c r="G2928" s="52"/>
      <c r="H2928" s="52">
        <f>IF(A2928="","",VLOOKUP(A2928,'6.A'!$A$11:$E$7984,5,FALSE))</f>
        <v>0</v>
      </c>
      <c r="I2928" s="52" t="str">
        <f>IF(H2928="","",IF(E2928=H2928,"SIM","NÃO"))</f>
        <v>SIM</v>
      </c>
      <c r="J2928" s="52" t="str">
        <f>IF(H2928="","",VLOOKUP(A2928,'6.A'!$A$11:$E$564,4,FALSE))</f>
        <v>H</v>
      </c>
      <c r="K2928" s="52" t="str">
        <f>IF(H2928="","",IF(J2928=D2928,"SIM","NÃO"))</f>
        <v>SIM</v>
      </c>
      <c r="L2928" s="52">
        <f>IF(H2928="","",IF(C2928="","",G2924*C2928))</f>
        <v>2.6</v>
      </c>
      <c r="M2928" s="117" t="str">
        <f>IF(A2928="","",VLOOKUP(A2928,'6.A'!$A$11:$C$564,2,FALSE))</f>
        <v>SERVENTE COM ENCARGOS COMPLEMENTARES</v>
      </c>
      <c r="N2928" s="57" t="str">
        <f>IF(A2928="","",IF(M2928=B2928,"si","no"))</f>
        <v>si</v>
      </c>
      <c r="O2928" s="56"/>
      <c r="P2928" s="56"/>
      <c r="Q2928" s="48"/>
      <c r="R2928" s="48"/>
      <c r="S2928" s="2"/>
    </row>
    <row r="2929" spans="1:19" ht="12.75" customHeight="1" x14ac:dyDescent="0.2">
      <c r="A2929" s="155"/>
      <c r="B2929" s="138" t="str">
        <f>IF(A2929="","",VLOOKUP(A2929,'6.A'!$A$11:$G$180,2,FALSE))</f>
        <v/>
      </c>
      <c r="C2929" s="156"/>
      <c r="D2929" s="57" t="str">
        <f>IF(A2929="","",VLOOKUP(A2929,'6.A'!$A$11:$G$180,4,FALSE))</f>
        <v/>
      </c>
      <c r="E2929" s="101" t="str">
        <f>IF(A2929="","",VLOOKUP(A2929,'6.A'!$A$11:$G$180,5,FALSE))</f>
        <v/>
      </c>
      <c r="F2929" s="24" t="str">
        <f t="shared" si="1253"/>
        <v>0,00</v>
      </c>
      <c r="G2929" s="52"/>
      <c r="H2929" s="52" t="str">
        <f>IF(A2929="","",VLOOKUP(A2929,'6.A'!$A$11:$E$7984,5,FALSE))</f>
        <v/>
      </c>
      <c r="I2929" s="52" t="str">
        <f t="shared" ref="I2929" si="1254">IF(H2929="","",IF(E2929=H2929,"SIM","NÃO"))</f>
        <v/>
      </c>
      <c r="J2929" s="52" t="str">
        <f>IF(H2929="","",VLOOKUP(A2929,'6.A'!$A$11:$E$564,4,FALSE))</f>
        <v/>
      </c>
      <c r="K2929" s="52" t="str">
        <f t="shared" ref="K2929" si="1255">IF(H2929="","",IF(J2929=D2929,"SIM","NÃO"))</f>
        <v/>
      </c>
      <c r="L2929" s="52" t="str">
        <f>IF(H2929="","",IF(C2929="","",G2924*C2929))</f>
        <v/>
      </c>
      <c r="M2929" s="117" t="str">
        <f>IF(A2929="","",VLOOKUP(A2929,'6.A'!$A$11:$C$564,2,FALSE))</f>
        <v/>
      </c>
      <c r="N2929" s="57" t="str">
        <f t="shared" ref="N2929" si="1256">IF(A2929="","",IF(M2929=B2929,"si","no"))</f>
        <v/>
      </c>
      <c r="O2929" s="56"/>
      <c r="P2929" s="56"/>
      <c r="Q2929" s="48"/>
      <c r="R2929" s="48"/>
      <c r="S2929" s="2"/>
    </row>
    <row r="2930" spans="1:19" ht="12.75" customHeight="1" x14ac:dyDescent="0.2">
      <c r="A2930" s="155"/>
      <c r="B2930" s="138" t="str">
        <f>IF(A2930="","",VLOOKUP(A2930,'6.A'!$A$11:$G$180,2,FALSE))</f>
        <v/>
      </c>
      <c r="C2930" s="156"/>
      <c r="D2930" s="57" t="str">
        <f>IF(A2930="","",VLOOKUP(A2930,'6.A'!$A$11:$G$180,4,FALSE))</f>
        <v/>
      </c>
      <c r="E2930" s="100" t="str">
        <f>IF(A2930="","",VLOOKUP(A2930,'6.A'!$A$11:$G$180,5,FALSE))</f>
        <v/>
      </c>
      <c r="F2930" s="24" t="str">
        <f t="shared" si="1253"/>
        <v>0,00</v>
      </c>
      <c r="G2930" s="52"/>
      <c r="H2930" s="52" t="str">
        <f>IF(A2930="","",VLOOKUP(A2930,'6.A'!$A$11:$E$7984,5,FALSE))</f>
        <v/>
      </c>
      <c r="I2930" s="52" t="str">
        <f>IF(H2930="","",IF(E2930=H2930,"SIM","NÃO"))</f>
        <v/>
      </c>
      <c r="J2930" s="52" t="str">
        <f>IF(H2930="","",VLOOKUP(A2930,'6.A'!$A$11:$E$564,4,FALSE))</f>
        <v/>
      </c>
      <c r="K2930" s="52" t="str">
        <f>IF(H2930="","",IF(J2930=D2930,"SIM","NÃO"))</f>
        <v/>
      </c>
      <c r="L2930" s="52" t="str">
        <f>IF(H2930="","",IF(C2930="","",G2924*C2930))</f>
        <v/>
      </c>
      <c r="M2930" s="117" t="str">
        <f>IF(A2930="","",VLOOKUP(A2930,'6.A'!$A$11:$C$564,2,FALSE))</f>
        <v/>
      </c>
      <c r="N2930" s="57" t="str">
        <f>IF(A2930="","",IF(M2930=B2930,"si","no"))</f>
        <v/>
      </c>
      <c r="O2930" s="56"/>
      <c r="P2930" s="56"/>
      <c r="Q2930" s="48"/>
      <c r="R2930" s="48"/>
    </row>
    <row r="2931" spans="1:19" ht="12.75" customHeight="1" x14ac:dyDescent="0.2">
      <c r="A2931" s="155"/>
      <c r="B2931" s="138" t="str">
        <f>IF(A2931="","",VLOOKUP(A2931,'6.A'!$A$11:$G$180,2,FALSE))</f>
        <v/>
      </c>
      <c r="C2931" s="156"/>
      <c r="D2931" s="57" t="str">
        <f>IF(A2931="","",VLOOKUP(A2931,'6.A'!$A$11:$G$180,4,FALSE))</f>
        <v/>
      </c>
      <c r="E2931" s="100" t="str">
        <f>IF(A2931="","",VLOOKUP(A2931,'6.A'!$A$11:$G$180,5,FALSE))</f>
        <v/>
      </c>
      <c r="F2931" s="24" t="str">
        <f t="shared" si="1253"/>
        <v>0,00</v>
      </c>
      <c r="G2931" s="52"/>
      <c r="H2931" s="52" t="str">
        <f>IF(A2931="","",VLOOKUP(A2931,'6.A'!$A$11:$E$7984,5,FALSE))</f>
        <v/>
      </c>
      <c r="I2931" s="52" t="str">
        <f>IF(H2931="","",IF(E2931=H2931,"SIM","NÃO"))</f>
        <v/>
      </c>
      <c r="J2931" s="52" t="str">
        <f>IF(H2931="","",VLOOKUP(A2931,'6.A'!$A$11:$E$564,4,FALSE))</f>
        <v/>
      </c>
      <c r="K2931" s="52" t="str">
        <f>IF(H2931="","",IF(J2931=D2931,"SIM","NÃO"))</f>
        <v/>
      </c>
      <c r="L2931" s="52" t="str">
        <f>IF(H2931="","",IF(C2931="","",G2924*C2931))</f>
        <v/>
      </c>
      <c r="M2931" s="117" t="str">
        <f>IF(A2931="","",VLOOKUP(A2931,'6.A'!$A$11:$C$564,2,FALSE))</f>
        <v/>
      </c>
      <c r="N2931" s="57" t="str">
        <f>IF(A2931="","",IF(M2931=B2931,"si","no"))</f>
        <v/>
      </c>
      <c r="O2931" s="56"/>
      <c r="P2931" s="56"/>
      <c r="Q2931" s="48"/>
      <c r="R2931" s="48"/>
    </row>
    <row r="2932" spans="1:19" ht="12.75" customHeight="1" x14ac:dyDescent="0.2">
      <c r="A2932" s="155"/>
      <c r="B2932" s="138" t="str">
        <f>IF(A2932="","",VLOOKUP(A2932,'6.A'!$A$11:$G$180,2,FALSE))</f>
        <v/>
      </c>
      <c r="C2932" s="156"/>
      <c r="D2932" s="57"/>
      <c r="E2932" s="100"/>
      <c r="F2932" s="24" t="str">
        <f t="shared" si="1253"/>
        <v>0,00</v>
      </c>
      <c r="G2932" s="52"/>
      <c r="H2932" s="52" t="str">
        <f>IF(A2932="","",VLOOKUP(A2932,'6.A'!$A$11:$E$7984,5,FALSE))</f>
        <v/>
      </c>
      <c r="I2932" s="52" t="str">
        <f>IF(H2932="","",IF(E2932=H2932,"SIM","NÃO"))</f>
        <v/>
      </c>
      <c r="J2932" s="52" t="str">
        <f>IF(H2932="","",VLOOKUP(A2932,'6.A'!$A$11:$E$564,4,FALSE))</f>
        <v/>
      </c>
      <c r="K2932" s="52" t="str">
        <f t="shared" ref="K2932:K2933" si="1257">IF(H2932="","",IF(J2932=D2932,"SIM","NÃO"))</f>
        <v/>
      </c>
      <c r="L2932" s="52" t="str">
        <f>IF(H2932="","",IF(C2932="","",G2924*C2932))</f>
        <v/>
      </c>
      <c r="M2932" s="117" t="str">
        <f>IF(A2932="","",VLOOKUP(A2932,'6.A'!$A$11:$C$564,2,FALSE))</f>
        <v/>
      </c>
      <c r="N2932" s="57" t="str">
        <f t="shared" ref="N2932:N2933" si="1258">IF(A2932="","",IF(M2932=B2932,"si","no"))</f>
        <v/>
      </c>
      <c r="O2932" s="56"/>
      <c r="P2932" s="56"/>
      <c r="Q2932" s="48"/>
      <c r="R2932" s="48"/>
      <c r="S2932" s="2"/>
    </row>
    <row r="2933" spans="1:19" ht="12.75" customHeight="1" x14ac:dyDescent="0.2">
      <c r="A2933" s="155"/>
      <c r="B2933" s="138" t="str">
        <f>IF(A2933="","",VLOOKUP(A2933,'6.A'!$A$11:$G$180,2,FALSE))</f>
        <v/>
      </c>
      <c r="C2933" s="156"/>
      <c r="D2933" s="57" t="str">
        <f>IF(A2933="","",VLOOKUP(A2933,'6.A'!$A$11:$G$180,4,FALSE))</f>
        <v/>
      </c>
      <c r="E2933" s="100" t="str">
        <f>IF(A2933="","",VLOOKUP(A2933,'6.A'!$A$11:$G$180,5,FALSE))</f>
        <v/>
      </c>
      <c r="F2933" s="24" t="str">
        <f t="shared" si="1253"/>
        <v>0,00</v>
      </c>
      <c r="G2933" s="52"/>
      <c r="H2933" s="52" t="str">
        <f>IF(A2933="","",VLOOKUP(A2933,'6.A'!$A$11:$E$7984,5,FALSE))</f>
        <v/>
      </c>
      <c r="I2933" s="52" t="str">
        <f t="shared" ref="I2933" si="1259">IF(H2933="","",IF(E2933=H2933,"SIM","NÃO"))</f>
        <v/>
      </c>
      <c r="J2933" s="52" t="str">
        <f>IF(H2933="","",VLOOKUP(A2933,'6.A'!$A$11:$E$564,4,FALSE))</f>
        <v/>
      </c>
      <c r="K2933" s="52" t="str">
        <f t="shared" si="1257"/>
        <v/>
      </c>
      <c r="L2933" s="52" t="str">
        <f>IF(H2933="","",IF(C2933="","",G2924*C2933))</f>
        <v/>
      </c>
      <c r="M2933" s="117" t="str">
        <f>IF(A2933="","",VLOOKUP(A2933,'6.A'!$A$11:$C$564,2,FALSE))</f>
        <v/>
      </c>
      <c r="N2933" s="57" t="str">
        <f t="shared" si="1258"/>
        <v/>
      </c>
      <c r="O2933" s="56"/>
      <c r="P2933" s="56"/>
      <c r="Q2933" s="48"/>
      <c r="R2933" s="48"/>
      <c r="S2933" s="2"/>
    </row>
    <row r="2934" spans="1:19" ht="12.75" customHeight="1" x14ac:dyDescent="0.2">
      <c r="A2934" s="155"/>
      <c r="B2934" s="138" t="str">
        <f>IF(A2934="","",VLOOKUP(A2934,'6.A'!$A$11:$G$180,2,FALSE))</f>
        <v/>
      </c>
      <c r="C2934" s="156"/>
      <c r="D2934" s="73" t="str">
        <f>IF(A2934="","",VLOOKUP(A2934,'6.A'!$A$11:$G$180,4,FALSE))</f>
        <v/>
      </c>
      <c r="E2934" s="101" t="str">
        <f>IF(A2934="","",VLOOKUP(A2934,'6.A'!$A$11:$G$180,5,FALSE))</f>
        <v/>
      </c>
      <c r="F2934" s="24" t="str">
        <f t="shared" si="1253"/>
        <v>0,00</v>
      </c>
      <c r="G2934" s="52"/>
      <c r="H2934" s="52" t="str">
        <f>IF(A2934="","",VLOOKUP(A2934,'6.A'!$A$11:$E$7984,5,FALSE))</f>
        <v/>
      </c>
      <c r="I2934" s="52" t="str">
        <f>IF(H2934="","",IF(E2934=H2934,"SIM","NÃO"))</f>
        <v/>
      </c>
      <c r="J2934" s="52" t="str">
        <f>IF(H2934="","",VLOOKUP(A2934,'6.A'!$A$11:$E$564,4,FALSE))</f>
        <v/>
      </c>
      <c r="K2934" s="52" t="str">
        <f>IF(H2934="","",IF(J2934=D2934,"SIM","NÃO"))</f>
        <v/>
      </c>
      <c r="L2934" s="52" t="str">
        <f>IF(H2934="","",IF(C2934="","",G2924*C2934))</f>
        <v/>
      </c>
      <c r="M2934" s="117" t="str">
        <f>IF(A2934="","",VLOOKUP(A2934,'6.A'!$A$11:$C$564,2,FALSE))</f>
        <v/>
      </c>
      <c r="N2934" s="57" t="str">
        <f>IF(A2934="","",IF(M2934=B2934,"si","no"))</f>
        <v/>
      </c>
      <c r="O2934" s="56"/>
      <c r="P2934" s="56"/>
      <c r="Q2934" s="48"/>
      <c r="R2934" s="48"/>
      <c r="S2934" s="2"/>
    </row>
    <row r="2935" spans="1:19" ht="12.75" customHeight="1" x14ac:dyDescent="0.2">
      <c r="A2935" s="155"/>
      <c r="B2935" s="138" t="str">
        <f>IF(A2935="","",VLOOKUP(A2935,'6.A'!$A$11:$G$180,2,FALSE))</f>
        <v/>
      </c>
      <c r="C2935" s="156"/>
      <c r="D2935" s="25" t="str">
        <f>IF(A2935="","",VLOOKUP(A2935,'6.A'!$A$11:$G$180,4,FALSE))</f>
        <v/>
      </c>
      <c r="E2935" s="101" t="str">
        <f>IF(A2935="","",VLOOKUP(A2935,'6.A'!$A$11:$G$180,5,FALSE))</f>
        <v/>
      </c>
      <c r="F2935" s="24" t="str">
        <f t="shared" si="1253"/>
        <v>0,00</v>
      </c>
      <c r="G2935" s="52"/>
      <c r="H2935" s="52" t="str">
        <f>IF(A2935="","",VLOOKUP(A2935,'6.A'!$A$11:$E$7984,5,FALSE))</f>
        <v/>
      </c>
      <c r="I2935" s="52" t="str">
        <f t="shared" ref="I2935" si="1260">IF(H2935="","",IF(E2935=H2935,"SIM","NÃO"))</f>
        <v/>
      </c>
      <c r="J2935" s="52" t="str">
        <f>IF(H2935="","",VLOOKUP(A2935,'6.A'!$A$11:$E$564,4,FALSE))</f>
        <v/>
      </c>
      <c r="K2935" s="52" t="str">
        <f t="shared" ref="K2935" si="1261">IF(H2935="","",IF(J2935=D2935,"SIM","NÃO"))</f>
        <v/>
      </c>
      <c r="L2935" s="52" t="str">
        <f>IF(H2935="","",IF(C2935="","",G2924*C2935))</f>
        <v/>
      </c>
      <c r="M2935" s="117" t="str">
        <f>IF(A2935="","",VLOOKUP(A2935,'6.A'!$A$11:$C$564,2,FALSE))</f>
        <v/>
      </c>
      <c r="N2935" s="57" t="str">
        <f t="shared" ref="N2935" si="1262">IF(A2935="","",IF(M2935=B2935,"si","no"))</f>
        <v/>
      </c>
      <c r="O2935" s="56"/>
      <c r="P2935" s="56"/>
      <c r="Q2935" s="48"/>
      <c r="R2935" s="48"/>
      <c r="S2935" s="2"/>
    </row>
    <row r="2936" spans="1:19" ht="12.75" customHeight="1" x14ac:dyDescent="0.2">
      <c r="A2936" s="152"/>
      <c r="B2936" s="26" t="str">
        <f>$A$8</f>
        <v>LEIS SOCIAIS HORISTA - JORNADA NORMAL</v>
      </c>
      <c r="C2936" s="27">
        <f>$C$8</f>
        <v>0</v>
      </c>
      <c r="D2936" s="57"/>
      <c r="F2936" s="28">
        <f>ROUND(SUM(F2926:F2935)*C2936,2)</f>
        <v>0</v>
      </c>
      <c r="G2936" s="63"/>
      <c r="M2936" s="62"/>
      <c r="N2936" s="57"/>
      <c r="O2936" s="56"/>
      <c r="P2936" s="56"/>
      <c r="Q2936" s="48"/>
      <c r="R2936" s="48"/>
      <c r="S2936" s="2"/>
    </row>
    <row r="2937" spans="1:19" ht="12.75" customHeight="1" x14ac:dyDescent="0.2">
      <c r="A2937" s="155"/>
      <c r="B2937" s="26" t="str">
        <f>$A$9</f>
        <v>BDI</v>
      </c>
      <c r="C2937" s="27">
        <f>$C$9</f>
        <v>0</v>
      </c>
      <c r="D2937" s="29"/>
      <c r="F2937" s="28">
        <f>ROUND(SUM(F2926:F2936)*C2937,2)</f>
        <v>0</v>
      </c>
      <c r="G2937" s="63"/>
      <c r="M2937" s="62"/>
      <c r="N2937" s="57"/>
      <c r="O2937" s="56"/>
      <c r="P2937" s="56"/>
      <c r="Q2937" s="48"/>
      <c r="R2937" s="48"/>
      <c r="S2937" s="2"/>
    </row>
    <row r="2938" spans="1:19" ht="12.75" customHeight="1" x14ac:dyDescent="0.2">
      <c r="A2938" s="163"/>
      <c r="B2938" s="164" t="s">
        <v>56</v>
      </c>
      <c r="C2938" s="165"/>
      <c r="D2938" s="33"/>
      <c r="E2938" s="34"/>
      <c r="F2938" s="35">
        <f>ROUND(SUM(F2926:F2937),2)</f>
        <v>0</v>
      </c>
      <c r="G2938" s="63"/>
      <c r="M2938" s="62"/>
      <c r="N2938" s="57"/>
      <c r="O2938" s="56"/>
      <c r="P2938" s="56"/>
      <c r="Q2938" s="48"/>
      <c r="R2938" s="48"/>
      <c r="S2938" s="2"/>
    </row>
    <row r="2939" spans="1:19" ht="12.75" customHeight="1" x14ac:dyDescent="0.2">
      <c r="A2939" s="152" t="s">
        <v>5</v>
      </c>
      <c r="B2939" s="153" t="s">
        <v>130</v>
      </c>
      <c r="C2939" s="140" t="s">
        <v>59</v>
      </c>
      <c r="D2939" s="56" t="s">
        <v>16</v>
      </c>
      <c r="E2939" s="19" t="s">
        <v>60</v>
      </c>
      <c r="F2939" s="20" t="s">
        <v>61</v>
      </c>
      <c r="G2939" s="21"/>
      <c r="M2939" s="62"/>
      <c r="N2939" s="57"/>
      <c r="O2939" s="56"/>
      <c r="P2939" s="56"/>
      <c r="Q2939" s="48"/>
      <c r="R2939" s="48"/>
      <c r="S2939" s="2"/>
    </row>
    <row r="2940" spans="1:19" ht="12.75" customHeight="1" x14ac:dyDescent="0.2">
      <c r="A2940" s="155"/>
      <c r="B2940" s="138" t="str">
        <f>IF(A2940="","",VLOOKUP(A2940,'6.A'!$A$11:$G$180,2,FALSE))</f>
        <v/>
      </c>
      <c r="C2940" s="156"/>
      <c r="D2940" s="57" t="str">
        <f>IF(A2940="","",VLOOKUP(A2940,'6.A'!$A$11:$G$180,4,FALSE))</f>
        <v/>
      </c>
      <c r="E2940" s="100" t="str">
        <f>IF(A2940="","",VLOOKUP(A2940,'6.A'!$A$11:$G$180,5,FALSE))</f>
        <v/>
      </c>
      <c r="F2940" s="24" t="str">
        <f t="shared" ref="F2940:F2943" si="1263">IF(A2940="","0,00",ROUND(C2940*E2940,2))</f>
        <v>0,00</v>
      </c>
      <c r="G2940" s="52"/>
      <c r="H2940" s="52" t="str">
        <f>IF(A2940="","",VLOOKUP(A2940,'6.A'!$A$11:$E$7984,5,FALSE))</f>
        <v/>
      </c>
      <c r="I2940" s="52" t="str">
        <f t="shared" ref="I2940:I2943" si="1264">IF(H2940="","",IF(E2940=H2940,"SIM","NÃO"))</f>
        <v/>
      </c>
      <c r="J2940" s="52" t="str">
        <f>IF(H2940="","",VLOOKUP(A2940,'6.A'!$A$11:$E$564,4,FALSE))</f>
        <v/>
      </c>
      <c r="K2940" s="52" t="str">
        <f t="shared" ref="K2940:K2943" si="1265">IF(H2940="","",IF(J2940=D2940,"SIM","NÃO"))</f>
        <v/>
      </c>
      <c r="L2940" s="52" t="str">
        <f>IF(H2940="","",IF(C2940="","",G2924*C2940))</f>
        <v/>
      </c>
      <c r="M2940" s="117" t="str">
        <f>IF(A2940="","",VLOOKUP(A2940,'6.A'!$A$11:$C$564,2,FALSE))</f>
        <v/>
      </c>
      <c r="N2940" s="57" t="str">
        <f t="shared" ref="N2940:N2949" si="1266">IF(A2940="","",IF(M2940=B2940,"si","no"))</f>
        <v/>
      </c>
      <c r="O2940" s="56"/>
      <c r="P2940" s="56"/>
      <c r="Q2940" s="48"/>
      <c r="R2940" s="48"/>
      <c r="S2940" s="2"/>
    </row>
    <row r="2941" spans="1:19" ht="12.75" customHeight="1" x14ac:dyDescent="0.2">
      <c r="A2941" s="155"/>
      <c r="B2941" s="138" t="str">
        <f>IF(A2941="","",VLOOKUP(A2941,'6.A'!$A$11:$G$180,2,FALSE))</f>
        <v/>
      </c>
      <c r="C2941" s="156"/>
      <c r="D2941" s="57" t="str">
        <f>IF(A2941="","",VLOOKUP(A2941,'6.A'!$A$11:$G$180,4,FALSE))</f>
        <v/>
      </c>
      <c r="E2941" s="100" t="str">
        <f>IF(A2941="","",VLOOKUP(A2941,'6.A'!$A$11:$G$180,5,FALSE))</f>
        <v/>
      </c>
      <c r="F2941" s="24" t="str">
        <f t="shared" si="1263"/>
        <v>0,00</v>
      </c>
      <c r="G2941" s="52"/>
      <c r="H2941" s="52" t="str">
        <f>IF(A2941="","",VLOOKUP(A2941,'6.A'!$A$11:$E$7984,5,FALSE))</f>
        <v/>
      </c>
      <c r="I2941" s="52" t="str">
        <f t="shared" si="1264"/>
        <v/>
      </c>
      <c r="J2941" s="52" t="str">
        <f>IF(H2941="","",VLOOKUP(A2941,'6.A'!$A$11:$E$564,4,FALSE))</f>
        <v/>
      </c>
      <c r="K2941" s="52" t="str">
        <f t="shared" si="1265"/>
        <v/>
      </c>
      <c r="L2941" s="52" t="str">
        <f>IF(H2941="","",IF(C2941="","",G2924*C2941))</f>
        <v/>
      </c>
      <c r="M2941" s="117" t="str">
        <f>IF(A2941="","",VLOOKUP(A2941,'6.A'!$A$11:$C$564,2,FALSE))</f>
        <v/>
      </c>
      <c r="N2941" s="57" t="str">
        <f t="shared" si="1266"/>
        <v/>
      </c>
      <c r="O2941" s="56"/>
      <c r="P2941" s="56"/>
      <c r="Q2941" s="48"/>
      <c r="R2941" s="48"/>
      <c r="S2941" s="2"/>
    </row>
    <row r="2942" spans="1:19" ht="12.75" customHeight="1" x14ac:dyDescent="0.2">
      <c r="A2942" s="155"/>
      <c r="B2942" s="138" t="str">
        <f>IF(A2942="","",VLOOKUP(A2942,'6.A'!$A$11:$G$180,2,FALSE))</f>
        <v/>
      </c>
      <c r="C2942" s="156"/>
      <c r="D2942" s="57" t="str">
        <f>IF(A2942="","",VLOOKUP(A2942,'6.A'!$A$11:$G$180,4,FALSE))</f>
        <v/>
      </c>
      <c r="E2942" s="100" t="str">
        <f>IF(A2942="","",VLOOKUP(A2942,'6.A'!$A$11:$G$180,5,FALSE))</f>
        <v/>
      </c>
      <c r="F2942" s="24" t="str">
        <f t="shared" si="1263"/>
        <v>0,00</v>
      </c>
      <c r="G2942" s="52"/>
      <c r="H2942" s="52" t="str">
        <f>IF(A2942="","",VLOOKUP(A2942,'6.A'!$A$11:$E$7984,5,FALSE))</f>
        <v/>
      </c>
      <c r="I2942" s="52" t="str">
        <f t="shared" si="1264"/>
        <v/>
      </c>
      <c r="J2942" s="52" t="str">
        <f>IF(H2942="","",VLOOKUP(A2942,'6.A'!$A$11:$E$564,4,FALSE))</f>
        <v/>
      </c>
      <c r="K2942" s="52" t="str">
        <f t="shared" si="1265"/>
        <v/>
      </c>
      <c r="L2942" s="52" t="str">
        <f>IF(H2942="","",IF(C2942="","",G2924*C2942))</f>
        <v/>
      </c>
      <c r="M2942" s="117" t="str">
        <f>IF(A2942="","",VLOOKUP(A2942,'6.A'!$A$11:$C$564,2,FALSE))</f>
        <v/>
      </c>
      <c r="N2942" s="57" t="str">
        <f t="shared" si="1266"/>
        <v/>
      </c>
      <c r="O2942" s="56"/>
      <c r="P2942" s="56"/>
      <c r="Q2942" s="48"/>
      <c r="R2942" s="48"/>
      <c r="S2942" s="2"/>
    </row>
    <row r="2943" spans="1:19" ht="12.75" customHeight="1" x14ac:dyDescent="0.2">
      <c r="A2943" s="155"/>
      <c r="B2943" s="176" t="str">
        <f>IF(A2943="","",VLOOKUP(A2943,'6.A'!$A$11:$G$180,2,FALSE))</f>
        <v/>
      </c>
      <c r="C2943" s="156"/>
      <c r="D2943" s="57" t="str">
        <f>IF(A2943="","",VLOOKUP(A2943,'6.A'!$A$11:$G$180,4,FALSE))</f>
        <v/>
      </c>
      <c r="E2943" s="100" t="str">
        <f>IF(A2943="","",VLOOKUP(A2943,'6.A'!$A$11:$G$180,5,FALSE))</f>
        <v/>
      </c>
      <c r="F2943" s="24" t="str">
        <f t="shared" si="1263"/>
        <v>0,00</v>
      </c>
      <c r="G2943" s="52"/>
      <c r="H2943" s="52" t="str">
        <f>IF(A2943="","",VLOOKUP(A2943,'6.A'!$A$11:$E$7984,5,FALSE))</f>
        <v/>
      </c>
      <c r="I2943" s="52" t="str">
        <f t="shared" si="1264"/>
        <v/>
      </c>
      <c r="J2943" s="52" t="str">
        <f>IF(H2943="","",VLOOKUP(A2943,'6.A'!$A$11:$E$564,4,FALSE))</f>
        <v/>
      </c>
      <c r="K2943" s="52" t="str">
        <f t="shared" si="1265"/>
        <v/>
      </c>
      <c r="L2943" s="52" t="str">
        <f>IF(H2943="","",IF(C2943="","",G2924*C2943))</f>
        <v/>
      </c>
      <c r="M2943" s="117" t="str">
        <f>IF(A2943="","",VLOOKUP(A2943,'6.A'!$A$11:$C$564,2,FALSE))</f>
        <v/>
      </c>
      <c r="N2943" s="57" t="str">
        <f t="shared" si="1266"/>
        <v/>
      </c>
      <c r="O2943" s="56"/>
      <c r="P2943" s="56"/>
      <c r="Q2943" s="48"/>
      <c r="R2943" s="48"/>
      <c r="S2943" s="2"/>
    </row>
    <row r="2944" spans="1:19" ht="12.75" customHeight="1" x14ac:dyDescent="0.2">
      <c r="A2944" s="155"/>
      <c r="B2944" s="176" t="str">
        <f>IF(A2944="","",VLOOKUP(A2944,'6.A'!$A$11:$G$180,2,FALSE))</f>
        <v/>
      </c>
      <c r="C2944" s="156"/>
      <c r="D2944" s="57"/>
      <c r="E2944" s="100"/>
      <c r="F2944" s="24" t="str">
        <f>IF(A2944="","0,00",ROUND(C2944*E2944,2))</f>
        <v>0,00</v>
      </c>
      <c r="G2944" s="52"/>
      <c r="H2944" s="52" t="str">
        <f>IF(A2944="","",VLOOKUP(A2944,'6.A'!$A$11:$E$7984,5,FALSE))</f>
        <v/>
      </c>
      <c r="I2944" s="52" t="str">
        <f>IF(H2944="","",IF(E2944=H2944,"SIM","NÃO"))</f>
        <v/>
      </c>
      <c r="J2944" s="52" t="str">
        <f>IF(H2944="","",VLOOKUP(A2944,'6.A'!$A$11:$E$564,4,FALSE))</f>
        <v/>
      </c>
      <c r="K2944" s="52" t="str">
        <f>IF(H2944="","",IF(J2944=D2944,"SIM","NÃO"))</f>
        <v/>
      </c>
      <c r="L2944" s="52" t="str">
        <f>IF(H2944="","",IF(C2944="","",G2924*C2944))</f>
        <v/>
      </c>
      <c r="M2944" s="117" t="str">
        <f>IF(A2944="","",VLOOKUP(A2944,'6.A'!$A$11:$C$564,2,FALSE))</f>
        <v/>
      </c>
      <c r="N2944" s="57" t="str">
        <f t="shared" si="1266"/>
        <v/>
      </c>
      <c r="O2944" s="56"/>
      <c r="P2944" s="56"/>
      <c r="Q2944" s="48"/>
      <c r="R2944" s="48"/>
      <c r="S2944" s="2"/>
    </row>
    <row r="2945" spans="1:22" ht="12.75" customHeight="1" x14ac:dyDescent="0.2">
      <c r="A2945" s="155"/>
      <c r="B2945" s="176" t="str">
        <f>IF(A2945="","",VLOOKUP(A2945,'6.A'!$A$11:$G$180,2,FALSE))</f>
        <v/>
      </c>
      <c r="C2945" s="156"/>
      <c r="D2945" s="57"/>
      <c r="E2945" s="100"/>
      <c r="F2945" s="24" t="str">
        <f>IF(A2945="","0,00",ROUND(C2945*E2945,2))</f>
        <v>0,00</v>
      </c>
      <c r="G2945" s="52"/>
      <c r="H2945" s="52" t="str">
        <f>IF(A2945="","",VLOOKUP(A2945,'6.A'!$A$11:$E$7984,5,FALSE))</f>
        <v/>
      </c>
      <c r="I2945" s="52" t="str">
        <f>IF(H2945="","",IF(E2945=H2945,"SIM","NÃO"))</f>
        <v/>
      </c>
      <c r="J2945" s="52" t="str">
        <f>IF(H2945="","",VLOOKUP(A2945,'6.A'!$A$11:$E$564,4,FALSE))</f>
        <v/>
      </c>
      <c r="K2945" s="52" t="str">
        <f>IF(H2945="","",IF(J2945=D2945,"SIM","NÃO"))</f>
        <v/>
      </c>
      <c r="L2945" s="52" t="str">
        <f>IF(H2945="","",IF(C2945="","",G2924*C2945))</f>
        <v/>
      </c>
      <c r="M2945" s="117" t="str">
        <f>IF(A2945="","",VLOOKUP(A2945,'6.A'!$A$11:$C$564,2,FALSE))</f>
        <v/>
      </c>
      <c r="N2945" s="57" t="str">
        <f t="shared" si="1266"/>
        <v/>
      </c>
      <c r="O2945" s="56"/>
      <c r="P2945" s="56"/>
      <c r="Q2945" s="48"/>
      <c r="R2945" s="48"/>
      <c r="S2945" s="2"/>
    </row>
    <row r="2946" spans="1:22" ht="12.75" customHeight="1" x14ac:dyDescent="0.2">
      <c r="A2946" s="155"/>
      <c r="B2946" s="176" t="str">
        <f>IF(A2946="","",VLOOKUP(A2946,'6.A'!$A$11:$G$180,2,FALSE))</f>
        <v/>
      </c>
      <c r="C2946" s="156"/>
      <c r="D2946" s="157"/>
      <c r="E2946" s="158"/>
      <c r="F2946" s="24" t="str">
        <f>IF(A2946="","0,00",ROUND(C2946*E2946,2))</f>
        <v>0,00</v>
      </c>
      <c r="G2946" s="52"/>
      <c r="H2946" s="52" t="str">
        <f>IF(A2946="","",VLOOKUP(A2946,'6.A'!$A$11:$E$7984,5,FALSE))</f>
        <v/>
      </c>
      <c r="I2946" s="52" t="str">
        <f>IF(H2946="","",IF(E2946=H2946,"SIM","NÃO"))</f>
        <v/>
      </c>
      <c r="J2946" s="52" t="str">
        <f>IF(H2946="","",VLOOKUP(A2946,'6.A'!$A$11:$E$564,4,FALSE))</f>
        <v/>
      </c>
      <c r="K2946" s="52" t="str">
        <f>IF(H2946="","",IF(J2946=D2946,"SIM","NÃO"))</f>
        <v/>
      </c>
      <c r="L2946" s="52" t="str">
        <f>IF(H2946="","",IF(C2946="","",G2924*C2946))</f>
        <v/>
      </c>
      <c r="M2946" s="117" t="str">
        <f>IF(A2946="","",VLOOKUP(A2946,'6.A'!$A$11:$C$564,2,FALSE))</f>
        <v/>
      </c>
      <c r="N2946" s="57" t="str">
        <f t="shared" si="1266"/>
        <v/>
      </c>
      <c r="O2946" s="56"/>
      <c r="P2946" s="56"/>
      <c r="Q2946" s="48"/>
      <c r="R2946" s="48"/>
      <c r="S2946" s="2"/>
    </row>
    <row r="2947" spans="1:22" ht="12.75" customHeight="1" x14ac:dyDescent="0.2">
      <c r="A2947" s="155"/>
      <c r="B2947" s="138" t="str">
        <f>IF(A2947="","",VLOOKUP(A2947,'6.A'!$A$11:$G$180,2,FALSE))</f>
        <v/>
      </c>
      <c r="C2947" s="156"/>
      <c r="D2947" s="157"/>
      <c r="E2947" s="158"/>
      <c r="F2947" s="24" t="str">
        <f>IF(A2947="","0,00",ROUND(C2947*E2947,2))</f>
        <v>0,00</v>
      </c>
      <c r="G2947" s="52"/>
      <c r="H2947" s="52" t="str">
        <f>IF(A2947="","",VLOOKUP(A2947,'6.A'!$A$11:$E$7984,5,FALSE))</f>
        <v/>
      </c>
      <c r="I2947" s="52" t="str">
        <f>IF(H2947="","",IF(E2947=H2947,"SIM","NÃO"))</f>
        <v/>
      </c>
      <c r="J2947" s="52" t="str">
        <f>IF(H2947="","",VLOOKUP(A2947,'6.A'!$A$11:$E$564,4,FALSE))</f>
        <v/>
      </c>
      <c r="K2947" s="52" t="str">
        <f>IF(H2947="","",IF(J2947=D2947,"SIM","NÃO"))</f>
        <v/>
      </c>
      <c r="L2947" s="52" t="str">
        <f>IF(H2947="","",IF(C2947="","",G2924*C2947))</f>
        <v/>
      </c>
      <c r="M2947" s="117" t="str">
        <f>IF(A2947="","",VLOOKUP(A2947,'6.A'!$A$11:$C$564,2,FALSE))</f>
        <v/>
      </c>
      <c r="N2947" s="57" t="str">
        <f t="shared" si="1266"/>
        <v/>
      </c>
      <c r="O2947" s="56"/>
      <c r="P2947" s="56"/>
      <c r="Q2947" s="48"/>
      <c r="R2947" s="48"/>
      <c r="S2947" s="2"/>
    </row>
    <row r="2948" spans="1:22" ht="12.75" customHeight="1" x14ac:dyDescent="0.2">
      <c r="A2948" s="155"/>
      <c r="B2948" s="138" t="str">
        <f>IF(A2948="","",VLOOKUP(A2948,'6.A'!$A$11:$G$180,2,FALSE))</f>
        <v/>
      </c>
      <c r="C2948" s="156"/>
      <c r="D2948" s="57"/>
      <c r="E2948" s="100"/>
      <c r="F2948" s="24" t="str">
        <f t="shared" ref="F2948:F2949" si="1267">IF(A2948="","0,00",ROUND(C2948*E2948,2))</f>
        <v>0,00</v>
      </c>
      <c r="G2948" s="52"/>
      <c r="H2948" s="52" t="str">
        <f>IF(A2948="","",VLOOKUP(A2948,'6.A'!$A$11:$E$7984,5,FALSE))</f>
        <v/>
      </c>
      <c r="I2948" s="52" t="str">
        <f t="shared" ref="I2948:I2949" si="1268">IF(H2948="","",IF(E2948=H2948,"SIM","NÃO"))</f>
        <v/>
      </c>
      <c r="J2948" s="52" t="str">
        <f>IF(H2948="","",VLOOKUP(A2948,'6.A'!$A$11:$E$564,4,FALSE))</f>
        <v/>
      </c>
      <c r="K2948" s="52" t="str">
        <f t="shared" ref="K2948:K2949" si="1269">IF(H2948="","",IF(J2948=D2948,"SIM","NÃO"))</f>
        <v/>
      </c>
      <c r="L2948" s="52" t="str">
        <f>IF(H2948="","",IF(C2948="","",G2924*C2948))</f>
        <v/>
      </c>
      <c r="M2948" s="117" t="str">
        <f>IF(A2948="","",VLOOKUP(A2948,'6.A'!$A$11:$C$564,2,FALSE))</f>
        <v/>
      </c>
      <c r="N2948" s="57" t="str">
        <f t="shared" si="1266"/>
        <v/>
      </c>
      <c r="O2948" s="56"/>
      <c r="P2948" s="56"/>
      <c r="Q2948" s="48"/>
      <c r="R2948" s="48"/>
      <c r="S2948" s="2"/>
    </row>
    <row r="2949" spans="1:22" ht="12.75" customHeight="1" x14ac:dyDescent="0.2">
      <c r="A2949" s="155"/>
      <c r="B2949" s="138" t="str">
        <f>IF(A2949="","",VLOOKUP(A2949,'6.A'!$A$11:$G$180,2,FALSE))</f>
        <v/>
      </c>
      <c r="C2949" s="156"/>
      <c r="D2949" s="57"/>
      <c r="E2949" s="100"/>
      <c r="F2949" s="24" t="str">
        <f t="shared" si="1267"/>
        <v>0,00</v>
      </c>
      <c r="G2949" s="52"/>
      <c r="H2949" s="52" t="str">
        <f>IF(A2949="","",VLOOKUP(A2949,'6.A'!$A$11:$E$7984,5,FALSE))</f>
        <v/>
      </c>
      <c r="I2949" s="52" t="str">
        <f t="shared" si="1268"/>
        <v/>
      </c>
      <c r="J2949" s="52" t="str">
        <f>IF(H2949="","",VLOOKUP(A2949,'6.A'!$A$11:$E$564,4,FALSE))</f>
        <v/>
      </c>
      <c r="K2949" s="52" t="str">
        <f t="shared" si="1269"/>
        <v/>
      </c>
      <c r="L2949" s="52" t="str">
        <f>IF(H2949="","",IF(C2949="","",G2924*C2949))</f>
        <v/>
      </c>
      <c r="M2949" s="117" t="str">
        <f>IF(A2949="","",VLOOKUP(A2949,'6.A'!$A$11:$C$564,2,FALSE))</f>
        <v/>
      </c>
      <c r="N2949" s="57" t="str">
        <f t="shared" si="1266"/>
        <v/>
      </c>
      <c r="O2949" s="56"/>
      <c r="P2949" s="56"/>
      <c r="Q2949" s="48"/>
      <c r="R2949" s="48"/>
      <c r="S2949" s="2"/>
    </row>
    <row r="2950" spans="1:22" ht="12.75" customHeight="1" x14ac:dyDescent="0.2">
      <c r="A2950" s="155"/>
      <c r="B2950" s="26" t="str">
        <f>$A$9</f>
        <v>BDI</v>
      </c>
      <c r="C2950" s="27">
        <f>$C$9</f>
        <v>0</v>
      </c>
      <c r="D2950" s="57"/>
      <c r="F2950" s="28">
        <f>ROUND(SUM(F2940:F2949)*C2950,2)</f>
        <v>0</v>
      </c>
      <c r="G2950" s="63"/>
      <c r="M2950" s="62"/>
      <c r="N2950" s="57"/>
      <c r="O2950" s="56"/>
      <c r="P2950" s="56"/>
      <c r="Q2950" s="48"/>
      <c r="R2950" s="48"/>
      <c r="S2950" s="2"/>
    </row>
    <row r="2951" spans="1:22" ht="12.75" customHeight="1" x14ac:dyDescent="0.2">
      <c r="A2951" s="163"/>
      <c r="B2951" s="31" t="s">
        <v>117</v>
      </c>
      <c r="C2951" s="36"/>
      <c r="D2951" s="37"/>
      <c r="E2951" s="38"/>
      <c r="F2951" s="35">
        <f>ROUND(SUM(F2940:F2950),2)</f>
        <v>0</v>
      </c>
      <c r="G2951" s="63"/>
      <c r="M2951" s="62"/>
      <c r="N2951" s="57"/>
      <c r="O2951" s="56"/>
      <c r="P2951" s="56"/>
      <c r="Q2951" s="48"/>
      <c r="R2951" s="48"/>
      <c r="S2951" s="2"/>
    </row>
    <row r="2952" spans="1:22" ht="12.75" customHeight="1" x14ac:dyDescent="0.2">
      <c r="A2952" s="152" t="s">
        <v>6</v>
      </c>
      <c r="B2952" s="153" t="s">
        <v>17</v>
      </c>
      <c r="C2952" s="140" t="s">
        <v>59</v>
      </c>
      <c r="D2952" s="56" t="s">
        <v>16</v>
      </c>
      <c r="E2952" s="19" t="s">
        <v>60</v>
      </c>
      <c r="F2952" s="20" t="s">
        <v>61</v>
      </c>
      <c r="G2952" s="21"/>
      <c r="M2952" s="62"/>
      <c r="N2952" s="57"/>
      <c r="O2952" s="56"/>
      <c r="P2952" s="56"/>
      <c r="Q2952" s="48"/>
      <c r="R2952" s="48"/>
      <c r="S2952" s="2"/>
    </row>
    <row r="2953" spans="1:22" ht="12.75" customHeight="1" x14ac:dyDescent="0.2">
      <c r="A2953" s="155">
        <f>'6.A'!$A$176</f>
        <v>54495</v>
      </c>
      <c r="B2953" s="138" t="str">
        <f>IF(A2953="","",VLOOKUP(A2953,'6.A'!$A$11:$G$180,2,FALSE))</f>
        <v>DISJUNTOR CX. MOLD. TRIP. - DISP. TERMOMAG. AJUST. - 450A</v>
      </c>
      <c r="C2953" s="156">
        <v>1</v>
      </c>
      <c r="D2953" s="57" t="str">
        <f>IF(A2953="","",VLOOKUP(A2953,'6.A'!$A$11:$G$180,4,FALSE))</f>
        <v>UN</v>
      </c>
      <c r="E2953" s="100">
        <f>IF(A2953="","",VLOOKUP(A2953,'6.A'!$A$11:$G$180,5,FALSE))</f>
        <v>0</v>
      </c>
      <c r="F2953" s="24">
        <f t="shared" ref="F2953:F2956" si="1270">IF(A2953="","0,00",ROUND(C2953*E2953,2))</f>
        <v>0</v>
      </c>
      <c r="G2953" s="52"/>
      <c r="H2953" s="52">
        <f>IF(A2953="","",VLOOKUP(A2953,'6.A'!$A$11:$E$7984,5,FALSE))</f>
        <v>0</v>
      </c>
      <c r="I2953" s="52" t="str">
        <f t="shared" ref="I2953:I2956" si="1271">IF(H2953="","",IF(E2953=H2953,"SIM","NÃO"))</f>
        <v>SIM</v>
      </c>
      <c r="J2953" s="52" t="str">
        <f>IF(H2953="","",VLOOKUP(A2953,'6.A'!$A$11:$E$564,4,FALSE))</f>
        <v>UN</v>
      </c>
      <c r="K2953" s="52" t="str">
        <f t="shared" ref="K2953:K2956" si="1272">IF(H2953="","",IF(J2953=D2953,"SIM","NÃO"))</f>
        <v>SIM</v>
      </c>
      <c r="L2953" s="52">
        <f>IF(H2953="","",IF(C2953="","",G2924*C2953))</f>
        <v>1</v>
      </c>
      <c r="M2953" s="117" t="str">
        <f>IF(A2953="","",VLOOKUP(A2953,'6.A'!$A$11:$C$564,2,FALSE))</f>
        <v>DISJUNTOR CX. MOLD. TRIP. - DISP. TERMOMAG. AJUST. - 450A</v>
      </c>
      <c r="N2953" s="57" t="str">
        <f t="shared" ref="N2953:N2956" si="1273">IF(A2953="","",IF(M2953=B2953,"si","no"))</f>
        <v>si</v>
      </c>
      <c r="O2953" s="56"/>
      <c r="P2953" s="56"/>
      <c r="Q2953" s="48"/>
      <c r="R2953" s="48"/>
      <c r="S2953" s="2"/>
    </row>
    <row r="2954" spans="1:22" ht="12.75" customHeight="1" x14ac:dyDescent="0.2">
      <c r="A2954" s="155"/>
      <c r="B2954" s="138" t="str">
        <f>IF(A2954="","",VLOOKUP(A2954,'6.A'!$A$11:$G$180,2,FALSE))</f>
        <v/>
      </c>
      <c r="C2954" s="156"/>
      <c r="D2954" s="57" t="str">
        <f>IF(A2954="","",VLOOKUP(A2954,'6.A'!$A$11:$G$180,4,FALSE))</f>
        <v/>
      </c>
      <c r="E2954" s="100" t="str">
        <f>IF(A2954="","",VLOOKUP(A2954,'6.A'!$A$11:$G$180,5,FALSE))</f>
        <v/>
      </c>
      <c r="F2954" s="24" t="str">
        <f t="shared" si="1270"/>
        <v>0,00</v>
      </c>
      <c r="G2954" s="52"/>
      <c r="H2954" s="52" t="str">
        <f>IF(A2954="","",VLOOKUP(A2954,'6.A'!$A$11:$E$7984,5,FALSE))</f>
        <v/>
      </c>
      <c r="I2954" s="52" t="str">
        <f t="shared" si="1271"/>
        <v/>
      </c>
      <c r="J2954" s="52" t="str">
        <f>IF(H2954="","",VLOOKUP(A2954,'6.A'!$A$11:$E$564,4,FALSE))</f>
        <v/>
      </c>
      <c r="K2954" s="52" t="str">
        <f t="shared" si="1272"/>
        <v/>
      </c>
      <c r="L2954" s="52" t="str">
        <f>IF(H2954="","",IF(C2954="","",G2924*C2954))</f>
        <v/>
      </c>
      <c r="M2954" s="117" t="str">
        <f>IF(A2954="","",VLOOKUP(A2954,'6.A'!$A$11:$C$564,2,FALSE))</f>
        <v/>
      </c>
      <c r="N2954" s="57" t="str">
        <f t="shared" si="1273"/>
        <v/>
      </c>
      <c r="O2954" s="56"/>
      <c r="P2954" s="56"/>
      <c r="Q2954" s="48"/>
      <c r="R2954" s="48"/>
      <c r="S2954" s="2"/>
    </row>
    <row r="2955" spans="1:22" ht="12.75" customHeight="1" x14ac:dyDescent="0.2">
      <c r="A2955" s="155"/>
      <c r="B2955" s="138" t="str">
        <f>IF(A2955="","",VLOOKUP(A2955,'6.A'!$A$11:$G$180,2,FALSE))</f>
        <v/>
      </c>
      <c r="C2955" s="156"/>
      <c r="D2955" s="57" t="str">
        <f>IF(A2955="","",VLOOKUP(A2955,'6.A'!$A$11:$G$180,4,FALSE))</f>
        <v/>
      </c>
      <c r="E2955" s="100" t="str">
        <f>IF(A2955="","",VLOOKUP(A2955,'6.A'!$A$11:$G$180,5,FALSE))</f>
        <v/>
      </c>
      <c r="F2955" s="24" t="str">
        <f t="shared" si="1270"/>
        <v>0,00</v>
      </c>
      <c r="G2955" s="52"/>
      <c r="H2955" s="52" t="str">
        <f>IF(A2955="","",VLOOKUP(A2955,'6.A'!$A$11:$E$7984,5,FALSE))</f>
        <v/>
      </c>
      <c r="I2955" s="52" t="str">
        <f t="shared" si="1271"/>
        <v/>
      </c>
      <c r="J2955" s="52" t="str">
        <f>IF(H2955="","",VLOOKUP(A2955,'6.A'!$A$11:$E$564,4,FALSE))</f>
        <v/>
      </c>
      <c r="K2955" s="52" t="str">
        <f t="shared" si="1272"/>
        <v/>
      </c>
      <c r="L2955" s="52" t="str">
        <f>IF(H2955="","",IF(C2955="","",G2924*C2955))</f>
        <v/>
      </c>
      <c r="M2955" s="117" t="str">
        <f>IF(A2955="","",VLOOKUP(A2955,'6.A'!$A$11:$C$564,2,FALSE))</f>
        <v/>
      </c>
      <c r="N2955" s="57" t="str">
        <f t="shared" si="1273"/>
        <v/>
      </c>
      <c r="O2955" s="56"/>
      <c r="P2955" s="56"/>
      <c r="Q2955" s="48"/>
      <c r="R2955" s="48"/>
    </row>
    <row r="2956" spans="1:22" ht="12.75" customHeight="1" x14ac:dyDescent="0.2">
      <c r="A2956" s="155"/>
      <c r="B2956" s="138" t="str">
        <f>IF(A2956="","",VLOOKUP(A2956,'6.A'!$A$11:$G$180,2,FALSE))</f>
        <v/>
      </c>
      <c r="C2956" s="156"/>
      <c r="D2956" s="57" t="str">
        <f>IF(A2956="","",VLOOKUP(A2956,'6.A'!$A$11:$G$180,4,FALSE))</f>
        <v/>
      </c>
      <c r="E2956" s="100" t="str">
        <f>IF(A2956="","",VLOOKUP(A2956,'6.A'!$A$11:$G$180,5,FALSE))</f>
        <v/>
      </c>
      <c r="F2956" s="24" t="str">
        <f t="shared" si="1270"/>
        <v>0,00</v>
      </c>
      <c r="G2956" s="52"/>
      <c r="H2956" s="52" t="str">
        <f>IF(A2956="","",VLOOKUP(A2956,'6.A'!$A$11:$E$7984,5,FALSE))</f>
        <v/>
      </c>
      <c r="I2956" s="52" t="str">
        <f t="shared" si="1271"/>
        <v/>
      </c>
      <c r="J2956" s="52" t="str">
        <f>IF(H2956="","",VLOOKUP(A2956,'6.A'!$A$11:$E$564,4,FALSE))</f>
        <v/>
      </c>
      <c r="K2956" s="52" t="str">
        <f t="shared" si="1272"/>
        <v/>
      </c>
      <c r="L2956" s="52" t="str">
        <f>IF(H2956="","",IF(C2956="","",G2924*C2956))</f>
        <v/>
      </c>
      <c r="M2956" s="117" t="str">
        <f>IF(A2956="","",VLOOKUP(A2956,'6.A'!$A$11:$C$564,2,FALSE))</f>
        <v/>
      </c>
      <c r="N2956" s="57" t="str">
        <f t="shared" si="1273"/>
        <v/>
      </c>
      <c r="O2956" s="56"/>
      <c r="P2956" s="56"/>
      <c r="Q2956" s="48"/>
      <c r="R2956" s="48"/>
      <c r="S2956" s="2"/>
    </row>
    <row r="2957" spans="1:22" ht="12.75" customHeight="1" x14ac:dyDescent="0.2">
      <c r="A2957" s="155"/>
      <c r="B2957" s="138" t="str">
        <f>IF(A2957="","",VLOOKUP(A2957,'6.A'!$A$11:$G$180,2,FALSE))</f>
        <v/>
      </c>
      <c r="C2957" s="156"/>
      <c r="D2957" s="57" t="str">
        <f>IF(A2957="","",VLOOKUP(A2957,'6.A'!$A$11:$G$180,4,FALSE))</f>
        <v/>
      </c>
      <c r="E2957" s="100" t="str">
        <f>IF(A2957="","",VLOOKUP(A2957,'6.A'!$A$11:$G$180,5,FALSE))</f>
        <v/>
      </c>
      <c r="F2957" s="24" t="str">
        <f>IF(A2957="","0,00",ROUND(C2957*E2957,2))</f>
        <v>0,00</v>
      </c>
      <c r="G2957" s="52"/>
      <c r="H2957" s="52" t="str">
        <f>IF(A2957="","",VLOOKUP(A2957,'6.A'!$A$11:$E$7984,5,FALSE))</f>
        <v/>
      </c>
      <c r="I2957" s="52" t="str">
        <f>IF(H2957="","",IF(E2957=H2957,"SIM","NÃO"))</f>
        <v/>
      </c>
      <c r="J2957" s="52" t="str">
        <f>IF(H2957="","",VLOOKUP(A2957,'6.A'!$A$11:$E$564,4,FALSE))</f>
        <v/>
      </c>
      <c r="K2957" s="52" t="str">
        <f>IF(H2957="","",IF(J2957=D2957,"SIM","NÃO"))</f>
        <v/>
      </c>
      <c r="L2957" s="52" t="str">
        <f>IF(H2957="","",IF(C2957="","",G2924*C2957))</f>
        <v/>
      </c>
      <c r="M2957" s="117" t="str">
        <f>IF(A2957="","",VLOOKUP(A2957,'6.A'!$A$11:$C$564,2,FALSE))</f>
        <v/>
      </c>
      <c r="N2957" s="57" t="str">
        <f>IF(A2957="","",IF(M2957=B2957,"si","no"))</f>
        <v/>
      </c>
      <c r="O2957" s="56"/>
      <c r="P2957" s="56"/>
      <c r="Q2957" s="48"/>
      <c r="R2957" s="48"/>
    </row>
    <row r="2958" spans="1:22" s="65" customFormat="1" ht="12.75" customHeight="1" x14ac:dyDescent="0.2">
      <c r="A2958" s="155"/>
      <c r="B2958" s="138" t="str">
        <f>IF(A2958="","",VLOOKUP(A2958,'6.A'!$A$11:$G$180,2,FALSE))</f>
        <v/>
      </c>
      <c r="C2958" s="156"/>
      <c r="D2958" s="57" t="str">
        <f>IF(A2958="","",VLOOKUP(A2958,'6.A'!$A$11:$G$180,4,FALSE))</f>
        <v/>
      </c>
      <c r="E2958" s="100" t="str">
        <f>IF(A2958="","",VLOOKUP(A2958,'6.A'!$A$11:$G$180,5,FALSE))</f>
        <v/>
      </c>
      <c r="F2958" s="24" t="str">
        <f t="shared" ref="F2958:F2972" si="1274">IF(A2958="","0,00",ROUND(C2958*E2958,2))</f>
        <v>0,00</v>
      </c>
      <c r="G2958" s="52"/>
      <c r="H2958" s="52" t="str">
        <f>IF(A2958="","",VLOOKUP(A2958,'6.A'!$A$11:$E$7984,5,FALSE))</f>
        <v/>
      </c>
      <c r="I2958" s="52" t="str">
        <f t="shared" ref="I2958:I2972" si="1275">IF(H2958="","",IF(E2958=H2958,"SIM","NÃO"))</f>
        <v/>
      </c>
      <c r="J2958" s="52" t="str">
        <f>IF(H2958="","",VLOOKUP(A2958,'6.A'!$A$11:$E$564,4,FALSE))</f>
        <v/>
      </c>
      <c r="K2958" s="52" t="str">
        <f t="shared" ref="K2958:K2972" si="1276">IF(H2958="","",IF(J2958=D2958,"SIM","NÃO"))</f>
        <v/>
      </c>
      <c r="L2958" s="52" t="str">
        <f>IF(H2958="","",IF(C2958="","",G2924*C2958))</f>
        <v/>
      </c>
      <c r="M2958" s="117" t="str">
        <f>IF(A2958="","",VLOOKUP(A2958,'6.A'!$A$11:$C$564,2,FALSE))</f>
        <v/>
      </c>
      <c r="N2958" s="57" t="str">
        <f t="shared" ref="N2958:N2972" si="1277">IF(A2958="","",IF(M2958=B2958,"si","no"))</f>
        <v/>
      </c>
      <c r="O2958" s="56"/>
      <c r="P2958" s="56"/>
      <c r="Q2958" s="48"/>
      <c r="R2958" s="48"/>
      <c r="T2958" s="2"/>
      <c r="U2958" s="2"/>
      <c r="V2958" s="2"/>
    </row>
    <row r="2959" spans="1:22" ht="12.75" customHeight="1" x14ac:dyDescent="0.2">
      <c r="A2959" s="155"/>
      <c r="B2959" s="138" t="str">
        <f>IF(A2959="","",VLOOKUP(A2959,'6.A'!$A$11:$G$180,2,FALSE))</f>
        <v/>
      </c>
      <c r="C2959" s="156"/>
      <c r="D2959" s="57" t="str">
        <f>IF(A2959="","",VLOOKUP(A2959,'6.A'!$A$11:$G$180,4,FALSE))</f>
        <v/>
      </c>
      <c r="E2959" s="100" t="str">
        <f>IF(A2959="","",VLOOKUP(A2959,'6.A'!$A$11:$G$180,5,FALSE))</f>
        <v/>
      </c>
      <c r="F2959" s="24" t="str">
        <f t="shared" si="1274"/>
        <v>0,00</v>
      </c>
      <c r="G2959" s="52"/>
      <c r="H2959" s="52" t="str">
        <f>IF(A2959="","",VLOOKUP(A2959,'6.A'!$A$11:$E$7984,5,FALSE))</f>
        <v/>
      </c>
      <c r="I2959" s="52" t="str">
        <f t="shared" si="1275"/>
        <v/>
      </c>
      <c r="J2959" s="52" t="str">
        <f>IF(H2959="","",VLOOKUP(A2959,'6.A'!$A$11:$E$564,4,FALSE))</f>
        <v/>
      </c>
      <c r="K2959" s="52" t="str">
        <f t="shared" si="1276"/>
        <v/>
      </c>
      <c r="L2959" s="52" t="str">
        <f>IF(H2959="","",IF(C2959="","",G2924*C2959))</f>
        <v/>
      </c>
      <c r="M2959" s="117" t="str">
        <f>IF(A2959="","",VLOOKUP(A2959,'6.A'!$A$11:$C$564,2,FALSE))</f>
        <v/>
      </c>
      <c r="N2959" s="57" t="str">
        <f t="shared" si="1277"/>
        <v/>
      </c>
      <c r="O2959" s="56"/>
      <c r="P2959" s="56"/>
      <c r="Q2959" s="48"/>
      <c r="R2959" s="48"/>
      <c r="S2959" s="2"/>
    </row>
    <row r="2960" spans="1:22" ht="12.75" customHeight="1" x14ac:dyDescent="0.2">
      <c r="A2960" s="155"/>
      <c r="B2960" s="138" t="str">
        <f>IF(A2960="","",VLOOKUP(A2960,'6.A'!$A$11:$G$180,2,FALSE))</f>
        <v/>
      </c>
      <c r="C2960" s="156"/>
      <c r="D2960" s="157" t="str">
        <f>IF(A2960="","",VLOOKUP(A2960,'6.A'!$A$11:$G$180,4,FALSE))</f>
        <v/>
      </c>
      <c r="E2960" s="158" t="str">
        <f>IF(A2960="","",VLOOKUP(A2960,'6.A'!$A$11:$G$180,5,FALSE))</f>
        <v/>
      </c>
      <c r="F2960" s="24" t="str">
        <f t="shared" si="1274"/>
        <v>0,00</v>
      </c>
      <c r="G2960" s="52"/>
      <c r="H2960" s="52" t="str">
        <f>IF(A2960="","",VLOOKUP(A2960,'6.A'!$A$11:$E$7984,5,FALSE))</f>
        <v/>
      </c>
      <c r="I2960" s="52" t="str">
        <f t="shared" si="1275"/>
        <v/>
      </c>
      <c r="J2960" s="52" t="str">
        <f>IF(H2960="","",VLOOKUP(A2960,'6.A'!$A$11:$E$564,4,FALSE))</f>
        <v/>
      </c>
      <c r="K2960" s="52" t="str">
        <f t="shared" si="1276"/>
        <v/>
      </c>
      <c r="L2960" s="52" t="str">
        <f>IF(H2960="","",IF(C2960="","",G2924*C2960))</f>
        <v/>
      </c>
      <c r="M2960" s="117" t="str">
        <f>IF(A2960="","",VLOOKUP(A2960,'6.A'!$A$11:$C$564,2,FALSE))</f>
        <v/>
      </c>
      <c r="N2960" s="57" t="str">
        <f t="shared" si="1277"/>
        <v/>
      </c>
      <c r="O2960" s="56"/>
      <c r="P2960" s="56"/>
      <c r="Q2960" s="48"/>
      <c r="R2960" s="48"/>
      <c r="S2960" s="2"/>
    </row>
    <row r="2961" spans="1:23" ht="12.75" customHeight="1" x14ac:dyDescent="0.2">
      <c r="A2961" s="155"/>
      <c r="B2961" s="138" t="str">
        <f>IF(A2961="","",VLOOKUP(A2961,'6.A'!$A$11:$G$180,2,FALSE))</f>
        <v/>
      </c>
      <c r="C2961" s="156"/>
      <c r="D2961" s="57" t="str">
        <f>IF(A2961="","",VLOOKUP(A2961,'6.A'!$A$11:$G$180,4,FALSE))</f>
        <v/>
      </c>
      <c r="E2961" s="100" t="str">
        <f>IF(A2961="","",VLOOKUP(A2961,'6.A'!$A$11:$G$180,5,FALSE))</f>
        <v/>
      </c>
      <c r="F2961" s="24" t="str">
        <f t="shared" si="1274"/>
        <v>0,00</v>
      </c>
      <c r="G2961" s="52"/>
      <c r="H2961" s="52" t="str">
        <f>IF(A2961="","",VLOOKUP(A2961,'6.A'!$A$11:$E$7984,5,FALSE))</f>
        <v/>
      </c>
      <c r="I2961" s="52" t="str">
        <f t="shared" si="1275"/>
        <v/>
      </c>
      <c r="J2961" s="52" t="str">
        <f>IF(H2961="","",VLOOKUP(A2961,'6.A'!$A$11:$E$564,4,FALSE))</f>
        <v/>
      </c>
      <c r="K2961" s="52" t="str">
        <f t="shared" si="1276"/>
        <v/>
      </c>
      <c r="L2961" s="52" t="str">
        <f>IF(H2961="","",IF(C2961="","",G2924*C2961))</f>
        <v/>
      </c>
      <c r="M2961" s="117" t="str">
        <f>IF(A2961="","",VLOOKUP(A2961,'6.A'!$A$11:$C$564,2,FALSE))</f>
        <v/>
      </c>
      <c r="N2961" s="57" t="str">
        <f t="shared" si="1277"/>
        <v/>
      </c>
      <c r="O2961" s="56"/>
      <c r="P2961" s="56"/>
      <c r="Q2961" s="48"/>
      <c r="R2961" s="48"/>
      <c r="S2961" s="2"/>
    </row>
    <row r="2962" spans="1:23" ht="12.75" customHeight="1" x14ac:dyDescent="0.2">
      <c r="A2962" s="155"/>
      <c r="B2962" s="138" t="str">
        <f>IF(A2962="","",VLOOKUP(A2962,'6.A'!$A$11:$G$180,2,FALSE))</f>
        <v/>
      </c>
      <c r="C2962" s="156"/>
      <c r="D2962" s="57" t="str">
        <f>IF(A2962="","",VLOOKUP(A2962,'6.A'!$A$11:$G$180,4,FALSE))</f>
        <v/>
      </c>
      <c r="E2962" s="100" t="str">
        <f>IF(A2962="","",VLOOKUP(A2962,'6.A'!$A$11:$G$180,5,FALSE))</f>
        <v/>
      </c>
      <c r="F2962" s="24" t="str">
        <f t="shared" si="1274"/>
        <v>0,00</v>
      </c>
      <c r="G2962" s="52"/>
      <c r="H2962" s="52" t="str">
        <f>IF(A2962="","",VLOOKUP(A2962,'6.A'!$A$11:$E$7984,5,FALSE))</f>
        <v/>
      </c>
      <c r="I2962" s="52" t="str">
        <f t="shared" si="1275"/>
        <v/>
      </c>
      <c r="J2962" s="52" t="str">
        <f>IF(H2962="","",VLOOKUP(A2962,'6.A'!$A$11:$E$564,4,FALSE))</f>
        <v/>
      </c>
      <c r="K2962" s="52" t="str">
        <f t="shared" si="1276"/>
        <v/>
      </c>
      <c r="L2962" s="52" t="str">
        <f>IF(H2962="","",IF(C2962="","",G2924*C2962))</f>
        <v/>
      </c>
      <c r="M2962" s="117" t="str">
        <f>IF(A2962="","",VLOOKUP(A2962,'6.A'!$A$11:$C$564,2,FALSE))</f>
        <v/>
      </c>
      <c r="N2962" s="57" t="str">
        <f t="shared" si="1277"/>
        <v/>
      </c>
      <c r="O2962" s="56"/>
      <c r="P2962" s="56"/>
      <c r="Q2962" s="48"/>
      <c r="R2962" s="48"/>
      <c r="S2962" s="2"/>
    </row>
    <row r="2963" spans="1:23" s="65" customFormat="1" ht="12.75" customHeight="1" x14ac:dyDescent="0.2">
      <c r="A2963" s="155"/>
      <c r="B2963" s="138" t="str">
        <f>IF(A2963="","",VLOOKUP(A2963,'6.A'!$A$11:$G$180,2,FALSE))</f>
        <v/>
      </c>
      <c r="C2963" s="156"/>
      <c r="D2963" s="57" t="str">
        <f>IF(A2963="","",VLOOKUP(A2963,'6.A'!$A$11:$G$180,4,FALSE))</f>
        <v/>
      </c>
      <c r="E2963" s="100" t="str">
        <f>IF(A2963="","",VLOOKUP(A2963,'6.A'!$A$11:$G$180,5,FALSE))</f>
        <v/>
      </c>
      <c r="F2963" s="24" t="str">
        <f t="shared" si="1274"/>
        <v>0,00</v>
      </c>
      <c r="G2963" s="52"/>
      <c r="H2963" s="52" t="str">
        <f>IF(A2963="","",VLOOKUP(A2963,'6.A'!$A$11:$E$7984,5,FALSE))</f>
        <v/>
      </c>
      <c r="I2963" s="52" t="str">
        <f t="shared" si="1275"/>
        <v/>
      </c>
      <c r="J2963" s="52" t="str">
        <f>IF(H2963="","",VLOOKUP(A2963,'6.A'!$A$11:$E$564,4,FALSE))</f>
        <v/>
      </c>
      <c r="K2963" s="52" t="str">
        <f t="shared" si="1276"/>
        <v/>
      </c>
      <c r="L2963" s="52" t="str">
        <f>IF(H2963="","",IF(C2963="","",G2924*C2963))</f>
        <v/>
      </c>
      <c r="M2963" s="117" t="str">
        <f>IF(A2963="","",VLOOKUP(A2963,'6.A'!$A$11:$C$564,2,FALSE))</f>
        <v/>
      </c>
      <c r="N2963" s="57" t="str">
        <f t="shared" si="1277"/>
        <v/>
      </c>
      <c r="O2963" s="56"/>
      <c r="P2963" s="56"/>
      <c r="Q2963" s="48"/>
      <c r="R2963" s="48"/>
      <c r="T2963" s="2"/>
      <c r="U2963" s="2"/>
      <c r="V2963" s="2"/>
    </row>
    <row r="2964" spans="1:23" s="65" customFormat="1" ht="12.75" customHeight="1" x14ac:dyDescent="0.2">
      <c r="A2964" s="22"/>
      <c r="B2964" s="23" t="str">
        <f>IF(A2964="","",VLOOKUP(A2964,'6.A'!$A$11:$G$180,2,FALSE))</f>
        <v/>
      </c>
      <c r="C2964" s="99"/>
      <c r="D2964" s="57" t="str">
        <f>IF(A2964="","",VLOOKUP(A2964,'6.A'!$A$11:$G$180,4,FALSE))</f>
        <v/>
      </c>
      <c r="E2964" s="100" t="str">
        <f>IF(A2964="","",VLOOKUP(A2964,'6.A'!$A$11:$G$180,5,FALSE))</f>
        <v/>
      </c>
      <c r="F2964" s="24" t="str">
        <f t="shared" si="1274"/>
        <v>0,00</v>
      </c>
      <c r="G2964" s="52"/>
      <c r="H2964" s="52" t="str">
        <f>IF(A2964="","",VLOOKUP(A2964,'6.A'!$A$11:$E$7984,5,FALSE))</f>
        <v/>
      </c>
      <c r="I2964" s="52" t="str">
        <f t="shared" si="1275"/>
        <v/>
      </c>
      <c r="J2964" s="52" t="str">
        <f>IF(H2964="","",VLOOKUP(A2964,'6.A'!$A$11:$E$564,4,FALSE))</f>
        <v/>
      </c>
      <c r="K2964" s="52" t="str">
        <f t="shared" si="1276"/>
        <v/>
      </c>
      <c r="L2964" s="52" t="str">
        <f>IF(H2964="","",IF(C2964="","",G2924*C2964))</f>
        <v/>
      </c>
      <c r="M2964" s="117" t="str">
        <f>IF(A2964="","",VLOOKUP(A2964,'6.A'!$A$11:$C$564,2,FALSE))</f>
        <v/>
      </c>
      <c r="N2964" s="57" t="str">
        <f t="shared" si="1277"/>
        <v/>
      </c>
      <c r="O2964" s="56"/>
      <c r="P2964" s="56"/>
      <c r="Q2964" s="48"/>
      <c r="R2964" s="48"/>
      <c r="T2964" s="2"/>
      <c r="U2964" s="2"/>
      <c r="V2964" s="2"/>
    </row>
    <row r="2965" spans="1:23" s="65" customFormat="1" ht="12.75" customHeight="1" x14ac:dyDescent="0.2">
      <c r="A2965" s="22"/>
      <c r="B2965" s="23" t="str">
        <f>IF(A2965="","",VLOOKUP(A2965,'6.A'!$A$11:$G$180,2,FALSE))</f>
        <v/>
      </c>
      <c r="C2965" s="99"/>
      <c r="D2965" s="57" t="str">
        <f>IF(A2965="","",VLOOKUP(A2965,'6.A'!$A$11:$G$180,4,FALSE))</f>
        <v/>
      </c>
      <c r="E2965" s="100" t="str">
        <f>IF(A2965="","",VLOOKUP(A2965,'6.A'!$A$11:$G$180,5,FALSE))</f>
        <v/>
      </c>
      <c r="F2965" s="24" t="str">
        <f t="shared" si="1274"/>
        <v>0,00</v>
      </c>
      <c r="G2965" s="52"/>
      <c r="H2965" s="52" t="str">
        <f>IF(A2965="","",VLOOKUP(A2965,'6.A'!$A$11:$E$7984,5,FALSE))</f>
        <v/>
      </c>
      <c r="I2965" s="52" t="str">
        <f t="shared" si="1275"/>
        <v/>
      </c>
      <c r="J2965" s="52" t="str">
        <f>IF(H2965="","",VLOOKUP(A2965,'6.A'!$A$11:$E$564,4,FALSE))</f>
        <v/>
      </c>
      <c r="K2965" s="52" t="str">
        <f t="shared" si="1276"/>
        <v/>
      </c>
      <c r="L2965" s="52" t="str">
        <f>IF(H2965="","",IF(C2965="","",G2924*C2965))</f>
        <v/>
      </c>
      <c r="M2965" s="117" t="str">
        <f>IF(A2965="","",VLOOKUP(A2965,'6.A'!$A$11:$C$564,2,FALSE))</f>
        <v/>
      </c>
      <c r="N2965" s="57" t="str">
        <f t="shared" si="1277"/>
        <v/>
      </c>
      <c r="O2965" s="56"/>
      <c r="P2965" s="56"/>
      <c r="Q2965" s="48"/>
      <c r="R2965" s="48"/>
      <c r="T2965" s="2"/>
      <c r="U2965" s="2"/>
      <c r="V2965" s="2"/>
    </row>
    <row r="2966" spans="1:23" ht="12.75" customHeight="1" x14ac:dyDescent="0.2">
      <c r="A2966" s="22"/>
      <c r="B2966" s="23" t="str">
        <f>IF(A2966="","",VLOOKUP(A2966,'6.A'!$A$11:$G$180,2,FALSE))</f>
        <v/>
      </c>
      <c r="C2966" s="99"/>
      <c r="D2966" s="57" t="str">
        <f>IF(A2966="","",VLOOKUP(A2966,'6.A'!$A$11:$G$180,4,FALSE))</f>
        <v/>
      </c>
      <c r="E2966" s="100" t="str">
        <f>IF(A2966="","",VLOOKUP(A2966,'6.A'!$A$11:$G$180,5,FALSE))</f>
        <v/>
      </c>
      <c r="F2966" s="24" t="str">
        <f t="shared" si="1274"/>
        <v>0,00</v>
      </c>
      <c r="G2966" s="52"/>
      <c r="H2966" s="52" t="str">
        <f>IF(A2966="","",VLOOKUP(A2966,'6.A'!$A$11:$E$7984,5,FALSE))</f>
        <v/>
      </c>
      <c r="I2966" s="52" t="str">
        <f t="shared" si="1275"/>
        <v/>
      </c>
      <c r="J2966" s="52" t="str">
        <f>IF(H2966="","",VLOOKUP(A2966,'6.A'!$A$11:$E$564,4,FALSE))</f>
        <v/>
      </c>
      <c r="K2966" s="52" t="str">
        <f t="shared" si="1276"/>
        <v/>
      </c>
      <c r="L2966" s="52" t="str">
        <f>IF(H2966="","",IF(C2966="","",G2924*C2966))</f>
        <v/>
      </c>
      <c r="M2966" s="117" t="str">
        <f>IF(A2966="","",VLOOKUP(A2966,'6.A'!$A$11:$C$564,2,FALSE))</f>
        <v/>
      </c>
      <c r="N2966" s="57" t="str">
        <f t="shared" si="1277"/>
        <v/>
      </c>
      <c r="O2966" s="56"/>
      <c r="P2966" s="56"/>
      <c r="Q2966" s="48"/>
      <c r="R2966" s="48"/>
    </row>
    <row r="2967" spans="1:23" ht="12.75" customHeight="1" x14ac:dyDescent="0.2">
      <c r="A2967" s="22"/>
      <c r="B2967" s="23" t="str">
        <f>IF(A2967="","",VLOOKUP(A2967,'6.A'!$A$11:$G$180,2,FALSE))</f>
        <v/>
      </c>
      <c r="C2967" s="99"/>
      <c r="D2967" s="57" t="str">
        <f>IF(A2967="","",VLOOKUP(A2967,'6.A'!$A$11:$G$180,4,FALSE))</f>
        <v/>
      </c>
      <c r="E2967" s="100" t="str">
        <f>IF(A2967="","",VLOOKUP(A2967,'6.A'!$A$11:$G$180,5,FALSE))</f>
        <v/>
      </c>
      <c r="F2967" s="24" t="str">
        <f t="shared" si="1274"/>
        <v>0,00</v>
      </c>
      <c r="G2967" s="52"/>
      <c r="H2967" s="52" t="str">
        <f>IF(A2967="","",VLOOKUP(A2967,'6.A'!$A$11:$E$7984,5,FALSE))</f>
        <v/>
      </c>
      <c r="I2967" s="52" t="str">
        <f t="shared" si="1275"/>
        <v/>
      </c>
      <c r="J2967" s="52" t="str">
        <f>IF(H2967="","",VLOOKUP(A2967,'6.A'!$A$11:$E$564,4,FALSE))</f>
        <v/>
      </c>
      <c r="K2967" s="52" t="str">
        <f t="shared" si="1276"/>
        <v/>
      </c>
      <c r="L2967" s="52" t="str">
        <f>IF(H2967="","",IF(C2967="","",G2924*C2967))</f>
        <v/>
      </c>
      <c r="M2967" s="117" t="str">
        <f>IF(A2967="","",VLOOKUP(A2967,'6.A'!$A$11:$C$564,2,FALSE))</f>
        <v/>
      </c>
      <c r="N2967" s="57" t="str">
        <f t="shared" si="1277"/>
        <v/>
      </c>
      <c r="O2967" s="56"/>
      <c r="P2967" s="56"/>
      <c r="Q2967" s="48"/>
      <c r="R2967" s="48"/>
    </row>
    <row r="2968" spans="1:23" ht="12.75" customHeight="1" x14ac:dyDescent="0.2">
      <c r="A2968" s="22"/>
      <c r="B2968" s="23" t="str">
        <f>IF(A2968="","",VLOOKUP(A2968,'6.A'!$A$11:$G$180,2,FALSE))</f>
        <v/>
      </c>
      <c r="C2968" s="99"/>
      <c r="D2968" s="57" t="str">
        <f>IF(A2968="","",VLOOKUP(A2968,'6.A'!$A$11:$G$180,4,FALSE))</f>
        <v/>
      </c>
      <c r="E2968" s="100" t="str">
        <f>IF(A2968="","",VLOOKUP(A2968,'6.A'!$A$11:$G$180,5,FALSE))</f>
        <v/>
      </c>
      <c r="F2968" s="24" t="str">
        <f t="shared" si="1274"/>
        <v>0,00</v>
      </c>
      <c r="G2968" s="52"/>
      <c r="H2968" s="52" t="str">
        <f>IF(A2968="","",VLOOKUP(A2968,'6.A'!$A$11:$E$7984,5,FALSE))</f>
        <v/>
      </c>
      <c r="I2968" s="52" t="str">
        <f t="shared" si="1275"/>
        <v/>
      </c>
      <c r="J2968" s="52" t="str">
        <f>IF(H2968="","",VLOOKUP(A2968,'6.A'!$A$11:$E$564,4,FALSE))</f>
        <v/>
      </c>
      <c r="K2968" s="52" t="str">
        <f t="shared" si="1276"/>
        <v/>
      </c>
      <c r="L2968" s="52" t="str">
        <f>IF(H2968="","",IF(C2968="","",G2924*C2968))</f>
        <v/>
      </c>
      <c r="M2968" s="117" t="str">
        <f>IF(A2968="","",VLOOKUP(A2968,'6.A'!$A$11:$C$564,2,FALSE))</f>
        <v/>
      </c>
      <c r="N2968" s="57" t="str">
        <f t="shared" si="1277"/>
        <v/>
      </c>
      <c r="O2968" s="56"/>
      <c r="P2968" s="56"/>
      <c r="Q2968" s="48"/>
      <c r="R2968" s="48"/>
    </row>
    <row r="2969" spans="1:23" ht="12.75" customHeight="1" x14ac:dyDescent="0.2">
      <c r="A2969" s="22"/>
      <c r="B2969" s="23" t="str">
        <f>IF(A2969="","",VLOOKUP(A2969,'6.A'!$A$11:$G$180,2,FALSE))</f>
        <v/>
      </c>
      <c r="C2969" s="99"/>
      <c r="D2969" s="57" t="str">
        <f>IF(A2969="","",VLOOKUP(A2969,'6.A'!$A$11:$G$180,4,FALSE))</f>
        <v/>
      </c>
      <c r="E2969" s="100" t="str">
        <f>IF(A2969="","",VLOOKUP(A2969,'6.A'!$A$11:$G$180,5,FALSE))</f>
        <v/>
      </c>
      <c r="F2969" s="24" t="str">
        <f t="shared" si="1274"/>
        <v>0,00</v>
      </c>
      <c r="G2969" s="52"/>
      <c r="H2969" s="52" t="str">
        <f>IF(A2969="","",VLOOKUP(A2969,'6.A'!$A$11:$E$7984,5,FALSE))</f>
        <v/>
      </c>
      <c r="I2969" s="52" t="str">
        <f t="shared" si="1275"/>
        <v/>
      </c>
      <c r="J2969" s="52" t="str">
        <f>IF(H2969="","",VLOOKUP(A2969,'6.A'!$A$11:$E$564,4,FALSE))</f>
        <v/>
      </c>
      <c r="K2969" s="52" t="str">
        <f t="shared" si="1276"/>
        <v/>
      </c>
      <c r="L2969" s="52" t="str">
        <f>IF(H2969="","",IF(C2969="","",G2924*C2969))</f>
        <v/>
      </c>
      <c r="M2969" s="117" t="str">
        <f>IF(A2969="","",VLOOKUP(A2969,'6.A'!$A$11:$C$564,2,FALSE))</f>
        <v/>
      </c>
      <c r="N2969" s="57" t="str">
        <f t="shared" si="1277"/>
        <v/>
      </c>
      <c r="O2969" s="56"/>
      <c r="P2969" s="56"/>
      <c r="Q2969" s="48"/>
      <c r="R2969" s="48"/>
    </row>
    <row r="2970" spans="1:23" ht="12.75" customHeight="1" x14ac:dyDescent="0.2">
      <c r="A2970" s="22"/>
      <c r="B2970" s="39" t="str">
        <f>IF(A2970="","",VLOOKUP(A2970,'6.A'!$A$11:$G$180,2,FALSE))</f>
        <v/>
      </c>
      <c r="C2970" s="99"/>
      <c r="D2970" s="57" t="str">
        <f>IF(A2970="","",VLOOKUP(A2970,'6.A'!$A$11:$G$180,4,FALSE))</f>
        <v/>
      </c>
      <c r="E2970" s="100" t="str">
        <f>IF(A2970="","",VLOOKUP(A2970,'6.A'!$A$11:$G$180,5,FALSE))</f>
        <v/>
      </c>
      <c r="F2970" s="24" t="str">
        <f t="shared" si="1274"/>
        <v>0,00</v>
      </c>
      <c r="G2970" s="52"/>
      <c r="H2970" s="52" t="str">
        <f>IF(A2970="","",VLOOKUP(A2970,'6.A'!$A$11:$E$7984,5,FALSE))</f>
        <v/>
      </c>
      <c r="I2970" s="52" t="str">
        <f t="shared" si="1275"/>
        <v/>
      </c>
      <c r="J2970" s="52" t="str">
        <f>IF(H2970="","",VLOOKUP(A2970,'6.A'!$A$11:$E$564,4,FALSE))</f>
        <v/>
      </c>
      <c r="K2970" s="52" t="str">
        <f t="shared" si="1276"/>
        <v/>
      </c>
      <c r="L2970" s="52" t="str">
        <f>IF(H2970="","",IF(C2970="","",G2924*C2970))</f>
        <v/>
      </c>
      <c r="M2970" s="117" t="str">
        <f>IF(A2970="","",VLOOKUP(A2970,'6.A'!$A$11:$C$564,2,FALSE))</f>
        <v/>
      </c>
      <c r="N2970" s="57" t="str">
        <f t="shared" si="1277"/>
        <v/>
      </c>
      <c r="O2970" s="56"/>
      <c r="P2970" s="56"/>
      <c r="Q2970" s="48"/>
      <c r="R2970" s="48"/>
    </row>
    <row r="2971" spans="1:23" ht="12.75" customHeight="1" x14ac:dyDescent="0.2">
      <c r="A2971" s="22"/>
      <c r="B2971" s="39" t="str">
        <f>IF(A2971="","",VLOOKUP(A2971,'6.A'!$A$11:$G$180,2,FALSE))</f>
        <v/>
      </c>
      <c r="C2971" s="99"/>
      <c r="D2971" s="57" t="str">
        <f>IF(A2971="","",VLOOKUP(A2971,'6.A'!$A$11:$G$180,4,FALSE))</f>
        <v/>
      </c>
      <c r="E2971" s="100" t="str">
        <f>IF(A2971="","",VLOOKUP(A2971,'6.A'!$A$11:$G$180,5,FALSE))</f>
        <v/>
      </c>
      <c r="F2971" s="24" t="str">
        <f t="shared" si="1274"/>
        <v>0,00</v>
      </c>
      <c r="G2971" s="52"/>
      <c r="H2971" s="52" t="str">
        <f>IF(A2971="","",VLOOKUP(A2971,'6.A'!$A$11:$E$7984,5,FALSE))</f>
        <v/>
      </c>
      <c r="I2971" s="52" t="str">
        <f t="shared" si="1275"/>
        <v/>
      </c>
      <c r="J2971" s="52" t="str">
        <f>IF(H2971="","",VLOOKUP(A2971,'6.A'!$A$11:$E$564,4,FALSE))</f>
        <v/>
      </c>
      <c r="K2971" s="52" t="str">
        <f t="shared" si="1276"/>
        <v/>
      </c>
      <c r="L2971" s="52" t="str">
        <f>IF(H2971="","",IF(C2971="","",G2924*C2971))</f>
        <v/>
      </c>
      <c r="M2971" s="117" t="str">
        <f>IF(A2971="","",VLOOKUP(A2971,'6.A'!$A$11:$C$564,2,FALSE))</f>
        <v/>
      </c>
      <c r="N2971" s="57" t="str">
        <f t="shared" si="1277"/>
        <v/>
      </c>
      <c r="O2971" s="56"/>
      <c r="P2971" s="56"/>
      <c r="Q2971" s="48"/>
      <c r="R2971" s="48"/>
    </row>
    <row r="2972" spans="1:23" ht="12.75" customHeight="1" x14ac:dyDescent="0.2">
      <c r="A2972" s="22"/>
      <c r="B2972" s="39" t="str">
        <f>IF(A2972="","",VLOOKUP(A2972,'6.A'!$A$11:$G$180,2,FALSE))</f>
        <v/>
      </c>
      <c r="C2972" s="99"/>
      <c r="D2972" s="57" t="str">
        <f>IF(A2972="","",VLOOKUP(A2972,'6.A'!$A$11:$G$180,4,FALSE))</f>
        <v/>
      </c>
      <c r="E2972" s="100" t="str">
        <f>IF(A2972="","",VLOOKUP(A2972,'6.A'!$A$11:$G$180,5,FALSE))</f>
        <v/>
      </c>
      <c r="F2972" s="24" t="str">
        <f t="shared" si="1274"/>
        <v>0,00</v>
      </c>
      <c r="G2972" s="52"/>
      <c r="H2972" s="52" t="str">
        <f>IF(A2972="","",VLOOKUP(A2972,'6.A'!$A$11:$E$7984,5,FALSE))</f>
        <v/>
      </c>
      <c r="I2972" s="52" t="str">
        <f t="shared" si="1275"/>
        <v/>
      </c>
      <c r="J2972" s="52" t="str">
        <f>IF(H2972="","",VLOOKUP(A2972,'6.A'!$A$11:$E$564,4,FALSE))</f>
        <v/>
      </c>
      <c r="K2972" s="52" t="str">
        <f t="shared" si="1276"/>
        <v/>
      </c>
      <c r="L2972" s="52" t="str">
        <f>IF(H2972="","",IF(C2972="","",G2924*C2972))</f>
        <v/>
      </c>
      <c r="M2972" s="117" t="str">
        <f>IF(A2972="","",VLOOKUP(A2972,'6.A'!$A$11:$C$564,2,FALSE))</f>
        <v/>
      </c>
      <c r="N2972" s="57" t="str">
        <f t="shared" si="1277"/>
        <v/>
      </c>
      <c r="O2972" s="56"/>
      <c r="P2972" s="56"/>
      <c r="Q2972" s="48"/>
      <c r="R2972" s="48"/>
    </row>
    <row r="2973" spans="1:23" ht="12.75" customHeight="1" x14ac:dyDescent="0.2">
      <c r="A2973" s="22"/>
      <c r="B2973" s="26" t="str">
        <f>$A$9</f>
        <v>BDI</v>
      </c>
      <c r="C2973" s="40">
        <f>$C$9</f>
        <v>0</v>
      </c>
      <c r="D2973" s="57"/>
      <c r="F2973" s="28">
        <f>ROUND(SUM(F2953:F2972)*C2973,2)</f>
        <v>0</v>
      </c>
      <c r="G2973" s="63"/>
      <c r="M2973" s="57"/>
      <c r="N2973" s="57"/>
      <c r="O2973" s="56"/>
      <c r="P2973" s="56"/>
      <c r="Q2973" s="48"/>
      <c r="R2973" s="48"/>
    </row>
    <row r="2974" spans="1:23" ht="12.75" customHeight="1" thickBot="1" x14ac:dyDescent="0.25">
      <c r="A2974" s="41"/>
      <c r="B2974" s="42" t="s">
        <v>57</v>
      </c>
      <c r="C2974" s="43"/>
      <c r="D2974" s="44"/>
      <c r="E2974" s="45"/>
      <c r="F2974" s="46">
        <f>ROUND(SUM(F2953:F2973),2)</f>
        <v>0</v>
      </c>
      <c r="G2974" s="63"/>
      <c r="M2974" s="57"/>
      <c r="N2974" s="57"/>
      <c r="O2974" s="56"/>
      <c r="P2974" s="56"/>
      <c r="Q2974" s="48"/>
      <c r="R2974" s="48"/>
    </row>
    <row r="2975" spans="1:23" ht="12" customHeight="1" thickBot="1" x14ac:dyDescent="0.25">
      <c r="A2975" s="8"/>
      <c r="B2975" s="9"/>
      <c r="C2975" s="10"/>
      <c r="D2975" s="57"/>
      <c r="F2975" s="12"/>
      <c r="M2975" s="57"/>
      <c r="N2975" s="57"/>
      <c r="O2975" s="56"/>
      <c r="P2975" s="56"/>
    </row>
    <row r="2976" spans="1:23" ht="50.1" customHeight="1" x14ac:dyDescent="0.2">
      <c r="A2976" s="13" t="str">
        <f>'3.A'!$A$67</f>
        <v>3.3.14</v>
      </c>
      <c r="B2976" s="14" t="str">
        <f>IF(A2976="","",VLOOKUP(A2976,'3.A'!$A$17:$M$279,2,FALSE))</f>
        <v>TRANSFORMADOR DE CORRENTE, EM TERMOPLÁSTICO, TIPO JANELA, VMAX=600VCA, RELAÇÃO DE 600/5A</v>
      </c>
      <c r="C2976" s="413" t="s">
        <v>62</v>
      </c>
      <c r="D2976" s="413"/>
      <c r="E2976" s="15" t="str">
        <f>IF(A2976="","",VLOOKUP(A2976,'3.A'!$A$17:$M$279,3,FALSE))</f>
        <v>UN</v>
      </c>
      <c r="F2976" s="16">
        <f>ROUND(F2990+F3003+F3026,2)</f>
        <v>0</v>
      </c>
      <c r="G2976" s="118">
        <f>VLOOKUP(A2976,'3.A'!$A$19:$I$279,4,FALSE)</f>
        <v>3</v>
      </c>
      <c r="H2976" s="47">
        <f>SUM(F2978:F2989)</f>
        <v>0</v>
      </c>
      <c r="I2976" s="47">
        <f>SUM(F2992:F3002)</f>
        <v>0</v>
      </c>
      <c r="J2976" s="47">
        <f>SUM(F3005:F3025)</f>
        <v>0</v>
      </c>
      <c r="K2976" s="47">
        <f>SUM(H2976:J2976)</f>
        <v>0</v>
      </c>
      <c r="L2976" s="47" t="str">
        <f>IF(K2976=F2976,"SIM","NÃO")</f>
        <v>SIM</v>
      </c>
      <c r="M2976" s="58">
        <f>ROUND(SUM(F2978:F2987)*C2988,2)+ROUND(SUM(F2978:F2988)*C2989,2)+ROUND(SUM(F2978:F2987),2)+ROUND(SUM(F2992:F3001)*C3002,2)+ROUND(SUM(F2992:F3001),2)+ROUND(SUM(F3005:F3024)*C3025,2)+ROUND(SUM(F3005:F3024),2)</f>
        <v>0</v>
      </c>
      <c r="N2976" s="50" t="str">
        <f>IF(M2976=F2976,"SIM","NÃO")</f>
        <v>SIM</v>
      </c>
      <c r="O2976" s="51" t="str">
        <f>VLOOKUP(A2976,'3.A'!$A$8:$E$279,3,FALSE)</f>
        <v>UN</v>
      </c>
      <c r="P2976" s="51" t="str">
        <f>IF(O2976=E2976,"SIM","NÃO")</f>
        <v>SIM</v>
      </c>
      <c r="Q2976" s="53">
        <f>ROUND(G2976*F2990,2)+ROUND(G2976*F3003,2)+ROUND(G2976*F3026,2)</f>
        <v>0</v>
      </c>
      <c r="R2976" s="59">
        <f>VLOOKUP(A2976,'3.A'!$A$17:$L$279,12,FALSE)</f>
        <v>0</v>
      </c>
      <c r="S2976" s="60" t="str">
        <f>IF(Q2976=R2976,"si","no")</f>
        <v>si</v>
      </c>
      <c r="T2976" s="61">
        <f>SUM(L2978:L2987)+SUM(L2992:L3001)+SUM(L3005:L3024)</f>
        <v>3.6</v>
      </c>
      <c r="U2976" s="52">
        <f>G2976*C2984+G2976*C2986+G2976*C2979+G2976*C2980+G2976*C2982+G2976*C2985+G2976*C2983+G2976*C2978+G2976*C2981+G2976*C2987+G2976*C2998+G2976*C2992+G2976*C3000+G2976*C2999+G2976*C2997+G2976*C2994+G2976*C2993+G2976*C2995+G2976*C3001+G2976*C2996+G2976*C3005+G2976*C3006+G2976*C3007+G2976*C3015+G2976*C3016+G2976*C3017+G2976*C3018+G2976*C3019+G2976*C3020+G2976*C3021+G2976*C3022+G2976*C3023+G2976*C3024+G2976*C3013+G2976*C3014+G2976*C3008+G2976*C3009+G2976*C3010+G2976*C3011+G2976*C3012</f>
        <v>3.6</v>
      </c>
      <c r="V2976" s="54" t="str">
        <f>IF(T2976=U2976,"si","no")</f>
        <v>si</v>
      </c>
      <c r="W2976" s="137"/>
    </row>
    <row r="2977" spans="1:19" ht="12.75" customHeight="1" x14ac:dyDescent="0.2">
      <c r="A2977" s="17" t="s">
        <v>3</v>
      </c>
      <c r="B2977" s="18" t="s">
        <v>58</v>
      </c>
      <c r="C2977" s="56" t="s">
        <v>59</v>
      </c>
      <c r="D2977" s="56" t="s">
        <v>16</v>
      </c>
      <c r="E2977" s="19" t="s">
        <v>60</v>
      </c>
      <c r="F2977" s="20" t="s">
        <v>61</v>
      </c>
      <c r="G2977" s="21"/>
      <c r="M2977" s="57"/>
      <c r="N2977" s="57"/>
      <c r="O2977" s="56"/>
      <c r="P2977" s="56"/>
      <c r="Q2977" s="48"/>
      <c r="R2977" s="48"/>
    </row>
    <row r="2978" spans="1:19" ht="12.75" customHeight="1" x14ac:dyDescent="0.2">
      <c r="A2978" s="155">
        <f>'6.A'!$A$18</f>
        <v>88264</v>
      </c>
      <c r="B2978" s="138" t="str">
        <f>IF(A2978="","",VLOOKUP(A2978,'6.A'!$A$11:$G$180,2,FALSE))</f>
        <v>ELETRICISTA COM ENCARGOS COMPLEMENTARES</v>
      </c>
      <c r="C2978" s="156">
        <v>0.1</v>
      </c>
      <c r="D2978" s="57" t="str">
        <f>IF(A2978="","",VLOOKUP(A2978,'6.A'!$A$11:$G$180,4,FALSE))</f>
        <v>H</v>
      </c>
      <c r="E2978" s="100">
        <f>IF(A2978="","",VLOOKUP(A2978,'6.A'!$A$11:$G$180,5,FALSE))</f>
        <v>0</v>
      </c>
      <c r="F2978" s="24">
        <f t="shared" ref="F2978:F2987" si="1278">IF(A2978="","0,00",ROUND(C2978*E2978,2))</f>
        <v>0</v>
      </c>
      <c r="G2978" s="52"/>
      <c r="H2978" s="52">
        <f>IF(A2978="","",VLOOKUP(A2978,'6.A'!$A$11:$E$7984,5,FALSE))</f>
        <v>0</v>
      </c>
      <c r="I2978" s="52" t="str">
        <f>IF(H2978="","",IF(E2978=H2978,"SIM","NÃO"))</f>
        <v>SIM</v>
      </c>
      <c r="J2978" s="52" t="str">
        <f>IF(H2978="","",VLOOKUP(A2978,'6.A'!$A$11:$E$564,4,FALSE))</f>
        <v>H</v>
      </c>
      <c r="K2978" s="52" t="str">
        <f>IF(H2978="","",IF(J2978=D2978,"SIM","NÃO"))</f>
        <v>SIM</v>
      </c>
      <c r="L2978" s="52">
        <f>IF(H2978="","",IF(C2978="","",G2976*C2978))</f>
        <v>0.30000000000000004</v>
      </c>
      <c r="M2978" s="117" t="str">
        <f>IF(A2978="","",VLOOKUP(A2978,'6.A'!$A$11:$C$564,2,FALSE))</f>
        <v>ELETRICISTA COM ENCARGOS COMPLEMENTARES</v>
      </c>
      <c r="N2978" s="57" t="str">
        <f>IF(A2978="","",IF(M2978=B2978,"si","no"))</f>
        <v>si</v>
      </c>
      <c r="O2978" s="56"/>
      <c r="P2978" s="56"/>
      <c r="Q2978" s="48"/>
      <c r="R2978" s="48"/>
    </row>
    <row r="2979" spans="1:19" ht="12.75" customHeight="1" x14ac:dyDescent="0.2">
      <c r="A2979" s="155">
        <f>'6.A'!$A$15</f>
        <v>88247</v>
      </c>
      <c r="B2979" s="138" t="str">
        <f>IF(A2979="","",VLOOKUP(A2979,'6.A'!$A$11:$G$180,2,FALSE))</f>
        <v>AUXILIAR DE ELETRICISTA COM ENCARGOS COMPLEMENTARES</v>
      </c>
      <c r="C2979" s="156">
        <v>0.1</v>
      </c>
      <c r="D2979" s="57" t="str">
        <f>IF(A2979="","",VLOOKUP(A2979,'6.A'!$A$11:$G$180,4,FALSE))</f>
        <v>H</v>
      </c>
      <c r="E2979" s="100">
        <f>IF(A2979="","",VLOOKUP(A2979,'6.A'!$A$11:$G$180,5,FALSE))</f>
        <v>0</v>
      </c>
      <c r="F2979" s="24">
        <f t="shared" si="1278"/>
        <v>0</v>
      </c>
      <c r="G2979" s="52"/>
      <c r="H2979" s="52">
        <f>IF(A2979="","",VLOOKUP(A2979,'6.A'!$A$11:$E$7984,5,FALSE))</f>
        <v>0</v>
      </c>
      <c r="I2979" s="52" t="str">
        <f>IF(H2979="","",IF(E2979=H2979,"SIM","NÃO"))</f>
        <v>SIM</v>
      </c>
      <c r="J2979" s="52" t="str">
        <f>IF(H2979="","",VLOOKUP(A2979,'6.A'!$A$11:$E$564,4,FALSE))</f>
        <v>H</v>
      </c>
      <c r="K2979" s="52" t="str">
        <f>IF(H2979="","",IF(J2979=D2979,"SIM","NÃO"))</f>
        <v>SIM</v>
      </c>
      <c r="L2979" s="52">
        <f>IF(H2979="","",IF(C2979="","",G2976*C2979))</f>
        <v>0.30000000000000004</v>
      </c>
      <c r="M2979" s="117" t="str">
        <f>IF(A2979="","",VLOOKUP(A2979,'6.A'!$A$11:$C$564,2,FALSE))</f>
        <v>AUXILIAR DE ELETRICISTA COM ENCARGOS COMPLEMENTARES</v>
      </c>
      <c r="N2979" s="57" t="str">
        <f>IF(A2979="","",IF(M2979=B2979,"si","no"))</f>
        <v>si</v>
      </c>
      <c r="O2979" s="56"/>
      <c r="P2979" s="56"/>
      <c r="Q2979" s="48"/>
      <c r="R2979" s="48"/>
    </row>
    <row r="2980" spans="1:19" ht="12.75" customHeight="1" x14ac:dyDescent="0.2">
      <c r="A2980" s="155"/>
      <c r="B2980" s="138" t="str">
        <f>IF(A2980="","",VLOOKUP(A2980,'6.A'!$A$11:$G$180,2,FALSE))</f>
        <v/>
      </c>
      <c r="C2980" s="156"/>
      <c r="D2980" s="57" t="str">
        <f>IF(A2980="","",VLOOKUP(A2980,'6.A'!$A$11:$G$180,4,FALSE))</f>
        <v/>
      </c>
      <c r="E2980" s="100" t="str">
        <f>IF(A2980="","",VLOOKUP(A2980,'6.A'!$A$11:$G$180,5,FALSE))</f>
        <v/>
      </c>
      <c r="F2980" s="24" t="str">
        <f t="shared" si="1278"/>
        <v>0,00</v>
      </c>
      <c r="G2980" s="52"/>
      <c r="H2980" s="52" t="str">
        <f>IF(A2980="","",VLOOKUP(A2980,'6.A'!$A$11:$E$7984,5,FALSE))</f>
        <v/>
      </c>
      <c r="I2980" s="52" t="str">
        <f>IF(H2980="","",IF(E2980=H2980,"SIM","NÃO"))</f>
        <v/>
      </c>
      <c r="J2980" s="52" t="str">
        <f>IF(H2980="","",VLOOKUP(A2980,'6.A'!$A$11:$E$564,4,FALSE))</f>
        <v/>
      </c>
      <c r="K2980" s="52" t="str">
        <f t="shared" ref="K2980" si="1279">IF(H2980="","",IF(J2980=D2980,"SIM","NÃO"))</f>
        <v/>
      </c>
      <c r="L2980" s="52" t="str">
        <f>IF(H2980="","",IF(C2980="","",G2976*C2980))</f>
        <v/>
      </c>
      <c r="M2980" s="117" t="str">
        <f>IF(A2980="","",VLOOKUP(A2980,'6.A'!$A$11:$C$564,2,FALSE))</f>
        <v/>
      </c>
      <c r="N2980" s="57" t="str">
        <f t="shared" ref="N2980" si="1280">IF(A2980="","",IF(M2980=B2980,"si","no"))</f>
        <v/>
      </c>
      <c r="O2980" s="56"/>
      <c r="P2980" s="56"/>
      <c r="Q2980" s="48"/>
      <c r="R2980" s="48"/>
      <c r="S2980" s="2"/>
    </row>
    <row r="2981" spans="1:19" ht="12.75" customHeight="1" x14ac:dyDescent="0.2">
      <c r="A2981" s="155"/>
      <c r="B2981" s="138" t="str">
        <f>IF(A2981="","",VLOOKUP(A2981,'6.A'!$A$11:$G$180,2,FALSE))</f>
        <v/>
      </c>
      <c r="C2981" s="156"/>
      <c r="D2981" s="57" t="str">
        <f>IF(A2981="","",VLOOKUP(A2981,'6.A'!$A$11:$G$180,4,FALSE))</f>
        <v/>
      </c>
      <c r="E2981" s="100" t="str">
        <f>IF(A2981="","",VLOOKUP(A2981,'6.A'!$A$11:$G$180,5,FALSE))</f>
        <v/>
      </c>
      <c r="F2981" s="24" t="str">
        <f t="shared" si="1278"/>
        <v>0,00</v>
      </c>
      <c r="G2981" s="52"/>
      <c r="H2981" s="52" t="str">
        <f>IF(A2981="","",VLOOKUP(A2981,'6.A'!$A$11:$E$7984,5,FALSE))</f>
        <v/>
      </c>
      <c r="I2981" s="52" t="str">
        <f>IF(H2981="","",IF(E2981=H2981,"SIM","NÃO"))</f>
        <v/>
      </c>
      <c r="J2981" s="52" t="str">
        <f>IF(H2981="","",VLOOKUP(A2981,'6.A'!$A$11:$E$564,4,FALSE))</f>
        <v/>
      </c>
      <c r="K2981" s="52" t="str">
        <f>IF(H2981="","",IF(J2981=D2981,"SIM","NÃO"))</f>
        <v/>
      </c>
      <c r="L2981" s="52" t="str">
        <f>IF(H2981="","",IF(C2981="","",G2976*C2981))</f>
        <v/>
      </c>
      <c r="M2981" s="117" t="str">
        <f>IF(A2981="","",VLOOKUP(A2981,'6.A'!$A$11:$C$564,2,FALSE))</f>
        <v/>
      </c>
      <c r="N2981" s="57" t="str">
        <f>IF(A2981="","",IF(M2981=B2981,"si","no"))</f>
        <v/>
      </c>
      <c r="O2981" s="56"/>
      <c r="P2981" s="56"/>
      <c r="Q2981" s="48"/>
      <c r="R2981" s="48"/>
      <c r="S2981" s="2"/>
    </row>
    <row r="2982" spans="1:19" ht="12.75" customHeight="1" x14ac:dyDescent="0.2">
      <c r="A2982" s="155"/>
      <c r="B2982" s="138" t="str">
        <f>IF(A2982="","",VLOOKUP(A2982,'6.A'!$A$11:$G$180,2,FALSE))</f>
        <v/>
      </c>
      <c r="C2982" s="156"/>
      <c r="D2982" s="57" t="str">
        <f>IF(A2982="","",VLOOKUP(A2982,'6.A'!$A$11:$G$180,4,FALSE))</f>
        <v/>
      </c>
      <c r="E2982" s="101" t="str">
        <f>IF(A2982="","",VLOOKUP(A2982,'6.A'!$A$11:$G$180,5,FALSE))</f>
        <v/>
      </c>
      <c r="F2982" s="24" t="str">
        <f t="shared" si="1278"/>
        <v>0,00</v>
      </c>
      <c r="G2982" s="52"/>
      <c r="H2982" s="52" t="str">
        <f>IF(A2982="","",VLOOKUP(A2982,'6.A'!$A$11:$E$7984,5,FALSE))</f>
        <v/>
      </c>
      <c r="I2982" s="52" t="str">
        <f t="shared" ref="I2982" si="1281">IF(H2982="","",IF(E2982=H2982,"SIM","NÃO"))</f>
        <v/>
      </c>
      <c r="J2982" s="52" t="str">
        <f>IF(H2982="","",VLOOKUP(A2982,'6.A'!$A$11:$E$564,4,FALSE))</f>
        <v/>
      </c>
      <c r="K2982" s="52" t="str">
        <f t="shared" ref="K2982" si="1282">IF(H2982="","",IF(J2982=D2982,"SIM","NÃO"))</f>
        <v/>
      </c>
      <c r="L2982" s="52" t="str">
        <f>IF(H2982="","",IF(C2982="","",G2976*C2982))</f>
        <v/>
      </c>
      <c r="M2982" s="117" t="str">
        <f>IF(A2982="","",VLOOKUP(A2982,'6.A'!$A$11:$C$564,2,FALSE))</f>
        <v/>
      </c>
      <c r="N2982" s="57" t="str">
        <f t="shared" ref="N2982" si="1283">IF(A2982="","",IF(M2982=B2982,"si","no"))</f>
        <v/>
      </c>
      <c r="O2982" s="56"/>
      <c r="P2982" s="56"/>
      <c r="Q2982" s="48"/>
      <c r="R2982" s="48"/>
      <c r="S2982" s="2"/>
    </row>
    <row r="2983" spans="1:19" ht="12.75" customHeight="1" x14ac:dyDescent="0.2">
      <c r="A2983" s="155"/>
      <c r="B2983" s="138" t="str">
        <f>IF(A2983="","",VLOOKUP(A2983,'6.A'!$A$11:$G$180,2,FALSE))</f>
        <v/>
      </c>
      <c r="C2983" s="156"/>
      <c r="D2983" s="57" t="str">
        <f>IF(A2983="","",VLOOKUP(A2983,'6.A'!$A$11:$G$180,4,FALSE))</f>
        <v/>
      </c>
      <c r="E2983" s="101" t="str">
        <f>IF(A2983="","",VLOOKUP(A2983,'6.A'!$A$11:$G$180,5,FALSE))</f>
        <v/>
      </c>
      <c r="F2983" s="24" t="str">
        <f t="shared" si="1278"/>
        <v>0,00</v>
      </c>
      <c r="G2983" s="52"/>
      <c r="H2983" s="52" t="str">
        <f>IF(A2983="","",VLOOKUP(A2983,'6.A'!$A$11:$E$7984,5,FALSE))</f>
        <v/>
      </c>
      <c r="I2983" s="52" t="str">
        <f>IF(H2983="","",IF(E2983=H2983,"SIM","NÃO"))</f>
        <v/>
      </c>
      <c r="J2983" s="52" t="str">
        <f>IF(H2983="","",VLOOKUP(A2983,'6.A'!$A$11:$E$564,4,FALSE))</f>
        <v/>
      </c>
      <c r="K2983" s="52" t="str">
        <f>IF(H2983="","",IF(J2983=D2983,"SIM","NÃO"))</f>
        <v/>
      </c>
      <c r="L2983" s="52" t="str">
        <f>IF(H2983="","",IF(C2983="","",G2976*C2983))</f>
        <v/>
      </c>
      <c r="M2983" s="117" t="str">
        <f>IF(A2983="","",VLOOKUP(A2983,'6.A'!$A$11:$C$564,2,FALSE))</f>
        <v/>
      </c>
      <c r="N2983" s="57" t="str">
        <f>IF(A2983="","",IF(M2983=B2983,"si","no"))</f>
        <v/>
      </c>
      <c r="O2983" s="56"/>
      <c r="P2983" s="56"/>
      <c r="Q2983" s="48"/>
      <c r="R2983" s="48"/>
      <c r="S2983" s="2"/>
    </row>
    <row r="2984" spans="1:19" ht="12.75" customHeight="1" x14ac:dyDescent="0.2">
      <c r="A2984" s="155"/>
      <c r="B2984" s="138" t="str">
        <f>IF(A2984="","",VLOOKUP(A2984,'6.A'!$A$11:$G$180,2,FALSE))</f>
        <v/>
      </c>
      <c r="C2984" s="156"/>
      <c r="D2984" s="57" t="str">
        <f>IF(A2984="","",VLOOKUP(A2984,'6.A'!$A$11:$G$180,4,FALSE))</f>
        <v/>
      </c>
      <c r="E2984" s="100" t="str">
        <f>IF(A2984="","",VLOOKUP(A2984,'6.A'!$A$11:$G$180,5,FALSE))</f>
        <v/>
      </c>
      <c r="F2984" s="24" t="str">
        <f t="shared" si="1278"/>
        <v>0,00</v>
      </c>
      <c r="G2984" s="52"/>
      <c r="H2984" s="52" t="str">
        <f>IF(A2984="","",VLOOKUP(A2984,'6.A'!$A$11:$E$7984,5,FALSE))</f>
        <v/>
      </c>
      <c r="I2984" s="52" t="str">
        <f>IF(H2984="","",IF(E2984=H2984,"SIM","NÃO"))</f>
        <v/>
      </c>
      <c r="J2984" s="52" t="str">
        <f>IF(H2984="","",VLOOKUP(A2984,'6.A'!$A$11:$E$564,4,FALSE))</f>
        <v/>
      </c>
      <c r="K2984" s="52" t="str">
        <f>IF(H2984="","",IF(J2984=D2984,"SIM","NÃO"))</f>
        <v/>
      </c>
      <c r="L2984" s="52" t="str">
        <f>IF(H2984="","",IF(C2984="","",G2976*C2984))</f>
        <v/>
      </c>
      <c r="M2984" s="117" t="str">
        <f>IF(A2984="","",VLOOKUP(A2984,'6.A'!$A$11:$C$564,2,FALSE))</f>
        <v/>
      </c>
      <c r="N2984" s="57" t="str">
        <f>IF(A2984="","",IF(M2984=B2984,"si","no"))</f>
        <v/>
      </c>
      <c r="O2984" s="56"/>
      <c r="P2984" s="56"/>
      <c r="Q2984" s="48"/>
      <c r="R2984" s="48"/>
      <c r="S2984" s="2"/>
    </row>
    <row r="2985" spans="1:19" ht="12.75" customHeight="1" x14ac:dyDescent="0.2">
      <c r="A2985" s="155"/>
      <c r="B2985" s="138" t="str">
        <f>IF(A2985="","",VLOOKUP(A2985,'6.A'!$A$11:$G$180,2,FALSE))</f>
        <v/>
      </c>
      <c r="C2985" s="156"/>
      <c r="D2985" s="57" t="str">
        <f>IF(A2985="","",VLOOKUP(A2985,'6.A'!$A$11:$G$180,4,FALSE))</f>
        <v/>
      </c>
      <c r="E2985" s="100" t="str">
        <f>IF(A2985="","",VLOOKUP(A2985,'6.A'!$A$11:$G$180,5,FALSE))</f>
        <v/>
      </c>
      <c r="F2985" s="24" t="str">
        <f t="shared" si="1278"/>
        <v>0,00</v>
      </c>
      <c r="G2985" s="52"/>
      <c r="H2985" s="52" t="str">
        <f>IF(A2985="","",VLOOKUP(A2985,'6.A'!$A$11:$E$7984,5,FALSE))</f>
        <v/>
      </c>
      <c r="I2985" s="52" t="str">
        <f t="shared" ref="I2985" si="1284">IF(H2985="","",IF(E2985=H2985,"SIM","NÃO"))</f>
        <v/>
      </c>
      <c r="J2985" s="52" t="str">
        <f>IF(H2985="","",VLOOKUP(A2985,'6.A'!$A$11:$E$564,4,FALSE))</f>
        <v/>
      </c>
      <c r="K2985" s="52" t="str">
        <f t="shared" ref="K2985" si="1285">IF(H2985="","",IF(J2985=D2985,"SIM","NÃO"))</f>
        <v/>
      </c>
      <c r="L2985" s="52" t="str">
        <f>IF(H2985="","",IF(C2985="","",G2976*C2985))</f>
        <v/>
      </c>
      <c r="M2985" s="117" t="str">
        <f>IF(A2985="","",VLOOKUP(A2985,'6.A'!$A$11:$C$564,2,FALSE))</f>
        <v/>
      </c>
      <c r="N2985" s="57" t="str">
        <f t="shared" ref="N2985" si="1286">IF(A2985="","",IF(M2985=B2985,"si","no"))</f>
        <v/>
      </c>
      <c r="O2985" s="56"/>
      <c r="P2985" s="56"/>
      <c r="Q2985" s="48"/>
      <c r="R2985" s="48"/>
      <c r="S2985" s="2"/>
    </row>
    <row r="2986" spans="1:19" ht="12.75" customHeight="1" x14ac:dyDescent="0.2">
      <c r="A2986" s="155"/>
      <c r="B2986" s="138" t="str">
        <f>IF(A2986="","",VLOOKUP(A2986,'6.A'!$A$11:$G$180,2,FALSE))</f>
        <v/>
      </c>
      <c r="C2986" s="156"/>
      <c r="D2986" s="73" t="str">
        <f>IF(A2986="","",VLOOKUP(A2986,'6.A'!$A$11:$G$180,4,FALSE))</f>
        <v/>
      </c>
      <c r="E2986" s="101" t="str">
        <f>IF(A2986="","",VLOOKUP(A2986,'6.A'!$A$11:$G$180,5,FALSE))</f>
        <v/>
      </c>
      <c r="F2986" s="24" t="str">
        <f t="shared" si="1278"/>
        <v>0,00</v>
      </c>
      <c r="G2986" s="52"/>
      <c r="H2986" s="52" t="str">
        <f>IF(A2986="","",VLOOKUP(A2986,'6.A'!$A$11:$E$7984,5,FALSE))</f>
        <v/>
      </c>
      <c r="I2986" s="52" t="str">
        <f>IF(H2986="","",IF(E2986=H2986,"SIM","NÃO"))</f>
        <v/>
      </c>
      <c r="J2986" s="52" t="str">
        <f>IF(H2986="","",VLOOKUP(A2986,'6.A'!$A$11:$E$564,4,FALSE))</f>
        <v/>
      </c>
      <c r="K2986" s="52" t="str">
        <f>IF(H2986="","",IF(J2986=D2986,"SIM","NÃO"))</f>
        <v/>
      </c>
      <c r="L2986" s="52" t="str">
        <f>IF(H2986="","",IF(C2986="","",G2976*C2986))</f>
        <v/>
      </c>
      <c r="M2986" s="117" t="str">
        <f>IF(A2986="","",VLOOKUP(A2986,'6.A'!$A$11:$C$564,2,FALSE))</f>
        <v/>
      </c>
      <c r="N2986" s="57" t="str">
        <f>IF(A2986="","",IF(M2986=B2986,"si","no"))</f>
        <v/>
      </c>
      <c r="O2986" s="56"/>
      <c r="P2986" s="56"/>
      <c r="Q2986" s="48"/>
      <c r="R2986" s="48"/>
      <c r="S2986" s="2"/>
    </row>
    <row r="2987" spans="1:19" ht="12.75" customHeight="1" x14ac:dyDescent="0.2">
      <c r="A2987" s="155"/>
      <c r="B2987" s="138" t="str">
        <f>IF(A2987="","",VLOOKUP(A2987,'6.A'!$A$11:$G$180,2,FALSE))</f>
        <v/>
      </c>
      <c r="C2987" s="156"/>
      <c r="D2987" s="25" t="str">
        <f>IF(A2987="","",VLOOKUP(A2987,'6.A'!$A$11:$G$180,4,FALSE))</f>
        <v/>
      </c>
      <c r="E2987" s="101" t="str">
        <f>IF(A2987="","",VLOOKUP(A2987,'6.A'!$A$11:$G$180,5,FALSE))</f>
        <v/>
      </c>
      <c r="F2987" s="24" t="str">
        <f t="shared" si="1278"/>
        <v>0,00</v>
      </c>
      <c r="G2987" s="52"/>
      <c r="H2987" s="52" t="str">
        <f>IF(A2987="","",VLOOKUP(A2987,'6.A'!$A$11:$E$7984,5,FALSE))</f>
        <v/>
      </c>
      <c r="I2987" s="52" t="str">
        <f t="shared" ref="I2987" si="1287">IF(H2987="","",IF(E2987=H2987,"SIM","NÃO"))</f>
        <v/>
      </c>
      <c r="J2987" s="52" t="str">
        <f>IF(H2987="","",VLOOKUP(A2987,'6.A'!$A$11:$E$564,4,FALSE))</f>
        <v/>
      </c>
      <c r="K2987" s="52" t="str">
        <f t="shared" ref="K2987" si="1288">IF(H2987="","",IF(J2987=D2987,"SIM","NÃO"))</f>
        <v/>
      </c>
      <c r="L2987" s="52" t="str">
        <f>IF(H2987="","",IF(C2987="","",G2976*C2987))</f>
        <v/>
      </c>
      <c r="M2987" s="117" t="str">
        <f>IF(A2987="","",VLOOKUP(A2987,'6.A'!$A$11:$C$564,2,FALSE))</f>
        <v/>
      </c>
      <c r="N2987" s="57" t="str">
        <f t="shared" ref="N2987" si="1289">IF(A2987="","",IF(M2987=B2987,"si","no"))</f>
        <v/>
      </c>
      <c r="O2987" s="56"/>
      <c r="P2987" s="56"/>
      <c r="Q2987" s="48"/>
      <c r="R2987" s="48"/>
      <c r="S2987" s="2"/>
    </row>
    <row r="2988" spans="1:19" ht="12.75" customHeight="1" x14ac:dyDescent="0.2">
      <c r="A2988" s="152"/>
      <c r="B2988" s="26" t="str">
        <f>$A$8</f>
        <v>LEIS SOCIAIS HORISTA - JORNADA NORMAL</v>
      </c>
      <c r="C2988" s="27">
        <f>$C$8</f>
        <v>0</v>
      </c>
      <c r="D2988" s="57"/>
      <c r="F2988" s="28">
        <f>ROUND(SUM(F2978:F2987)*C2988,2)</f>
        <v>0</v>
      </c>
      <c r="G2988" s="63"/>
      <c r="M2988" s="62"/>
      <c r="N2988" s="57"/>
      <c r="O2988" s="56"/>
      <c r="P2988" s="56"/>
      <c r="Q2988" s="48"/>
      <c r="R2988" s="48"/>
      <c r="S2988" s="2"/>
    </row>
    <row r="2989" spans="1:19" ht="12.75" customHeight="1" x14ac:dyDescent="0.2">
      <c r="A2989" s="155"/>
      <c r="B2989" s="26" t="str">
        <f>$A$9</f>
        <v>BDI</v>
      </c>
      <c r="C2989" s="27">
        <f>$C$9</f>
        <v>0</v>
      </c>
      <c r="D2989" s="29"/>
      <c r="F2989" s="28">
        <f>ROUND(SUM(F2978:F2988)*C2989,2)</f>
        <v>0</v>
      </c>
      <c r="G2989" s="63"/>
      <c r="M2989" s="62"/>
      <c r="N2989" s="57"/>
      <c r="O2989" s="56"/>
      <c r="P2989" s="56"/>
      <c r="Q2989" s="48"/>
      <c r="R2989" s="48"/>
      <c r="S2989" s="2"/>
    </row>
    <row r="2990" spans="1:19" ht="12.75" customHeight="1" x14ac:dyDescent="0.2">
      <c r="A2990" s="163"/>
      <c r="B2990" s="164" t="s">
        <v>56</v>
      </c>
      <c r="C2990" s="165"/>
      <c r="D2990" s="33"/>
      <c r="E2990" s="34"/>
      <c r="F2990" s="35">
        <f>ROUND(SUM(F2978:F2989),2)</f>
        <v>0</v>
      </c>
      <c r="G2990" s="63"/>
      <c r="M2990" s="62"/>
      <c r="N2990" s="57"/>
      <c r="O2990" s="56"/>
      <c r="P2990" s="56"/>
      <c r="Q2990" s="48"/>
      <c r="R2990" s="48"/>
      <c r="S2990" s="2"/>
    </row>
    <row r="2991" spans="1:19" ht="12.75" customHeight="1" x14ac:dyDescent="0.2">
      <c r="A2991" s="152" t="s">
        <v>5</v>
      </c>
      <c r="B2991" s="153" t="s">
        <v>130</v>
      </c>
      <c r="C2991" s="140" t="s">
        <v>59</v>
      </c>
      <c r="D2991" s="56" t="s">
        <v>16</v>
      </c>
      <c r="E2991" s="19" t="s">
        <v>60</v>
      </c>
      <c r="F2991" s="20" t="s">
        <v>61</v>
      </c>
      <c r="G2991" s="21"/>
      <c r="M2991" s="62"/>
      <c r="N2991" s="57"/>
      <c r="O2991" s="56"/>
      <c r="P2991" s="56"/>
      <c r="Q2991" s="48"/>
      <c r="R2991" s="48"/>
      <c r="S2991" s="2"/>
    </row>
    <row r="2992" spans="1:19" ht="12.75" customHeight="1" x14ac:dyDescent="0.2">
      <c r="A2992" s="155"/>
      <c r="B2992" s="138" t="str">
        <f>IF(A2992="","",VLOOKUP(A2992,'6.A'!$A$11:$G$180,2,FALSE))</f>
        <v/>
      </c>
      <c r="C2992" s="156"/>
      <c r="D2992" s="57" t="str">
        <f>IF(A2992="","",VLOOKUP(A2992,'6.A'!$A$11:$G$180,4,FALSE))</f>
        <v/>
      </c>
      <c r="E2992" s="100" t="str">
        <f>IF(A2992="","",VLOOKUP(A2992,'6.A'!$A$11:$G$180,5,FALSE))</f>
        <v/>
      </c>
      <c r="F2992" s="24" t="str">
        <f t="shared" ref="F2992:F3001" si="1290">IF(A2992="","0,00",ROUND(C2992*E2992,2))</f>
        <v>0,00</v>
      </c>
      <c r="G2992" s="52"/>
      <c r="H2992" s="52" t="str">
        <f>IF(A2992="","",VLOOKUP(A2992,'6.A'!$A$11:$E$7984,5,FALSE))</f>
        <v/>
      </c>
      <c r="I2992" s="52" t="str">
        <f t="shared" ref="I2992:I3001" si="1291">IF(H2992="","",IF(E2992=H2992,"SIM","NÃO"))</f>
        <v/>
      </c>
      <c r="J2992" s="52" t="str">
        <f>IF(H2992="","",VLOOKUP(A2992,'6.A'!$A$11:$E$564,4,FALSE))</f>
        <v/>
      </c>
      <c r="K2992" s="52" t="str">
        <f t="shared" ref="K2992:K3001" si="1292">IF(H2992="","",IF(J2992=D2992,"SIM","NÃO"))</f>
        <v/>
      </c>
      <c r="L2992" s="52" t="str">
        <f>IF(H2992="","",IF(C2992="","",G2976*C2992))</f>
        <v/>
      </c>
      <c r="M2992" s="117" t="str">
        <f>IF(A2992="","",VLOOKUP(A2992,'6.A'!$A$11:$C$564,2,FALSE))</f>
        <v/>
      </c>
      <c r="N2992" s="57" t="str">
        <f t="shared" ref="N2992:N2997" si="1293">IF(A2992="","",IF(M2992=B2992,"si","no"))</f>
        <v/>
      </c>
      <c r="O2992" s="56"/>
      <c r="P2992" s="56"/>
      <c r="Q2992" s="48"/>
      <c r="R2992" s="48"/>
      <c r="S2992" s="2"/>
    </row>
    <row r="2993" spans="1:19" ht="12.75" customHeight="1" x14ac:dyDescent="0.2">
      <c r="A2993" s="155"/>
      <c r="B2993" s="138" t="str">
        <f>IF(A2993="","",VLOOKUP(A2993,'6.A'!$A$11:$G$180,2,FALSE))</f>
        <v/>
      </c>
      <c r="C2993" s="156"/>
      <c r="D2993" s="57" t="str">
        <f>IF(A2993="","",VLOOKUP(A2993,'6.A'!$A$11:$G$180,4,FALSE))</f>
        <v/>
      </c>
      <c r="E2993" s="100" t="str">
        <f>IF(A2993="","",VLOOKUP(A2993,'6.A'!$A$11:$G$180,5,FALSE))</f>
        <v/>
      </c>
      <c r="F2993" s="24" t="str">
        <f t="shared" si="1290"/>
        <v>0,00</v>
      </c>
      <c r="G2993" s="52"/>
      <c r="H2993" s="52" t="str">
        <f>IF(A2993="","",VLOOKUP(A2993,'6.A'!$A$11:$E$7984,5,FALSE))</f>
        <v/>
      </c>
      <c r="I2993" s="52" t="str">
        <f t="shared" si="1291"/>
        <v/>
      </c>
      <c r="J2993" s="52" t="str">
        <f>IF(H2993="","",VLOOKUP(A2993,'6.A'!$A$11:$E$564,4,FALSE))</f>
        <v/>
      </c>
      <c r="K2993" s="52" t="str">
        <f t="shared" si="1292"/>
        <v/>
      </c>
      <c r="L2993" s="52" t="str">
        <f>IF(H2993="","",IF(C2993="","",G2976*C2993))</f>
        <v/>
      </c>
      <c r="M2993" s="117" t="str">
        <f>IF(A2993="","",VLOOKUP(A2993,'6.A'!$A$11:$C$564,2,FALSE))</f>
        <v/>
      </c>
      <c r="N2993" s="57" t="str">
        <f t="shared" si="1293"/>
        <v/>
      </c>
      <c r="O2993" s="56"/>
      <c r="P2993" s="56"/>
      <c r="Q2993" s="48"/>
      <c r="R2993" s="48"/>
      <c r="S2993" s="2"/>
    </row>
    <row r="2994" spans="1:19" ht="12.75" customHeight="1" x14ac:dyDescent="0.2">
      <c r="A2994" s="155"/>
      <c r="B2994" s="138" t="str">
        <f>IF(A2994="","",VLOOKUP(A2994,'6.A'!$A$11:$G$180,2,FALSE))</f>
        <v/>
      </c>
      <c r="C2994" s="156"/>
      <c r="D2994" s="57" t="str">
        <f>IF(A2994="","",VLOOKUP(A2994,'6.A'!$A$11:$G$180,4,FALSE))</f>
        <v/>
      </c>
      <c r="E2994" s="100" t="str">
        <f>IF(A2994="","",VLOOKUP(A2994,'6.A'!$A$11:$G$180,5,FALSE))</f>
        <v/>
      </c>
      <c r="F2994" s="24" t="str">
        <f t="shared" si="1290"/>
        <v>0,00</v>
      </c>
      <c r="G2994" s="52"/>
      <c r="H2994" s="52" t="str">
        <f>IF(A2994="","",VLOOKUP(A2994,'6.A'!$A$11:$E$7984,5,FALSE))</f>
        <v/>
      </c>
      <c r="I2994" s="52" t="str">
        <f t="shared" si="1291"/>
        <v/>
      </c>
      <c r="J2994" s="52" t="str">
        <f>IF(H2994="","",VLOOKUP(A2994,'6.A'!$A$11:$E$564,4,FALSE))</f>
        <v/>
      </c>
      <c r="K2994" s="52" t="str">
        <f t="shared" si="1292"/>
        <v/>
      </c>
      <c r="L2994" s="52" t="str">
        <f>IF(H2994="","",IF(C2994="","",G2976*C2994))</f>
        <v/>
      </c>
      <c r="M2994" s="117" t="str">
        <f>IF(A2994="","",VLOOKUP(A2994,'6.A'!$A$11:$C$564,2,FALSE))</f>
        <v/>
      </c>
      <c r="N2994" s="57" t="str">
        <f t="shared" si="1293"/>
        <v/>
      </c>
      <c r="O2994" s="56"/>
      <c r="P2994" s="56"/>
      <c r="Q2994" s="48"/>
      <c r="R2994" s="48"/>
      <c r="S2994" s="2"/>
    </row>
    <row r="2995" spans="1:19" ht="12.75" customHeight="1" x14ac:dyDescent="0.2">
      <c r="A2995" s="155"/>
      <c r="B2995" s="176" t="str">
        <f>IF(A2995="","",VLOOKUP(A2995,'6.A'!$A$11:$G$180,2,FALSE))</f>
        <v/>
      </c>
      <c r="C2995" s="156"/>
      <c r="D2995" s="57" t="str">
        <f>IF(A2995="","",VLOOKUP(A2995,'6.A'!$A$11:$G$180,4,FALSE))</f>
        <v/>
      </c>
      <c r="E2995" s="100" t="str">
        <f>IF(A2995="","",VLOOKUP(A2995,'6.A'!$A$11:$G$180,5,FALSE))</f>
        <v/>
      </c>
      <c r="F2995" s="24" t="str">
        <f t="shared" si="1290"/>
        <v>0,00</v>
      </c>
      <c r="G2995" s="52"/>
      <c r="H2995" s="52" t="str">
        <f>IF(A2995="","",VLOOKUP(A2995,'6.A'!$A$11:$E$7984,5,FALSE))</f>
        <v/>
      </c>
      <c r="I2995" s="52" t="str">
        <f t="shared" si="1291"/>
        <v/>
      </c>
      <c r="J2995" s="52" t="str">
        <f>IF(H2995="","",VLOOKUP(A2995,'6.A'!$A$11:$E$564,4,FALSE))</f>
        <v/>
      </c>
      <c r="K2995" s="52" t="str">
        <f t="shared" si="1292"/>
        <v/>
      </c>
      <c r="L2995" s="52" t="str">
        <f>IF(H2995="","",IF(C2995="","",G2976*C2995))</f>
        <v/>
      </c>
      <c r="M2995" s="117" t="str">
        <f>IF(A2995="","",VLOOKUP(A2995,'6.A'!$A$11:$C$564,2,FALSE))</f>
        <v/>
      </c>
      <c r="N2995" s="57" t="str">
        <f t="shared" si="1293"/>
        <v/>
      </c>
      <c r="O2995" s="56"/>
      <c r="P2995" s="56"/>
      <c r="Q2995" s="48"/>
      <c r="R2995" s="48"/>
      <c r="S2995" s="2"/>
    </row>
    <row r="2996" spans="1:19" ht="12.75" customHeight="1" x14ac:dyDescent="0.2">
      <c r="A2996" s="155"/>
      <c r="B2996" s="176" t="str">
        <f>IF(A2996="","",VLOOKUP(A2996,'6.A'!$A$11:$G$180,2,FALSE))</f>
        <v/>
      </c>
      <c r="C2996" s="156"/>
      <c r="D2996" s="57" t="str">
        <f>IF(A2996="","",VLOOKUP(A2996,'6.A'!$A$11:$G$180,4,FALSE))</f>
        <v/>
      </c>
      <c r="E2996" s="100" t="str">
        <f>IF(A2996="","",VLOOKUP(A2996,'6.A'!$A$11:$G$180,5,FALSE))</f>
        <v/>
      </c>
      <c r="F2996" s="24" t="str">
        <f t="shared" si="1290"/>
        <v>0,00</v>
      </c>
      <c r="G2996" s="52"/>
      <c r="H2996" s="52" t="str">
        <f>IF(A2996="","",VLOOKUP(A2996,'6.A'!$A$11:$E$7984,5,FALSE))</f>
        <v/>
      </c>
      <c r="I2996" s="52" t="str">
        <f t="shared" si="1291"/>
        <v/>
      </c>
      <c r="J2996" s="52" t="str">
        <f>IF(H2996="","",VLOOKUP(A2996,'6.A'!$A$11:$E$564,4,FALSE))</f>
        <v/>
      </c>
      <c r="K2996" s="52" t="str">
        <f t="shared" si="1292"/>
        <v/>
      </c>
      <c r="L2996" s="52" t="str">
        <f>IF(H2996="","",IF(C2996="","",G2976*C2996))</f>
        <v/>
      </c>
      <c r="M2996" s="117" t="str">
        <f>IF(A2996="","",VLOOKUP(A2996,'6.A'!$A$11:$C$564,2,FALSE))</f>
        <v/>
      </c>
      <c r="N2996" s="57" t="str">
        <f t="shared" si="1293"/>
        <v/>
      </c>
      <c r="O2996" s="56"/>
      <c r="P2996" s="56"/>
      <c r="Q2996" s="48"/>
      <c r="R2996" s="48"/>
      <c r="S2996" s="2"/>
    </row>
    <row r="2997" spans="1:19" ht="12.75" customHeight="1" x14ac:dyDescent="0.2">
      <c r="A2997" s="155"/>
      <c r="B2997" s="176" t="str">
        <f>IF(A2997="","",VLOOKUP(A2997,'6.A'!$A$11:$G$180,2,FALSE))</f>
        <v/>
      </c>
      <c r="C2997" s="156"/>
      <c r="D2997" s="57" t="str">
        <f>IF(A2997="","",VLOOKUP(A2997,'6.A'!$A$11:$G$180,4,FALSE))</f>
        <v/>
      </c>
      <c r="E2997" s="100" t="str">
        <f>IF(A2997="","",VLOOKUP(A2997,'6.A'!$A$11:$G$180,5,FALSE))</f>
        <v/>
      </c>
      <c r="F2997" s="24" t="str">
        <f t="shared" si="1290"/>
        <v>0,00</v>
      </c>
      <c r="G2997" s="52"/>
      <c r="H2997" s="52" t="str">
        <f>IF(A2997="","",VLOOKUP(A2997,'6.A'!$A$11:$E$7984,5,FALSE))</f>
        <v/>
      </c>
      <c r="I2997" s="52" t="str">
        <f t="shared" si="1291"/>
        <v/>
      </c>
      <c r="J2997" s="52" t="str">
        <f>IF(H2997="","",VLOOKUP(A2997,'6.A'!$A$11:$E$564,4,FALSE))</f>
        <v/>
      </c>
      <c r="K2997" s="52" t="str">
        <f t="shared" si="1292"/>
        <v/>
      </c>
      <c r="L2997" s="52" t="str">
        <f>IF(H2997="","",IF(C2997="","",G2976*C2997))</f>
        <v/>
      </c>
      <c r="M2997" s="117" t="str">
        <f>IF(A2997="","",VLOOKUP(A2997,'6.A'!$A$11:$C$564,2,FALSE))</f>
        <v/>
      </c>
      <c r="N2997" s="57" t="str">
        <f t="shared" si="1293"/>
        <v/>
      </c>
      <c r="O2997" s="56"/>
      <c r="P2997" s="56"/>
      <c r="Q2997" s="48"/>
      <c r="R2997" s="48"/>
      <c r="S2997" s="2"/>
    </row>
    <row r="2998" spans="1:19" ht="12.75" customHeight="1" x14ac:dyDescent="0.2">
      <c r="A2998" s="155"/>
      <c r="B2998" s="176" t="str">
        <f>IF(A2998="","",VLOOKUP(A2998,'6.A'!$A$11:$G$180,2,FALSE))</f>
        <v/>
      </c>
      <c r="C2998" s="156"/>
      <c r="D2998" s="57" t="str">
        <f>IF(A2998="","",VLOOKUP(A2998,'6.A'!$A$11:$G$180,4,FALSE))</f>
        <v/>
      </c>
      <c r="E2998" s="100" t="str">
        <f>IF(A2998="","",VLOOKUP(A2998,'6.A'!$A$11:$G$180,5,FALSE))</f>
        <v/>
      </c>
      <c r="F2998" s="24" t="str">
        <f t="shared" si="1290"/>
        <v>0,00</v>
      </c>
      <c r="G2998" s="52"/>
      <c r="H2998" s="52" t="str">
        <f>IF(A2998="","",VLOOKUP(A2998,'6.A'!$A$11:$E$7984,5,FALSE))</f>
        <v/>
      </c>
      <c r="I2998" s="52" t="str">
        <f t="shared" si="1291"/>
        <v/>
      </c>
      <c r="J2998" s="52" t="str">
        <f>IF(H2998="","",VLOOKUP(A2998,'6.A'!$A$11:$E$564,4,FALSE))</f>
        <v/>
      </c>
      <c r="K2998" s="52" t="str">
        <f t="shared" si="1292"/>
        <v/>
      </c>
      <c r="L2998" s="52" t="str">
        <f>IF(H2998="","",IF(C2998="","",G2976*C2998))</f>
        <v/>
      </c>
      <c r="M2998" s="117" t="str">
        <f>IF(A2998="","",VLOOKUP(A2998,'6.A'!$A$11:$C$564,2,FALSE))</f>
        <v/>
      </c>
      <c r="N2998" s="57" t="str">
        <f>IF(A2998="","",IF(M2998=B2998,"si","no"))</f>
        <v/>
      </c>
      <c r="O2998" s="56"/>
      <c r="P2998" s="56"/>
      <c r="Q2998" s="48"/>
      <c r="R2998" s="48"/>
      <c r="S2998" s="2"/>
    </row>
    <row r="2999" spans="1:19" ht="12.75" customHeight="1" x14ac:dyDescent="0.2">
      <c r="A2999" s="155"/>
      <c r="B2999" s="138" t="str">
        <f>IF(A2999="","",VLOOKUP(A2999,'6.A'!$A$11:$G$180,2,FALSE))</f>
        <v/>
      </c>
      <c r="C2999" s="156"/>
      <c r="D2999" s="57" t="str">
        <f>IF(A2999="","",VLOOKUP(A2999,'6.A'!$A$11:$G$180,4,FALSE))</f>
        <v/>
      </c>
      <c r="E2999" s="100" t="str">
        <f>IF(A2999="","",VLOOKUP(A2999,'6.A'!$A$11:$G$180,5,FALSE))</f>
        <v/>
      </c>
      <c r="F2999" s="24" t="str">
        <f t="shared" si="1290"/>
        <v>0,00</v>
      </c>
      <c r="G2999" s="52"/>
      <c r="H2999" s="52" t="str">
        <f>IF(A2999="","",VLOOKUP(A2999,'6.A'!$A$11:$E$7984,5,FALSE))</f>
        <v/>
      </c>
      <c r="I2999" s="52" t="str">
        <f t="shared" si="1291"/>
        <v/>
      </c>
      <c r="J2999" s="52" t="str">
        <f>IF(H2999="","",VLOOKUP(A2999,'6.A'!$A$11:$E$564,4,FALSE))</f>
        <v/>
      </c>
      <c r="K2999" s="52" t="str">
        <f t="shared" si="1292"/>
        <v/>
      </c>
      <c r="L2999" s="52" t="str">
        <f>IF(H2999="","",IF(C2999="","",G2976*C2999))</f>
        <v/>
      </c>
      <c r="M2999" s="117" t="str">
        <f>IF(A2999="","",VLOOKUP(A2999,'6.A'!$A$11:$C$564,2,FALSE))</f>
        <v/>
      </c>
      <c r="N2999" s="57" t="str">
        <f>IF(A2999="","",IF(M2999=B2999,"si","no"))</f>
        <v/>
      </c>
      <c r="O2999" s="56"/>
      <c r="P2999" s="56"/>
      <c r="Q2999" s="48"/>
      <c r="R2999" s="48"/>
      <c r="S2999" s="2"/>
    </row>
    <row r="3000" spans="1:19" ht="12.75" customHeight="1" x14ac:dyDescent="0.2">
      <c r="A3000" s="155"/>
      <c r="B3000" s="138" t="str">
        <f>IF(A3000="","",VLOOKUP(A3000,'6.A'!$A$11:$G$180,2,FALSE))</f>
        <v/>
      </c>
      <c r="C3000" s="156"/>
      <c r="D3000" s="57" t="str">
        <f>IF(A3000="","",VLOOKUP(A3000,'6.A'!$A$11:$G$180,4,FALSE))</f>
        <v/>
      </c>
      <c r="E3000" s="100" t="str">
        <f>IF(A3000="","",VLOOKUP(A3000,'6.A'!$A$11:$G$180,5,FALSE))</f>
        <v/>
      </c>
      <c r="F3000" s="24" t="str">
        <f t="shared" si="1290"/>
        <v>0,00</v>
      </c>
      <c r="G3000" s="52"/>
      <c r="H3000" s="52" t="str">
        <f>IF(A3000="","",VLOOKUP(A3000,'6.A'!$A$11:$E$7984,5,FALSE))</f>
        <v/>
      </c>
      <c r="I3000" s="52" t="str">
        <f t="shared" si="1291"/>
        <v/>
      </c>
      <c r="J3000" s="52" t="str">
        <f>IF(H3000="","",VLOOKUP(A3000,'6.A'!$A$11:$E$564,4,FALSE))</f>
        <v/>
      </c>
      <c r="K3000" s="52" t="str">
        <f t="shared" si="1292"/>
        <v/>
      </c>
      <c r="L3000" s="52" t="str">
        <f>IF(H3000="","",IF(C3000="","",G2976*C3000))</f>
        <v/>
      </c>
      <c r="M3000" s="117" t="str">
        <f>IF(A3000="","",VLOOKUP(A3000,'6.A'!$A$11:$C$564,2,FALSE))</f>
        <v/>
      </c>
      <c r="N3000" s="57" t="str">
        <f t="shared" ref="N3000:N3001" si="1294">IF(A3000="","",IF(M3000=B3000,"si","no"))</f>
        <v/>
      </c>
      <c r="O3000" s="56"/>
      <c r="P3000" s="56"/>
      <c r="Q3000" s="48"/>
      <c r="R3000" s="48"/>
      <c r="S3000" s="2"/>
    </row>
    <row r="3001" spans="1:19" ht="12.75" customHeight="1" x14ac:dyDescent="0.2">
      <c r="A3001" s="155"/>
      <c r="B3001" s="138" t="str">
        <f>IF(A3001="","",VLOOKUP(A3001,'6.A'!$A$11:$G$180,2,FALSE))</f>
        <v/>
      </c>
      <c r="C3001" s="156"/>
      <c r="D3001" s="57" t="str">
        <f>IF(A3001="","",VLOOKUP(A3001,'6.A'!$A$11:$G$180,4,FALSE))</f>
        <v/>
      </c>
      <c r="E3001" s="100" t="str">
        <f>IF(A3001="","",VLOOKUP(A3001,'6.A'!$A$11:$G$180,5,FALSE))</f>
        <v/>
      </c>
      <c r="F3001" s="24" t="str">
        <f t="shared" si="1290"/>
        <v>0,00</v>
      </c>
      <c r="G3001" s="52"/>
      <c r="H3001" s="52" t="str">
        <f>IF(A3001="","",VLOOKUP(A3001,'6.A'!$A$11:$E$7984,5,FALSE))</f>
        <v/>
      </c>
      <c r="I3001" s="52" t="str">
        <f t="shared" si="1291"/>
        <v/>
      </c>
      <c r="J3001" s="52" t="str">
        <f>IF(H3001="","",VLOOKUP(A3001,'6.A'!$A$11:$E$564,4,FALSE))</f>
        <v/>
      </c>
      <c r="K3001" s="52" t="str">
        <f t="shared" si="1292"/>
        <v/>
      </c>
      <c r="L3001" s="52" t="str">
        <f>IF(H3001="","",IF(C3001="","",G2976*C3001))</f>
        <v/>
      </c>
      <c r="M3001" s="117" t="str">
        <f>IF(A3001="","",VLOOKUP(A3001,'6.A'!$A$11:$C$564,2,FALSE))</f>
        <v/>
      </c>
      <c r="N3001" s="57" t="str">
        <f t="shared" si="1294"/>
        <v/>
      </c>
      <c r="O3001" s="56"/>
      <c r="P3001" s="56"/>
      <c r="Q3001" s="48"/>
      <c r="R3001" s="48"/>
      <c r="S3001" s="2"/>
    </row>
    <row r="3002" spans="1:19" ht="12.75" customHeight="1" x14ac:dyDescent="0.2">
      <c r="A3002" s="155"/>
      <c r="B3002" s="26" t="str">
        <f>$A$9</f>
        <v>BDI</v>
      </c>
      <c r="C3002" s="27">
        <f>$C$9</f>
        <v>0</v>
      </c>
      <c r="D3002" s="57"/>
      <c r="F3002" s="28">
        <f>ROUND(SUM(F2992:F3001)*C3002,2)</f>
        <v>0</v>
      </c>
      <c r="G3002" s="63"/>
      <c r="M3002" s="62"/>
      <c r="N3002" s="57"/>
      <c r="O3002" s="56"/>
      <c r="P3002" s="56"/>
      <c r="Q3002" s="48"/>
      <c r="R3002" s="48"/>
      <c r="S3002" s="2"/>
    </row>
    <row r="3003" spans="1:19" ht="12.75" customHeight="1" x14ac:dyDescent="0.2">
      <c r="A3003" s="163"/>
      <c r="B3003" s="31" t="s">
        <v>117</v>
      </c>
      <c r="C3003" s="36"/>
      <c r="D3003" s="37"/>
      <c r="E3003" s="38"/>
      <c r="F3003" s="35">
        <f>ROUND(SUM(F2992:F3002),2)</f>
        <v>0</v>
      </c>
      <c r="G3003" s="63"/>
      <c r="M3003" s="62"/>
      <c r="N3003" s="57"/>
      <c r="O3003" s="56"/>
      <c r="P3003" s="56"/>
      <c r="Q3003" s="48"/>
      <c r="R3003" s="48"/>
      <c r="S3003" s="2"/>
    </row>
    <row r="3004" spans="1:19" ht="12.75" customHeight="1" x14ac:dyDescent="0.2">
      <c r="A3004" s="152" t="s">
        <v>6</v>
      </c>
      <c r="B3004" s="153" t="s">
        <v>17</v>
      </c>
      <c r="C3004" s="140" t="s">
        <v>59</v>
      </c>
      <c r="D3004" s="56" t="s">
        <v>16</v>
      </c>
      <c r="E3004" s="19" t="s">
        <v>60</v>
      </c>
      <c r="F3004" s="20" t="s">
        <v>61</v>
      </c>
      <c r="G3004" s="21"/>
      <c r="M3004" s="62"/>
      <c r="N3004" s="57"/>
      <c r="O3004" s="56"/>
      <c r="P3004" s="56"/>
      <c r="Q3004" s="48"/>
      <c r="R3004" s="48"/>
      <c r="S3004" s="2"/>
    </row>
    <row r="3005" spans="1:19" ht="12.75" customHeight="1" x14ac:dyDescent="0.2">
      <c r="A3005" s="155" t="str">
        <f>'6.A'!$A$43</f>
        <v>TRA.002</v>
      </c>
      <c r="B3005" s="138" t="str">
        <f>IF(A3005="","",VLOOKUP(A3005,'6.A'!$A$11:$G$180,2,FALSE))</f>
        <v>TRANSFORMADOR DE CORRENTE, EM TERMOPLÁSTICO, TIPO JANELA, VMAX=600VCA, RELAÇÃO DE 600/5A</v>
      </c>
      <c r="C3005" s="156">
        <v>1</v>
      </c>
      <c r="D3005" s="57" t="str">
        <f>IF(A3005="","",VLOOKUP(A3005,'6.A'!$A$11:$G$180,4,FALSE))</f>
        <v>M</v>
      </c>
      <c r="E3005" s="100">
        <f>IF(A3005="","",VLOOKUP(A3005,'6.A'!$A$11:$G$180,5,FALSE))</f>
        <v>0</v>
      </c>
      <c r="F3005" s="24">
        <f t="shared" ref="F3005:F3024" si="1295">IF(A3005="","0,00",ROUND(C3005*E3005,2))</f>
        <v>0</v>
      </c>
      <c r="G3005" s="52"/>
      <c r="H3005" s="52">
        <f>IF(A3005="","",VLOOKUP(A3005,'6.A'!$A$11:$E$7984,5,FALSE))</f>
        <v>0</v>
      </c>
      <c r="I3005" s="52" t="str">
        <f t="shared" ref="I3005:I3024" si="1296">IF(H3005="","",IF(E3005=H3005,"SIM","NÃO"))</f>
        <v>SIM</v>
      </c>
      <c r="J3005" s="52" t="str">
        <f>IF(H3005="","",VLOOKUP(A3005,'6.A'!$A$11:$E$564,4,FALSE))</f>
        <v>M</v>
      </c>
      <c r="K3005" s="52" t="str">
        <f t="shared" ref="K3005:K3024" si="1297">IF(H3005="","",IF(J3005=D3005,"SIM","NÃO"))</f>
        <v>SIM</v>
      </c>
      <c r="L3005" s="52">
        <f>IF(H3005="","",IF(C3005="","",G2976*C3005))</f>
        <v>3</v>
      </c>
      <c r="M3005" s="117" t="str">
        <f>IF(A3005="","",VLOOKUP(A3005,'6.A'!$A$11:$C$564,2,FALSE))</f>
        <v>TRANSFORMADOR DE CORRENTE, EM TERMOPLÁSTICO, TIPO JANELA, VMAX=600VCA, RELAÇÃO DE 600/5A</v>
      </c>
      <c r="N3005" s="57" t="str">
        <f t="shared" ref="N3005:N3024" si="1298">IF(A3005="","",IF(M3005=B3005,"si","no"))</f>
        <v>si</v>
      </c>
      <c r="O3005" s="56"/>
      <c r="P3005" s="56"/>
      <c r="Q3005" s="48"/>
      <c r="R3005" s="48"/>
      <c r="S3005" s="2"/>
    </row>
    <row r="3006" spans="1:19" ht="12.75" customHeight="1" x14ac:dyDescent="0.2">
      <c r="A3006" s="155"/>
      <c r="B3006" s="138" t="str">
        <f>IF(A3006="","",VLOOKUP(A3006,'6.A'!$A$11:$G$180,2,FALSE))</f>
        <v/>
      </c>
      <c r="C3006" s="156"/>
      <c r="D3006" s="57" t="str">
        <f>IF(A3006="","",VLOOKUP(A3006,'6.A'!$A$11:$G$180,4,FALSE))</f>
        <v/>
      </c>
      <c r="E3006" s="100" t="str">
        <f>IF(A3006="","",VLOOKUP(A3006,'6.A'!$A$11:$G$180,5,FALSE))</f>
        <v/>
      </c>
      <c r="F3006" s="24" t="str">
        <f t="shared" si="1295"/>
        <v>0,00</v>
      </c>
      <c r="G3006" s="52"/>
      <c r="H3006" s="52" t="str">
        <f>IF(A3006="","",VLOOKUP(A3006,'6.A'!$A$11:$E$7984,5,FALSE))</f>
        <v/>
      </c>
      <c r="I3006" s="52" t="str">
        <f t="shared" si="1296"/>
        <v/>
      </c>
      <c r="J3006" s="52" t="str">
        <f>IF(H3006="","",VLOOKUP(A3006,'6.A'!$A$11:$E$564,4,FALSE))</f>
        <v/>
      </c>
      <c r="K3006" s="52" t="str">
        <f t="shared" si="1297"/>
        <v/>
      </c>
      <c r="L3006" s="52" t="str">
        <f>IF(H3006="","",IF(C3006="","",G2976*C3006))</f>
        <v/>
      </c>
      <c r="M3006" s="117" t="str">
        <f>IF(A3006="","",VLOOKUP(A3006,'6.A'!$A$11:$C$564,2,FALSE))</f>
        <v/>
      </c>
      <c r="N3006" s="57" t="str">
        <f t="shared" si="1298"/>
        <v/>
      </c>
      <c r="O3006" s="56"/>
      <c r="P3006" s="56"/>
      <c r="Q3006" s="48"/>
      <c r="R3006" s="48"/>
      <c r="S3006" s="2"/>
    </row>
    <row r="3007" spans="1:19" ht="12.75" customHeight="1" x14ac:dyDescent="0.2">
      <c r="A3007" s="155"/>
      <c r="B3007" s="138" t="str">
        <f>IF(A3007="","",VLOOKUP(A3007,'6.A'!$A$11:$G$180,2,FALSE))</f>
        <v/>
      </c>
      <c r="C3007" s="156"/>
      <c r="D3007" s="57" t="str">
        <f>IF(A3007="","",VLOOKUP(A3007,'6.A'!$A$11:$G$180,4,FALSE))</f>
        <v/>
      </c>
      <c r="E3007" s="100" t="str">
        <f>IF(A3007="","",VLOOKUP(A3007,'6.A'!$A$11:$G$180,5,FALSE))</f>
        <v/>
      </c>
      <c r="F3007" s="24" t="str">
        <f t="shared" si="1295"/>
        <v>0,00</v>
      </c>
      <c r="G3007" s="52"/>
      <c r="H3007" s="52" t="str">
        <f>IF(A3007="","",VLOOKUP(A3007,'6.A'!$A$11:$E$7984,5,FALSE))</f>
        <v/>
      </c>
      <c r="I3007" s="52" t="str">
        <f t="shared" si="1296"/>
        <v/>
      </c>
      <c r="J3007" s="52" t="str">
        <f>IF(H3007="","",VLOOKUP(A3007,'6.A'!$A$11:$E$564,4,FALSE))</f>
        <v/>
      </c>
      <c r="K3007" s="52" t="str">
        <f t="shared" si="1297"/>
        <v/>
      </c>
      <c r="L3007" s="52" t="str">
        <f>IF(H3007="","",IF(C3007="","",G2976*C3007))</f>
        <v/>
      </c>
      <c r="M3007" s="117" t="str">
        <f>IF(A3007="","",VLOOKUP(A3007,'6.A'!$A$11:$C$564,2,FALSE))</f>
        <v/>
      </c>
      <c r="N3007" s="57" t="str">
        <f t="shared" si="1298"/>
        <v/>
      </c>
      <c r="O3007" s="56"/>
      <c r="P3007" s="56"/>
      <c r="Q3007" s="48"/>
      <c r="R3007" s="48"/>
      <c r="S3007" s="2"/>
    </row>
    <row r="3008" spans="1:19" ht="12.75" customHeight="1" x14ac:dyDescent="0.2">
      <c r="A3008" s="155"/>
      <c r="B3008" s="138" t="str">
        <f>IF(A3008="","",VLOOKUP(A3008,'6.A'!$A$11:$G$180,2,FALSE))</f>
        <v/>
      </c>
      <c r="C3008" s="156"/>
      <c r="D3008" s="57" t="str">
        <f>IF(A3008="","",VLOOKUP(A3008,'6.A'!$A$11:$G$180,4,FALSE))</f>
        <v/>
      </c>
      <c r="E3008" s="100" t="str">
        <f>IF(A3008="","",VLOOKUP(A3008,'6.A'!$A$11:$G$180,5,FALSE))</f>
        <v/>
      </c>
      <c r="F3008" s="24" t="str">
        <f t="shared" si="1295"/>
        <v>0,00</v>
      </c>
      <c r="G3008" s="52"/>
      <c r="H3008" s="52" t="str">
        <f>IF(A3008="","",VLOOKUP(A3008,'6.A'!$A$11:$E$7984,5,FALSE))</f>
        <v/>
      </c>
      <c r="I3008" s="52" t="str">
        <f t="shared" si="1296"/>
        <v/>
      </c>
      <c r="J3008" s="52" t="str">
        <f>IF(H3008="","",VLOOKUP(A3008,'6.A'!$A$11:$E$564,4,FALSE))</f>
        <v/>
      </c>
      <c r="K3008" s="52" t="str">
        <f t="shared" si="1297"/>
        <v/>
      </c>
      <c r="L3008" s="52" t="str">
        <f>IF(H3008="","",IF(C3008="","",G2976*C3008))</f>
        <v/>
      </c>
      <c r="M3008" s="117" t="str">
        <f>IF(A3008="","",VLOOKUP(A3008,'6.A'!$A$11:$C$564,2,FALSE))</f>
        <v/>
      </c>
      <c r="N3008" s="57" t="str">
        <f t="shared" si="1298"/>
        <v/>
      </c>
      <c r="O3008" s="56"/>
      <c r="P3008" s="56"/>
      <c r="Q3008" s="48"/>
      <c r="R3008" s="48"/>
      <c r="S3008" s="2"/>
    </row>
    <row r="3009" spans="1:22" ht="12.75" customHeight="1" x14ac:dyDescent="0.2">
      <c r="A3009" s="155"/>
      <c r="B3009" s="138" t="str">
        <f>IF(A3009="","",VLOOKUP(A3009,'6.A'!$A$11:$G$180,2,FALSE))</f>
        <v/>
      </c>
      <c r="C3009" s="156"/>
      <c r="D3009" s="57" t="str">
        <f>IF(A3009="","",VLOOKUP(A3009,'6.A'!$A$11:$G$180,4,FALSE))</f>
        <v/>
      </c>
      <c r="E3009" s="100" t="str">
        <f>IF(A3009="","",VLOOKUP(A3009,'6.A'!$A$11:$G$180,5,FALSE))</f>
        <v/>
      </c>
      <c r="F3009" s="24" t="str">
        <f t="shared" si="1295"/>
        <v>0,00</v>
      </c>
      <c r="G3009" s="52"/>
      <c r="H3009" s="52" t="str">
        <f>IF(A3009="","",VLOOKUP(A3009,'6.A'!$A$11:$E$7984,5,FALSE))</f>
        <v/>
      </c>
      <c r="I3009" s="52" t="str">
        <f t="shared" si="1296"/>
        <v/>
      </c>
      <c r="J3009" s="52" t="str">
        <f>IF(H3009="","",VLOOKUP(A3009,'6.A'!$A$11:$E$564,4,FALSE))</f>
        <v/>
      </c>
      <c r="K3009" s="52" t="str">
        <f t="shared" si="1297"/>
        <v/>
      </c>
      <c r="L3009" s="52" t="str">
        <f>IF(H3009="","",IF(C3009="","",G2976*C3009))</f>
        <v/>
      </c>
      <c r="M3009" s="117" t="str">
        <f>IF(A3009="","",VLOOKUP(A3009,'6.A'!$A$11:$C$564,2,FALSE))</f>
        <v/>
      </c>
      <c r="N3009" s="57" t="str">
        <f t="shared" si="1298"/>
        <v/>
      </c>
      <c r="O3009" s="56"/>
      <c r="P3009" s="56"/>
      <c r="Q3009" s="48"/>
      <c r="R3009" s="48"/>
      <c r="S3009" s="2"/>
    </row>
    <row r="3010" spans="1:22" ht="12.75" customHeight="1" x14ac:dyDescent="0.2">
      <c r="A3010" s="155"/>
      <c r="B3010" s="138" t="str">
        <f>IF(A3010="","",VLOOKUP(A3010,'6.A'!$A$11:$G$180,2,FALSE))</f>
        <v/>
      </c>
      <c r="C3010" s="156"/>
      <c r="D3010" s="57" t="str">
        <f>IF(A3010="","",VLOOKUP(A3010,'6.A'!$A$11:$G$180,4,FALSE))</f>
        <v/>
      </c>
      <c r="E3010" s="100" t="str">
        <f>IF(A3010="","",VLOOKUP(A3010,'6.A'!$A$11:$G$180,5,FALSE))</f>
        <v/>
      </c>
      <c r="F3010" s="24" t="str">
        <f t="shared" si="1295"/>
        <v>0,00</v>
      </c>
      <c r="G3010" s="52"/>
      <c r="H3010" s="52" t="str">
        <f>IF(A3010="","",VLOOKUP(A3010,'6.A'!$A$11:$E$7984,5,FALSE))</f>
        <v/>
      </c>
      <c r="I3010" s="52" t="str">
        <f t="shared" si="1296"/>
        <v/>
      </c>
      <c r="J3010" s="52" t="str">
        <f>IF(H3010="","",VLOOKUP(A3010,'6.A'!$A$11:$E$564,4,FALSE))</f>
        <v/>
      </c>
      <c r="K3010" s="52" t="str">
        <f t="shared" si="1297"/>
        <v/>
      </c>
      <c r="L3010" s="52" t="str">
        <f>IF(H3010="","",IF(C3010="","",G2976*C3010))</f>
        <v/>
      </c>
      <c r="M3010" s="117" t="str">
        <f>IF(A3010="","",VLOOKUP(A3010,'6.A'!$A$11:$C$564,2,FALSE))</f>
        <v/>
      </c>
      <c r="N3010" s="57" t="str">
        <f t="shared" si="1298"/>
        <v/>
      </c>
      <c r="O3010" s="56"/>
      <c r="P3010" s="56"/>
      <c r="Q3010" s="48"/>
      <c r="R3010" s="48"/>
      <c r="S3010" s="2"/>
    </row>
    <row r="3011" spans="1:22" ht="12.75" customHeight="1" x14ac:dyDescent="0.2">
      <c r="A3011" s="155"/>
      <c r="B3011" s="138" t="str">
        <f>IF(A3011="","",VLOOKUP(A3011,'6.A'!$A$11:$G$180,2,FALSE))</f>
        <v/>
      </c>
      <c r="C3011" s="156"/>
      <c r="D3011" s="57" t="str">
        <f>IF(A3011="","",VLOOKUP(A3011,'6.A'!$A$11:$G$180,4,FALSE))</f>
        <v/>
      </c>
      <c r="E3011" s="100" t="str">
        <f>IF(A3011="","",VLOOKUP(A3011,'6.A'!$A$11:$G$180,5,FALSE))</f>
        <v/>
      </c>
      <c r="F3011" s="24" t="str">
        <f t="shared" si="1295"/>
        <v>0,00</v>
      </c>
      <c r="G3011" s="52"/>
      <c r="H3011" s="52" t="str">
        <f>IF(A3011="","",VLOOKUP(A3011,'6.A'!$A$11:$E$7984,5,FALSE))</f>
        <v/>
      </c>
      <c r="I3011" s="52" t="str">
        <f t="shared" si="1296"/>
        <v/>
      </c>
      <c r="J3011" s="52" t="str">
        <f>IF(H3011="","",VLOOKUP(A3011,'6.A'!$A$11:$E$564,4,FALSE))</f>
        <v/>
      </c>
      <c r="K3011" s="52" t="str">
        <f t="shared" si="1297"/>
        <v/>
      </c>
      <c r="L3011" s="52" t="str">
        <f>IF(H3011="","",IF(C3011="","",G2976*C3011))</f>
        <v/>
      </c>
      <c r="M3011" s="117" t="str">
        <f>IF(A3011="","",VLOOKUP(A3011,'6.A'!$A$11:$C$564,2,FALSE))</f>
        <v/>
      </c>
      <c r="N3011" s="57" t="str">
        <f t="shared" si="1298"/>
        <v/>
      </c>
      <c r="O3011" s="56"/>
      <c r="P3011" s="56"/>
      <c r="Q3011" s="48"/>
      <c r="R3011" s="48"/>
      <c r="S3011" s="2"/>
    </row>
    <row r="3012" spans="1:22" s="65" customFormat="1" ht="12.75" customHeight="1" x14ac:dyDescent="0.2">
      <c r="A3012" s="155"/>
      <c r="B3012" s="138" t="str">
        <f>IF(A3012="","",VLOOKUP(A3012,'6.A'!$A$11:$G$180,2,FALSE))</f>
        <v/>
      </c>
      <c r="C3012" s="156"/>
      <c r="D3012" s="57" t="str">
        <f>IF(A3012="","",VLOOKUP(A3012,'6.A'!$A$11:$G$180,4,FALSE))</f>
        <v/>
      </c>
      <c r="E3012" s="100" t="str">
        <f>IF(A3012="","",VLOOKUP(A3012,'6.A'!$A$11:$G$180,5,FALSE))</f>
        <v/>
      </c>
      <c r="F3012" s="24" t="str">
        <f t="shared" si="1295"/>
        <v>0,00</v>
      </c>
      <c r="G3012" s="52"/>
      <c r="H3012" s="52" t="str">
        <f>IF(A3012="","",VLOOKUP(A3012,'6.A'!$A$11:$E$7984,5,FALSE))</f>
        <v/>
      </c>
      <c r="I3012" s="52" t="str">
        <f t="shared" si="1296"/>
        <v/>
      </c>
      <c r="J3012" s="52" t="str">
        <f>IF(H3012="","",VLOOKUP(A3012,'6.A'!$A$11:$E$564,4,FALSE))</f>
        <v/>
      </c>
      <c r="K3012" s="52" t="str">
        <f t="shared" si="1297"/>
        <v/>
      </c>
      <c r="L3012" s="52" t="str">
        <f>IF(H3012="","",IF(C3012="","",G2976*C3012))</f>
        <v/>
      </c>
      <c r="M3012" s="117" t="str">
        <f>IF(A3012="","",VLOOKUP(A3012,'6.A'!$A$11:$C$564,2,FALSE))</f>
        <v/>
      </c>
      <c r="N3012" s="57" t="str">
        <f t="shared" si="1298"/>
        <v/>
      </c>
      <c r="O3012" s="56"/>
      <c r="P3012" s="56"/>
      <c r="Q3012" s="48"/>
      <c r="R3012" s="48"/>
      <c r="T3012" s="2"/>
      <c r="U3012" s="2"/>
      <c r="V3012" s="2"/>
    </row>
    <row r="3013" spans="1:22" s="65" customFormat="1" ht="12.75" customHeight="1" x14ac:dyDescent="0.2">
      <c r="A3013" s="155"/>
      <c r="B3013" s="138" t="str">
        <f>IF(A3013="","",VLOOKUP(A3013,'6.A'!$A$11:$G$180,2,FALSE))</f>
        <v/>
      </c>
      <c r="C3013" s="156"/>
      <c r="D3013" s="57" t="str">
        <f>IF(A3013="","",VLOOKUP(A3013,'6.A'!$A$11:$G$180,4,FALSE))</f>
        <v/>
      </c>
      <c r="E3013" s="100" t="str">
        <f>IF(A3013="","",VLOOKUP(A3013,'6.A'!$A$11:$G$180,5,FALSE))</f>
        <v/>
      </c>
      <c r="F3013" s="24" t="str">
        <f t="shared" si="1295"/>
        <v>0,00</v>
      </c>
      <c r="G3013" s="52"/>
      <c r="H3013" s="52" t="str">
        <f>IF(A3013="","",VLOOKUP(A3013,'6.A'!$A$11:$E$7984,5,FALSE))</f>
        <v/>
      </c>
      <c r="I3013" s="52" t="str">
        <f t="shared" si="1296"/>
        <v/>
      </c>
      <c r="J3013" s="52" t="str">
        <f>IF(H3013="","",VLOOKUP(A3013,'6.A'!$A$11:$E$564,4,FALSE))</f>
        <v/>
      </c>
      <c r="K3013" s="52" t="str">
        <f t="shared" si="1297"/>
        <v/>
      </c>
      <c r="L3013" s="52" t="str">
        <f>IF(H3013="","",IF(C3013="","",G2976*C3013))</f>
        <v/>
      </c>
      <c r="M3013" s="117" t="str">
        <f>IF(A3013="","",VLOOKUP(A3013,'6.A'!$A$11:$C$564,2,FALSE))</f>
        <v/>
      </c>
      <c r="N3013" s="57" t="str">
        <f t="shared" si="1298"/>
        <v/>
      </c>
      <c r="O3013" s="56"/>
      <c r="P3013" s="56"/>
      <c r="Q3013" s="48"/>
      <c r="R3013" s="48"/>
      <c r="T3013" s="2"/>
      <c r="U3013" s="2"/>
      <c r="V3013" s="2"/>
    </row>
    <row r="3014" spans="1:22" s="65" customFormat="1" ht="12.75" customHeight="1" x14ac:dyDescent="0.2">
      <c r="A3014" s="155"/>
      <c r="B3014" s="138" t="str">
        <f>IF(A3014="","",VLOOKUP(A3014,'6.A'!$A$11:$G$180,2,FALSE))</f>
        <v/>
      </c>
      <c r="C3014" s="156"/>
      <c r="D3014" s="57" t="str">
        <f>IF(A3014="","",VLOOKUP(A3014,'6.A'!$A$11:$G$180,4,FALSE))</f>
        <v/>
      </c>
      <c r="E3014" s="100" t="str">
        <f>IF(A3014="","",VLOOKUP(A3014,'6.A'!$A$11:$G$180,5,FALSE))</f>
        <v/>
      </c>
      <c r="F3014" s="24" t="str">
        <f t="shared" si="1295"/>
        <v>0,00</v>
      </c>
      <c r="G3014" s="52"/>
      <c r="H3014" s="52" t="str">
        <f>IF(A3014="","",VLOOKUP(A3014,'6.A'!$A$11:$E$7984,5,FALSE))</f>
        <v/>
      </c>
      <c r="I3014" s="52" t="str">
        <f t="shared" si="1296"/>
        <v/>
      </c>
      <c r="J3014" s="52" t="str">
        <f>IF(H3014="","",VLOOKUP(A3014,'6.A'!$A$11:$E$564,4,FALSE))</f>
        <v/>
      </c>
      <c r="K3014" s="52" t="str">
        <f t="shared" si="1297"/>
        <v/>
      </c>
      <c r="L3014" s="52" t="str">
        <f>IF(H3014="","",IF(C3014="","",G2976*C3014))</f>
        <v/>
      </c>
      <c r="M3014" s="117" t="str">
        <f>IF(A3014="","",VLOOKUP(A3014,'6.A'!$A$11:$C$564,2,FALSE))</f>
        <v/>
      </c>
      <c r="N3014" s="57" t="str">
        <f t="shared" si="1298"/>
        <v/>
      </c>
      <c r="O3014" s="56"/>
      <c r="P3014" s="56"/>
      <c r="Q3014" s="48"/>
      <c r="R3014" s="48"/>
      <c r="T3014" s="2"/>
      <c r="U3014" s="2"/>
      <c r="V3014" s="2"/>
    </row>
    <row r="3015" spans="1:22" s="65" customFormat="1" ht="12.75" customHeight="1" x14ac:dyDescent="0.2">
      <c r="A3015" s="155"/>
      <c r="B3015" s="138" t="str">
        <f>IF(A3015="","",VLOOKUP(A3015,'6.A'!$A$11:$G$180,2,FALSE))</f>
        <v/>
      </c>
      <c r="C3015" s="156"/>
      <c r="D3015" s="57" t="str">
        <f>IF(A3015="","",VLOOKUP(A3015,'6.A'!$A$11:$G$180,4,FALSE))</f>
        <v/>
      </c>
      <c r="E3015" s="100" t="str">
        <f>IF(A3015="","",VLOOKUP(A3015,'6.A'!$A$11:$G$180,5,FALSE))</f>
        <v/>
      </c>
      <c r="F3015" s="24" t="str">
        <f t="shared" si="1295"/>
        <v>0,00</v>
      </c>
      <c r="G3015" s="52"/>
      <c r="H3015" s="52" t="str">
        <f>IF(A3015="","",VLOOKUP(A3015,'6.A'!$A$11:$E$7984,5,FALSE))</f>
        <v/>
      </c>
      <c r="I3015" s="52" t="str">
        <f t="shared" si="1296"/>
        <v/>
      </c>
      <c r="J3015" s="52" t="str">
        <f>IF(H3015="","",VLOOKUP(A3015,'6.A'!$A$11:$E$564,4,FALSE))</f>
        <v/>
      </c>
      <c r="K3015" s="52" t="str">
        <f t="shared" si="1297"/>
        <v/>
      </c>
      <c r="L3015" s="52" t="str">
        <f>IF(H3015="","",IF(C3015="","",G2976*C3015))</f>
        <v/>
      </c>
      <c r="M3015" s="117" t="str">
        <f>IF(A3015="","",VLOOKUP(A3015,'6.A'!$A$11:$C$564,2,FALSE))</f>
        <v/>
      </c>
      <c r="N3015" s="57" t="str">
        <f t="shared" si="1298"/>
        <v/>
      </c>
      <c r="O3015" s="56"/>
      <c r="P3015" s="56"/>
      <c r="Q3015" s="48"/>
      <c r="R3015" s="48"/>
      <c r="T3015" s="2"/>
      <c r="U3015" s="2"/>
      <c r="V3015" s="2"/>
    </row>
    <row r="3016" spans="1:22" ht="12.75" customHeight="1" x14ac:dyDescent="0.2">
      <c r="A3016" s="22"/>
      <c r="B3016" s="23" t="str">
        <f>IF(A3016="","",VLOOKUP(A3016,'6.A'!$A$11:$G$180,2,FALSE))</f>
        <v/>
      </c>
      <c r="C3016" s="99"/>
      <c r="D3016" s="57" t="str">
        <f>IF(A3016="","",VLOOKUP(A3016,'6.A'!$A$11:$G$180,4,FALSE))</f>
        <v/>
      </c>
      <c r="E3016" s="100" t="str">
        <f>IF(A3016="","",VLOOKUP(A3016,'6.A'!$A$11:$G$180,5,FALSE))</f>
        <v/>
      </c>
      <c r="F3016" s="24" t="str">
        <f t="shared" si="1295"/>
        <v>0,00</v>
      </c>
      <c r="G3016" s="52"/>
      <c r="H3016" s="52" t="str">
        <f>IF(A3016="","",VLOOKUP(A3016,'6.A'!$A$11:$E$7984,5,FALSE))</f>
        <v/>
      </c>
      <c r="I3016" s="52" t="str">
        <f t="shared" si="1296"/>
        <v/>
      </c>
      <c r="J3016" s="52" t="str">
        <f>IF(H3016="","",VLOOKUP(A3016,'6.A'!$A$11:$E$564,4,FALSE))</f>
        <v/>
      </c>
      <c r="K3016" s="52" t="str">
        <f t="shared" si="1297"/>
        <v/>
      </c>
      <c r="L3016" s="52" t="str">
        <f>IF(H3016="","",IF(C3016="","",G2976*C3016))</f>
        <v/>
      </c>
      <c r="M3016" s="117" t="str">
        <f>IF(A3016="","",VLOOKUP(A3016,'6.A'!$A$11:$C$564,2,FALSE))</f>
        <v/>
      </c>
      <c r="N3016" s="57" t="str">
        <f t="shared" si="1298"/>
        <v/>
      </c>
      <c r="O3016" s="56"/>
      <c r="P3016" s="56"/>
      <c r="Q3016" s="48"/>
      <c r="R3016" s="48"/>
    </row>
    <row r="3017" spans="1:22" ht="12.75" customHeight="1" x14ac:dyDescent="0.2">
      <c r="A3017" s="22"/>
      <c r="B3017" s="23" t="str">
        <f>IF(A3017="","",VLOOKUP(A3017,'6.A'!$A$11:$G$180,2,FALSE))</f>
        <v/>
      </c>
      <c r="C3017" s="99"/>
      <c r="D3017" s="57" t="str">
        <f>IF(A3017="","",VLOOKUP(A3017,'6.A'!$A$11:$G$180,4,FALSE))</f>
        <v/>
      </c>
      <c r="E3017" s="100" t="str">
        <f>IF(A3017="","",VLOOKUP(A3017,'6.A'!$A$11:$G$180,5,FALSE))</f>
        <v/>
      </c>
      <c r="F3017" s="24" t="str">
        <f t="shared" si="1295"/>
        <v>0,00</v>
      </c>
      <c r="G3017" s="52"/>
      <c r="H3017" s="52" t="str">
        <f>IF(A3017="","",VLOOKUP(A3017,'6.A'!$A$11:$E$7984,5,FALSE))</f>
        <v/>
      </c>
      <c r="I3017" s="52" t="str">
        <f t="shared" si="1296"/>
        <v/>
      </c>
      <c r="J3017" s="52" t="str">
        <f>IF(H3017="","",VLOOKUP(A3017,'6.A'!$A$11:$E$564,4,FALSE))</f>
        <v/>
      </c>
      <c r="K3017" s="52" t="str">
        <f t="shared" si="1297"/>
        <v/>
      </c>
      <c r="L3017" s="52" t="str">
        <f>IF(H3017="","",IF(C3017="","",G2976*C3017))</f>
        <v/>
      </c>
      <c r="M3017" s="117" t="str">
        <f>IF(A3017="","",VLOOKUP(A3017,'6.A'!$A$11:$C$564,2,FALSE))</f>
        <v/>
      </c>
      <c r="N3017" s="57" t="str">
        <f t="shared" si="1298"/>
        <v/>
      </c>
      <c r="O3017" s="56"/>
      <c r="P3017" s="56"/>
      <c r="Q3017" s="48"/>
      <c r="R3017" s="48"/>
    </row>
    <row r="3018" spans="1:22" ht="12.75" customHeight="1" x14ac:dyDescent="0.2">
      <c r="A3018" s="22"/>
      <c r="B3018" s="23" t="str">
        <f>IF(A3018="","",VLOOKUP(A3018,'6.A'!$A$11:$G$180,2,FALSE))</f>
        <v/>
      </c>
      <c r="C3018" s="99"/>
      <c r="D3018" s="57" t="str">
        <f>IF(A3018="","",VLOOKUP(A3018,'6.A'!$A$11:$G$180,4,FALSE))</f>
        <v/>
      </c>
      <c r="E3018" s="100" t="str">
        <f>IF(A3018="","",VLOOKUP(A3018,'6.A'!$A$11:$G$180,5,FALSE))</f>
        <v/>
      </c>
      <c r="F3018" s="24" t="str">
        <f t="shared" si="1295"/>
        <v>0,00</v>
      </c>
      <c r="G3018" s="52"/>
      <c r="H3018" s="52" t="str">
        <f>IF(A3018="","",VLOOKUP(A3018,'6.A'!$A$11:$E$7984,5,FALSE))</f>
        <v/>
      </c>
      <c r="I3018" s="52" t="str">
        <f t="shared" si="1296"/>
        <v/>
      </c>
      <c r="J3018" s="52" t="str">
        <f>IF(H3018="","",VLOOKUP(A3018,'6.A'!$A$11:$E$564,4,FALSE))</f>
        <v/>
      </c>
      <c r="K3018" s="52" t="str">
        <f t="shared" si="1297"/>
        <v/>
      </c>
      <c r="L3018" s="52" t="str">
        <f>IF(H3018="","",IF(C3018="","",G2976*C3018))</f>
        <v/>
      </c>
      <c r="M3018" s="117" t="str">
        <f>IF(A3018="","",VLOOKUP(A3018,'6.A'!$A$11:$C$564,2,FALSE))</f>
        <v/>
      </c>
      <c r="N3018" s="57" t="str">
        <f t="shared" si="1298"/>
        <v/>
      </c>
      <c r="O3018" s="56"/>
      <c r="P3018" s="56"/>
      <c r="Q3018" s="48"/>
      <c r="R3018" s="48"/>
    </row>
    <row r="3019" spans="1:22" ht="12.75" customHeight="1" x14ac:dyDescent="0.2">
      <c r="A3019" s="22"/>
      <c r="B3019" s="23" t="str">
        <f>IF(A3019="","",VLOOKUP(A3019,'6.A'!$A$11:$G$180,2,FALSE))</f>
        <v/>
      </c>
      <c r="C3019" s="99"/>
      <c r="D3019" s="57" t="str">
        <f>IF(A3019="","",VLOOKUP(A3019,'6.A'!$A$11:$G$180,4,FALSE))</f>
        <v/>
      </c>
      <c r="E3019" s="100" t="str">
        <f>IF(A3019="","",VLOOKUP(A3019,'6.A'!$A$11:$G$180,5,FALSE))</f>
        <v/>
      </c>
      <c r="F3019" s="24" t="str">
        <f t="shared" si="1295"/>
        <v>0,00</v>
      </c>
      <c r="G3019" s="52"/>
      <c r="H3019" s="52" t="str">
        <f>IF(A3019="","",VLOOKUP(A3019,'6.A'!$A$11:$E$7984,5,FALSE))</f>
        <v/>
      </c>
      <c r="I3019" s="52" t="str">
        <f t="shared" si="1296"/>
        <v/>
      </c>
      <c r="J3019" s="52" t="str">
        <f>IF(H3019="","",VLOOKUP(A3019,'6.A'!$A$11:$E$564,4,FALSE))</f>
        <v/>
      </c>
      <c r="K3019" s="52" t="str">
        <f t="shared" si="1297"/>
        <v/>
      </c>
      <c r="L3019" s="52" t="str">
        <f>IF(H3019="","",IF(C3019="","",G2976*C3019))</f>
        <v/>
      </c>
      <c r="M3019" s="117" t="str">
        <f>IF(A3019="","",VLOOKUP(A3019,'6.A'!$A$11:$C$564,2,FALSE))</f>
        <v/>
      </c>
      <c r="N3019" s="57" t="str">
        <f t="shared" si="1298"/>
        <v/>
      </c>
      <c r="O3019" s="56"/>
      <c r="P3019" s="56"/>
      <c r="Q3019" s="48"/>
      <c r="R3019" s="48"/>
    </row>
    <row r="3020" spans="1:22" ht="12.75" customHeight="1" x14ac:dyDescent="0.2">
      <c r="A3020" s="22"/>
      <c r="B3020" s="23" t="str">
        <f>IF(A3020="","",VLOOKUP(A3020,'6.A'!$A$11:$G$180,2,FALSE))</f>
        <v/>
      </c>
      <c r="C3020" s="99"/>
      <c r="D3020" s="57" t="str">
        <f>IF(A3020="","",VLOOKUP(A3020,'6.A'!$A$11:$G$180,4,FALSE))</f>
        <v/>
      </c>
      <c r="E3020" s="100" t="str">
        <f>IF(A3020="","",VLOOKUP(A3020,'6.A'!$A$11:$G$180,5,FALSE))</f>
        <v/>
      </c>
      <c r="F3020" s="24" t="str">
        <f t="shared" si="1295"/>
        <v>0,00</v>
      </c>
      <c r="G3020" s="52"/>
      <c r="H3020" s="52" t="str">
        <f>IF(A3020="","",VLOOKUP(A3020,'6.A'!$A$11:$E$7984,5,FALSE))</f>
        <v/>
      </c>
      <c r="I3020" s="52" t="str">
        <f t="shared" si="1296"/>
        <v/>
      </c>
      <c r="J3020" s="52" t="str">
        <f>IF(H3020="","",VLOOKUP(A3020,'6.A'!$A$11:$E$564,4,FALSE))</f>
        <v/>
      </c>
      <c r="K3020" s="52" t="str">
        <f t="shared" si="1297"/>
        <v/>
      </c>
      <c r="L3020" s="52" t="str">
        <f>IF(H3020="","",IF(C3020="","",G2976*C3020))</f>
        <v/>
      </c>
      <c r="M3020" s="117" t="str">
        <f>IF(A3020="","",VLOOKUP(A3020,'6.A'!$A$11:$C$564,2,FALSE))</f>
        <v/>
      </c>
      <c r="N3020" s="57" t="str">
        <f t="shared" si="1298"/>
        <v/>
      </c>
      <c r="O3020" s="56"/>
      <c r="P3020" s="56"/>
      <c r="Q3020" s="48"/>
      <c r="R3020" s="48"/>
    </row>
    <row r="3021" spans="1:22" ht="12.75" customHeight="1" x14ac:dyDescent="0.2">
      <c r="A3021" s="22"/>
      <c r="B3021" s="23" t="str">
        <f>IF(A3021="","",VLOOKUP(A3021,'6.A'!$A$11:$G$180,2,FALSE))</f>
        <v/>
      </c>
      <c r="C3021" s="99"/>
      <c r="D3021" s="57" t="str">
        <f>IF(A3021="","",VLOOKUP(A3021,'6.A'!$A$11:$G$180,4,FALSE))</f>
        <v/>
      </c>
      <c r="E3021" s="100" t="str">
        <f>IF(A3021="","",VLOOKUP(A3021,'6.A'!$A$11:$G$180,5,FALSE))</f>
        <v/>
      </c>
      <c r="F3021" s="24" t="str">
        <f t="shared" si="1295"/>
        <v>0,00</v>
      </c>
      <c r="G3021" s="52"/>
      <c r="H3021" s="52" t="str">
        <f>IF(A3021="","",VLOOKUP(A3021,'6.A'!$A$11:$E$7984,5,FALSE))</f>
        <v/>
      </c>
      <c r="I3021" s="52" t="str">
        <f t="shared" si="1296"/>
        <v/>
      </c>
      <c r="J3021" s="52" t="str">
        <f>IF(H3021="","",VLOOKUP(A3021,'6.A'!$A$11:$E$564,4,FALSE))</f>
        <v/>
      </c>
      <c r="K3021" s="52" t="str">
        <f t="shared" si="1297"/>
        <v/>
      </c>
      <c r="L3021" s="52" t="str">
        <f>IF(H3021="","",IF(C3021="","",G2976*C3021))</f>
        <v/>
      </c>
      <c r="M3021" s="117" t="str">
        <f>IF(A3021="","",VLOOKUP(A3021,'6.A'!$A$11:$C$564,2,FALSE))</f>
        <v/>
      </c>
      <c r="N3021" s="57" t="str">
        <f t="shared" si="1298"/>
        <v/>
      </c>
      <c r="O3021" s="56"/>
      <c r="P3021" s="56"/>
      <c r="Q3021" s="48"/>
      <c r="R3021" s="48"/>
    </row>
    <row r="3022" spans="1:22" ht="12.75" customHeight="1" x14ac:dyDescent="0.2">
      <c r="A3022" s="22"/>
      <c r="B3022" s="39" t="str">
        <f>IF(A3022="","",VLOOKUP(A3022,'6.A'!$A$11:$G$180,2,FALSE))</f>
        <v/>
      </c>
      <c r="C3022" s="99"/>
      <c r="D3022" s="57" t="str">
        <f>IF(A3022="","",VLOOKUP(A3022,'6.A'!$A$11:$G$180,4,FALSE))</f>
        <v/>
      </c>
      <c r="E3022" s="100" t="str">
        <f>IF(A3022="","",VLOOKUP(A3022,'6.A'!$A$11:$G$180,5,FALSE))</f>
        <v/>
      </c>
      <c r="F3022" s="24" t="str">
        <f t="shared" si="1295"/>
        <v>0,00</v>
      </c>
      <c r="G3022" s="52"/>
      <c r="H3022" s="52" t="str">
        <f>IF(A3022="","",VLOOKUP(A3022,'6.A'!$A$11:$E$7984,5,FALSE))</f>
        <v/>
      </c>
      <c r="I3022" s="52" t="str">
        <f t="shared" si="1296"/>
        <v/>
      </c>
      <c r="J3022" s="52" t="str">
        <f>IF(H3022="","",VLOOKUP(A3022,'6.A'!$A$11:$E$564,4,FALSE))</f>
        <v/>
      </c>
      <c r="K3022" s="52" t="str">
        <f t="shared" si="1297"/>
        <v/>
      </c>
      <c r="L3022" s="52" t="str">
        <f>IF(H3022="","",IF(C3022="","",G2976*C3022))</f>
        <v/>
      </c>
      <c r="M3022" s="117" t="str">
        <f>IF(A3022="","",VLOOKUP(A3022,'6.A'!$A$11:$C$564,2,FALSE))</f>
        <v/>
      </c>
      <c r="N3022" s="57" t="str">
        <f t="shared" si="1298"/>
        <v/>
      </c>
      <c r="O3022" s="56"/>
      <c r="P3022" s="56"/>
      <c r="Q3022" s="48"/>
      <c r="R3022" s="48"/>
    </row>
    <row r="3023" spans="1:22" ht="12.75" customHeight="1" x14ac:dyDescent="0.2">
      <c r="A3023" s="22"/>
      <c r="B3023" s="39" t="str">
        <f>IF(A3023="","",VLOOKUP(A3023,'6.A'!$A$11:$G$180,2,FALSE))</f>
        <v/>
      </c>
      <c r="C3023" s="99"/>
      <c r="D3023" s="57" t="str">
        <f>IF(A3023="","",VLOOKUP(A3023,'6.A'!$A$11:$G$180,4,FALSE))</f>
        <v/>
      </c>
      <c r="E3023" s="100" t="str">
        <f>IF(A3023="","",VLOOKUP(A3023,'6.A'!$A$11:$G$180,5,FALSE))</f>
        <v/>
      </c>
      <c r="F3023" s="24" t="str">
        <f t="shared" si="1295"/>
        <v>0,00</v>
      </c>
      <c r="G3023" s="52"/>
      <c r="H3023" s="52" t="str">
        <f>IF(A3023="","",VLOOKUP(A3023,'6.A'!$A$11:$E$7984,5,FALSE))</f>
        <v/>
      </c>
      <c r="I3023" s="52" t="str">
        <f t="shared" si="1296"/>
        <v/>
      </c>
      <c r="J3023" s="52" t="str">
        <f>IF(H3023="","",VLOOKUP(A3023,'6.A'!$A$11:$E$564,4,FALSE))</f>
        <v/>
      </c>
      <c r="K3023" s="52" t="str">
        <f t="shared" si="1297"/>
        <v/>
      </c>
      <c r="L3023" s="52" t="str">
        <f>IF(H3023="","",IF(C3023="","",G2976*C3023))</f>
        <v/>
      </c>
      <c r="M3023" s="117" t="str">
        <f>IF(A3023="","",VLOOKUP(A3023,'6.A'!$A$11:$C$564,2,FALSE))</f>
        <v/>
      </c>
      <c r="N3023" s="57" t="str">
        <f t="shared" si="1298"/>
        <v/>
      </c>
      <c r="O3023" s="56"/>
      <c r="P3023" s="56"/>
      <c r="Q3023" s="48"/>
      <c r="R3023" s="48"/>
    </row>
    <row r="3024" spans="1:22" ht="12.75" customHeight="1" x14ac:dyDescent="0.2">
      <c r="A3024" s="22"/>
      <c r="B3024" s="39" t="str">
        <f>IF(A3024="","",VLOOKUP(A3024,'6.A'!$A$11:$G$180,2,FALSE))</f>
        <v/>
      </c>
      <c r="C3024" s="99"/>
      <c r="D3024" s="57" t="str">
        <f>IF(A3024="","",VLOOKUP(A3024,'6.A'!$A$11:$G$180,4,FALSE))</f>
        <v/>
      </c>
      <c r="E3024" s="100" t="str">
        <f>IF(A3024="","",VLOOKUP(A3024,'6.A'!$A$11:$G$180,5,FALSE))</f>
        <v/>
      </c>
      <c r="F3024" s="24" t="str">
        <f t="shared" si="1295"/>
        <v>0,00</v>
      </c>
      <c r="G3024" s="52"/>
      <c r="H3024" s="52" t="str">
        <f>IF(A3024="","",VLOOKUP(A3024,'6.A'!$A$11:$E$7984,5,FALSE))</f>
        <v/>
      </c>
      <c r="I3024" s="52" t="str">
        <f t="shared" si="1296"/>
        <v/>
      </c>
      <c r="J3024" s="52" t="str">
        <f>IF(H3024="","",VLOOKUP(A3024,'6.A'!$A$11:$E$564,4,FALSE))</f>
        <v/>
      </c>
      <c r="K3024" s="52" t="str">
        <f t="shared" si="1297"/>
        <v/>
      </c>
      <c r="L3024" s="52" t="str">
        <f>IF(H3024="","",IF(C3024="","",G2976*C3024))</f>
        <v/>
      </c>
      <c r="M3024" s="117" t="str">
        <f>IF(A3024="","",VLOOKUP(A3024,'6.A'!$A$11:$C$564,2,FALSE))</f>
        <v/>
      </c>
      <c r="N3024" s="57" t="str">
        <f t="shared" si="1298"/>
        <v/>
      </c>
      <c r="O3024" s="56"/>
      <c r="P3024" s="56"/>
      <c r="Q3024" s="48"/>
      <c r="R3024" s="48"/>
    </row>
    <row r="3025" spans="1:23" ht="12.75" customHeight="1" x14ac:dyDescent="0.2">
      <c r="A3025" s="22"/>
      <c r="B3025" s="26" t="str">
        <f>$A$9</f>
        <v>BDI</v>
      </c>
      <c r="C3025" s="40">
        <f>$C$9</f>
        <v>0</v>
      </c>
      <c r="D3025" s="57"/>
      <c r="F3025" s="28">
        <f>ROUND(SUM(F3005:F3024)*C3025,2)</f>
        <v>0</v>
      </c>
      <c r="G3025" s="63"/>
      <c r="M3025" s="57"/>
      <c r="N3025" s="57"/>
      <c r="O3025" s="56"/>
      <c r="P3025" s="56"/>
      <c r="Q3025" s="48"/>
      <c r="R3025" s="48"/>
    </row>
    <row r="3026" spans="1:23" ht="12.75" customHeight="1" thickBot="1" x14ac:dyDescent="0.25">
      <c r="A3026" s="41"/>
      <c r="B3026" s="42" t="s">
        <v>57</v>
      </c>
      <c r="C3026" s="43"/>
      <c r="D3026" s="44"/>
      <c r="E3026" s="45"/>
      <c r="F3026" s="46">
        <f>ROUND(SUM(F3005:F3025),2)</f>
        <v>0</v>
      </c>
      <c r="G3026" s="63"/>
      <c r="M3026" s="57"/>
      <c r="N3026" s="57"/>
      <c r="O3026" s="56"/>
      <c r="P3026" s="56"/>
      <c r="Q3026" s="48"/>
      <c r="R3026" s="48"/>
    </row>
    <row r="3027" spans="1:23" ht="12" customHeight="1" thickBot="1" x14ac:dyDescent="0.25">
      <c r="A3027" s="8"/>
      <c r="B3027" s="9"/>
      <c r="C3027" s="10"/>
      <c r="D3027" s="57"/>
      <c r="F3027" s="12"/>
      <c r="M3027" s="57"/>
      <c r="N3027" s="57"/>
      <c r="O3027" s="56"/>
      <c r="P3027" s="56"/>
    </row>
    <row r="3028" spans="1:23" ht="50.1" customHeight="1" x14ac:dyDescent="0.2">
      <c r="A3028" s="13" t="str">
        <f>'3.A'!$A$154</f>
        <v>3.3.15</v>
      </c>
      <c r="B3028" s="14" t="str">
        <f>IF(A3028="","",VLOOKUP(A3028,'3.A'!$A$17:$M$279,2,FALSE))</f>
        <v>TRANSFORMADOR DE CORRENTE, EM TERMOPLÁSTICO, TIPO JANELA, VMAX=600VCA, RELAÇÃO DE 300/5A</v>
      </c>
      <c r="C3028" s="413" t="s">
        <v>62</v>
      </c>
      <c r="D3028" s="413"/>
      <c r="E3028" s="15" t="str">
        <f>IF(A3028="","",VLOOKUP(A3028,'3.A'!$A$17:$M$279,3,FALSE))</f>
        <v>UN</v>
      </c>
      <c r="F3028" s="16">
        <f>ROUND(F3042+F3055+F3078,2)</f>
        <v>0</v>
      </c>
      <c r="G3028" s="118">
        <f>VLOOKUP(A3028,'3.A'!$A$19:$I$279,4,FALSE)</f>
        <v>3</v>
      </c>
      <c r="H3028" s="47">
        <f>SUM(F3030:F3041)</f>
        <v>0</v>
      </c>
      <c r="I3028" s="47">
        <f>SUM(F3044:F3054)</f>
        <v>0</v>
      </c>
      <c r="J3028" s="47">
        <f>SUM(F3057:F3077)</f>
        <v>0</v>
      </c>
      <c r="K3028" s="47">
        <f>SUM(H3028:J3028)</f>
        <v>0</v>
      </c>
      <c r="L3028" s="47" t="str">
        <f>IF(K3028=F3028,"SIM","NÃO")</f>
        <v>SIM</v>
      </c>
      <c r="M3028" s="58">
        <f>ROUND(SUM(F3030:F3039)*C3040,2)+ROUND(SUM(F3030:F3040)*C3041,2)+ROUND(SUM(F3030:F3039),2)+ROUND(SUM(F3044:F3053)*C3054,2)+ROUND(SUM(F3044:F3053),2)+ROUND(SUM(F3057:F3076)*C3077,2)+ROUND(SUM(F3057:F3076),2)</f>
        <v>0</v>
      </c>
      <c r="N3028" s="50" t="str">
        <f>IF(M3028=F3028,"SIM","NÃO")</f>
        <v>SIM</v>
      </c>
      <c r="O3028" s="51" t="str">
        <f>VLOOKUP(A3028,'3.A'!$A$8:$E$279,3,FALSE)</f>
        <v>UN</v>
      </c>
      <c r="P3028" s="51" t="str">
        <f>IF(O3028=E3028,"SIM","NÃO")</f>
        <v>SIM</v>
      </c>
      <c r="Q3028" s="53">
        <f>ROUND(G3028*F3042,2)+ROUND(G3028*F3055,2)+ROUND(G3028*F3078,2)</f>
        <v>0</v>
      </c>
      <c r="R3028" s="59">
        <f>VLOOKUP(A3028,'3.A'!$A$17:$L$279,12,FALSE)</f>
        <v>0</v>
      </c>
      <c r="S3028" s="60" t="str">
        <f>IF(Q3028=R3028,"si","no")</f>
        <v>si</v>
      </c>
      <c r="T3028" s="61">
        <f>SUM(L3030:L3039)+SUM(L3044:L3053)+SUM(L3057:L3076)</f>
        <v>3.6</v>
      </c>
      <c r="U3028" s="52">
        <f>G3028*C3036+G3028*C3038+G3028*C3031+G3028*C3032+G3028*C3034+G3028*C3037+G3028*C3035+G3028*C3030+G3028*C3033+G3028*C3039+G3028*C3050+G3028*C3044+G3028*C3052+G3028*C3051+G3028*C3049+G3028*C3046+G3028*C3045+G3028*C3047+G3028*C3053+G3028*C3048+G3028*C3057+G3028*C3058+G3028*C3059+G3028*C3067+G3028*C3068+G3028*C3069+G3028*C3070+G3028*C3071+G3028*C3072+G3028*C3073+G3028*C3074+G3028*C3075+G3028*C3076+G3028*C3065+G3028*C3066+G3028*C3060+G3028*C3061+G3028*C3062+G3028*C3063+G3028*C3064</f>
        <v>3.6</v>
      </c>
      <c r="V3028" s="54" t="str">
        <f>IF(T3028=U3028,"si","no")</f>
        <v>si</v>
      </c>
      <c r="W3028" s="137"/>
    </row>
    <row r="3029" spans="1:23" ht="12.75" customHeight="1" x14ac:dyDescent="0.2">
      <c r="A3029" s="17" t="s">
        <v>3</v>
      </c>
      <c r="B3029" s="18" t="s">
        <v>58</v>
      </c>
      <c r="C3029" s="56" t="s">
        <v>59</v>
      </c>
      <c r="D3029" s="56" t="s">
        <v>16</v>
      </c>
      <c r="E3029" s="19" t="s">
        <v>60</v>
      </c>
      <c r="F3029" s="20" t="s">
        <v>61</v>
      </c>
      <c r="G3029" s="21"/>
      <c r="M3029" s="57"/>
      <c r="N3029" s="57"/>
      <c r="O3029" s="56"/>
      <c r="P3029" s="56"/>
      <c r="Q3029" s="48"/>
      <c r="R3029" s="48"/>
    </row>
    <row r="3030" spans="1:23" ht="12.75" customHeight="1" x14ac:dyDescent="0.2">
      <c r="A3030" s="155">
        <f>'6.A'!$A$18</f>
        <v>88264</v>
      </c>
      <c r="B3030" s="138" t="str">
        <f>IF(A3030="","",VLOOKUP(A3030,'6.A'!$A$11:$G$180,2,FALSE))</f>
        <v>ELETRICISTA COM ENCARGOS COMPLEMENTARES</v>
      </c>
      <c r="C3030" s="156">
        <v>0.1</v>
      </c>
      <c r="D3030" s="57" t="str">
        <f>IF(A3030="","",VLOOKUP(A3030,'6.A'!$A$11:$G$180,4,FALSE))</f>
        <v>H</v>
      </c>
      <c r="E3030" s="100">
        <f>IF(A3030="","",VLOOKUP(A3030,'6.A'!$A$11:$G$180,5,FALSE))</f>
        <v>0</v>
      </c>
      <c r="F3030" s="24">
        <f t="shared" ref="F3030:F3039" si="1299">IF(A3030="","0,00",ROUND(C3030*E3030,2))</f>
        <v>0</v>
      </c>
      <c r="G3030" s="52"/>
      <c r="H3030" s="52">
        <f>IF(A3030="","",VLOOKUP(A3030,'6.A'!$A$11:$E$7984,5,FALSE))</f>
        <v>0</v>
      </c>
      <c r="I3030" s="52" t="str">
        <f>IF(H3030="","",IF(E3030=H3030,"SIM","NÃO"))</f>
        <v>SIM</v>
      </c>
      <c r="J3030" s="52" t="str">
        <f>IF(H3030="","",VLOOKUP(A3030,'6.A'!$A$11:$E$564,4,FALSE))</f>
        <v>H</v>
      </c>
      <c r="K3030" s="52" t="str">
        <f>IF(H3030="","",IF(J3030=D3030,"SIM","NÃO"))</f>
        <v>SIM</v>
      </c>
      <c r="L3030" s="52">
        <f>IF(H3030="","",IF(C3030="","",G3028*C3030))</f>
        <v>0.30000000000000004</v>
      </c>
      <c r="M3030" s="117" t="str">
        <f>IF(A3030="","",VLOOKUP(A3030,'6.A'!$A$11:$C$564,2,FALSE))</f>
        <v>ELETRICISTA COM ENCARGOS COMPLEMENTARES</v>
      </c>
      <c r="N3030" s="57" t="str">
        <f>IF(A3030="","",IF(M3030=B3030,"si","no"))</f>
        <v>si</v>
      </c>
      <c r="O3030" s="56"/>
      <c r="P3030" s="56"/>
      <c r="Q3030" s="48"/>
      <c r="R3030" s="48"/>
    </row>
    <row r="3031" spans="1:23" ht="12.75" customHeight="1" x14ac:dyDescent="0.2">
      <c r="A3031" s="155">
        <f>'6.A'!$A$15</f>
        <v>88247</v>
      </c>
      <c r="B3031" s="138" t="str">
        <f>IF(A3031="","",VLOOKUP(A3031,'6.A'!$A$11:$G$180,2,FALSE))</f>
        <v>AUXILIAR DE ELETRICISTA COM ENCARGOS COMPLEMENTARES</v>
      </c>
      <c r="C3031" s="156">
        <v>0.1</v>
      </c>
      <c r="D3031" s="57" t="str">
        <f>IF(A3031="","",VLOOKUP(A3031,'6.A'!$A$11:$G$180,4,FALSE))</f>
        <v>H</v>
      </c>
      <c r="E3031" s="100">
        <f>IF(A3031="","",VLOOKUP(A3031,'6.A'!$A$11:$G$180,5,FALSE))</f>
        <v>0</v>
      </c>
      <c r="F3031" s="24">
        <f t="shared" si="1299"/>
        <v>0</v>
      </c>
      <c r="G3031" s="52"/>
      <c r="H3031" s="52">
        <f>IF(A3031="","",VLOOKUP(A3031,'6.A'!$A$11:$E$7984,5,FALSE))</f>
        <v>0</v>
      </c>
      <c r="I3031" s="52" t="str">
        <f>IF(H3031="","",IF(E3031=H3031,"SIM","NÃO"))</f>
        <v>SIM</v>
      </c>
      <c r="J3031" s="52" t="str">
        <f>IF(H3031="","",VLOOKUP(A3031,'6.A'!$A$11:$E$564,4,FALSE))</f>
        <v>H</v>
      </c>
      <c r="K3031" s="52" t="str">
        <f>IF(H3031="","",IF(J3031=D3031,"SIM","NÃO"))</f>
        <v>SIM</v>
      </c>
      <c r="L3031" s="52">
        <f>IF(H3031="","",IF(C3031="","",G3028*C3031))</f>
        <v>0.30000000000000004</v>
      </c>
      <c r="M3031" s="117" t="str">
        <f>IF(A3031="","",VLOOKUP(A3031,'6.A'!$A$11:$C$564,2,FALSE))</f>
        <v>AUXILIAR DE ELETRICISTA COM ENCARGOS COMPLEMENTARES</v>
      </c>
      <c r="N3031" s="57" t="str">
        <f>IF(A3031="","",IF(M3031=B3031,"si","no"))</f>
        <v>si</v>
      </c>
      <c r="O3031" s="56"/>
      <c r="P3031" s="56"/>
      <c r="Q3031" s="48"/>
      <c r="R3031" s="48"/>
    </row>
    <row r="3032" spans="1:23" ht="12.75" customHeight="1" x14ac:dyDescent="0.2">
      <c r="A3032" s="155"/>
      <c r="B3032" s="138" t="str">
        <f>IF(A3032="","",VLOOKUP(A3032,'6.A'!$A$11:$G$180,2,FALSE))</f>
        <v/>
      </c>
      <c r="C3032" s="156"/>
      <c r="D3032" s="57" t="str">
        <f>IF(A3032="","",VLOOKUP(A3032,'6.A'!$A$11:$G$180,4,FALSE))</f>
        <v/>
      </c>
      <c r="E3032" s="100" t="str">
        <f>IF(A3032="","",VLOOKUP(A3032,'6.A'!$A$11:$G$180,5,FALSE))</f>
        <v/>
      </c>
      <c r="F3032" s="24" t="str">
        <f t="shared" si="1299"/>
        <v>0,00</v>
      </c>
      <c r="G3032" s="52"/>
      <c r="H3032" s="52" t="str">
        <f>IF(A3032="","",VLOOKUP(A3032,'6.A'!$A$11:$E$7984,5,FALSE))</f>
        <v/>
      </c>
      <c r="I3032" s="52" t="str">
        <f>IF(H3032="","",IF(E3032=H3032,"SIM","NÃO"))</f>
        <v/>
      </c>
      <c r="J3032" s="52" t="str">
        <f>IF(H3032="","",VLOOKUP(A3032,'6.A'!$A$11:$E$564,4,FALSE))</f>
        <v/>
      </c>
      <c r="K3032" s="52" t="str">
        <f t="shared" ref="K3032" si="1300">IF(H3032="","",IF(J3032=D3032,"SIM","NÃO"))</f>
        <v/>
      </c>
      <c r="L3032" s="52" t="str">
        <f>IF(H3032="","",IF(C3032="","",G3028*C3032))</f>
        <v/>
      </c>
      <c r="M3032" s="117" t="str">
        <f>IF(A3032="","",VLOOKUP(A3032,'6.A'!$A$11:$C$564,2,FALSE))</f>
        <v/>
      </c>
      <c r="N3032" s="57" t="str">
        <f t="shared" ref="N3032" si="1301">IF(A3032="","",IF(M3032=B3032,"si","no"))</f>
        <v/>
      </c>
      <c r="O3032" s="56"/>
      <c r="P3032" s="56"/>
      <c r="Q3032" s="48"/>
      <c r="R3032" s="48"/>
      <c r="S3032" s="2"/>
    </row>
    <row r="3033" spans="1:23" ht="12.75" customHeight="1" x14ac:dyDescent="0.2">
      <c r="A3033" s="155"/>
      <c r="B3033" s="138" t="str">
        <f>IF(A3033="","",VLOOKUP(A3033,'6.A'!$A$11:$G$180,2,FALSE))</f>
        <v/>
      </c>
      <c r="C3033" s="156"/>
      <c r="D3033" s="57" t="str">
        <f>IF(A3033="","",VLOOKUP(A3033,'6.A'!$A$11:$G$180,4,FALSE))</f>
        <v/>
      </c>
      <c r="E3033" s="100" t="str">
        <f>IF(A3033="","",VLOOKUP(A3033,'6.A'!$A$11:$G$180,5,FALSE))</f>
        <v/>
      </c>
      <c r="F3033" s="24" t="str">
        <f t="shared" si="1299"/>
        <v>0,00</v>
      </c>
      <c r="G3033" s="52"/>
      <c r="H3033" s="52" t="str">
        <f>IF(A3033="","",VLOOKUP(A3033,'6.A'!$A$11:$E$7984,5,FALSE))</f>
        <v/>
      </c>
      <c r="I3033" s="52" t="str">
        <f>IF(H3033="","",IF(E3033=H3033,"SIM","NÃO"))</f>
        <v/>
      </c>
      <c r="J3033" s="52" t="str">
        <f>IF(H3033="","",VLOOKUP(A3033,'6.A'!$A$11:$E$564,4,FALSE))</f>
        <v/>
      </c>
      <c r="K3033" s="52" t="str">
        <f>IF(H3033="","",IF(J3033=D3033,"SIM","NÃO"))</f>
        <v/>
      </c>
      <c r="L3033" s="52" t="str">
        <f>IF(H3033="","",IF(C3033="","",G3028*C3033))</f>
        <v/>
      </c>
      <c r="M3033" s="117" t="str">
        <f>IF(A3033="","",VLOOKUP(A3033,'6.A'!$A$11:$C$564,2,FALSE))</f>
        <v/>
      </c>
      <c r="N3033" s="57" t="str">
        <f>IF(A3033="","",IF(M3033=B3033,"si","no"))</f>
        <v/>
      </c>
      <c r="O3033" s="56"/>
      <c r="P3033" s="56"/>
      <c r="Q3033" s="48"/>
      <c r="R3033" s="48"/>
      <c r="S3033" s="2"/>
    </row>
    <row r="3034" spans="1:23" ht="12.75" customHeight="1" x14ac:dyDescent="0.2">
      <c r="A3034" s="155"/>
      <c r="B3034" s="138" t="str">
        <f>IF(A3034="","",VLOOKUP(A3034,'6.A'!$A$11:$G$180,2,FALSE))</f>
        <v/>
      </c>
      <c r="C3034" s="156"/>
      <c r="D3034" s="57" t="str">
        <f>IF(A3034="","",VLOOKUP(A3034,'6.A'!$A$11:$G$180,4,FALSE))</f>
        <v/>
      </c>
      <c r="E3034" s="101" t="str">
        <f>IF(A3034="","",VLOOKUP(A3034,'6.A'!$A$11:$G$180,5,FALSE))</f>
        <v/>
      </c>
      <c r="F3034" s="24" t="str">
        <f t="shared" si="1299"/>
        <v>0,00</v>
      </c>
      <c r="G3034" s="52"/>
      <c r="H3034" s="52" t="str">
        <f>IF(A3034="","",VLOOKUP(A3034,'6.A'!$A$11:$E$7984,5,FALSE))</f>
        <v/>
      </c>
      <c r="I3034" s="52" t="str">
        <f t="shared" ref="I3034" si="1302">IF(H3034="","",IF(E3034=H3034,"SIM","NÃO"))</f>
        <v/>
      </c>
      <c r="J3034" s="52" t="str">
        <f>IF(H3034="","",VLOOKUP(A3034,'6.A'!$A$11:$E$564,4,FALSE))</f>
        <v/>
      </c>
      <c r="K3034" s="52" t="str">
        <f t="shared" ref="K3034" si="1303">IF(H3034="","",IF(J3034=D3034,"SIM","NÃO"))</f>
        <v/>
      </c>
      <c r="L3034" s="52" t="str">
        <f>IF(H3034="","",IF(C3034="","",G3028*C3034))</f>
        <v/>
      </c>
      <c r="M3034" s="117" t="str">
        <f>IF(A3034="","",VLOOKUP(A3034,'6.A'!$A$11:$C$564,2,FALSE))</f>
        <v/>
      </c>
      <c r="N3034" s="57" t="str">
        <f t="shared" ref="N3034" si="1304">IF(A3034="","",IF(M3034=B3034,"si","no"))</f>
        <v/>
      </c>
      <c r="O3034" s="56"/>
      <c r="P3034" s="56"/>
      <c r="Q3034" s="48"/>
      <c r="R3034" s="48"/>
      <c r="S3034" s="2"/>
    </row>
    <row r="3035" spans="1:23" ht="12.75" customHeight="1" x14ac:dyDescent="0.2">
      <c r="A3035" s="155"/>
      <c r="B3035" s="138" t="str">
        <f>IF(A3035="","",VLOOKUP(A3035,'6.A'!$A$11:$G$180,2,FALSE))</f>
        <v/>
      </c>
      <c r="C3035" s="156"/>
      <c r="D3035" s="57" t="str">
        <f>IF(A3035="","",VLOOKUP(A3035,'6.A'!$A$11:$G$180,4,FALSE))</f>
        <v/>
      </c>
      <c r="E3035" s="101" t="str">
        <f>IF(A3035="","",VLOOKUP(A3035,'6.A'!$A$11:$G$180,5,FALSE))</f>
        <v/>
      </c>
      <c r="F3035" s="24" t="str">
        <f t="shared" si="1299"/>
        <v>0,00</v>
      </c>
      <c r="G3035" s="52"/>
      <c r="H3035" s="52" t="str">
        <f>IF(A3035="","",VLOOKUP(A3035,'6.A'!$A$11:$E$7984,5,FALSE))</f>
        <v/>
      </c>
      <c r="I3035" s="52" t="str">
        <f>IF(H3035="","",IF(E3035=H3035,"SIM","NÃO"))</f>
        <v/>
      </c>
      <c r="J3035" s="52" t="str">
        <f>IF(H3035="","",VLOOKUP(A3035,'6.A'!$A$11:$E$564,4,FALSE))</f>
        <v/>
      </c>
      <c r="K3035" s="52" t="str">
        <f>IF(H3035="","",IF(J3035=D3035,"SIM","NÃO"))</f>
        <v/>
      </c>
      <c r="L3035" s="52" t="str">
        <f>IF(H3035="","",IF(C3035="","",G3028*C3035))</f>
        <v/>
      </c>
      <c r="M3035" s="117" t="str">
        <f>IF(A3035="","",VLOOKUP(A3035,'6.A'!$A$11:$C$564,2,FALSE))</f>
        <v/>
      </c>
      <c r="N3035" s="57" t="str">
        <f>IF(A3035="","",IF(M3035=B3035,"si","no"))</f>
        <v/>
      </c>
      <c r="O3035" s="56"/>
      <c r="P3035" s="56"/>
      <c r="Q3035" s="48"/>
      <c r="R3035" s="48"/>
      <c r="S3035" s="2"/>
    </row>
    <row r="3036" spans="1:23" ht="12.75" customHeight="1" x14ac:dyDescent="0.2">
      <c r="A3036" s="155"/>
      <c r="B3036" s="138" t="str">
        <f>IF(A3036="","",VLOOKUP(A3036,'6.A'!$A$11:$G$180,2,FALSE))</f>
        <v/>
      </c>
      <c r="C3036" s="156"/>
      <c r="D3036" s="57" t="str">
        <f>IF(A3036="","",VLOOKUP(A3036,'6.A'!$A$11:$G$180,4,FALSE))</f>
        <v/>
      </c>
      <c r="E3036" s="100" t="str">
        <f>IF(A3036="","",VLOOKUP(A3036,'6.A'!$A$11:$G$180,5,FALSE))</f>
        <v/>
      </c>
      <c r="F3036" s="24" t="str">
        <f t="shared" si="1299"/>
        <v>0,00</v>
      </c>
      <c r="G3036" s="52"/>
      <c r="H3036" s="52" t="str">
        <f>IF(A3036="","",VLOOKUP(A3036,'6.A'!$A$11:$E$7984,5,FALSE))</f>
        <v/>
      </c>
      <c r="I3036" s="52" t="str">
        <f>IF(H3036="","",IF(E3036=H3036,"SIM","NÃO"))</f>
        <v/>
      </c>
      <c r="J3036" s="52" t="str">
        <f>IF(H3036="","",VLOOKUP(A3036,'6.A'!$A$11:$E$564,4,FALSE))</f>
        <v/>
      </c>
      <c r="K3036" s="52" t="str">
        <f>IF(H3036="","",IF(J3036=D3036,"SIM","NÃO"))</f>
        <v/>
      </c>
      <c r="L3036" s="52" t="str">
        <f>IF(H3036="","",IF(C3036="","",G3028*C3036))</f>
        <v/>
      </c>
      <c r="M3036" s="117" t="str">
        <f>IF(A3036="","",VLOOKUP(A3036,'6.A'!$A$11:$C$564,2,FALSE))</f>
        <v/>
      </c>
      <c r="N3036" s="57" t="str">
        <f>IF(A3036="","",IF(M3036=B3036,"si","no"))</f>
        <v/>
      </c>
      <c r="O3036" s="56"/>
      <c r="P3036" s="56"/>
      <c r="Q3036" s="48"/>
      <c r="R3036" s="48"/>
      <c r="S3036" s="2"/>
    </row>
    <row r="3037" spans="1:23" ht="12.75" customHeight="1" x14ac:dyDescent="0.2">
      <c r="A3037" s="155"/>
      <c r="B3037" s="138" t="str">
        <f>IF(A3037="","",VLOOKUP(A3037,'6.A'!$A$11:$G$180,2,FALSE))</f>
        <v/>
      </c>
      <c r="C3037" s="156"/>
      <c r="D3037" s="57" t="str">
        <f>IF(A3037="","",VLOOKUP(A3037,'6.A'!$A$11:$G$180,4,FALSE))</f>
        <v/>
      </c>
      <c r="E3037" s="100" t="str">
        <f>IF(A3037="","",VLOOKUP(A3037,'6.A'!$A$11:$G$180,5,FALSE))</f>
        <v/>
      </c>
      <c r="F3037" s="24" t="str">
        <f t="shared" si="1299"/>
        <v>0,00</v>
      </c>
      <c r="G3037" s="52"/>
      <c r="H3037" s="52" t="str">
        <f>IF(A3037="","",VLOOKUP(A3037,'6.A'!$A$11:$E$7984,5,FALSE))</f>
        <v/>
      </c>
      <c r="I3037" s="52" t="str">
        <f t="shared" ref="I3037" si="1305">IF(H3037="","",IF(E3037=H3037,"SIM","NÃO"))</f>
        <v/>
      </c>
      <c r="J3037" s="52" t="str">
        <f>IF(H3037="","",VLOOKUP(A3037,'6.A'!$A$11:$E$564,4,FALSE))</f>
        <v/>
      </c>
      <c r="K3037" s="52" t="str">
        <f t="shared" ref="K3037" si="1306">IF(H3037="","",IF(J3037=D3037,"SIM","NÃO"))</f>
        <v/>
      </c>
      <c r="L3037" s="52" t="str">
        <f>IF(H3037="","",IF(C3037="","",G3028*C3037))</f>
        <v/>
      </c>
      <c r="M3037" s="117" t="str">
        <f>IF(A3037="","",VLOOKUP(A3037,'6.A'!$A$11:$C$564,2,FALSE))</f>
        <v/>
      </c>
      <c r="N3037" s="57" t="str">
        <f t="shared" ref="N3037" si="1307">IF(A3037="","",IF(M3037=B3037,"si","no"))</f>
        <v/>
      </c>
      <c r="O3037" s="56"/>
      <c r="P3037" s="56"/>
      <c r="Q3037" s="48"/>
      <c r="R3037" s="48"/>
      <c r="S3037" s="2"/>
    </row>
    <row r="3038" spans="1:23" ht="12.75" customHeight="1" x14ac:dyDescent="0.2">
      <c r="A3038" s="155"/>
      <c r="B3038" s="138" t="str">
        <f>IF(A3038="","",VLOOKUP(A3038,'6.A'!$A$11:$G$180,2,FALSE))</f>
        <v/>
      </c>
      <c r="C3038" s="156"/>
      <c r="D3038" s="73" t="str">
        <f>IF(A3038="","",VLOOKUP(A3038,'6.A'!$A$11:$G$180,4,FALSE))</f>
        <v/>
      </c>
      <c r="E3038" s="101" t="str">
        <f>IF(A3038="","",VLOOKUP(A3038,'6.A'!$A$11:$G$180,5,FALSE))</f>
        <v/>
      </c>
      <c r="F3038" s="24" t="str">
        <f t="shared" si="1299"/>
        <v>0,00</v>
      </c>
      <c r="G3038" s="52"/>
      <c r="H3038" s="52" t="str">
        <f>IF(A3038="","",VLOOKUP(A3038,'6.A'!$A$11:$E$7984,5,FALSE))</f>
        <v/>
      </c>
      <c r="I3038" s="52" t="str">
        <f>IF(H3038="","",IF(E3038=H3038,"SIM","NÃO"))</f>
        <v/>
      </c>
      <c r="J3038" s="52" t="str">
        <f>IF(H3038="","",VLOOKUP(A3038,'6.A'!$A$11:$E$564,4,FALSE))</f>
        <v/>
      </c>
      <c r="K3038" s="52" t="str">
        <f>IF(H3038="","",IF(J3038=D3038,"SIM","NÃO"))</f>
        <v/>
      </c>
      <c r="L3038" s="52" t="str">
        <f>IF(H3038="","",IF(C3038="","",G3028*C3038))</f>
        <v/>
      </c>
      <c r="M3038" s="117" t="str">
        <f>IF(A3038="","",VLOOKUP(A3038,'6.A'!$A$11:$C$564,2,FALSE))</f>
        <v/>
      </c>
      <c r="N3038" s="57" t="str">
        <f>IF(A3038="","",IF(M3038=B3038,"si","no"))</f>
        <v/>
      </c>
      <c r="O3038" s="56"/>
      <c r="P3038" s="56"/>
      <c r="Q3038" s="48"/>
      <c r="R3038" s="48"/>
      <c r="S3038" s="2"/>
    </row>
    <row r="3039" spans="1:23" ht="12.75" customHeight="1" x14ac:dyDescent="0.2">
      <c r="A3039" s="155"/>
      <c r="B3039" s="138" t="str">
        <f>IF(A3039="","",VLOOKUP(A3039,'6.A'!$A$11:$G$180,2,FALSE))</f>
        <v/>
      </c>
      <c r="C3039" s="156"/>
      <c r="D3039" s="25" t="str">
        <f>IF(A3039="","",VLOOKUP(A3039,'6.A'!$A$11:$G$180,4,FALSE))</f>
        <v/>
      </c>
      <c r="E3039" s="101" t="str">
        <f>IF(A3039="","",VLOOKUP(A3039,'6.A'!$A$11:$G$180,5,FALSE))</f>
        <v/>
      </c>
      <c r="F3039" s="24" t="str">
        <f t="shared" si="1299"/>
        <v>0,00</v>
      </c>
      <c r="G3039" s="52"/>
      <c r="H3039" s="52" t="str">
        <f>IF(A3039="","",VLOOKUP(A3039,'6.A'!$A$11:$E$7984,5,FALSE))</f>
        <v/>
      </c>
      <c r="I3039" s="52" t="str">
        <f t="shared" ref="I3039" si="1308">IF(H3039="","",IF(E3039=H3039,"SIM","NÃO"))</f>
        <v/>
      </c>
      <c r="J3039" s="52" t="str">
        <f>IF(H3039="","",VLOOKUP(A3039,'6.A'!$A$11:$E$564,4,FALSE))</f>
        <v/>
      </c>
      <c r="K3039" s="52" t="str">
        <f t="shared" ref="K3039" si="1309">IF(H3039="","",IF(J3039=D3039,"SIM","NÃO"))</f>
        <v/>
      </c>
      <c r="L3039" s="52" t="str">
        <f>IF(H3039="","",IF(C3039="","",G3028*C3039))</f>
        <v/>
      </c>
      <c r="M3039" s="117" t="str">
        <f>IF(A3039="","",VLOOKUP(A3039,'6.A'!$A$11:$C$564,2,FALSE))</f>
        <v/>
      </c>
      <c r="N3039" s="57" t="str">
        <f t="shared" ref="N3039" si="1310">IF(A3039="","",IF(M3039=B3039,"si","no"))</f>
        <v/>
      </c>
      <c r="O3039" s="56"/>
      <c r="P3039" s="56"/>
      <c r="Q3039" s="48"/>
      <c r="R3039" s="48"/>
      <c r="S3039" s="2"/>
    </row>
    <row r="3040" spans="1:23" ht="12.75" customHeight="1" x14ac:dyDescent="0.2">
      <c r="A3040" s="152"/>
      <c r="B3040" s="26" t="str">
        <f>$A$8</f>
        <v>LEIS SOCIAIS HORISTA - JORNADA NORMAL</v>
      </c>
      <c r="C3040" s="27">
        <f>$C$8</f>
        <v>0</v>
      </c>
      <c r="D3040" s="57"/>
      <c r="F3040" s="28">
        <f>ROUND(SUM(F3030:F3039)*C3040,2)</f>
        <v>0</v>
      </c>
      <c r="G3040" s="63"/>
      <c r="M3040" s="62"/>
      <c r="N3040" s="57"/>
      <c r="O3040" s="56"/>
      <c r="P3040" s="56"/>
      <c r="Q3040" s="48"/>
      <c r="R3040" s="48"/>
      <c r="S3040" s="2"/>
    </row>
    <row r="3041" spans="1:19" ht="12.75" customHeight="1" x14ac:dyDescent="0.2">
      <c r="A3041" s="155"/>
      <c r="B3041" s="26" t="str">
        <f>$A$9</f>
        <v>BDI</v>
      </c>
      <c r="C3041" s="27">
        <f>$C$9</f>
        <v>0</v>
      </c>
      <c r="D3041" s="29"/>
      <c r="F3041" s="28">
        <f>ROUND(SUM(F3030:F3040)*C3041,2)</f>
        <v>0</v>
      </c>
      <c r="G3041" s="63"/>
      <c r="M3041" s="62"/>
      <c r="N3041" s="57"/>
      <c r="O3041" s="56"/>
      <c r="P3041" s="56"/>
      <c r="Q3041" s="48"/>
      <c r="R3041" s="48"/>
      <c r="S3041" s="2"/>
    </row>
    <row r="3042" spans="1:19" ht="12.75" customHeight="1" x14ac:dyDescent="0.2">
      <c r="A3042" s="163"/>
      <c r="B3042" s="164" t="s">
        <v>56</v>
      </c>
      <c r="C3042" s="165"/>
      <c r="D3042" s="33"/>
      <c r="E3042" s="34"/>
      <c r="F3042" s="35">
        <f>ROUND(SUM(F3030:F3041),2)</f>
        <v>0</v>
      </c>
      <c r="G3042" s="63"/>
      <c r="M3042" s="62"/>
      <c r="N3042" s="57"/>
      <c r="O3042" s="56"/>
      <c r="P3042" s="56"/>
      <c r="Q3042" s="48"/>
      <c r="R3042" s="48"/>
      <c r="S3042" s="2"/>
    </row>
    <row r="3043" spans="1:19" ht="12.75" customHeight="1" x14ac:dyDescent="0.2">
      <c r="A3043" s="152" t="s">
        <v>5</v>
      </c>
      <c r="B3043" s="153" t="s">
        <v>130</v>
      </c>
      <c r="C3043" s="140" t="s">
        <v>59</v>
      </c>
      <c r="D3043" s="56" t="s">
        <v>16</v>
      </c>
      <c r="E3043" s="19" t="s">
        <v>60</v>
      </c>
      <c r="F3043" s="20" t="s">
        <v>61</v>
      </c>
      <c r="G3043" s="21"/>
      <c r="M3043" s="62"/>
      <c r="N3043" s="57"/>
      <c r="O3043" s="56"/>
      <c r="P3043" s="56"/>
      <c r="Q3043" s="48"/>
      <c r="R3043" s="48"/>
      <c r="S3043" s="2"/>
    </row>
    <row r="3044" spans="1:19" ht="12.75" customHeight="1" x14ac:dyDescent="0.2">
      <c r="A3044" s="155"/>
      <c r="B3044" s="138" t="str">
        <f>IF(A3044="","",VLOOKUP(A3044,'6.A'!$A$11:$G$180,2,FALSE))</f>
        <v/>
      </c>
      <c r="C3044" s="156"/>
      <c r="D3044" s="57" t="str">
        <f>IF(A3044="","",VLOOKUP(A3044,'6.A'!$A$11:$G$180,4,FALSE))</f>
        <v/>
      </c>
      <c r="E3044" s="100" t="str">
        <f>IF(A3044="","",VLOOKUP(A3044,'6.A'!$A$11:$G$180,5,FALSE))</f>
        <v/>
      </c>
      <c r="F3044" s="24" t="str">
        <f t="shared" ref="F3044:F3053" si="1311">IF(A3044="","0,00",ROUND(C3044*E3044,2))</f>
        <v>0,00</v>
      </c>
      <c r="G3044" s="52"/>
      <c r="H3044" s="52" t="str">
        <f>IF(A3044="","",VLOOKUP(A3044,'6.A'!$A$11:$E$7984,5,FALSE))</f>
        <v/>
      </c>
      <c r="I3044" s="52" t="str">
        <f t="shared" ref="I3044:I3053" si="1312">IF(H3044="","",IF(E3044=H3044,"SIM","NÃO"))</f>
        <v/>
      </c>
      <c r="J3044" s="52" t="str">
        <f>IF(H3044="","",VLOOKUP(A3044,'6.A'!$A$11:$E$564,4,FALSE))</f>
        <v/>
      </c>
      <c r="K3044" s="52" t="str">
        <f t="shared" ref="K3044:K3053" si="1313">IF(H3044="","",IF(J3044=D3044,"SIM","NÃO"))</f>
        <v/>
      </c>
      <c r="L3044" s="52" t="str">
        <f>IF(H3044="","",IF(C3044="","",G3028*C3044))</f>
        <v/>
      </c>
      <c r="M3044" s="117" t="str">
        <f>IF(A3044="","",VLOOKUP(A3044,'6.A'!$A$11:$C$564,2,FALSE))</f>
        <v/>
      </c>
      <c r="N3044" s="57" t="str">
        <f t="shared" ref="N3044:N3049" si="1314">IF(A3044="","",IF(M3044=B3044,"si","no"))</f>
        <v/>
      </c>
      <c r="O3044" s="56"/>
      <c r="P3044" s="56"/>
      <c r="Q3044" s="48"/>
      <c r="R3044" s="48"/>
      <c r="S3044" s="2"/>
    </row>
    <row r="3045" spans="1:19" ht="12.75" customHeight="1" x14ac:dyDescent="0.2">
      <c r="A3045" s="155"/>
      <c r="B3045" s="138" t="str">
        <f>IF(A3045="","",VLOOKUP(A3045,'6.A'!$A$11:$G$180,2,FALSE))</f>
        <v/>
      </c>
      <c r="C3045" s="156"/>
      <c r="D3045" s="57" t="str">
        <f>IF(A3045="","",VLOOKUP(A3045,'6.A'!$A$11:$G$180,4,FALSE))</f>
        <v/>
      </c>
      <c r="E3045" s="100" t="str">
        <f>IF(A3045="","",VLOOKUP(A3045,'6.A'!$A$11:$G$180,5,FALSE))</f>
        <v/>
      </c>
      <c r="F3045" s="24" t="str">
        <f t="shared" si="1311"/>
        <v>0,00</v>
      </c>
      <c r="G3045" s="52"/>
      <c r="H3045" s="52" t="str">
        <f>IF(A3045="","",VLOOKUP(A3045,'6.A'!$A$11:$E$7984,5,FALSE))</f>
        <v/>
      </c>
      <c r="I3045" s="52" t="str">
        <f t="shared" si="1312"/>
        <v/>
      </c>
      <c r="J3045" s="52" t="str">
        <f>IF(H3045="","",VLOOKUP(A3045,'6.A'!$A$11:$E$564,4,FALSE))</f>
        <v/>
      </c>
      <c r="K3045" s="52" t="str">
        <f t="shared" si="1313"/>
        <v/>
      </c>
      <c r="L3045" s="52" t="str">
        <f>IF(H3045="","",IF(C3045="","",G3028*C3045))</f>
        <v/>
      </c>
      <c r="M3045" s="117" t="str">
        <f>IF(A3045="","",VLOOKUP(A3045,'6.A'!$A$11:$C$564,2,FALSE))</f>
        <v/>
      </c>
      <c r="N3045" s="57" t="str">
        <f t="shared" si="1314"/>
        <v/>
      </c>
      <c r="O3045" s="56"/>
      <c r="P3045" s="56"/>
      <c r="Q3045" s="48"/>
      <c r="R3045" s="48"/>
      <c r="S3045" s="2"/>
    </row>
    <row r="3046" spans="1:19" ht="12.75" customHeight="1" x14ac:dyDescent="0.2">
      <c r="A3046" s="155"/>
      <c r="B3046" s="138" t="str">
        <f>IF(A3046="","",VLOOKUP(A3046,'6.A'!$A$11:$G$180,2,FALSE))</f>
        <v/>
      </c>
      <c r="C3046" s="156"/>
      <c r="D3046" s="57" t="str">
        <f>IF(A3046="","",VLOOKUP(A3046,'6.A'!$A$11:$G$180,4,FALSE))</f>
        <v/>
      </c>
      <c r="E3046" s="100" t="str">
        <f>IF(A3046="","",VLOOKUP(A3046,'6.A'!$A$11:$G$180,5,FALSE))</f>
        <v/>
      </c>
      <c r="F3046" s="24" t="str">
        <f t="shared" si="1311"/>
        <v>0,00</v>
      </c>
      <c r="G3046" s="52"/>
      <c r="H3046" s="52" t="str">
        <f>IF(A3046="","",VLOOKUP(A3046,'6.A'!$A$11:$E$7984,5,FALSE))</f>
        <v/>
      </c>
      <c r="I3046" s="52" t="str">
        <f t="shared" si="1312"/>
        <v/>
      </c>
      <c r="J3046" s="52" t="str">
        <f>IF(H3046="","",VLOOKUP(A3046,'6.A'!$A$11:$E$564,4,FALSE))</f>
        <v/>
      </c>
      <c r="K3046" s="52" t="str">
        <f t="shared" si="1313"/>
        <v/>
      </c>
      <c r="L3046" s="52" t="str">
        <f>IF(H3046="","",IF(C3046="","",G3028*C3046))</f>
        <v/>
      </c>
      <c r="M3046" s="117" t="str">
        <f>IF(A3046="","",VLOOKUP(A3046,'6.A'!$A$11:$C$564,2,FALSE))</f>
        <v/>
      </c>
      <c r="N3046" s="57" t="str">
        <f t="shared" si="1314"/>
        <v/>
      </c>
      <c r="O3046" s="56"/>
      <c r="P3046" s="56"/>
      <c r="Q3046" s="48"/>
      <c r="R3046" s="48"/>
      <c r="S3046" s="2"/>
    </row>
    <row r="3047" spans="1:19" ht="12.75" customHeight="1" x14ac:dyDescent="0.2">
      <c r="A3047" s="155"/>
      <c r="B3047" s="176" t="str">
        <f>IF(A3047="","",VLOOKUP(A3047,'6.A'!$A$11:$G$180,2,FALSE))</f>
        <v/>
      </c>
      <c r="C3047" s="156"/>
      <c r="D3047" s="57" t="str">
        <f>IF(A3047="","",VLOOKUP(A3047,'6.A'!$A$11:$G$180,4,FALSE))</f>
        <v/>
      </c>
      <c r="E3047" s="100" t="str">
        <f>IF(A3047="","",VLOOKUP(A3047,'6.A'!$A$11:$G$180,5,FALSE))</f>
        <v/>
      </c>
      <c r="F3047" s="24" t="str">
        <f t="shared" si="1311"/>
        <v>0,00</v>
      </c>
      <c r="G3047" s="52"/>
      <c r="H3047" s="52" t="str">
        <f>IF(A3047="","",VLOOKUP(A3047,'6.A'!$A$11:$E$7984,5,FALSE))</f>
        <v/>
      </c>
      <c r="I3047" s="52" t="str">
        <f t="shared" si="1312"/>
        <v/>
      </c>
      <c r="J3047" s="52" t="str">
        <f>IF(H3047="","",VLOOKUP(A3047,'6.A'!$A$11:$E$564,4,FALSE))</f>
        <v/>
      </c>
      <c r="K3047" s="52" t="str">
        <f t="shared" si="1313"/>
        <v/>
      </c>
      <c r="L3047" s="52" t="str">
        <f>IF(H3047="","",IF(C3047="","",G3028*C3047))</f>
        <v/>
      </c>
      <c r="M3047" s="117" t="str">
        <f>IF(A3047="","",VLOOKUP(A3047,'6.A'!$A$11:$C$564,2,FALSE))</f>
        <v/>
      </c>
      <c r="N3047" s="57" t="str">
        <f t="shared" si="1314"/>
        <v/>
      </c>
      <c r="O3047" s="56"/>
      <c r="P3047" s="56"/>
      <c r="Q3047" s="48"/>
      <c r="R3047" s="48"/>
      <c r="S3047" s="2"/>
    </row>
    <row r="3048" spans="1:19" ht="12.75" customHeight="1" x14ac:dyDescent="0.2">
      <c r="A3048" s="155"/>
      <c r="B3048" s="176" t="str">
        <f>IF(A3048="","",VLOOKUP(A3048,'6.A'!$A$11:$G$180,2,FALSE))</f>
        <v/>
      </c>
      <c r="C3048" s="156"/>
      <c r="D3048" s="57" t="str">
        <f>IF(A3048="","",VLOOKUP(A3048,'6.A'!$A$11:$G$180,4,FALSE))</f>
        <v/>
      </c>
      <c r="E3048" s="100" t="str">
        <f>IF(A3048="","",VLOOKUP(A3048,'6.A'!$A$11:$G$180,5,FALSE))</f>
        <v/>
      </c>
      <c r="F3048" s="24" t="str">
        <f t="shared" si="1311"/>
        <v>0,00</v>
      </c>
      <c r="G3048" s="52"/>
      <c r="H3048" s="52" t="str">
        <f>IF(A3048="","",VLOOKUP(A3048,'6.A'!$A$11:$E$7984,5,FALSE))</f>
        <v/>
      </c>
      <c r="I3048" s="52" t="str">
        <f t="shared" si="1312"/>
        <v/>
      </c>
      <c r="J3048" s="52" t="str">
        <f>IF(H3048="","",VLOOKUP(A3048,'6.A'!$A$11:$E$564,4,FALSE))</f>
        <v/>
      </c>
      <c r="K3048" s="52" t="str">
        <f t="shared" si="1313"/>
        <v/>
      </c>
      <c r="L3048" s="52" t="str">
        <f>IF(H3048="","",IF(C3048="","",G3028*C3048))</f>
        <v/>
      </c>
      <c r="M3048" s="117" t="str">
        <f>IF(A3048="","",VLOOKUP(A3048,'6.A'!$A$11:$C$564,2,FALSE))</f>
        <v/>
      </c>
      <c r="N3048" s="57" t="str">
        <f t="shared" si="1314"/>
        <v/>
      </c>
      <c r="O3048" s="56"/>
      <c r="P3048" s="56"/>
      <c r="Q3048" s="48"/>
      <c r="R3048" s="48"/>
      <c r="S3048" s="2"/>
    </row>
    <row r="3049" spans="1:19" ht="12.75" customHeight="1" x14ac:dyDescent="0.2">
      <c r="A3049" s="155"/>
      <c r="B3049" s="176" t="str">
        <f>IF(A3049="","",VLOOKUP(A3049,'6.A'!$A$11:$G$180,2,FALSE))</f>
        <v/>
      </c>
      <c r="C3049" s="156"/>
      <c r="D3049" s="57" t="str">
        <f>IF(A3049="","",VLOOKUP(A3049,'6.A'!$A$11:$G$180,4,FALSE))</f>
        <v/>
      </c>
      <c r="E3049" s="100" t="str">
        <f>IF(A3049="","",VLOOKUP(A3049,'6.A'!$A$11:$G$180,5,FALSE))</f>
        <v/>
      </c>
      <c r="F3049" s="24" t="str">
        <f t="shared" si="1311"/>
        <v>0,00</v>
      </c>
      <c r="G3049" s="52"/>
      <c r="H3049" s="52" t="str">
        <f>IF(A3049="","",VLOOKUP(A3049,'6.A'!$A$11:$E$7984,5,FALSE))</f>
        <v/>
      </c>
      <c r="I3049" s="52" t="str">
        <f t="shared" si="1312"/>
        <v/>
      </c>
      <c r="J3049" s="52" t="str">
        <f>IF(H3049="","",VLOOKUP(A3049,'6.A'!$A$11:$E$564,4,FALSE))</f>
        <v/>
      </c>
      <c r="K3049" s="52" t="str">
        <f t="shared" si="1313"/>
        <v/>
      </c>
      <c r="L3049" s="52" t="str">
        <f>IF(H3049="","",IF(C3049="","",G3028*C3049))</f>
        <v/>
      </c>
      <c r="M3049" s="117" t="str">
        <f>IF(A3049="","",VLOOKUP(A3049,'6.A'!$A$11:$C$564,2,FALSE))</f>
        <v/>
      </c>
      <c r="N3049" s="57" t="str">
        <f t="shared" si="1314"/>
        <v/>
      </c>
      <c r="O3049" s="56"/>
      <c r="P3049" s="56"/>
      <c r="Q3049" s="48"/>
      <c r="R3049" s="48"/>
      <c r="S3049" s="2"/>
    </row>
    <row r="3050" spans="1:19" ht="12.75" customHeight="1" x14ac:dyDescent="0.2">
      <c r="A3050" s="155"/>
      <c r="B3050" s="176" t="str">
        <f>IF(A3050="","",VLOOKUP(A3050,'6.A'!$A$11:$G$180,2,FALSE))</f>
        <v/>
      </c>
      <c r="C3050" s="156"/>
      <c r="D3050" s="57" t="str">
        <f>IF(A3050="","",VLOOKUP(A3050,'6.A'!$A$11:$G$180,4,FALSE))</f>
        <v/>
      </c>
      <c r="E3050" s="100" t="str">
        <f>IF(A3050="","",VLOOKUP(A3050,'6.A'!$A$11:$G$180,5,FALSE))</f>
        <v/>
      </c>
      <c r="F3050" s="24" t="str">
        <f t="shared" si="1311"/>
        <v>0,00</v>
      </c>
      <c r="G3050" s="52"/>
      <c r="H3050" s="52" t="str">
        <f>IF(A3050="","",VLOOKUP(A3050,'6.A'!$A$11:$E$7984,5,FALSE))</f>
        <v/>
      </c>
      <c r="I3050" s="52" t="str">
        <f t="shared" si="1312"/>
        <v/>
      </c>
      <c r="J3050" s="52" t="str">
        <f>IF(H3050="","",VLOOKUP(A3050,'6.A'!$A$11:$E$564,4,FALSE))</f>
        <v/>
      </c>
      <c r="K3050" s="52" t="str">
        <f t="shared" si="1313"/>
        <v/>
      </c>
      <c r="L3050" s="52" t="str">
        <f>IF(H3050="","",IF(C3050="","",G3028*C3050))</f>
        <v/>
      </c>
      <c r="M3050" s="117" t="str">
        <f>IF(A3050="","",VLOOKUP(A3050,'6.A'!$A$11:$C$564,2,FALSE))</f>
        <v/>
      </c>
      <c r="N3050" s="57" t="str">
        <f>IF(A3050="","",IF(M3050=B3050,"si","no"))</f>
        <v/>
      </c>
      <c r="O3050" s="56"/>
      <c r="P3050" s="56"/>
      <c r="Q3050" s="48"/>
      <c r="R3050" s="48"/>
      <c r="S3050" s="2"/>
    </row>
    <row r="3051" spans="1:19" ht="12.75" customHeight="1" x14ac:dyDescent="0.2">
      <c r="A3051" s="155"/>
      <c r="B3051" s="138" t="str">
        <f>IF(A3051="","",VLOOKUP(A3051,'6.A'!$A$11:$G$180,2,FALSE))</f>
        <v/>
      </c>
      <c r="C3051" s="156"/>
      <c r="D3051" s="57" t="str">
        <f>IF(A3051="","",VLOOKUP(A3051,'6.A'!$A$11:$G$180,4,FALSE))</f>
        <v/>
      </c>
      <c r="E3051" s="100" t="str">
        <f>IF(A3051="","",VLOOKUP(A3051,'6.A'!$A$11:$G$180,5,FALSE))</f>
        <v/>
      </c>
      <c r="F3051" s="24" t="str">
        <f t="shared" si="1311"/>
        <v>0,00</v>
      </c>
      <c r="G3051" s="52"/>
      <c r="H3051" s="52" t="str">
        <f>IF(A3051="","",VLOOKUP(A3051,'6.A'!$A$11:$E$7984,5,FALSE))</f>
        <v/>
      </c>
      <c r="I3051" s="52" t="str">
        <f t="shared" si="1312"/>
        <v/>
      </c>
      <c r="J3051" s="52" t="str">
        <f>IF(H3051="","",VLOOKUP(A3051,'6.A'!$A$11:$E$564,4,FALSE))</f>
        <v/>
      </c>
      <c r="K3051" s="52" t="str">
        <f t="shared" si="1313"/>
        <v/>
      </c>
      <c r="L3051" s="52" t="str">
        <f>IF(H3051="","",IF(C3051="","",G3028*C3051))</f>
        <v/>
      </c>
      <c r="M3051" s="117" t="str">
        <f>IF(A3051="","",VLOOKUP(A3051,'6.A'!$A$11:$C$564,2,FALSE))</f>
        <v/>
      </c>
      <c r="N3051" s="57" t="str">
        <f>IF(A3051="","",IF(M3051=B3051,"si","no"))</f>
        <v/>
      </c>
      <c r="O3051" s="56"/>
      <c r="P3051" s="56"/>
      <c r="Q3051" s="48"/>
      <c r="R3051" s="48"/>
      <c r="S3051" s="2"/>
    </row>
    <row r="3052" spans="1:19" ht="12.75" customHeight="1" x14ac:dyDescent="0.2">
      <c r="A3052" s="155"/>
      <c r="B3052" s="138" t="str">
        <f>IF(A3052="","",VLOOKUP(A3052,'6.A'!$A$11:$G$180,2,FALSE))</f>
        <v/>
      </c>
      <c r="C3052" s="156"/>
      <c r="D3052" s="57" t="str">
        <f>IF(A3052="","",VLOOKUP(A3052,'6.A'!$A$11:$G$180,4,FALSE))</f>
        <v/>
      </c>
      <c r="E3052" s="100" t="str">
        <f>IF(A3052="","",VLOOKUP(A3052,'6.A'!$A$11:$G$180,5,FALSE))</f>
        <v/>
      </c>
      <c r="F3052" s="24" t="str">
        <f t="shared" si="1311"/>
        <v>0,00</v>
      </c>
      <c r="G3052" s="52"/>
      <c r="H3052" s="52" t="str">
        <f>IF(A3052="","",VLOOKUP(A3052,'6.A'!$A$11:$E$7984,5,FALSE))</f>
        <v/>
      </c>
      <c r="I3052" s="52" t="str">
        <f t="shared" si="1312"/>
        <v/>
      </c>
      <c r="J3052" s="52" t="str">
        <f>IF(H3052="","",VLOOKUP(A3052,'6.A'!$A$11:$E$564,4,FALSE))</f>
        <v/>
      </c>
      <c r="K3052" s="52" t="str">
        <f t="shared" si="1313"/>
        <v/>
      </c>
      <c r="L3052" s="52" t="str">
        <f>IF(H3052="","",IF(C3052="","",G3028*C3052))</f>
        <v/>
      </c>
      <c r="M3052" s="117" t="str">
        <f>IF(A3052="","",VLOOKUP(A3052,'6.A'!$A$11:$C$564,2,FALSE))</f>
        <v/>
      </c>
      <c r="N3052" s="57" t="str">
        <f t="shared" ref="N3052:N3053" si="1315">IF(A3052="","",IF(M3052=B3052,"si","no"))</f>
        <v/>
      </c>
      <c r="O3052" s="56"/>
      <c r="P3052" s="56"/>
      <c r="Q3052" s="48"/>
      <c r="R3052" s="48"/>
      <c r="S3052" s="2"/>
    </row>
    <row r="3053" spans="1:19" ht="12.75" customHeight="1" x14ac:dyDescent="0.2">
      <c r="A3053" s="155"/>
      <c r="B3053" s="138" t="str">
        <f>IF(A3053="","",VLOOKUP(A3053,'6.A'!$A$11:$G$180,2,FALSE))</f>
        <v/>
      </c>
      <c r="C3053" s="156"/>
      <c r="D3053" s="57" t="str">
        <f>IF(A3053="","",VLOOKUP(A3053,'6.A'!$A$11:$G$180,4,FALSE))</f>
        <v/>
      </c>
      <c r="E3053" s="100" t="str">
        <f>IF(A3053="","",VLOOKUP(A3053,'6.A'!$A$11:$G$180,5,FALSE))</f>
        <v/>
      </c>
      <c r="F3053" s="24" t="str">
        <f t="shared" si="1311"/>
        <v>0,00</v>
      </c>
      <c r="G3053" s="52"/>
      <c r="H3053" s="52" t="str">
        <f>IF(A3053="","",VLOOKUP(A3053,'6.A'!$A$11:$E$7984,5,FALSE))</f>
        <v/>
      </c>
      <c r="I3053" s="52" t="str">
        <f t="shared" si="1312"/>
        <v/>
      </c>
      <c r="J3053" s="52" t="str">
        <f>IF(H3053="","",VLOOKUP(A3053,'6.A'!$A$11:$E$564,4,FALSE))</f>
        <v/>
      </c>
      <c r="K3053" s="52" t="str">
        <f t="shared" si="1313"/>
        <v/>
      </c>
      <c r="L3053" s="52" t="str">
        <f>IF(H3053="","",IF(C3053="","",G3028*C3053))</f>
        <v/>
      </c>
      <c r="M3053" s="117" t="str">
        <f>IF(A3053="","",VLOOKUP(A3053,'6.A'!$A$11:$C$564,2,FALSE))</f>
        <v/>
      </c>
      <c r="N3053" s="57" t="str">
        <f t="shared" si="1315"/>
        <v/>
      </c>
      <c r="O3053" s="56"/>
      <c r="P3053" s="56"/>
      <c r="Q3053" s="48"/>
      <c r="R3053" s="48"/>
      <c r="S3053" s="2"/>
    </row>
    <row r="3054" spans="1:19" ht="12.75" customHeight="1" x14ac:dyDescent="0.2">
      <c r="A3054" s="155"/>
      <c r="B3054" s="26" t="str">
        <f>$A$9</f>
        <v>BDI</v>
      </c>
      <c r="C3054" s="27">
        <f>$C$9</f>
        <v>0</v>
      </c>
      <c r="D3054" s="57"/>
      <c r="F3054" s="28">
        <f>ROUND(SUM(F3044:F3053)*C3054,2)</f>
        <v>0</v>
      </c>
      <c r="G3054" s="63"/>
      <c r="M3054" s="62"/>
      <c r="N3054" s="57"/>
      <c r="O3054" s="56"/>
      <c r="P3054" s="56"/>
      <c r="Q3054" s="48"/>
      <c r="R3054" s="48"/>
      <c r="S3054" s="2"/>
    </row>
    <row r="3055" spans="1:19" ht="12.75" customHeight="1" x14ac:dyDescent="0.2">
      <c r="A3055" s="163"/>
      <c r="B3055" s="31" t="s">
        <v>117</v>
      </c>
      <c r="C3055" s="36"/>
      <c r="D3055" s="37"/>
      <c r="E3055" s="38"/>
      <c r="F3055" s="35">
        <f>ROUND(SUM(F3044:F3054),2)</f>
        <v>0</v>
      </c>
      <c r="G3055" s="63"/>
      <c r="M3055" s="62"/>
      <c r="N3055" s="57"/>
      <c r="O3055" s="56"/>
      <c r="P3055" s="56"/>
      <c r="Q3055" s="48"/>
      <c r="R3055" s="48"/>
      <c r="S3055" s="2"/>
    </row>
    <row r="3056" spans="1:19" ht="12.75" customHeight="1" x14ac:dyDescent="0.2">
      <c r="A3056" s="152" t="s">
        <v>6</v>
      </c>
      <c r="B3056" s="153" t="s">
        <v>17</v>
      </c>
      <c r="C3056" s="140" t="s">
        <v>59</v>
      </c>
      <c r="D3056" s="56" t="s">
        <v>16</v>
      </c>
      <c r="E3056" s="19" t="s">
        <v>60</v>
      </c>
      <c r="F3056" s="20" t="s">
        <v>61</v>
      </c>
      <c r="G3056" s="21"/>
      <c r="M3056" s="62"/>
      <c r="N3056" s="57"/>
      <c r="O3056" s="56"/>
      <c r="P3056" s="56"/>
      <c r="Q3056" s="48"/>
      <c r="R3056" s="48"/>
      <c r="S3056" s="2"/>
    </row>
    <row r="3057" spans="1:22" ht="12.75" customHeight="1" x14ac:dyDescent="0.2">
      <c r="A3057" s="155" t="str">
        <f>'6.A'!$A$42</f>
        <v>TRA.001</v>
      </c>
      <c r="B3057" s="138" t="str">
        <f>IF(A3057="","",VLOOKUP(A3057,'6.A'!$A$11:$G$180,2,FALSE))</f>
        <v>TRANSFORMADOR DE CORRENTE, EM TERMOPLÁSTICO, TIPO JANELA, VMAX=600VCA, RELAÇÃO DE 300/5A</v>
      </c>
      <c r="C3057" s="156">
        <v>1</v>
      </c>
      <c r="D3057" s="57" t="str">
        <f>IF(A3057="","",VLOOKUP(A3057,'6.A'!$A$11:$G$180,4,FALSE))</f>
        <v>M</v>
      </c>
      <c r="E3057" s="100">
        <f>IF(A3057="","",VLOOKUP(A3057,'6.A'!$A$11:$G$180,5,FALSE))</f>
        <v>0</v>
      </c>
      <c r="F3057" s="24">
        <f t="shared" ref="F3057:F3076" si="1316">IF(A3057="","0,00",ROUND(C3057*E3057,2))</f>
        <v>0</v>
      </c>
      <c r="G3057" s="52"/>
      <c r="H3057" s="52">
        <f>IF(A3057="","",VLOOKUP(A3057,'6.A'!$A$11:$E$7984,5,FALSE))</f>
        <v>0</v>
      </c>
      <c r="I3057" s="52" t="str">
        <f t="shared" ref="I3057:I3076" si="1317">IF(H3057="","",IF(E3057=H3057,"SIM","NÃO"))</f>
        <v>SIM</v>
      </c>
      <c r="J3057" s="52" t="str">
        <f>IF(H3057="","",VLOOKUP(A3057,'6.A'!$A$11:$E$564,4,FALSE))</f>
        <v>M</v>
      </c>
      <c r="K3057" s="52" t="str">
        <f t="shared" ref="K3057:K3076" si="1318">IF(H3057="","",IF(J3057=D3057,"SIM","NÃO"))</f>
        <v>SIM</v>
      </c>
      <c r="L3057" s="52">
        <f>IF(H3057="","",IF(C3057="","",G3028*C3057))</f>
        <v>3</v>
      </c>
      <c r="M3057" s="117" t="str">
        <f>IF(A3057="","",VLOOKUP(A3057,'6.A'!$A$11:$C$564,2,FALSE))</f>
        <v>TRANSFORMADOR DE CORRENTE, EM TERMOPLÁSTICO, TIPO JANELA, VMAX=600VCA, RELAÇÃO DE 300/5A</v>
      </c>
      <c r="N3057" s="57" t="str">
        <f t="shared" ref="N3057:N3076" si="1319">IF(A3057="","",IF(M3057=B3057,"si","no"))</f>
        <v>si</v>
      </c>
      <c r="O3057" s="56"/>
      <c r="P3057" s="56"/>
      <c r="Q3057" s="48"/>
      <c r="R3057" s="48"/>
      <c r="S3057" s="2"/>
    </row>
    <row r="3058" spans="1:22" ht="12.75" customHeight="1" x14ac:dyDescent="0.2">
      <c r="A3058" s="155"/>
      <c r="B3058" s="138" t="str">
        <f>IF(A3058="","",VLOOKUP(A3058,'6.A'!$A$11:$G$180,2,FALSE))</f>
        <v/>
      </c>
      <c r="C3058" s="156"/>
      <c r="D3058" s="57" t="str">
        <f>IF(A3058="","",VLOOKUP(A3058,'6.A'!$A$11:$G$180,4,FALSE))</f>
        <v/>
      </c>
      <c r="E3058" s="100" t="str">
        <f>IF(A3058="","",VLOOKUP(A3058,'6.A'!$A$11:$G$180,5,FALSE))</f>
        <v/>
      </c>
      <c r="F3058" s="24" t="str">
        <f t="shared" si="1316"/>
        <v>0,00</v>
      </c>
      <c r="G3058" s="52"/>
      <c r="H3058" s="52" t="str">
        <f>IF(A3058="","",VLOOKUP(A3058,'6.A'!$A$11:$E$7984,5,FALSE))</f>
        <v/>
      </c>
      <c r="I3058" s="52" t="str">
        <f t="shared" si="1317"/>
        <v/>
      </c>
      <c r="J3058" s="52" t="str">
        <f>IF(H3058="","",VLOOKUP(A3058,'6.A'!$A$11:$E$564,4,FALSE))</f>
        <v/>
      </c>
      <c r="K3058" s="52" t="str">
        <f t="shared" si="1318"/>
        <v/>
      </c>
      <c r="L3058" s="52" t="str">
        <f>IF(H3058="","",IF(C3058="","",G3028*C3058))</f>
        <v/>
      </c>
      <c r="M3058" s="117" t="str">
        <f>IF(A3058="","",VLOOKUP(A3058,'6.A'!$A$11:$C$564,2,FALSE))</f>
        <v/>
      </c>
      <c r="N3058" s="57" t="str">
        <f t="shared" si="1319"/>
        <v/>
      </c>
      <c r="O3058" s="56"/>
      <c r="P3058" s="56"/>
      <c r="Q3058" s="48"/>
      <c r="R3058" s="48"/>
      <c r="S3058" s="2"/>
    </row>
    <row r="3059" spans="1:22" ht="12.75" customHeight="1" x14ac:dyDescent="0.2">
      <c r="A3059" s="155"/>
      <c r="B3059" s="138" t="str">
        <f>IF(A3059="","",VLOOKUP(A3059,'6.A'!$A$11:$G$180,2,FALSE))</f>
        <v/>
      </c>
      <c r="C3059" s="156"/>
      <c r="D3059" s="57" t="str">
        <f>IF(A3059="","",VLOOKUP(A3059,'6.A'!$A$11:$G$180,4,FALSE))</f>
        <v/>
      </c>
      <c r="E3059" s="100" t="str">
        <f>IF(A3059="","",VLOOKUP(A3059,'6.A'!$A$11:$G$180,5,FALSE))</f>
        <v/>
      </c>
      <c r="F3059" s="24" t="str">
        <f t="shared" si="1316"/>
        <v>0,00</v>
      </c>
      <c r="G3059" s="52"/>
      <c r="H3059" s="52" t="str">
        <f>IF(A3059="","",VLOOKUP(A3059,'6.A'!$A$11:$E$7984,5,FALSE))</f>
        <v/>
      </c>
      <c r="I3059" s="52" t="str">
        <f t="shared" si="1317"/>
        <v/>
      </c>
      <c r="J3059" s="52" t="str">
        <f>IF(H3059="","",VLOOKUP(A3059,'6.A'!$A$11:$E$564,4,FALSE))</f>
        <v/>
      </c>
      <c r="K3059" s="52" t="str">
        <f t="shared" si="1318"/>
        <v/>
      </c>
      <c r="L3059" s="52" t="str">
        <f>IF(H3059="","",IF(C3059="","",G3028*C3059))</f>
        <v/>
      </c>
      <c r="M3059" s="117" t="str">
        <f>IF(A3059="","",VLOOKUP(A3059,'6.A'!$A$11:$C$564,2,FALSE))</f>
        <v/>
      </c>
      <c r="N3059" s="57" t="str">
        <f t="shared" si="1319"/>
        <v/>
      </c>
      <c r="O3059" s="56"/>
      <c r="P3059" s="56"/>
      <c r="Q3059" s="48"/>
      <c r="R3059" s="48"/>
      <c r="S3059" s="2"/>
    </row>
    <row r="3060" spans="1:22" ht="12.75" customHeight="1" x14ac:dyDescent="0.2">
      <c r="A3060" s="155"/>
      <c r="B3060" s="138" t="str">
        <f>IF(A3060="","",VLOOKUP(A3060,'6.A'!$A$11:$G$180,2,FALSE))</f>
        <v/>
      </c>
      <c r="C3060" s="156"/>
      <c r="D3060" s="57" t="str">
        <f>IF(A3060="","",VLOOKUP(A3060,'6.A'!$A$11:$G$180,4,FALSE))</f>
        <v/>
      </c>
      <c r="E3060" s="100" t="str">
        <f>IF(A3060="","",VLOOKUP(A3060,'6.A'!$A$11:$G$180,5,FALSE))</f>
        <v/>
      </c>
      <c r="F3060" s="24" t="str">
        <f t="shared" si="1316"/>
        <v>0,00</v>
      </c>
      <c r="G3060" s="52"/>
      <c r="H3060" s="52" t="str">
        <f>IF(A3060="","",VLOOKUP(A3060,'6.A'!$A$11:$E$7984,5,FALSE))</f>
        <v/>
      </c>
      <c r="I3060" s="52" t="str">
        <f t="shared" si="1317"/>
        <v/>
      </c>
      <c r="J3060" s="52" t="str">
        <f>IF(H3060="","",VLOOKUP(A3060,'6.A'!$A$11:$E$564,4,FALSE))</f>
        <v/>
      </c>
      <c r="K3060" s="52" t="str">
        <f t="shared" si="1318"/>
        <v/>
      </c>
      <c r="L3060" s="52" t="str">
        <f>IF(H3060="","",IF(C3060="","",G3028*C3060))</f>
        <v/>
      </c>
      <c r="M3060" s="117" t="str">
        <f>IF(A3060="","",VLOOKUP(A3060,'6.A'!$A$11:$C$564,2,FALSE))</f>
        <v/>
      </c>
      <c r="N3060" s="57" t="str">
        <f t="shared" si="1319"/>
        <v/>
      </c>
      <c r="O3060" s="56"/>
      <c r="P3060" s="56"/>
      <c r="Q3060" s="48"/>
      <c r="R3060" s="48"/>
      <c r="S3060" s="2"/>
    </row>
    <row r="3061" spans="1:22" ht="12.75" customHeight="1" x14ac:dyDescent="0.2">
      <c r="A3061" s="155"/>
      <c r="B3061" s="138" t="str">
        <f>IF(A3061="","",VLOOKUP(A3061,'6.A'!$A$11:$G$180,2,FALSE))</f>
        <v/>
      </c>
      <c r="C3061" s="156"/>
      <c r="D3061" s="57" t="str">
        <f>IF(A3061="","",VLOOKUP(A3061,'6.A'!$A$11:$G$180,4,FALSE))</f>
        <v/>
      </c>
      <c r="E3061" s="100" t="str">
        <f>IF(A3061="","",VLOOKUP(A3061,'6.A'!$A$11:$G$180,5,FALSE))</f>
        <v/>
      </c>
      <c r="F3061" s="24" t="str">
        <f t="shared" si="1316"/>
        <v>0,00</v>
      </c>
      <c r="G3061" s="52"/>
      <c r="H3061" s="52" t="str">
        <f>IF(A3061="","",VLOOKUP(A3061,'6.A'!$A$11:$E$7984,5,FALSE))</f>
        <v/>
      </c>
      <c r="I3061" s="52" t="str">
        <f t="shared" si="1317"/>
        <v/>
      </c>
      <c r="J3061" s="52" t="str">
        <f>IF(H3061="","",VLOOKUP(A3061,'6.A'!$A$11:$E$564,4,FALSE))</f>
        <v/>
      </c>
      <c r="K3061" s="52" t="str">
        <f t="shared" si="1318"/>
        <v/>
      </c>
      <c r="L3061" s="52" t="str">
        <f>IF(H3061="","",IF(C3061="","",G3028*C3061))</f>
        <v/>
      </c>
      <c r="M3061" s="117" t="str">
        <f>IF(A3061="","",VLOOKUP(A3061,'6.A'!$A$11:$C$564,2,FALSE))</f>
        <v/>
      </c>
      <c r="N3061" s="57" t="str">
        <f t="shared" si="1319"/>
        <v/>
      </c>
      <c r="O3061" s="56"/>
      <c r="P3061" s="56"/>
      <c r="Q3061" s="48"/>
      <c r="R3061" s="48"/>
      <c r="S3061" s="2"/>
    </row>
    <row r="3062" spans="1:22" ht="12.75" customHeight="1" x14ac:dyDescent="0.2">
      <c r="A3062" s="155"/>
      <c r="B3062" s="138" t="str">
        <f>IF(A3062="","",VLOOKUP(A3062,'6.A'!$A$11:$G$180,2,FALSE))</f>
        <v/>
      </c>
      <c r="C3062" s="156"/>
      <c r="D3062" s="57" t="str">
        <f>IF(A3062="","",VLOOKUP(A3062,'6.A'!$A$11:$G$180,4,FALSE))</f>
        <v/>
      </c>
      <c r="E3062" s="100" t="str">
        <f>IF(A3062="","",VLOOKUP(A3062,'6.A'!$A$11:$G$180,5,FALSE))</f>
        <v/>
      </c>
      <c r="F3062" s="24" t="str">
        <f t="shared" si="1316"/>
        <v>0,00</v>
      </c>
      <c r="G3062" s="52"/>
      <c r="H3062" s="52" t="str">
        <f>IF(A3062="","",VLOOKUP(A3062,'6.A'!$A$11:$E$7984,5,FALSE))</f>
        <v/>
      </c>
      <c r="I3062" s="52" t="str">
        <f t="shared" si="1317"/>
        <v/>
      </c>
      <c r="J3062" s="52" t="str">
        <f>IF(H3062="","",VLOOKUP(A3062,'6.A'!$A$11:$E$564,4,FALSE))</f>
        <v/>
      </c>
      <c r="K3062" s="52" t="str">
        <f t="shared" si="1318"/>
        <v/>
      </c>
      <c r="L3062" s="52" t="str">
        <f>IF(H3062="","",IF(C3062="","",G3028*C3062))</f>
        <v/>
      </c>
      <c r="M3062" s="117" t="str">
        <f>IF(A3062="","",VLOOKUP(A3062,'6.A'!$A$11:$C$564,2,FALSE))</f>
        <v/>
      </c>
      <c r="N3062" s="57" t="str">
        <f t="shared" si="1319"/>
        <v/>
      </c>
      <c r="O3062" s="56"/>
      <c r="P3062" s="56"/>
      <c r="Q3062" s="48"/>
      <c r="R3062" s="48"/>
      <c r="S3062" s="2"/>
    </row>
    <row r="3063" spans="1:22" ht="12.75" customHeight="1" x14ac:dyDescent="0.2">
      <c r="A3063" s="155"/>
      <c r="B3063" s="138" t="str">
        <f>IF(A3063="","",VLOOKUP(A3063,'6.A'!$A$11:$G$180,2,FALSE))</f>
        <v/>
      </c>
      <c r="C3063" s="156"/>
      <c r="D3063" s="57" t="str">
        <f>IF(A3063="","",VLOOKUP(A3063,'6.A'!$A$11:$G$180,4,FALSE))</f>
        <v/>
      </c>
      <c r="E3063" s="100" t="str">
        <f>IF(A3063="","",VLOOKUP(A3063,'6.A'!$A$11:$G$180,5,FALSE))</f>
        <v/>
      </c>
      <c r="F3063" s="24" t="str">
        <f t="shared" si="1316"/>
        <v>0,00</v>
      </c>
      <c r="G3063" s="52"/>
      <c r="H3063" s="52" t="str">
        <f>IF(A3063="","",VLOOKUP(A3063,'6.A'!$A$11:$E$7984,5,FALSE))</f>
        <v/>
      </c>
      <c r="I3063" s="52" t="str">
        <f t="shared" si="1317"/>
        <v/>
      </c>
      <c r="J3063" s="52" t="str">
        <f>IF(H3063="","",VLOOKUP(A3063,'6.A'!$A$11:$E$564,4,FALSE))</f>
        <v/>
      </c>
      <c r="K3063" s="52" t="str">
        <f t="shared" si="1318"/>
        <v/>
      </c>
      <c r="L3063" s="52" t="str">
        <f>IF(H3063="","",IF(C3063="","",G3028*C3063))</f>
        <v/>
      </c>
      <c r="M3063" s="117" t="str">
        <f>IF(A3063="","",VLOOKUP(A3063,'6.A'!$A$11:$C$564,2,FALSE))</f>
        <v/>
      </c>
      <c r="N3063" s="57" t="str">
        <f t="shared" si="1319"/>
        <v/>
      </c>
      <c r="O3063" s="56"/>
      <c r="P3063" s="56"/>
      <c r="Q3063" s="48"/>
      <c r="R3063" s="48"/>
      <c r="S3063" s="2"/>
    </row>
    <row r="3064" spans="1:22" s="65" customFormat="1" ht="12.75" customHeight="1" x14ac:dyDescent="0.2">
      <c r="A3064" s="155"/>
      <c r="B3064" s="138" t="str">
        <f>IF(A3064="","",VLOOKUP(A3064,'6.A'!$A$11:$G$180,2,FALSE))</f>
        <v/>
      </c>
      <c r="C3064" s="156"/>
      <c r="D3064" s="57" t="str">
        <f>IF(A3064="","",VLOOKUP(A3064,'6.A'!$A$11:$G$180,4,FALSE))</f>
        <v/>
      </c>
      <c r="E3064" s="100" t="str">
        <f>IF(A3064="","",VLOOKUP(A3064,'6.A'!$A$11:$G$180,5,FALSE))</f>
        <v/>
      </c>
      <c r="F3064" s="24" t="str">
        <f t="shared" si="1316"/>
        <v>0,00</v>
      </c>
      <c r="G3064" s="52"/>
      <c r="H3064" s="52" t="str">
        <f>IF(A3064="","",VLOOKUP(A3064,'6.A'!$A$11:$E$7984,5,FALSE))</f>
        <v/>
      </c>
      <c r="I3064" s="52" t="str">
        <f t="shared" si="1317"/>
        <v/>
      </c>
      <c r="J3064" s="52" t="str">
        <f>IF(H3064="","",VLOOKUP(A3064,'6.A'!$A$11:$E$564,4,FALSE))</f>
        <v/>
      </c>
      <c r="K3064" s="52" t="str">
        <f t="shared" si="1318"/>
        <v/>
      </c>
      <c r="L3064" s="52" t="str">
        <f>IF(H3064="","",IF(C3064="","",G3028*C3064))</f>
        <v/>
      </c>
      <c r="M3064" s="117" t="str">
        <f>IF(A3064="","",VLOOKUP(A3064,'6.A'!$A$11:$C$564,2,FALSE))</f>
        <v/>
      </c>
      <c r="N3064" s="57" t="str">
        <f t="shared" si="1319"/>
        <v/>
      </c>
      <c r="O3064" s="56"/>
      <c r="P3064" s="56"/>
      <c r="Q3064" s="48"/>
      <c r="R3064" s="48"/>
      <c r="T3064" s="2"/>
      <c r="U3064" s="2"/>
      <c r="V3064" s="2"/>
    </row>
    <row r="3065" spans="1:22" s="65" customFormat="1" ht="12.75" customHeight="1" x14ac:dyDescent="0.2">
      <c r="A3065" s="155"/>
      <c r="B3065" s="138" t="str">
        <f>IF(A3065="","",VLOOKUP(A3065,'6.A'!$A$11:$G$180,2,FALSE))</f>
        <v/>
      </c>
      <c r="C3065" s="156"/>
      <c r="D3065" s="57" t="str">
        <f>IF(A3065="","",VLOOKUP(A3065,'6.A'!$A$11:$G$180,4,FALSE))</f>
        <v/>
      </c>
      <c r="E3065" s="100" t="str">
        <f>IF(A3065="","",VLOOKUP(A3065,'6.A'!$A$11:$G$180,5,FALSE))</f>
        <v/>
      </c>
      <c r="F3065" s="24" t="str">
        <f t="shared" si="1316"/>
        <v>0,00</v>
      </c>
      <c r="G3065" s="52"/>
      <c r="H3065" s="52" t="str">
        <f>IF(A3065="","",VLOOKUP(A3065,'6.A'!$A$11:$E$7984,5,FALSE))</f>
        <v/>
      </c>
      <c r="I3065" s="52" t="str">
        <f t="shared" si="1317"/>
        <v/>
      </c>
      <c r="J3065" s="52" t="str">
        <f>IF(H3065="","",VLOOKUP(A3065,'6.A'!$A$11:$E$564,4,FALSE))</f>
        <v/>
      </c>
      <c r="K3065" s="52" t="str">
        <f t="shared" si="1318"/>
        <v/>
      </c>
      <c r="L3065" s="52" t="str">
        <f>IF(H3065="","",IF(C3065="","",G3028*C3065))</f>
        <v/>
      </c>
      <c r="M3065" s="117" t="str">
        <f>IF(A3065="","",VLOOKUP(A3065,'6.A'!$A$11:$C$564,2,FALSE))</f>
        <v/>
      </c>
      <c r="N3065" s="57" t="str">
        <f t="shared" si="1319"/>
        <v/>
      </c>
      <c r="O3065" s="56"/>
      <c r="P3065" s="56"/>
      <c r="Q3065" s="48"/>
      <c r="R3065" s="48"/>
      <c r="T3065" s="2"/>
      <c r="U3065" s="2"/>
      <c r="V3065" s="2"/>
    </row>
    <row r="3066" spans="1:22" s="65" customFormat="1" ht="12.75" customHeight="1" x14ac:dyDescent="0.2">
      <c r="A3066" s="155"/>
      <c r="B3066" s="138" t="str">
        <f>IF(A3066="","",VLOOKUP(A3066,'6.A'!$A$11:$G$180,2,FALSE))</f>
        <v/>
      </c>
      <c r="C3066" s="156"/>
      <c r="D3066" s="57" t="str">
        <f>IF(A3066="","",VLOOKUP(A3066,'6.A'!$A$11:$G$180,4,FALSE))</f>
        <v/>
      </c>
      <c r="E3066" s="100" t="str">
        <f>IF(A3066="","",VLOOKUP(A3066,'6.A'!$A$11:$G$180,5,FALSE))</f>
        <v/>
      </c>
      <c r="F3066" s="24" t="str">
        <f t="shared" si="1316"/>
        <v>0,00</v>
      </c>
      <c r="G3066" s="52"/>
      <c r="H3066" s="52" t="str">
        <f>IF(A3066="","",VLOOKUP(A3066,'6.A'!$A$11:$E$7984,5,FALSE))</f>
        <v/>
      </c>
      <c r="I3066" s="52" t="str">
        <f t="shared" si="1317"/>
        <v/>
      </c>
      <c r="J3066" s="52" t="str">
        <f>IF(H3066="","",VLOOKUP(A3066,'6.A'!$A$11:$E$564,4,FALSE))</f>
        <v/>
      </c>
      <c r="K3066" s="52" t="str">
        <f t="shared" si="1318"/>
        <v/>
      </c>
      <c r="L3066" s="52" t="str">
        <f>IF(H3066="","",IF(C3066="","",G3028*C3066))</f>
        <v/>
      </c>
      <c r="M3066" s="117" t="str">
        <f>IF(A3066="","",VLOOKUP(A3066,'6.A'!$A$11:$C$564,2,FALSE))</f>
        <v/>
      </c>
      <c r="N3066" s="57" t="str">
        <f t="shared" si="1319"/>
        <v/>
      </c>
      <c r="O3066" s="56"/>
      <c r="P3066" s="56"/>
      <c r="Q3066" s="48"/>
      <c r="R3066" s="48"/>
      <c r="T3066" s="2"/>
      <c r="U3066" s="2"/>
      <c r="V3066" s="2"/>
    </row>
    <row r="3067" spans="1:22" s="65" customFormat="1" ht="12.75" customHeight="1" x14ac:dyDescent="0.2">
      <c r="A3067" s="155"/>
      <c r="B3067" s="138" t="str">
        <f>IF(A3067="","",VLOOKUP(A3067,'6.A'!$A$11:$G$180,2,FALSE))</f>
        <v/>
      </c>
      <c r="C3067" s="156"/>
      <c r="D3067" s="57" t="str">
        <f>IF(A3067="","",VLOOKUP(A3067,'6.A'!$A$11:$G$180,4,FALSE))</f>
        <v/>
      </c>
      <c r="E3067" s="100" t="str">
        <f>IF(A3067="","",VLOOKUP(A3067,'6.A'!$A$11:$G$180,5,FALSE))</f>
        <v/>
      </c>
      <c r="F3067" s="24" t="str">
        <f t="shared" si="1316"/>
        <v>0,00</v>
      </c>
      <c r="G3067" s="52"/>
      <c r="H3067" s="52" t="str">
        <f>IF(A3067="","",VLOOKUP(A3067,'6.A'!$A$11:$E$7984,5,FALSE))</f>
        <v/>
      </c>
      <c r="I3067" s="52" t="str">
        <f t="shared" si="1317"/>
        <v/>
      </c>
      <c r="J3067" s="52" t="str">
        <f>IF(H3067="","",VLOOKUP(A3067,'6.A'!$A$11:$E$564,4,FALSE))</f>
        <v/>
      </c>
      <c r="K3067" s="52" t="str">
        <f t="shared" si="1318"/>
        <v/>
      </c>
      <c r="L3067" s="52" t="str">
        <f>IF(H3067="","",IF(C3067="","",G3028*C3067))</f>
        <v/>
      </c>
      <c r="M3067" s="117" t="str">
        <f>IF(A3067="","",VLOOKUP(A3067,'6.A'!$A$11:$C$564,2,FALSE))</f>
        <v/>
      </c>
      <c r="N3067" s="57" t="str">
        <f t="shared" si="1319"/>
        <v/>
      </c>
      <c r="O3067" s="56"/>
      <c r="P3067" s="56"/>
      <c r="Q3067" s="48"/>
      <c r="R3067" s="48"/>
      <c r="T3067" s="2"/>
      <c r="U3067" s="2"/>
      <c r="V3067" s="2"/>
    </row>
    <row r="3068" spans="1:22" ht="12.75" customHeight="1" x14ac:dyDescent="0.2">
      <c r="A3068" s="22"/>
      <c r="B3068" s="23" t="str">
        <f>IF(A3068="","",VLOOKUP(A3068,'6.A'!$A$11:$G$180,2,FALSE))</f>
        <v/>
      </c>
      <c r="C3068" s="99"/>
      <c r="D3068" s="57" t="str">
        <f>IF(A3068="","",VLOOKUP(A3068,'6.A'!$A$11:$G$180,4,FALSE))</f>
        <v/>
      </c>
      <c r="E3068" s="100" t="str">
        <f>IF(A3068="","",VLOOKUP(A3068,'6.A'!$A$11:$G$180,5,FALSE))</f>
        <v/>
      </c>
      <c r="F3068" s="24" t="str">
        <f t="shared" si="1316"/>
        <v>0,00</v>
      </c>
      <c r="G3068" s="52"/>
      <c r="H3068" s="52" t="str">
        <f>IF(A3068="","",VLOOKUP(A3068,'6.A'!$A$11:$E$7984,5,FALSE))</f>
        <v/>
      </c>
      <c r="I3068" s="52" t="str">
        <f t="shared" si="1317"/>
        <v/>
      </c>
      <c r="J3068" s="52" t="str">
        <f>IF(H3068="","",VLOOKUP(A3068,'6.A'!$A$11:$E$564,4,FALSE))</f>
        <v/>
      </c>
      <c r="K3068" s="52" t="str">
        <f t="shared" si="1318"/>
        <v/>
      </c>
      <c r="L3068" s="52" t="str">
        <f>IF(H3068="","",IF(C3068="","",G3028*C3068))</f>
        <v/>
      </c>
      <c r="M3068" s="117" t="str">
        <f>IF(A3068="","",VLOOKUP(A3068,'6.A'!$A$11:$C$564,2,FALSE))</f>
        <v/>
      </c>
      <c r="N3068" s="57" t="str">
        <f t="shared" si="1319"/>
        <v/>
      </c>
      <c r="O3068" s="56"/>
      <c r="P3068" s="56"/>
      <c r="Q3068" s="48"/>
      <c r="R3068" s="48"/>
    </row>
    <row r="3069" spans="1:22" ht="12.75" customHeight="1" x14ac:dyDescent="0.2">
      <c r="A3069" s="22"/>
      <c r="B3069" s="23" t="str">
        <f>IF(A3069="","",VLOOKUP(A3069,'6.A'!$A$11:$G$180,2,FALSE))</f>
        <v/>
      </c>
      <c r="C3069" s="99"/>
      <c r="D3069" s="57" t="str">
        <f>IF(A3069="","",VLOOKUP(A3069,'6.A'!$A$11:$G$180,4,FALSE))</f>
        <v/>
      </c>
      <c r="E3069" s="100" t="str">
        <f>IF(A3069="","",VLOOKUP(A3069,'6.A'!$A$11:$G$180,5,FALSE))</f>
        <v/>
      </c>
      <c r="F3069" s="24" t="str">
        <f t="shared" si="1316"/>
        <v>0,00</v>
      </c>
      <c r="G3069" s="52"/>
      <c r="H3069" s="52" t="str">
        <f>IF(A3069="","",VLOOKUP(A3069,'6.A'!$A$11:$E$7984,5,FALSE))</f>
        <v/>
      </c>
      <c r="I3069" s="52" t="str">
        <f t="shared" si="1317"/>
        <v/>
      </c>
      <c r="J3069" s="52" t="str">
        <f>IF(H3069="","",VLOOKUP(A3069,'6.A'!$A$11:$E$564,4,FALSE))</f>
        <v/>
      </c>
      <c r="K3069" s="52" t="str">
        <f t="shared" si="1318"/>
        <v/>
      </c>
      <c r="L3069" s="52" t="str">
        <f>IF(H3069="","",IF(C3069="","",G3028*C3069))</f>
        <v/>
      </c>
      <c r="M3069" s="117" t="str">
        <f>IF(A3069="","",VLOOKUP(A3069,'6.A'!$A$11:$C$564,2,FALSE))</f>
        <v/>
      </c>
      <c r="N3069" s="57" t="str">
        <f t="shared" si="1319"/>
        <v/>
      </c>
      <c r="O3069" s="56"/>
      <c r="P3069" s="56"/>
      <c r="Q3069" s="48"/>
      <c r="R3069" s="48"/>
    </row>
    <row r="3070" spans="1:22" ht="12.75" customHeight="1" x14ac:dyDescent="0.2">
      <c r="A3070" s="22"/>
      <c r="B3070" s="23" t="str">
        <f>IF(A3070="","",VLOOKUP(A3070,'6.A'!$A$11:$G$180,2,FALSE))</f>
        <v/>
      </c>
      <c r="C3070" s="99"/>
      <c r="D3070" s="57" t="str">
        <f>IF(A3070="","",VLOOKUP(A3070,'6.A'!$A$11:$G$180,4,FALSE))</f>
        <v/>
      </c>
      <c r="E3070" s="100" t="str">
        <f>IF(A3070="","",VLOOKUP(A3070,'6.A'!$A$11:$G$180,5,FALSE))</f>
        <v/>
      </c>
      <c r="F3070" s="24" t="str">
        <f t="shared" si="1316"/>
        <v>0,00</v>
      </c>
      <c r="G3070" s="52"/>
      <c r="H3070" s="52" t="str">
        <f>IF(A3070="","",VLOOKUP(A3070,'6.A'!$A$11:$E$7984,5,FALSE))</f>
        <v/>
      </c>
      <c r="I3070" s="52" t="str">
        <f t="shared" si="1317"/>
        <v/>
      </c>
      <c r="J3070" s="52" t="str">
        <f>IF(H3070="","",VLOOKUP(A3070,'6.A'!$A$11:$E$564,4,FALSE))</f>
        <v/>
      </c>
      <c r="K3070" s="52" t="str">
        <f t="shared" si="1318"/>
        <v/>
      </c>
      <c r="L3070" s="52" t="str">
        <f>IF(H3070="","",IF(C3070="","",G3028*C3070))</f>
        <v/>
      </c>
      <c r="M3070" s="117" t="str">
        <f>IF(A3070="","",VLOOKUP(A3070,'6.A'!$A$11:$C$564,2,FALSE))</f>
        <v/>
      </c>
      <c r="N3070" s="57" t="str">
        <f t="shared" si="1319"/>
        <v/>
      </c>
      <c r="O3070" s="56"/>
      <c r="P3070" s="56"/>
      <c r="Q3070" s="48"/>
      <c r="R3070" s="48"/>
    </row>
    <row r="3071" spans="1:22" ht="12.75" customHeight="1" x14ac:dyDescent="0.2">
      <c r="A3071" s="22"/>
      <c r="B3071" s="23" t="str">
        <f>IF(A3071="","",VLOOKUP(A3071,'6.A'!$A$11:$G$180,2,FALSE))</f>
        <v/>
      </c>
      <c r="C3071" s="99"/>
      <c r="D3071" s="57" t="str">
        <f>IF(A3071="","",VLOOKUP(A3071,'6.A'!$A$11:$G$180,4,FALSE))</f>
        <v/>
      </c>
      <c r="E3071" s="100" t="str">
        <f>IF(A3071="","",VLOOKUP(A3071,'6.A'!$A$11:$G$180,5,FALSE))</f>
        <v/>
      </c>
      <c r="F3071" s="24" t="str">
        <f t="shared" si="1316"/>
        <v>0,00</v>
      </c>
      <c r="G3071" s="52"/>
      <c r="H3071" s="52" t="str">
        <f>IF(A3071="","",VLOOKUP(A3071,'6.A'!$A$11:$E$7984,5,FALSE))</f>
        <v/>
      </c>
      <c r="I3071" s="52" t="str">
        <f t="shared" si="1317"/>
        <v/>
      </c>
      <c r="J3071" s="52" t="str">
        <f>IF(H3071="","",VLOOKUP(A3071,'6.A'!$A$11:$E$564,4,FALSE))</f>
        <v/>
      </c>
      <c r="K3071" s="52" t="str">
        <f t="shared" si="1318"/>
        <v/>
      </c>
      <c r="L3071" s="52" t="str">
        <f>IF(H3071="","",IF(C3071="","",G3028*C3071))</f>
        <v/>
      </c>
      <c r="M3071" s="117" t="str">
        <f>IF(A3071="","",VLOOKUP(A3071,'6.A'!$A$11:$C$564,2,FALSE))</f>
        <v/>
      </c>
      <c r="N3071" s="57" t="str">
        <f t="shared" si="1319"/>
        <v/>
      </c>
      <c r="O3071" s="56"/>
      <c r="P3071" s="56"/>
      <c r="Q3071" s="48"/>
      <c r="R3071" s="48"/>
    </row>
    <row r="3072" spans="1:22" ht="12.75" customHeight="1" x14ac:dyDescent="0.2">
      <c r="A3072" s="22"/>
      <c r="B3072" s="23" t="str">
        <f>IF(A3072="","",VLOOKUP(A3072,'6.A'!$A$11:$G$180,2,FALSE))</f>
        <v/>
      </c>
      <c r="C3072" s="99"/>
      <c r="D3072" s="57" t="str">
        <f>IF(A3072="","",VLOOKUP(A3072,'6.A'!$A$11:$G$180,4,FALSE))</f>
        <v/>
      </c>
      <c r="E3072" s="100" t="str">
        <f>IF(A3072="","",VLOOKUP(A3072,'6.A'!$A$11:$G$180,5,FALSE))</f>
        <v/>
      </c>
      <c r="F3072" s="24" t="str">
        <f t="shared" si="1316"/>
        <v>0,00</v>
      </c>
      <c r="G3072" s="52"/>
      <c r="H3072" s="52" t="str">
        <f>IF(A3072="","",VLOOKUP(A3072,'6.A'!$A$11:$E$7984,5,FALSE))</f>
        <v/>
      </c>
      <c r="I3072" s="52" t="str">
        <f t="shared" si="1317"/>
        <v/>
      </c>
      <c r="J3072" s="52" t="str">
        <f>IF(H3072="","",VLOOKUP(A3072,'6.A'!$A$11:$E$564,4,FALSE))</f>
        <v/>
      </c>
      <c r="K3072" s="52" t="str">
        <f t="shared" si="1318"/>
        <v/>
      </c>
      <c r="L3072" s="52" t="str">
        <f>IF(H3072="","",IF(C3072="","",G3028*C3072))</f>
        <v/>
      </c>
      <c r="M3072" s="117" t="str">
        <f>IF(A3072="","",VLOOKUP(A3072,'6.A'!$A$11:$C$564,2,FALSE))</f>
        <v/>
      </c>
      <c r="N3072" s="57" t="str">
        <f t="shared" si="1319"/>
        <v/>
      </c>
      <c r="O3072" s="56"/>
      <c r="P3072" s="56"/>
      <c r="Q3072" s="48"/>
      <c r="R3072" s="48"/>
    </row>
    <row r="3073" spans="1:23" ht="12.75" customHeight="1" x14ac:dyDescent="0.2">
      <c r="A3073" s="22"/>
      <c r="B3073" s="23" t="str">
        <f>IF(A3073="","",VLOOKUP(A3073,'6.A'!$A$11:$G$180,2,FALSE))</f>
        <v/>
      </c>
      <c r="C3073" s="99"/>
      <c r="D3073" s="57" t="str">
        <f>IF(A3073="","",VLOOKUP(A3073,'6.A'!$A$11:$G$180,4,FALSE))</f>
        <v/>
      </c>
      <c r="E3073" s="100" t="str">
        <f>IF(A3073="","",VLOOKUP(A3073,'6.A'!$A$11:$G$180,5,FALSE))</f>
        <v/>
      </c>
      <c r="F3073" s="24" t="str">
        <f t="shared" si="1316"/>
        <v>0,00</v>
      </c>
      <c r="G3073" s="52"/>
      <c r="H3073" s="52" t="str">
        <f>IF(A3073="","",VLOOKUP(A3073,'6.A'!$A$11:$E$7984,5,FALSE))</f>
        <v/>
      </c>
      <c r="I3073" s="52" t="str">
        <f t="shared" si="1317"/>
        <v/>
      </c>
      <c r="J3073" s="52" t="str">
        <f>IF(H3073="","",VLOOKUP(A3073,'6.A'!$A$11:$E$564,4,FALSE))</f>
        <v/>
      </c>
      <c r="K3073" s="52" t="str">
        <f t="shared" si="1318"/>
        <v/>
      </c>
      <c r="L3073" s="52" t="str">
        <f>IF(H3073="","",IF(C3073="","",G3028*C3073))</f>
        <v/>
      </c>
      <c r="M3073" s="117" t="str">
        <f>IF(A3073="","",VLOOKUP(A3073,'6.A'!$A$11:$C$564,2,FALSE))</f>
        <v/>
      </c>
      <c r="N3073" s="57" t="str">
        <f t="shared" si="1319"/>
        <v/>
      </c>
      <c r="O3073" s="56"/>
      <c r="P3073" s="56"/>
      <c r="Q3073" s="48"/>
      <c r="R3073" s="48"/>
    </row>
    <row r="3074" spans="1:23" ht="12.75" customHeight="1" x14ac:dyDescent="0.2">
      <c r="A3074" s="22"/>
      <c r="B3074" s="39" t="str">
        <f>IF(A3074="","",VLOOKUP(A3074,'6.A'!$A$11:$G$180,2,FALSE))</f>
        <v/>
      </c>
      <c r="C3074" s="99"/>
      <c r="D3074" s="57" t="str">
        <f>IF(A3074="","",VLOOKUP(A3074,'6.A'!$A$11:$G$180,4,FALSE))</f>
        <v/>
      </c>
      <c r="E3074" s="100" t="str">
        <f>IF(A3074="","",VLOOKUP(A3074,'6.A'!$A$11:$G$180,5,FALSE))</f>
        <v/>
      </c>
      <c r="F3074" s="24" t="str">
        <f t="shared" si="1316"/>
        <v>0,00</v>
      </c>
      <c r="G3074" s="52"/>
      <c r="H3074" s="52" t="str">
        <f>IF(A3074="","",VLOOKUP(A3074,'6.A'!$A$11:$E$7984,5,FALSE))</f>
        <v/>
      </c>
      <c r="I3074" s="52" t="str">
        <f t="shared" si="1317"/>
        <v/>
      </c>
      <c r="J3074" s="52" t="str">
        <f>IF(H3074="","",VLOOKUP(A3074,'6.A'!$A$11:$E$564,4,FALSE))</f>
        <v/>
      </c>
      <c r="K3074" s="52" t="str">
        <f t="shared" si="1318"/>
        <v/>
      </c>
      <c r="L3074" s="52" t="str">
        <f>IF(H3074="","",IF(C3074="","",G3028*C3074))</f>
        <v/>
      </c>
      <c r="M3074" s="117" t="str">
        <f>IF(A3074="","",VLOOKUP(A3074,'6.A'!$A$11:$C$564,2,FALSE))</f>
        <v/>
      </c>
      <c r="N3074" s="57" t="str">
        <f t="shared" si="1319"/>
        <v/>
      </c>
      <c r="O3074" s="56"/>
      <c r="P3074" s="56"/>
      <c r="Q3074" s="48"/>
      <c r="R3074" s="48"/>
    </row>
    <row r="3075" spans="1:23" ht="12.75" customHeight="1" x14ac:dyDescent="0.2">
      <c r="A3075" s="22"/>
      <c r="B3075" s="39" t="str">
        <f>IF(A3075="","",VLOOKUP(A3075,'6.A'!$A$11:$G$180,2,FALSE))</f>
        <v/>
      </c>
      <c r="C3075" s="99"/>
      <c r="D3075" s="57" t="str">
        <f>IF(A3075="","",VLOOKUP(A3075,'6.A'!$A$11:$G$180,4,FALSE))</f>
        <v/>
      </c>
      <c r="E3075" s="100" t="str">
        <f>IF(A3075="","",VLOOKUP(A3075,'6.A'!$A$11:$G$180,5,FALSE))</f>
        <v/>
      </c>
      <c r="F3075" s="24" t="str">
        <f t="shared" si="1316"/>
        <v>0,00</v>
      </c>
      <c r="G3075" s="52"/>
      <c r="H3075" s="52" t="str">
        <f>IF(A3075="","",VLOOKUP(A3075,'6.A'!$A$11:$E$7984,5,FALSE))</f>
        <v/>
      </c>
      <c r="I3075" s="52" t="str">
        <f t="shared" si="1317"/>
        <v/>
      </c>
      <c r="J3075" s="52" t="str">
        <f>IF(H3075="","",VLOOKUP(A3075,'6.A'!$A$11:$E$564,4,FALSE))</f>
        <v/>
      </c>
      <c r="K3075" s="52" t="str">
        <f t="shared" si="1318"/>
        <v/>
      </c>
      <c r="L3075" s="52" t="str">
        <f>IF(H3075="","",IF(C3075="","",G3028*C3075))</f>
        <v/>
      </c>
      <c r="M3075" s="117" t="str">
        <f>IF(A3075="","",VLOOKUP(A3075,'6.A'!$A$11:$C$564,2,FALSE))</f>
        <v/>
      </c>
      <c r="N3075" s="57" t="str">
        <f t="shared" si="1319"/>
        <v/>
      </c>
      <c r="O3075" s="56"/>
      <c r="P3075" s="56"/>
      <c r="Q3075" s="48"/>
      <c r="R3075" s="48"/>
    </row>
    <row r="3076" spans="1:23" ht="12.75" customHeight="1" x14ac:dyDescent="0.2">
      <c r="A3076" s="22"/>
      <c r="B3076" s="39" t="str">
        <f>IF(A3076="","",VLOOKUP(A3076,'6.A'!$A$11:$G$180,2,FALSE))</f>
        <v/>
      </c>
      <c r="C3076" s="99"/>
      <c r="D3076" s="57" t="str">
        <f>IF(A3076="","",VLOOKUP(A3076,'6.A'!$A$11:$G$180,4,FALSE))</f>
        <v/>
      </c>
      <c r="E3076" s="100" t="str">
        <f>IF(A3076="","",VLOOKUP(A3076,'6.A'!$A$11:$G$180,5,FALSE))</f>
        <v/>
      </c>
      <c r="F3076" s="24" t="str">
        <f t="shared" si="1316"/>
        <v>0,00</v>
      </c>
      <c r="G3076" s="52"/>
      <c r="H3076" s="52" t="str">
        <f>IF(A3076="","",VLOOKUP(A3076,'6.A'!$A$11:$E$7984,5,FALSE))</f>
        <v/>
      </c>
      <c r="I3076" s="52" t="str">
        <f t="shared" si="1317"/>
        <v/>
      </c>
      <c r="J3076" s="52" t="str">
        <f>IF(H3076="","",VLOOKUP(A3076,'6.A'!$A$11:$E$564,4,FALSE))</f>
        <v/>
      </c>
      <c r="K3076" s="52" t="str">
        <f t="shared" si="1318"/>
        <v/>
      </c>
      <c r="L3076" s="52" t="str">
        <f>IF(H3076="","",IF(C3076="","",G3028*C3076))</f>
        <v/>
      </c>
      <c r="M3076" s="117" t="str">
        <f>IF(A3076="","",VLOOKUP(A3076,'6.A'!$A$11:$C$564,2,FALSE))</f>
        <v/>
      </c>
      <c r="N3076" s="57" t="str">
        <f t="shared" si="1319"/>
        <v/>
      </c>
      <c r="O3076" s="56"/>
      <c r="P3076" s="56"/>
      <c r="Q3076" s="48"/>
      <c r="R3076" s="48"/>
    </row>
    <row r="3077" spans="1:23" ht="12.75" customHeight="1" x14ac:dyDescent="0.2">
      <c r="A3077" s="22"/>
      <c r="B3077" s="26" t="str">
        <f>$A$9</f>
        <v>BDI</v>
      </c>
      <c r="C3077" s="40">
        <f>$C$9</f>
        <v>0</v>
      </c>
      <c r="D3077" s="57"/>
      <c r="F3077" s="28">
        <f>ROUND(SUM(F3057:F3076)*C3077,2)</f>
        <v>0</v>
      </c>
      <c r="G3077" s="63"/>
      <c r="M3077" s="57"/>
      <c r="N3077" s="57"/>
      <c r="O3077" s="56"/>
      <c r="P3077" s="56"/>
      <c r="Q3077" s="48"/>
      <c r="R3077" s="48"/>
    </row>
    <row r="3078" spans="1:23" ht="12.75" customHeight="1" thickBot="1" x14ac:dyDescent="0.25">
      <c r="A3078" s="41"/>
      <c r="B3078" s="42" t="s">
        <v>57</v>
      </c>
      <c r="C3078" s="43"/>
      <c r="D3078" s="44"/>
      <c r="E3078" s="45"/>
      <c r="F3078" s="46">
        <f>ROUND(SUM(F3057:F3077),2)</f>
        <v>0</v>
      </c>
      <c r="G3078" s="63"/>
      <c r="M3078" s="57"/>
      <c r="N3078" s="57"/>
      <c r="O3078" s="56"/>
      <c r="P3078" s="56"/>
      <c r="Q3078" s="48"/>
      <c r="R3078" s="48"/>
    </row>
    <row r="3079" spans="1:23" ht="12" customHeight="1" thickBot="1" x14ac:dyDescent="0.25">
      <c r="A3079" s="8"/>
      <c r="B3079" s="9"/>
      <c r="C3079" s="10"/>
      <c r="D3079" s="57"/>
      <c r="F3079" s="12"/>
      <c r="M3079" s="57"/>
      <c r="N3079" s="57"/>
      <c r="O3079" s="56"/>
      <c r="P3079" s="56"/>
    </row>
    <row r="3080" spans="1:23" ht="50.1" customHeight="1" x14ac:dyDescent="0.2">
      <c r="A3080" s="13" t="str">
        <f>'3.A'!$A$68</f>
        <v>3.3.16</v>
      </c>
      <c r="B3080" s="14" t="str">
        <f>IF(A3080="","",VLOOKUP(A3080,'3.A'!$A$17:$M$279,2,FALSE))</f>
        <v>CHAVE DE AFERIÇÃO, DE SOBREPOR, VN= 600V, IN=20A, 10 POLOS</v>
      </c>
      <c r="C3080" s="413" t="s">
        <v>62</v>
      </c>
      <c r="D3080" s="413"/>
      <c r="E3080" s="15" t="str">
        <f>IF(A3080="","",VLOOKUP(A3080,'3.A'!$A$17:$M$279,3,FALSE))</f>
        <v>UN</v>
      </c>
      <c r="F3080" s="16">
        <f>ROUND(F3094+F3107+F3130,2)</f>
        <v>0</v>
      </c>
      <c r="G3080" s="118">
        <f>VLOOKUP(A3080,'3.A'!$A$19:$I$279,4,FALSE)</f>
        <v>1</v>
      </c>
      <c r="H3080" s="47">
        <f>SUM(F3082:F3093)</f>
        <v>0</v>
      </c>
      <c r="I3080" s="47">
        <f>SUM(F3096:F3106)</f>
        <v>0</v>
      </c>
      <c r="J3080" s="47">
        <f>SUM(F3109:F3129)</f>
        <v>0</v>
      </c>
      <c r="K3080" s="47">
        <f>SUM(H3080:J3080)</f>
        <v>0</v>
      </c>
      <c r="L3080" s="47" t="str">
        <f>IF(K3080=F3080,"SIM","NÃO")</f>
        <v>SIM</v>
      </c>
      <c r="M3080" s="58">
        <f>ROUND(SUM(F3082:F3091)*C3092,2)+ROUND(SUM(F3082:F3092)*C3093,2)+ROUND(SUM(F3082:F3091),2)+ROUND(SUM(F3096:F3105)*C3106,2)+ROUND(SUM(F3096:F3105),2)+ROUND(SUM(F3109:F3128)*C3129,2)+ROUND(SUM(F3109:F3128),2)</f>
        <v>0</v>
      </c>
      <c r="N3080" s="50" t="str">
        <f>IF(M3080=F3080,"SIM","NÃO")</f>
        <v>SIM</v>
      </c>
      <c r="O3080" s="51" t="str">
        <f>VLOOKUP(A3080,'3.A'!$A$8:$E$279,3,FALSE)</f>
        <v>UN</v>
      </c>
      <c r="P3080" s="51" t="str">
        <f>IF(O3080=E3080,"SIM","NÃO")</f>
        <v>SIM</v>
      </c>
      <c r="Q3080" s="53">
        <f>ROUND(G3080*F3094,2)+ROUND(G3080*F3107,2)+ROUND(G3080*F3130,2)</f>
        <v>0</v>
      </c>
      <c r="R3080" s="59">
        <f>VLOOKUP(A3080,'3.A'!$A$17:$L$279,12,FALSE)</f>
        <v>0</v>
      </c>
      <c r="S3080" s="60" t="str">
        <f>IF(Q3080=R3080,"si","no")</f>
        <v>si</v>
      </c>
      <c r="T3080" s="61">
        <f>SUM(L3082:L3091)+SUM(L3096:L3105)+SUM(L3109:L3128)</f>
        <v>1.4</v>
      </c>
      <c r="U3080" s="52">
        <f>G3080*C3088+G3080*C3090+G3080*C3083+G3080*C3084+G3080*C3086+G3080*C3089+G3080*C3087+G3080*C3082+G3080*C3085+G3080*C3091+G3080*C3102+G3080*C3096+G3080*C3104+G3080*C3103+G3080*C3101+G3080*C3098+G3080*C3097+G3080*C3099+G3080*C3105+G3080*C3100+G3080*C3109+G3080*C3110+G3080*C3111+G3080*C3119+G3080*C3120+G3080*C3121+G3080*C3122+G3080*C3123+G3080*C3124+G3080*C3125+G3080*C3126+G3080*C3127+G3080*C3128+G3080*C3117+G3080*C3118+G3080*C3112+G3080*C3113+G3080*C3114+G3080*C3115+G3080*C3116</f>
        <v>1.4</v>
      </c>
      <c r="V3080" s="54" t="str">
        <f>IF(T3080=U3080,"si","no")</f>
        <v>si</v>
      </c>
      <c r="W3080" s="137"/>
    </row>
    <row r="3081" spans="1:23" ht="12.75" customHeight="1" x14ac:dyDescent="0.2">
      <c r="A3081" s="17" t="s">
        <v>3</v>
      </c>
      <c r="B3081" s="18" t="s">
        <v>58</v>
      </c>
      <c r="C3081" s="56" t="s">
        <v>59</v>
      </c>
      <c r="D3081" s="56" t="s">
        <v>16</v>
      </c>
      <c r="E3081" s="19" t="s">
        <v>60</v>
      </c>
      <c r="F3081" s="20" t="s">
        <v>61</v>
      </c>
      <c r="G3081" s="21"/>
      <c r="M3081" s="57"/>
      <c r="N3081" s="57"/>
      <c r="O3081" s="56"/>
      <c r="P3081" s="56"/>
      <c r="Q3081" s="48"/>
      <c r="R3081" s="48"/>
    </row>
    <row r="3082" spans="1:23" ht="12.75" customHeight="1" x14ac:dyDescent="0.2">
      <c r="A3082" s="155">
        <f>'6.A'!$A$18</f>
        <v>88264</v>
      </c>
      <c r="B3082" s="138" t="str">
        <f>IF(A3082="","",VLOOKUP(A3082,'6.A'!$A$11:$G$180,2,FALSE))</f>
        <v>ELETRICISTA COM ENCARGOS COMPLEMENTARES</v>
      </c>
      <c r="C3082" s="156">
        <v>0.2</v>
      </c>
      <c r="D3082" s="57" t="str">
        <f>IF(A3082="","",VLOOKUP(A3082,'6.A'!$A$11:$G$180,4,FALSE))</f>
        <v>H</v>
      </c>
      <c r="E3082" s="100">
        <f>IF(A3082="","",VLOOKUP(A3082,'6.A'!$A$11:$G$180,5,FALSE))</f>
        <v>0</v>
      </c>
      <c r="F3082" s="24">
        <f t="shared" ref="F3082:F3091" si="1320">IF(A3082="","0,00",ROUND(C3082*E3082,2))</f>
        <v>0</v>
      </c>
      <c r="G3082" s="52"/>
      <c r="H3082" s="52">
        <f>IF(A3082="","",VLOOKUP(A3082,'6.A'!$A$11:$E$7984,5,FALSE))</f>
        <v>0</v>
      </c>
      <c r="I3082" s="52" t="str">
        <f>IF(H3082="","",IF(E3082=H3082,"SIM","NÃO"))</f>
        <v>SIM</v>
      </c>
      <c r="J3082" s="52" t="str">
        <f>IF(H3082="","",VLOOKUP(A3082,'6.A'!$A$11:$E$564,4,FALSE))</f>
        <v>H</v>
      </c>
      <c r="K3082" s="52" t="str">
        <f>IF(H3082="","",IF(J3082=D3082,"SIM","NÃO"))</f>
        <v>SIM</v>
      </c>
      <c r="L3082" s="52">
        <f>IF(H3082="","",IF(C3082="","",G3080*C3082))</f>
        <v>0.2</v>
      </c>
      <c r="M3082" s="117" t="str">
        <f>IF(A3082="","",VLOOKUP(A3082,'6.A'!$A$11:$C$564,2,FALSE))</f>
        <v>ELETRICISTA COM ENCARGOS COMPLEMENTARES</v>
      </c>
      <c r="N3082" s="57" t="str">
        <f>IF(A3082="","",IF(M3082=B3082,"si","no"))</f>
        <v>si</v>
      </c>
      <c r="O3082" s="56"/>
      <c r="P3082" s="56"/>
      <c r="Q3082" s="48"/>
      <c r="R3082" s="48"/>
    </row>
    <row r="3083" spans="1:23" ht="12.75" customHeight="1" x14ac:dyDescent="0.2">
      <c r="A3083" s="155">
        <f>'6.A'!$A$15</f>
        <v>88247</v>
      </c>
      <c r="B3083" s="138" t="str">
        <f>IF(A3083="","",VLOOKUP(A3083,'6.A'!$A$11:$G$180,2,FALSE))</f>
        <v>AUXILIAR DE ELETRICISTA COM ENCARGOS COMPLEMENTARES</v>
      </c>
      <c r="C3083" s="156">
        <v>0.2</v>
      </c>
      <c r="D3083" s="57" t="str">
        <f>IF(A3083="","",VLOOKUP(A3083,'6.A'!$A$11:$G$180,4,FALSE))</f>
        <v>H</v>
      </c>
      <c r="E3083" s="100">
        <f>IF(A3083="","",VLOOKUP(A3083,'6.A'!$A$11:$G$180,5,FALSE))</f>
        <v>0</v>
      </c>
      <c r="F3083" s="24">
        <f t="shared" si="1320"/>
        <v>0</v>
      </c>
      <c r="G3083" s="52"/>
      <c r="H3083" s="52">
        <f>IF(A3083="","",VLOOKUP(A3083,'6.A'!$A$11:$E$7984,5,FALSE))</f>
        <v>0</v>
      </c>
      <c r="I3083" s="52" t="str">
        <f>IF(H3083="","",IF(E3083=H3083,"SIM","NÃO"))</f>
        <v>SIM</v>
      </c>
      <c r="J3083" s="52" t="str">
        <f>IF(H3083="","",VLOOKUP(A3083,'6.A'!$A$11:$E$564,4,FALSE))</f>
        <v>H</v>
      </c>
      <c r="K3083" s="52" t="str">
        <f>IF(H3083="","",IF(J3083=D3083,"SIM","NÃO"))</f>
        <v>SIM</v>
      </c>
      <c r="L3083" s="52">
        <f>IF(H3083="","",IF(C3083="","",G3080*C3083))</f>
        <v>0.2</v>
      </c>
      <c r="M3083" s="117" t="str">
        <f>IF(A3083="","",VLOOKUP(A3083,'6.A'!$A$11:$C$564,2,FALSE))</f>
        <v>AUXILIAR DE ELETRICISTA COM ENCARGOS COMPLEMENTARES</v>
      </c>
      <c r="N3083" s="57" t="str">
        <f>IF(A3083="","",IF(M3083=B3083,"si","no"))</f>
        <v>si</v>
      </c>
      <c r="O3083" s="56"/>
      <c r="P3083" s="56"/>
      <c r="Q3083" s="48"/>
      <c r="R3083" s="48"/>
    </row>
    <row r="3084" spans="1:23" ht="12.75" customHeight="1" x14ac:dyDescent="0.2">
      <c r="A3084" s="155"/>
      <c r="B3084" s="138" t="str">
        <f>IF(A3084="","",VLOOKUP(A3084,'6.A'!$A$11:$G$180,2,FALSE))</f>
        <v/>
      </c>
      <c r="C3084" s="156"/>
      <c r="D3084" s="57" t="str">
        <f>IF(A3084="","",VLOOKUP(A3084,'6.A'!$A$11:$G$180,4,FALSE))</f>
        <v/>
      </c>
      <c r="E3084" s="100" t="str">
        <f>IF(A3084="","",VLOOKUP(A3084,'6.A'!$A$11:$G$180,5,FALSE))</f>
        <v/>
      </c>
      <c r="F3084" s="24" t="str">
        <f t="shared" si="1320"/>
        <v>0,00</v>
      </c>
      <c r="G3084" s="52"/>
      <c r="H3084" s="52" t="str">
        <f>IF(A3084="","",VLOOKUP(A3084,'6.A'!$A$11:$E$7984,5,FALSE))</f>
        <v/>
      </c>
      <c r="I3084" s="52" t="str">
        <f>IF(H3084="","",IF(E3084=H3084,"SIM","NÃO"))</f>
        <v/>
      </c>
      <c r="J3084" s="52" t="str">
        <f>IF(H3084="","",VLOOKUP(A3084,'6.A'!$A$11:$E$564,4,FALSE))</f>
        <v/>
      </c>
      <c r="K3084" s="52" t="str">
        <f t="shared" ref="K3084" si="1321">IF(H3084="","",IF(J3084=D3084,"SIM","NÃO"))</f>
        <v/>
      </c>
      <c r="L3084" s="52" t="str">
        <f>IF(H3084="","",IF(C3084="","",G3080*C3084))</f>
        <v/>
      </c>
      <c r="M3084" s="117" t="str">
        <f>IF(A3084="","",VLOOKUP(A3084,'6.A'!$A$11:$C$564,2,FALSE))</f>
        <v/>
      </c>
      <c r="N3084" s="57" t="str">
        <f t="shared" ref="N3084" si="1322">IF(A3084="","",IF(M3084=B3084,"si","no"))</f>
        <v/>
      </c>
      <c r="O3084" s="56"/>
      <c r="P3084" s="56"/>
      <c r="Q3084" s="48"/>
      <c r="R3084" s="48"/>
      <c r="S3084" s="2"/>
    </row>
    <row r="3085" spans="1:23" ht="12.75" customHeight="1" x14ac:dyDescent="0.2">
      <c r="A3085" s="155"/>
      <c r="B3085" s="138" t="str">
        <f>IF(A3085="","",VLOOKUP(A3085,'6.A'!$A$11:$G$180,2,FALSE))</f>
        <v/>
      </c>
      <c r="C3085" s="156"/>
      <c r="D3085" s="57" t="str">
        <f>IF(A3085="","",VLOOKUP(A3085,'6.A'!$A$11:$G$180,4,FALSE))</f>
        <v/>
      </c>
      <c r="E3085" s="100" t="str">
        <f>IF(A3085="","",VLOOKUP(A3085,'6.A'!$A$11:$G$180,5,FALSE))</f>
        <v/>
      </c>
      <c r="F3085" s="24" t="str">
        <f t="shared" si="1320"/>
        <v>0,00</v>
      </c>
      <c r="G3085" s="52"/>
      <c r="H3085" s="52" t="str">
        <f>IF(A3085="","",VLOOKUP(A3085,'6.A'!$A$11:$E$7984,5,FALSE))</f>
        <v/>
      </c>
      <c r="I3085" s="52" t="str">
        <f>IF(H3085="","",IF(E3085=H3085,"SIM","NÃO"))</f>
        <v/>
      </c>
      <c r="J3085" s="52" t="str">
        <f>IF(H3085="","",VLOOKUP(A3085,'6.A'!$A$11:$E$564,4,FALSE))</f>
        <v/>
      </c>
      <c r="K3085" s="52" t="str">
        <f>IF(H3085="","",IF(J3085=D3085,"SIM","NÃO"))</f>
        <v/>
      </c>
      <c r="L3085" s="52" t="str">
        <f>IF(H3085="","",IF(C3085="","",G3080*C3085))</f>
        <v/>
      </c>
      <c r="M3085" s="117" t="str">
        <f>IF(A3085="","",VLOOKUP(A3085,'6.A'!$A$11:$C$564,2,FALSE))</f>
        <v/>
      </c>
      <c r="N3085" s="57" t="str">
        <f>IF(A3085="","",IF(M3085=B3085,"si","no"))</f>
        <v/>
      </c>
      <c r="O3085" s="56"/>
      <c r="P3085" s="56"/>
      <c r="Q3085" s="48"/>
      <c r="R3085" s="48"/>
      <c r="S3085" s="2"/>
    </row>
    <row r="3086" spans="1:23" ht="12.75" customHeight="1" x14ac:dyDescent="0.2">
      <c r="A3086" s="155"/>
      <c r="B3086" s="138" t="str">
        <f>IF(A3086="","",VLOOKUP(A3086,'6.A'!$A$11:$G$180,2,FALSE))</f>
        <v/>
      </c>
      <c r="C3086" s="156"/>
      <c r="D3086" s="57" t="str">
        <f>IF(A3086="","",VLOOKUP(A3086,'6.A'!$A$11:$G$180,4,FALSE))</f>
        <v/>
      </c>
      <c r="E3086" s="101" t="str">
        <f>IF(A3086="","",VLOOKUP(A3086,'6.A'!$A$11:$G$180,5,FALSE))</f>
        <v/>
      </c>
      <c r="F3086" s="24" t="str">
        <f t="shared" si="1320"/>
        <v>0,00</v>
      </c>
      <c r="G3086" s="52"/>
      <c r="H3086" s="52" t="str">
        <f>IF(A3086="","",VLOOKUP(A3086,'6.A'!$A$11:$E$7984,5,FALSE))</f>
        <v/>
      </c>
      <c r="I3086" s="52" t="str">
        <f t="shared" ref="I3086" si="1323">IF(H3086="","",IF(E3086=H3086,"SIM","NÃO"))</f>
        <v/>
      </c>
      <c r="J3086" s="52" t="str">
        <f>IF(H3086="","",VLOOKUP(A3086,'6.A'!$A$11:$E$564,4,FALSE))</f>
        <v/>
      </c>
      <c r="K3086" s="52" t="str">
        <f t="shared" ref="K3086" si="1324">IF(H3086="","",IF(J3086=D3086,"SIM","NÃO"))</f>
        <v/>
      </c>
      <c r="L3086" s="52" t="str">
        <f>IF(H3086="","",IF(C3086="","",G3080*C3086))</f>
        <v/>
      </c>
      <c r="M3086" s="117" t="str">
        <f>IF(A3086="","",VLOOKUP(A3086,'6.A'!$A$11:$C$564,2,FALSE))</f>
        <v/>
      </c>
      <c r="N3086" s="57" t="str">
        <f t="shared" ref="N3086" si="1325">IF(A3086="","",IF(M3086=B3086,"si","no"))</f>
        <v/>
      </c>
      <c r="O3086" s="56"/>
      <c r="P3086" s="56"/>
      <c r="Q3086" s="48"/>
      <c r="R3086" s="48"/>
      <c r="S3086" s="2"/>
    </row>
    <row r="3087" spans="1:23" ht="12.75" customHeight="1" x14ac:dyDescent="0.2">
      <c r="A3087" s="155"/>
      <c r="B3087" s="138" t="str">
        <f>IF(A3087="","",VLOOKUP(A3087,'6.A'!$A$11:$G$180,2,FALSE))</f>
        <v/>
      </c>
      <c r="C3087" s="156"/>
      <c r="D3087" s="57" t="str">
        <f>IF(A3087="","",VLOOKUP(A3087,'6.A'!$A$11:$G$180,4,FALSE))</f>
        <v/>
      </c>
      <c r="E3087" s="101" t="str">
        <f>IF(A3087="","",VLOOKUP(A3087,'6.A'!$A$11:$G$180,5,FALSE))</f>
        <v/>
      </c>
      <c r="F3087" s="24" t="str">
        <f t="shared" si="1320"/>
        <v>0,00</v>
      </c>
      <c r="G3087" s="52"/>
      <c r="H3087" s="52" t="str">
        <f>IF(A3087="","",VLOOKUP(A3087,'6.A'!$A$11:$E$7984,5,FALSE))</f>
        <v/>
      </c>
      <c r="I3087" s="52" t="str">
        <f>IF(H3087="","",IF(E3087=H3087,"SIM","NÃO"))</f>
        <v/>
      </c>
      <c r="J3087" s="52" t="str">
        <f>IF(H3087="","",VLOOKUP(A3087,'6.A'!$A$11:$E$564,4,FALSE))</f>
        <v/>
      </c>
      <c r="K3087" s="52" t="str">
        <f>IF(H3087="","",IF(J3087=D3087,"SIM","NÃO"))</f>
        <v/>
      </c>
      <c r="L3087" s="52" t="str">
        <f>IF(H3087="","",IF(C3087="","",G3080*C3087))</f>
        <v/>
      </c>
      <c r="M3087" s="117" t="str">
        <f>IF(A3087="","",VLOOKUP(A3087,'6.A'!$A$11:$C$564,2,FALSE))</f>
        <v/>
      </c>
      <c r="N3087" s="57" t="str">
        <f>IF(A3087="","",IF(M3087=B3087,"si","no"))</f>
        <v/>
      </c>
      <c r="O3087" s="56"/>
      <c r="P3087" s="56"/>
      <c r="Q3087" s="48"/>
      <c r="R3087" s="48"/>
      <c r="S3087" s="2"/>
    </row>
    <row r="3088" spans="1:23" ht="12.75" customHeight="1" x14ac:dyDescent="0.2">
      <c r="A3088" s="155"/>
      <c r="B3088" s="138" t="str">
        <f>IF(A3088="","",VLOOKUP(A3088,'6.A'!$A$11:$G$180,2,FALSE))</f>
        <v/>
      </c>
      <c r="C3088" s="156"/>
      <c r="D3088" s="57" t="str">
        <f>IF(A3088="","",VLOOKUP(A3088,'6.A'!$A$11:$G$180,4,FALSE))</f>
        <v/>
      </c>
      <c r="E3088" s="100" t="str">
        <f>IF(A3088="","",VLOOKUP(A3088,'6.A'!$A$11:$G$180,5,FALSE))</f>
        <v/>
      </c>
      <c r="F3088" s="24" t="str">
        <f t="shared" si="1320"/>
        <v>0,00</v>
      </c>
      <c r="G3088" s="52"/>
      <c r="H3088" s="52" t="str">
        <f>IF(A3088="","",VLOOKUP(A3088,'6.A'!$A$11:$E$7984,5,FALSE))</f>
        <v/>
      </c>
      <c r="I3088" s="52" t="str">
        <f>IF(H3088="","",IF(E3088=H3088,"SIM","NÃO"))</f>
        <v/>
      </c>
      <c r="J3088" s="52" t="str">
        <f>IF(H3088="","",VLOOKUP(A3088,'6.A'!$A$11:$E$564,4,FALSE))</f>
        <v/>
      </c>
      <c r="K3088" s="52" t="str">
        <f>IF(H3088="","",IF(J3088=D3088,"SIM","NÃO"))</f>
        <v/>
      </c>
      <c r="L3088" s="52" t="str">
        <f>IF(H3088="","",IF(C3088="","",G3080*C3088))</f>
        <v/>
      </c>
      <c r="M3088" s="117" t="str">
        <f>IF(A3088="","",VLOOKUP(A3088,'6.A'!$A$11:$C$564,2,FALSE))</f>
        <v/>
      </c>
      <c r="N3088" s="57" t="str">
        <f>IF(A3088="","",IF(M3088=B3088,"si","no"))</f>
        <v/>
      </c>
      <c r="O3088" s="56"/>
      <c r="P3088" s="56"/>
      <c r="Q3088" s="48"/>
      <c r="R3088" s="48"/>
      <c r="S3088" s="2"/>
    </row>
    <row r="3089" spans="1:19" ht="12.75" customHeight="1" x14ac:dyDescent="0.2">
      <c r="A3089" s="155"/>
      <c r="B3089" s="138" t="str">
        <f>IF(A3089="","",VLOOKUP(A3089,'6.A'!$A$11:$G$180,2,FALSE))</f>
        <v/>
      </c>
      <c r="C3089" s="156"/>
      <c r="D3089" s="57" t="str">
        <f>IF(A3089="","",VLOOKUP(A3089,'6.A'!$A$11:$G$180,4,FALSE))</f>
        <v/>
      </c>
      <c r="E3089" s="100" t="str">
        <f>IF(A3089="","",VLOOKUP(A3089,'6.A'!$A$11:$G$180,5,FALSE))</f>
        <v/>
      </c>
      <c r="F3089" s="24" t="str">
        <f t="shared" si="1320"/>
        <v>0,00</v>
      </c>
      <c r="G3089" s="52"/>
      <c r="H3089" s="52" t="str">
        <f>IF(A3089="","",VLOOKUP(A3089,'6.A'!$A$11:$E$7984,5,FALSE))</f>
        <v/>
      </c>
      <c r="I3089" s="52" t="str">
        <f t="shared" ref="I3089" si="1326">IF(H3089="","",IF(E3089=H3089,"SIM","NÃO"))</f>
        <v/>
      </c>
      <c r="J3089" s="52" t="str">
        <f>IF(H3089="","",VLOOKUP(A3089,'6.A'!$A$11:$E$564,4,FALSE))</f>
        <v/>
      </c>
      <c r="K3089" s="52" t="str">
        <f t="shared" ref="K3089" si="1327">IF(H3089="","",IF(J3089=D3089,"SIM","NÃO"))</f>
        <v/>
      </c>
      <c r="L3089" s="52" t="str">
        <f>IF(H3089="","",IF(C3089="","",G3080*C3089))</f>
        <v/>
      </c>
      <c r="M3089" s="117" t="str">
        <f>IF(A3089="","",VLOOKUP(A3089,'6.A'!$A$11:$C$564,2,FALSE))</f>
        <v/>
      </c>
      <c r="N3089" s="57" t="str">
        <f t="shared" ref="N3089" si="1328">IF(A3089="","",IF(M3089=B3089,"si","no"))</f>
        <v/>
      </c>
      <c r="O3089" s="56"/>
      <c r="P3089" s="56"/>
      <c r="Q3089" s="48"/>
      <c r="R3089" s="48"/>
      <c r="S3089" s="2"/>
    </row>
    <row r="3090" spans="1:19" ht="12.75" customHeight="1" x14ac:dyDescent="0.2">
      <c r="A3090" s="155"/>
      <c r="B3090" s="138" t="str">
        <f>IF(A3090="","",VLOOKUP(A3090,'6.A'!$A$11:$G$180,2,FALSE))</f>
        <v/>
      </c>
      <c r="C3090" s="156"/>
      <c r="D3090" s="73" t="str">
        <f>IF(A3090="","",VLOOKUP(A3090,'6.A'!$A$11:$G$180,4,FALSE))</f>
        <v/>
      </c>
      <c r="E3090" s="101" t="str">
        <f>IF(A3090="","",VLOOKUP(A3090,'6.A'!$A$11:$G$180,5,FALSE))</f>
        <v/>
      </c>
      <c r="F3090" s="24" t="str">
        <f t="shared" si="1320"/>
        <v>0,00</v>
      </c>
      <c r="G3090" s="52"/>
      <c r="H3090" s="52" t="str">
        <f>IF(A3090="","",VLOOKUP(A3090,'6.A'!$A$11:$E$7984,5,FALSE))</f>
        <v/>
      </c>
      <c r="I3090" s="52" t="str">
        <f>IF(H3090="","",IF(E3090=H3090,"SIM","NÃO"))</f>
        <v/>
      </c>
      <c r="J3090" s="52" t="str">
        <f>IF(H3090="","",VLOOKUP(A3090,'6.A'!$A$11:$E$564,4,FALSE))</f>
        <v/>
      </c>
      <c r="K3090" s="52" t="str">
        <f>IF(H3090="","",IF(J3090=D3090,"SIM","NÃO"))</f>
        <v/>
      </c>
      <c r="L3090" s="52" t="str">
        <f>IF(H3090="","",IF(C3090="","",G3080*C3090))</f>
        <v/>
      </c>
      <c r="M3090" s="117" t="str">
        <f>IF(A3090="","",VLOOKUP(A3090,'6.A'!$A$11:$C$564,2,FALSE))</f>
        <v/>
      </c>
      <c r="N3090" s="57" t="str">
        <f>IF(A3090="","",IF(M3090=B3090,"si","no"))</f>
        <v/>
      </c>
      <c r="O3090" s="56"/>
      <c r="P3090" s="56"/>
      <c r="Q3090" s="48"/>
      <c r="R3090" s="48"/>
      <c r="S3090" s="2"/>
    </row>
    <row r="3091" spans="1:19" ht="12.75" customHeight="1" x14ac:dyDescent="0.2">
      <c r="A3091" s="155"/>
      <c r="B3091" s="138" t="str">
        <f>IF(A3091="","",VLOOKUP(A3091,'6.A'!$A$11:$G$180,2,FALSE))</f>
        <v/>
      </c>
      <c r="C3091" s="156"/>
      <c r="D3091" s="25" t="str">
        <f>IF(A3091="","",VLOOKUP(A3091,'6.A'!$A$11:$G$180,4,FALSE))</f>
        <v/>
      </c>
      <c r="E3091" s="101" t="str">
        <f>IF(A3091="","",VLOOKUP(A3091,'6.A'!$A$11:$G$180,5,FALSE))</f>
        <v/>
      </c>
      <c r="F3091" s="24" t="str">
        <f t="shared" si="1320"/>
        <v>0,00</v>
      </c>
      <c r="G3091" s="52"/>
      <c r="H3091" s="52" t="str">
        <f>IF(A3091="","",VLOOKUP(A3091,'6.A'!$A$11:$E$7984,5,FALSE))</f>
        <v/>
      </c>
      <c r="I3091" s="52" t="str">
        <f t="shared" ref="I3091" si="1329">IF(H3091="","",IF(E3091=H3091,"SIM","NÃO"))</f>
        <v/>
      </c>
      <c r="J3091" s="52" t="str">
        <f>IF(H3091="","",VLOOKUP(A3091,'6.A'!$A$11:$E$564,4,FALSE))</f>
        <v/>
      </c>
      <c r="K3091" s="52" t="str">
        <f t="shared" ref="K3091" si="1330">IF(H3091="","",IF(J3091=D3091,"SIM","NÃO"))</f>
        <v/>
      </c>
      <c r="L3091" s="52" t="str">
        <f>IF(H3091="","",IF(C3091="","",G3080*C3091))</f>
        <v/>
      </c>
      <c r="M3091" s="117" t="str">
        <f>IF(A3091="","",VLOOKUP(A3091,'6.A'!$A$11:$C$564,2,FALSE))</f>
        <v/>
      </c>
      <c r="N3091" s="57" t="str">
        <f t="shared" ref="N3091" si="1331">IF(A3091="","",IF(M3091=B3091,"si","no"))</f>
        <v/>
      </c>
      <c r="O3091" s="56"/>
      <c r="P3091" s="56"/>
      <c r="Q3091" s="48"/>
      <c r="R3091" s="48"/>
      <c r="S3091" s="2"/>
    </row>
    <row r="3092" spans="1:19" ht="12.75" customHeight="1" x14ac:dyDescent="0.2">
      <c r="A3092" s="152"/>
      <c r="B3092" s="26" t="str">
        <f>$A$8</f>
        <v>LEIS SOCIAIS HORISTA - JORNADA NORMAL</v>
      </c>
      <c r="C3092" s="27">
        <f>$C$8</f>
        <v>0</v>
      </c>
      <c r="D3092" s="57"/>
      <c r="F3092" s="28">
        <f>ROUND(SUM(F3082:F3091)*C3092,2)</f>
        <v>0</v>
      </c>
      <c r="G3092" s="63"/>
      <c r="M3092" s="62"/>
      <c r="N3092" s="57"/>
      <c r="O3092" s="56"/>
      <c r="P3092" s="56"/>
      <c r="Q3092" s="48"/>
      <c r="R3092" s="48"/>
      <c r="S3092" s="2"/>
    </row>
    <row r="3093" spans="1:19" ht="12.75" customHeight="1" x14ac:dyDescent="0.2">
      <c r="A3093" s="155"/>
      <c r="B3093" s="26" t="str">
        <f>$A$9</f>
        <v>BDI</v>
      </c>
      <c r="C3093" s="27">
        <f>$C$9</f>
        <v>0</v>
      </c>
      <c r="D3093" s="29"/>
      <c r="F3093" s="28">
        <f>ROUND(SUM(F3082:F3092)*C3093,2)</f>
        <v>0</v>
      </c>
      <c r="G3093" s="63"/>
      <c r="M3093" s="62"/>
      <c r="N3093" s="57"/>
      <c r="O3093" s="56"/>
      <c r="P3093" s="56"/>
      <c r="Q3093" s="48"/>
      <c r="R3093" s="48"/>
      <c r="S3093" s="2"/>
    </row>
    <row r="3094" spans="1:19" ht="12.75" customHeight="1" x14ac:dyDescent="0.2">
      <c r="A3094" s="163"/>
      <c r="B3094" s="164" t="s">
        <v>56</v>
      </c>
      <c r="C3094" s="165"/>
      <c r="D3094" s="33"/>
      <c r="E3094" s="34"/>
      <c r="F3094" s="35">
        <f>ROUND(SUM(F3082:F3093),2)</f>
        <v>0</v>
      </c>
      <c r="G3094" s="63"/>
      <c r="M3094" s="62"/>
      <c r="N3094" s="57"/>
      <c r="O3094" s="56"/>
      <c r="P3094" s="56"/>
      <c r="Q3094" s="48"/>
      <c r="R3094" s="48"/>
      <c r="S3094" s="2"/>
    </row>
    <row r="3095" spans="1:19" ht="12.75" customHeight="1" x14ac:dyDescent="0.2">
      <c r="A3095" s="152" t="s">
        <v>5</v>
      </c>
      <c r="B3095" s="153" t="s">
        <v>130</v>
      </c>
      <c r="C3095" s="140" t="s">
        <v>59</v>
      </c>
      <c r="D3095" s="56" t="s">
        <v>16</v>
      </c>
      <c r="E3095" s="19" t="s">
        <v>60</v>
      </c>
      <c r="F3095" s="20" t="s">
        <v>61</v>
      </c>
      <c r="G3095" s="21"/>
      <c r="M3095" s="62"/>
      <c r="N3095" s="57"/>
      <c r="O3095" s="56"/>
      <c r="P3095" s="56"/>
      <c r="Q3095" s="48"/>
      <c r="R3095" s="48"/>
      <c r="S3095" s="2"/>
    </row>
    <row r="3096" spans="1:19" ht="12.75" customHeight="1" x14ac:dyDescent="0.2">
      <c r="A3096" s="155"/>
      <c r="B3096" s="138" t="str">
        <f>IF(A3096="","",VLOOKUP(A3096,'6.A'!$A$11:$G$180,2,FALSE))</f>
        <v/>
      </c>
      <c r="C3096" s="156"/>
      <c r="D3096" s="57" t="str">
        <f>IF(A3096="","",VLOOKUP(A3096,'6.A'!$A$11:$G$180,4,FALSE))</f>
        <v/>
      </c>
      <c r="E3096" s="100" t="str">
        <f>IF(A3096="","",VLOOKUP(A3096,'6.A'!$A$11:$G$180,5,FALSE))</f>
        <v/>
      </c>
      <c r="F3096" s="24" t="str">
        <f t="shared" ref="F3096:F3105" si="1332">IF(A3096="","0,00",ROUND(C3096*E3096,2))</f>
        <v>0,00</v>
      </c>
      <c r="G3096" s="52"/>
      <c r="H3096" s="52" t="str">
        <f>IF(A3096="","",VLOOKUP(A3096,'6.A'!$A$11:$E$7984,5,FALSE))</f>
        <v/>
      </c>
      <c r="I3096" s="52" t="str">
        <f t="shared" ref="I3096:I3105" si="1333">IF(H3096="","",IF(E3096=H3096,"SIM","NÃO"))</f>
        <v/>
      </c>
      <c r="J3096" s="52" t="str">
        <f>IF(H3096="","",VLOOKUP(A3096,'6.A'!$A$11:$E$564,4,FALSE))</f>
        <v/>
      </c>
      <c r="K3096" s="52" t="str">
        <f t="shared" ref="K3096:K3105" si="1334">IF(H3096="","",IF(J3096=D3096,"SIM","NÃO"))</f>
        <v/>
      </c>
      <c r="L3096" s="52" t="str">
        <f>IF(H3096="","",IF(C3096="","",G3080*C3096))</f>
        <v/>
      </c>
      <c r="M3096" s="117" t="str">
        <f>IF(A3096="","",VLOOKUP(A3096,'6.A'!$A$11:$C$564,2,FALSE))</f>
        <v/>
      </c>
      <c r="N3096" s="57" t="str">
        <f t="shared" ref="N3096:N3101" si="1335">IF(A3096="","",IF(M3096=B3096,"si","no"))</f>
        <v/>
      </c>
      <c r="O3096" s="56"/>
      <c r="P3096" s="56"/>
      <c r="Q3096" s="48"/>
      <c r="R3096" s="48"/>
      <c r="S3096" s="2"/>
    </row>
    <row r="3097" spans="1:19" ht="12.75" customHeight="1" x14ac:dyDescent="0.2">
      <c r="A3097" s="155"/>
      <c r="B3097" s="138" t="str">
        <f>IF(A3097="","",VLOOKUP(A3097,'6.A'!$A$11:$G$180,2,FALSE))</f>
        <v/>
      </c>
      <c r="C3097" s="156"/>
      <c r="D3097" s="57" t="str">
        <f>IF(A3097="","",VLOOKUP(A3097,'6.A'!$A$11:$G$180,4,FALSE))</f>
        <v/>
      </c>
      <c r="E3097" s="100" t="str">
        <f>IF(A3097="","",VLOOKUP(A3097,'6.A'!$A$11:$G$180,5,FALSE))</f>
        <v/>
      </c>
      <c r="F3097" s="24" t="str">
        <f t="shared" si="1332"/>
        <v>0,00</v>
      </c>
      <c r="G3097" s="52"/>
      <c r="H3097" s="52" t="str">
        <f>IF(A3097="","",VLOOKUP(A3097,'6.A'!$A$11:$E$7984,5,FALSE))</f>
        <v/>
      </c>
      <c r="I3097" s="52" t="str">
        <f t="shared" si="1333"/>
        <v/>
      </c>
      <c r="J3097" s="52" t="str">
        <f>IF(H3097="","",VLOOKUP(A3097,'6.A'!$A$11:$E$564,4,FALSE))</f>
        <v/>
      </c>
      <c r="K3097" s="52" t="str">
        <f t="shared" si="1334"/>
        <v/>
      </c>
      <c r="L3097" s="52" t="str">
        <f>IF(H3097="","",IF(C3097="","",G3080*C3097))</f>
        <v/>
      </c>
      <c r="M3097" s="117" t="str">
        <f>IF(A3097="","",VLOOKUP(A3097,'6.A'!$A$11:$C$564,2,FALSE))</f>
        <v/>
      </c>
      <c r="N3097" s="57" t="str">
        <f t="shared" si="1335"/>
        <v/>
      </c>
      <c r="O3097" s="56"/>
      <c r="P3097" s="56"/>
      <c r="Q3097" s="48"/>
      <c r="R3097" s="48"/>
      <c r="S3097" s="2"/>
    </row>
    <row r="3098" spans="1:19" ht="12.75" customHeight="1" x14ac:dyDescent="0.2">
      <c r="A3098" s="155"/>
      <c r="B3098" s="138" t="str">
        <f>IF(A3098="","",VLOOKUP(A3098,'6.A'!$A$11:$G$180,2,FALSE))</f>
        <v/>
      </c>
      <c r="C3098" s="156"/>
      <c r="D3098" s="57" t="str">
        <f>IF(A3098="","",VLOOKUP(A3098,'6.A'!$A$11:$G$180,4,FALSE))</f>
        <v/>
      </c>
      <c r="E3098" s="100" t="str">
        <f>IF(A3098="","",VLOOKUP(A3098,'6.A'!$A$11:$G$180,5,FALSE))</f>
        <v/>
      </c>
      <c r="F3098" s="24" t="str">
        <f t="shared" si="1332"/>
        <v>0,00</v>
      </c>
      <c r="G3098" s="52"/>
      <c r="H3098" s="52" t="str">
        <f>IF(A3098="","",VLOOKUP(A3098,'6.A'!$A$11:$E$7984,5,FALSE))</f>
        <v/>
      </c>
      <c r="I3098" s="52" t="str">
        <f t="shared" si="1333"/>
        <v/>
      </c>
      <c r="J3098" s="52" t="str">
        <f>IF(H3098="","",VLOOKUP(A3098,'6.A'!$A$11:$E$564,4,FALSE))</f>
        <v/>
      </c>
      <c r="K3098" s="52" t="str">
        <f t="shared" si="1334"/>
        <v/>
      </c>
      <c r="L3098" s="52" t="str">
        <f>IF(H3098="","",IF(C3098="","",G3080*C3098))</f>
        <v/>
      </c>
      <c r="M3098" s="117" t="str">
        <f>IF(A3098="","",VLOOKUP(A3098,'6.A'!$A$11:$C$564,2,FALSE))</f>
        <v/>
      </c>
      <c r="N3098" s="57" t="str">
        <f t="shared" si="1335"/>
        <v/>
      </c>
      <c r="O3098" s="56"/>
      <c r="P3098" s="56"/>
      <c r="Q3098" s="48"/>
      <c r="R3098" s="48"/>
      <c r="S3098" s="2"/>
    </row>
    <row r="3099" spans="1:19" ht="12.75" customHeight="1" x14ac:dyDescent="0.2">
      <c r="A3099" s="155"/>
      <c r="B3099" s="176" t="str">
        <f>IF(A3099="","",VLOOKUP(A3099,'6.A'!$A$11:$G$180,2,FALSE))</f>
        <v/>
      </c>
      <c r="C3099" s="156"/>
      <c r="D3099" s="57" t="str">
        <f>IF(A3099="","",VLOOKUP(A3099,'6.A'!$A$11:$G$180,4,FALSE))</f>
        <v/>
      </c>
      <c r="E3099" s="100" t="str">
        <f>IF(A3099="","",VLOOKUP(A3099,'6.A'!$A$11:$G$180,5,FALSE))</f>
        <v/>
      </c>
      <c r="F3099" s="24" t="str">
        <f t="shared" si="1332"/>
        <v>0,00</v>
      </c>
      <c r="G3099" s="52"/>
      <c r="H3099" s="52" t="str">
        <f>IF(A3099="","",VLOOKUP(A3099,'6.A'!$A$11:$E$7984,5,FALSE))</f>
        <v/>
      </c>
      <c r="I3099" s="52" t="str">
        <f t="shared" si="1333"/>
        <v/>
      </c>
      <c r="J3099" s="52" t="str">
        <f>IF(H3099="","",VLOOKUP(A3099,'6.A'!$A$11:$E$564,4,FALSE))</f>
        <v/>
      </c>
      <c r="K3099" s="52" t="str">
        <f t="shared" si="1334"/>
        <v/>
      </c>
      <c r="L3099" s="52" t="str">
        <f>IF(H3099="","",IF(C3099="","",G3080*C3099))</f>
        <v/>
      </c>
      <c r="M3099" s="117" t="str">
        <f>IF(A3099="","",VLOOKUP(A3099,'6.A'!$A$11:$C$564,2,FALSE))</f>
        <v/>
      </c>
      <c r="N3099" s="57" t="str">
        <f t="shared" si="1335"/>
        <v/>
      </c>
      <c r="O3099" s="56"/>
      <c r="P3099" s="56"/>
      <c r="Q3099" s="48"/>
      <c r="R3099" s="48"/>
      <c r="S3099" s="2"/>
    </row>
    <row r="3100" spans="1:19" ht="12.75" customHeight="1" x14ac:dyDescent="0.2">
      <c r="A3100" s="155"/>
      <c r="B3100" s="176" t="str">
        <f>IF(A3100="","",VLOOKUP(A3100,'6.A'!$A$11:$G$180,2,FALSE))</f>
        <v/>
      </c>
      <c r="C3100" s="156"/>
      <c r="D3100" s="57" t="str">
        <f>IF(A3100="","",VLOOKUP(A3100,'6.A'!$A$11:$G$180,4,FALSE))</f>
        <v/>
      </c>
      <c r="E3100" s="100" t="str">
        <f>IF(A3100="","",VLOOKUP(A3100,'6.A'!$A$11:$G$180,5,FALSE))</f>
        <v/>
      </c>
      <c r="F3100" s="24" t="str">
        <f t="shared" si="1332"/>
        <v>0,00</v>
      </c>
      <c r="G3100" s="52"/>
      <c r="H3100" s="52" t="str">
        <f>IF(A3100="","",VLOOKUP(A3100,'6.A'!$A$11:$E$7984,5,FALSE))</f>
        <v/>
      </c>
      <c r="I3100" s="52" t="str">
        <f t="shared" si="1333"/>
        <v/>
      </c>
      <c r="J3100" s="52" t="str">
        <f>IF(H3100="","",VLOOKUP(A3100,'6.A'!$A$11:$E$564,4,FALSE))</f>
        <v/>
      </c>
      <c r="K3100" s="52" t="str">
        <f t="shared" si="1334"/>
        <v/>
      </c>
      <c r="L3100" s="52" t="str">
        <f>IF(H3100="","",IF(C3100="","",G3080*C3100))</f>
        <v/>
      </c>
      <c r="M3100" s="117" t="str">
        <f>IF(A3100="","",VLOOKUP(A3100,'6.A'!$A$11:$C$564,2,FALSE))</f>
        <v/>
      </c>
      <c r="N3100" s="57" t="str">
        <f t="shared" si="1335"/>
        <v/>
      </c>
      <c r="O3100" s="56"/>
      <c r="P3100" s="56"/>
      <c r="Q3100" s="48"/>
      <c r="R3100" s="48"/>
      <c r="S3100" s="2"/>
    </row>
    <row r="3101" spans="1:19" ht="12.75" customHeight="1" x14ac:dyDescent="0.2">
      <c r="A3101" s="155"/>
      <c r="B3101" s="176" t="str">
        <f>IF(A3101="","",VLOOKUP(A3101,'6.A'!$A$11:$G$180,2,FALSE))</f>
        <v/>
      </c>
      <c r="C3101" s="156"/>
      <c r="D3101" s="57" t="str">
        <f>IF(A3101="","",VLOOKUP(A3101,'6.A'!$A$11:$G$180,4,FALSE))</f>
        <v/>
      </c>
      <c r="E3101" s="100" t="str">
        <f>IF(A3101="","",VLOOKUP(A3101,'6.A'!$A$11:$G$180,5,FALSE))</f>
        <v/>
      </c>
      <c r="F3101" s="24" t="str">
        <f t="shared" si="1332"/>
        <v>0,00</v>
      </c>
      <c r="G3101" s="52"/>
      <c r="H3101" s="52" t="str">
        <f>IF(A3101="","",VLOOKUP(A3101,'6.A'!$A$11:$E$7984,5,FALSE))</f>
        <v/>
      </c>
      <c r="I3101" s="52" t="str">
        <f t="shared" si="1333"/>
        <v/>
      </c>
      <c r="J3101" s="52" t="str">
        <f>IF(H3101="","",VLOOKUP(A3101,'6.A'!$A$11:$E$564,4,FALSE))</f>
        <v/>
      </c>
      <c r="K3101" s="52" t="str">
        <f t="shared" si="1334"/>
        <v/>
      </c>
      <c r="L3101" s="52" t="str">
        <f>IF(H3101="","",IF(C3101="","",G3080*C3101))</f>
        <v/>
      </c>
      <c r="M3101" s="117" t="str">
        <f>IF(A3101="","",VLOOKUP(A3101,'6.A'!$A$11:$C$564,2,FALSE))</f>
        <v/>
      </c>
      <c r="N3101" s="57" t="str">
        <f t="shared" si="1335"/>
        <v/>
      </c>
      <c r="O3101" s="56"/>
      <c r="P3101" s="56"/>
      <c r="Q3101" s="48"/>
      <c r="R3101" s="48"/>
      <c r="S3101" s="2"/>
    </row>
    <row r="3102" spans="1:19" ht="12.75" customHeight="1" x14ac:dyDescent="0.2">
      <c r="A3102" s="155"/>
      <c r="B3102" s="176" t="str">
        <f>IF(A3102="","",VLOOKUP(A3102,'6.A'!$A$11:$G$180,2,FALSE))</f>
        <v/>
      </c>
      <c r="C3102" s="156"/>
      <c r="D3102" s="57" t="str">
        <f>IF(A3102="","",VLOOKUP(A3102,'6.A'!$A$11:$G$180,4,FALSE))</f>
        <v/>
      </c>
      <c r="E3102" s="100" t="str">
        <f>IF(A3102="","",VLOOKUP(A3102,'6.A'!$A$11:$G$180,5,FALSE))</f>
        <v/>
      </c>
      <c r="F3102" s="24" t="str">
        <f t="shared" si="1332"/>
        <v>0,00</v>
      </c>
      <c r="G3102" s="52"/>
      <c r="H3102" s="52" t="str">
        <f>IF(A3102="","",VLOOKUP(A3102,'6.A'!$A$11:$E$7984,5,FALSE))</f>
        <v/>
      </c>
      <c r="I3102" s="52" t="str">
        <f t="shared" si="1333"/>
        <v/>
      </c>
      <c r="J3102" s="52" t="str">
        <f>IF(H3102="","",VLOOKUP(A3102,'6.A'!$A$11:$E$564,4,FALSE))</f>
        <v/>
      </c>
      <c r="K3102" s="52" t="str">
        <f t="shared" si="1334"/>
        <v/>
      </c>
      <c r="L3102" s="52" t="str">
        <f>IF(H3102="","",IF(C3102="","",G3080*C3102))</f>
        <v/>
      </c>
      <c r="M3102" s="117" t="str">
        <f>IF(A3102="","",VLOOKUP(A3102,'6.A'!$A$11:$C$564,2,FALSE))</f>
        <v/>
      </c>
      <c r="N3102" s="57" t="str">
        <f>IF(A3102="","",IF(M3102=B3102,"si","no"))</f>
        <v/>
      </c>
      <c r="O3102" s="56"/>
      <c r="P3102" s="56"/>
      <c r="Q3102" s="48"/>
      <c r="R3102" s="48"/>
      <c r="S3102" s="2"/>
    </row>
    <row r="3103" spans="1:19" ht="12.75" customHeight="1" x14ac:dyDescent="0.2">
      <c r="A3103" s="155"/>
      <c r="B3103" s="138" t="str">
        <f>IF(A3103="","",VLOOKUP(A3103,'6.A'!$A$11:$G$180,2,FALSE))</f>
        <v/>
      </c>
      <c r="C3103" s="156"/>
      <c r="D3103" s="57" t="str">
        <f>IF(A3103="","",VLOOKUP(A3103,'6.A'!$A$11:$G$180,4,FALSE))</f>
        <v/>
      </c>
      <c r="E3103" s="100" t="str">
        <f>IF(A3103="","",VLOOKUP(A3103,'6.A'!$A$11:$G$180,5,FALSE))</f>
        <v/>
      </c>
      <c r="F3103" s="24" t="str">
        <f t="shared" si="1332"/>
        <v>0,00</v>
      </c>
      <c r="G3103" s="52"/>
      <c r="H3103" s="52" t="str">
        <f>IF(A3103="","",VLOOKUP(A3103,'6.A'!$A$11:$E$7984,5,FALSE))</f>
        <v/>
      </c>
      <c r="I3103" s="52" t="str">
        <f t="shared" si="1333"/>
        <v/>
      </c>
      <c r="J3103" s="52" t="str">
        <f>IF(H3103="","",VLOOKUP(A3103,'6.A'!$A$11:$E$564,4,FALSE))</f>
        <v/>
      </c>
      <c r="K3103" s="52" t="str">
        <f t="shared" si="1334"/>
        <v/>
      </c>
      <c r="L3103" s="52" t="str">
        <f>IF(H3103="","",IF(C3103="","",G3080*C3103))</f>
        <v/>
      </c>
      <c r="M3103" s="117" t="str">
        <f>IF(A3103="","",VLOOKUP(A3103,'6.A'!$A$11:$C$564,2,FALSE))</f>
        <v/>
      </c>
      <c r="N3103" s="57" t="str">
        <f>IF(A3103="","",IF(M3103=B3103,"si","no"))</f>
        <v/>
      </c>
      <c r="O3103" s="56"/>
      <c r="P3103" s="56"/>
      <c r="Q3103" s="48"/>
      <c r="R3103" s="48"/>
      <c r="S3103" s="2"/>
    </row>
    <row r="3104" spans="1:19" ht="12.75" customHeight="1" x14ac:dyDescent="0.2">
      <c r="A3104" s="155"/>
      <c r="B3104" s="138" t="str">
        <f>IF(A3104="","",VLOOKUP(A3104,'6.A'!$A$11:$G$180,2,FALSE))</f>
        <v/>
      </c>
      <c r="C3104" s="156"/>
      <c r="D3104" s="57" t="str">
        <f>IF(A3104="","",VLOOKUP(A3104,'6.A'!$A$11:$G$180,4,FALSE))</f>
        <v/>
      </c>
      <c r="E3104" s="100" t="str">
        <f>IF(A3104="","",VLOOKUP(A3104,'6.A'!$A$11:$G$180,5,FALSE))</f>
        <v/>
      </c>
      <c r="F3104" s="24" t="str">
        <f t="shared" si="1332"/>
        <v>0,00</v>
      </c>
      <c r="G3104" s="52"/>
      <c r="H3104" s="52" t="str">
        <f>IF(A3104="","",VLOOKUP(A3104,'6.A'!$A$11:$E$7984,5,FALSE))</f>
        <v/>
      </c>
      <c r="I3104" s="52" t="str">
        <f t="shared" si="1333"/>
        <v/>
      </c>
      <c r="J3104" s="52" t="str">
        <f>IF(H3104="","",VLOOKUP(A3104,'6.A'!$A$11:$E$564,4,FALSE))</f>
        <v/>
      </c>
      <c r="K3104" s="52" t="str">
        <f t="shared" si="1334"/>
        <v/>
      </c>
      <c r="L3104" s="52" t="str">
        <f>IF(H3104="","",IF(C3104="","",G3080*C3104))</f>
        <v/>
      </c>
      <c r="M3104" s="117" t="str">
        <f>IF(A3104="","",VLOOKUP(A3104,'6.A'!$A$11:$C$564,2,FALSE))</f>
        <v/>
      </c>
      <c r="N3104" s="57" t="str">
        <f t="shared" ref="N3104:N3105" si="1336">IF(A3104="","",IF(M3104=B3104,"si","no"))</f>
        <v/>
      </c>
      <c r="O3104" s="56"/>
      <c r="P3104" s="56"/>
      <c r="Q3104" s="48"/>
      <c r="R3104" s="48"/>
      <c r="S3104" s="2"/>
    </row>
    <row r="3105" spans="1:22" ht="12.75" customHeight="1" x14ac:dyDescent="0.2">
      <c r="A3105" s="155"/>
      <c r="B3105" s="138" t="str">
        <f>IF(A3105="","",VLOOKUP(A3105,'6.A'!$A$11:$G$180,2,FALSE))</f>
        <v/>
      </c>
      <c r="C3105" s="156"/>
      <c r="D3105" s="57" t="str">
        <f>IF(A3105="","",VLOOKUP(A3105,'6.A'!$A$11:$G$180,4,FALSE))</f>
        <v/>
      </c>
      <c r="E3105" s="100" t="str">
        <f>IF(A3105="","",VLOOKUP(A3105,'6.A'!$A$11:$G$180,5,FALSE))</f>
        <v/>
      </c>
      <c r="F3105" s="24" t="str">
        <f t="shared" si="1332"/>
        <v>0,00</v>
      </c>
      <c r="G3105" s="52"/>
      <c r="H3105" s="52" t="str">
        <f>IF(A3105="","",VLOOKUP(A3105,'6.A'!$A$11:$E$7984,5,FALSE))</f>
        <v/>
      </c>
      <c r="I3105" s="52" t="str">
        <f t="shared" si="1333"/>
        <v/>
      </c>
      <c r="J3105" s="52" t="str">
        <f>IF(H3105="","",VLOOKUP(A3105,'6.A'!$A$11:$E$564,4,FALSE))</f>
        <v/>
      </c>
      <c r="K3105" s="52" t="str">
        <f t="shared" si="1334"/>
        <v/>
      </c>
      <c r="L3105" s="52" t="str">
        <f>IF(H3105="","",IF(C3105="","",G3080*C3105))</f>
        <v/>
      </c>
      <c r="M3105" s="117" t="str">
        <f>IF(A3105="","",VLOOKUP(A3105,'6.A'!$A$11:$C$564,2,FALSE))</f>
        <v/>
      </c>
      <c r="N3105" s="57" t="str">
        <f t="shared" si="1336"/>
        <v/>
      </c>
      <c r="O3105" s="56"/>
      <c r="P3105" s="56"/>
      <c r="Q3105" s="48"/>
      <c r="R3105" s="48"/>
      <c r="S3105" s="2"/>
    </row>
    <row r="3106" spans="1:22" ht="12.75" customHeight="1" x14ac:dyDescent="0.2">
      <c r="A3106" s="155"/>
      <c r="B3106" s="26" t="str">
        <f>$A$9</f>
        <v>BDI</v>
      </c>
      <c r="C3106" s="27">
        <f>$C$9</f>
        <v>0</v>
      </c>
      <c r="D3106" s="57"/>
      <c r="F3106" s="28">
        <f>ROUND(SUM(F3096:F3105)*C3106,2)</f>
        <v>0</v>
      </c>
      <c r="G3106" s="63"/>
      <c r="M3106" s="62"/>
      <c r="N3106" s="57"/>
      <c r="O3106" s="56"/>
      <c r="P3106" s="56"/>
      <c r="Q3106" s="48"/>
      <c r="R3106" s="48"/>
      <c r="S3106" s="2"/>
    </row>
    <row r="3107" spans="1:22" ht="12.75" customHeight="1" x14ac:dyDescent="0.2">
      <c r="A3107" s="163"/>
      <c r="B3107" s="31" t="s">
        <v>117</v>
      </c>
      <c r="C3107" s="36"/>
      <c r="D3107" s="37"/>
      <c r="E3107" s="38"/>
      <c r="F3107" s="35">
        <f>ROUND(SUM(F3096:F3106),2)</f>
        <v>0</v>
      </c>
      <c r="G3107" s="63"/>
      <c r="M3107" s="62"/>
      <c r="N3107" s="57"/>
      <c r="O3107" s="56"/>
      <c r="P3107" s="56"/>
      <c r="Q3107" s="48"/>
      <c r="R3107" s="48"/>
      <c r="S3107" s="2"/>
    </row>
    <row r="3108" spans="1:22" ht="12.75" customHeight="1" x14ac:dyDescent="0.2">
      <c r="A3108" s="152" t="s">
        <v>6</v>
      </c>
      <c r="B3108" s="153" t="s">
        <v>17</v>
      </c>
      <c r="C3108" s="140" t="s">
        <v>59</v>
      </c>
      <c r="D3108" s="56" t="s">
        <v>16</v>
      </c>
      <c r="E3108" s="19" t="s">
        <v>60</v>
      </c>
      <c r="F3108" s="20" t="s">
        <v>61</v>
      </c>
      <c r="G3108" s="21"/>
      <c r="M3108" s="62"/>
      <c r="N3108" s="57"/>
      <c r="O3108" s="56"/>
      <c r="P3108" s="56"/>
      <c r="Q3108" s="48"/>
      <c r="R3108" s="48"/>
      <c r="S3108" s="2"/>
    </row>
    <row r="3109" spans="1:22" ht="12.75" customHeight="1" x14ac:dyDescent="0.2">
      <c r="A3109" s="155" t="str">
        <f>'6.A'!$A$44</f>
        <v>CHAVE.001</v>
      </c>
      <c r="B3109" s="138" t="str">
        <f>IF(A3109="","",VLOOKUP(A3109,'6.A'!$A$11:$G$180,2,FALSE))</f>
        <v>CHAVE DE AFERIÇÃO, DE SOBREPOR, VN= 600V, IN=20A, 10 POLOS</v>
      </c>
      <c r="C3109" s="156">
        <v>1</v>
      </c>
      <c r="D3109" s="57" t="str">
        <f>IF(A3109="","",VLOOKUP(A3109,'6.A'!$A$11:$G$180,4,FALSE))</f>
        <v>CJ</v>
      </c>
      <c r="E3109" s="100">
        <f>IF(A3109="","",VLOOKUP(A3109,'6.A'!$A$11:$G$180,5,FALSE))</f>
        <v>0</v>
      </c>
      <c r="F3109" s="24">
        <f t="shared" ref="F3109:F3128" si="1337">IF(A3109="","0,00",ROUND(C3109*E3109,2))</f>
        <v>0</v>
      </c>
      <c r="G3109" s="52"/>
      <c r="H3109" s="52">
        <f>IF(A3109="","",VLOOKUP(A3109,'6.A'!$A$11:$E$7984,5,FALSE))</f>
        <v>0</v>
      </c>
      <c r="I3109" s="52" t="str">
        <f t="shared" ref="I3109:I3128" si="1338">IF(H3109="","",IF(E3109=H3109,"SIM","NÃO"))</f>
        <v>SIM</v>
      </c>
      <c r="J3109" s="52" t="str">
        <f>IF(H3109="","",VLOOKUP(A3109,'6.A'!$A$11:$E$564,4,FALSE))</f>
        <v>CJ</v>
      </c>
      <c r="K3109" s="52" t="str">
        <f t="shared" ref="K3109:K3128" si="1339">IF(H3109="","",IF(J3109=D3109,"SIM","NÃO"))</f>
        <v>SIM</v>
      </c>
      <c r="L3109" s="52">
        <f>IF(H3109="","",IF(C3109="","",G3080*C3109))</f>
        <v>1</v>
      </c>
      <c r="M3109" s="117" t="str">
        <f>IF(A3109="","",VLOOKUP(A3109,'6.A'!$A$11:$C$564,2,FALSE))</f>
        <v>CHAVE DE AFERIÇÃO, DE SOBREPOR, VN= 600V, IN=20A, 10 POLOS</v>
      </c>
      <c r="N3109" s="57" t="str">
        <f t="shared" ref="N3109:N3128" si="1340">IF(A3109="","",IF(M3109=B3109,"si","no"))</f>
        <v>si</v>
      </c>
      <c r="O3109" s="56"/>
      <c r="P3109" s="56"/>
      <c r="Q3109" s="48"/>
      <c r="R3109" s="48"/>
      <c r="S3109" s="2"/>
    </row>
    <row r="3110" spans="1:22" ht="12.75" customHeight="1" x14ac:dyDescent="0.2">
      <c r="A3110" s="155"/>
      <c r="B3110" s="138" t="str">
        <f>IF(A3110="","",VLOOKUP(A3110,'6.A'!$A$11:$G$180,2,FALSE))</f>
        <v/>
      </c>
      <c r="C3110" s="156"/>
      <c r="D3110" s="57" t="str">
        <f>IF(A3110="","",VLOOKUP(A3110,'6.A'!$A$11:$G$180,4,FALSE))</f>
        <v/>
      </c>
      <c r="E3110" s="100" t="str">
        <f>IF(A3110="","",VLOOKUP(A3110,'6.A'!$A$11:$G$180,5,FALSE))</f>
        <v/>
      </c>
      <c r="F3110" s="24" t="str">
        <f t="shared" si="1337"/>
        <v>0,00</v>
      </c>
      <c r="G3110" s="52"/>
      <c r="H3110" s="52" t="str">
        <f>IF(A3110="","",VLOOKUP(A3110,'6.A'!$A$11:$E$7984,5,FALSE))</f>
        <v/>
      </c>
      <c r="I3110" s="52" t="str">
        <f t="shared" si="1338"/>
        <v/>
      </c>
      <c r="J3110" s="52" t="str">
        <f>IF(H3110="","",VLOOKUP(A3110,'6.A'!$A$11:$E$564,4,FALSE))</f>
        <v/>
      </c>
      <c r="K3110" s="52" t="str">
        <f t="shared" si="1339"/>
        <v/>
      </c>
      <c r="L3110" s="52" t="str">
        <f>IF(H3110="","",IF(C3110="","",G3080*C3110))</f>
        <v/>
      </c>
      <c r="M3110" s="117" t="str">
        <f>IF(A3110="","",VLOOKUP(A3110,'6.A'!$A$11:$C$564,2,FALSE))</f>
        <v/>
      </c>
      <c r="N3110" s="57" t="str">
        <f t="shared" si="1340"/>
        <v/>
      </c>
      <c r="O3110" s="56"/>
      <c r="P3110" s="56"/>
      <c r="Q3110" s="48"/>
      <c r="R3110" s="48"/>
      <c r="S3110" s="2"/>
    </row>
    <row r="3111" spans="1:22" ht="12.75" customHeight="1" x14ac:dyDescent="0.2">
      <c r="A3111" s="155"/>
      <c r="B3111" s="138" t="str">
        <f>IF(A3111="","",VLOOKUP(A3111,'6.A'!$A$11:$G$180,2,FALSE))</f>
        <v/>
      </c>
      <c r="C3111" s="156"/>
      <c r="D3111" s="57" t="str">
        <f>IF(A3111="","",VLOOKUP(A3111,'6.A'!$A$11:$G$180,4,FALSE))</f>
        <v/>
      </c>
      <c r="E3111" s="100" t="str">
        <f>IF(A3111="","",VLOOKUP(A3111,'6.A'!$A$11:$G$180,5,FALSE))</f>
        <v/>
      </c>
      <c r="F3111" s="24" t="str">
        <f t="shared" si="1337"/>
        <v>0,00</v>
      </c>
      <c r="G3111" s="52"/>
      <c r="H3111" s="52" t="str">
        <f>IF(A3111="","",VLOOKUP(A3111,'6.A'!$A$11:$E$7984,5,FALSE))</f>
        <v/>
      </c>
      <c r="I3111" s="52" t="str">
        <f t="shared" si="1338"/>
        <v/>
      </c>
      <c r="J3111" s="52" t="str">
        <f>IF(H3111="","",VLOOKUP(A3111,'6.A'!$A$11:$E$564,4,FALSE))</f>
        <v/>
      </c>
      <c r="K3111" s="52" t="str">
        <f t="shared" si="1339"/>
        <v/>
      </c>
      <c r="L3111" s="52" t="str">
        <f>IF(H3111="","",IF(C3111="","",G3080*C3111))</f>
        <v/>
      </c>
      <c r="M3111" s="117" t="str">
        <f>IF(A3111="","",VLOOKUP(A3111,'6.A'!$A$11:$C$564,2,FALSE))</f>
        <v/>
      </c>
      <c r="N3111" s="57" t="str">
        <f t="shared" si="1340"/>
        <v/>
      </c>
      <c r="O3111" s="56"/>
      <c r="P3111" s="56"/>
      <c r="Q3111" s="48"/>
      <c r="R3111" s="48"/>
      <c r="S3111" s="2"/>
    </row>
    <row r="3112" spans="1:22" ht="12.75" customHeight="1" x14ac:dyDescent="0.2">
      <c r="A3112" s="155"/>
      <c r="B3112" s="138" t="str">
        <f>IF(A3112="","",VLOOKUP(A3112,'6.A'!$A$11:$G$180,2,FALSE))</f>
        <v/>
      </c>
      <c r="C3112" s="156"/>
      <c r="D3112" s="57" t="str">
        <f>IF(A3112="","",VLOOKUP(A3112,'6.A'!$A$11:$G$180,4,FALSE))</f>
        <v/>
      </c>
      <c r="E3112" s="100" t="str">
        <f>IF(A3112="","",VLOOKUP(A3112,'6.A'!$A$11:$G$180,5,FALSE))</f>
        <v/>
      </c>
      <c r="F3112" s="24" t="str">
        <f t="shared" si="1337"/>
        <v>0,00</v>
      </c>
      <c r="G3112" s="52"/>
      <c r="H3112" s="52" t="str">
        <f>IF(A3112="","",VLOOKUP(A3112,'6.A'!$A$11:$E$7984,5,FALSE))</f>
        <v/>
      </c>
      <c r="I3112" s="52" t="str">
        <f t="shared" si="1338"/>
        <v/>
      </c>
      <c r="J3112" s="52" t="str">
        <f>IF(H3112="","",VLOOKUP(A3112,'6.A'!$A$11:$E$564,4,FALSE))</f>
        <v/>
      </c>
      <c r="K3112" s="52" t="str">
        <f t="shared" si="1339"/>
        <v/>
      </c>
      <c r="L3112" s="52" t="str">
        <f>IF(H3112="","",IF(C3112="","",G3080*C3112))</f>
        <v/>
      </c>
      <c r="M3112" s="117" t="str">
        <f>IF(A3112="","",VLOOKUP(A3112,'6.A'!$A$11:$C$564,2,FALSE))</f>
        <v/>
      </c>
      <c r="N3112" s="57" t="str">
        <f t="shared" si="1340"/>
        <v/>
      </c>
      <c r="O3112" s="56"/>
      <c r="P3112" s="56"/>
      <c r="Q3112" s="48"/>
      <c r="R3112" s="48"/>
      <c r="S3112" s="2"/>
    </row>
    <row r="3113" spans="1:22" ht="12.75" customHeight="1" x14ac:dyDescent="0.2">
      <c r="A3113" s="155"/>
      <c r="B3113" s="138" t="str">
        <f>IF(A3113="","",VLOOKUP(A3113,'6.A'!$A$11:$G$180,2,FALSE))</f>
        <v/>
      </c>
      <c r="C3113" s="156"/>
      <c r="D3113" s="57" t="str">
        <f>IF(A3113="","",VLOOKUP(A3113,'6.A'!$A$11:$G$180,4,FALSE))</f>
        <v/>
      </c>
      <c r="E3113" s="100" t="str">
        <f>IF(A3113="","",VLOOKUP(A3113,'6.A'!$A$11:$G$180,5,FALSE))</f>
        <v/>
      </c>
      <c r="F3113" s="24" t="str">
        <f t="shared" si="1337"/>
        <v>0,00</v>
      </c>
      <c r="G3113" s="52"/>
      <c r="H3113" s="52" t="str">
        <f>IF(A3113="","",VLOOKUP(A3113,'6.A'!$A$11:$E$7984,5,FALSE))</f>
        <v/>
      </c>
      <c r="I3113" s="52" t="str">
        <f t="shared" si="1338"/>
        <v/>
      </c>
      <c r="J3113" s="52" t="str">
        <f>IF(H3113="","",VLOOKUP(A3113,'6.A'!$A$11:$E$564,4,FALSE))</f>
        <v/>
      </c>
      <c r="K3113" s="52" t="str">
        <f t="shared" si="1339"/>
        <v/>
      </c>
      <c r="L3113" s="52" t="str">
        <f>IF(H3113="","",IF(C3113="","",G3080*C3113))</f>
        <v/>
      </c>
      <c r="M3113" s="117" t="str">
        <f>IF(A3113="","",VLOOKUP(A3113,'6.A'!$A$11:$C$564,2,FALSE))</f>
        <v/>
      </c>
      <c r="N3113" s="57" t="str">
        <f t="shared" si="1340"/>
        <v/>
      </c>
      <c r="O3113" s="56"/>
      <c r="P3113" s="56"/>
      <c r="Q3113" s="48"/>
      <c r="R3113" s="48"/>
      <c r="S3113" s="2"/>
    </row>
    <row r="3114" spans="1:22" ht="12.75" customHeight="1" x14ac:dyDescent="0.2">
      <c r="A3114" s="155"/>
      <c r="B3114" s="138" t="str">
        <f>IF(A3114="","",VLOOKUP(A3114,'6.A'!$A$11:$G$180,2,FALSE))</f>
        <v/>
      </c>
      <c r="C3114" s="156"/>
      <c r="D3114" s="57" t="str">
        <f>IF(A3114="","",VLOOKUP(A3114,'6.A'!$A$11:$G$180,4,FALSE))</f>
        <v/>
      </c>
      <c r="E3114" s="100" t="str">
        <f>IF(A3114="","",VLOOKUP(A3114,'6.A'!$A$11:$G$180,5,FALSE))</f>
        <v/>
      </c>
      <c r="F3114" s="24" t="str">
        <f t="shared" si="1337"/>
        <v>0,00</v>
      </c>
      <c r="G3114" s="52"/>
      <c r="H3114" s="52" t="str">
        <f>IF(A3114="","",VLOOKUP(A3114,'6.A'!$A$11:$E$7984,5,FALSE))</f>
        <v/>
      </c>
      <c r="I3114" s="52" t="str">
        <f t="shared" si="1338"/>
        <v/>
      </c>
      <c r="J3114" s="52" t="str">
        <f>IF(H3114="","",VLOOKUP(A3114,'6.A'!$A$11:$E$564,4,FALSE))</f>
        <v/>
      </c>
      <c r="K3114" s="52" t="str">
        <f t="shared" si="1339"/>
        <v/>
      </c>
      <c r="L3114" s="52" t="str">
        <f>IF(H3114="","",IF(C3114="","",G3080*C3114))</f>
        <v/>
      </c>
      <c r="M3114" s="117" t="str">
        <f>IF(A3114="","",VLOOKUP(A3114,'6.A'!$A$11:$C$564,2,FALSE))</f>
        <v/>
      </c>
      <c r="N3114" s="57" t="str">
        <f t="shared" si="1340"/>
        <v/>
      </c>
      <c r="O3114" s="56"/>
      <c r="P3114" s="56"/>
      <c r="Q3114" s="48"/>
      <c r="R3114" s="48"/>
      <c r="S3114" s="2"/>
    </row>
    <row r="3115" spans="1:22" ht="12.75" customHeight="1" x14ac:dyDescent="0.2">
      <c r="A3115" s="155"/>
      <c r="B3115" s="138" t="str">
        <f>IF(A3115="","",VLOOKUP(A3115,'6.A'!$A$11:$G$180,2,FALSE))</f>
        <v/>
      </c>
      <c r="C3115" s="156"/>
      <c r="D3115" s="57" t="str">
        <f>IF(A3115="","",VLOOKUP(A3115,'6.A'!$A$11:$G$180,4,FALSE))</f>
        <v/>
      </c>
      <c r="E3115" s="100" t="str">
        <f>IF(A3115="","",VLOOKUP(A3115,'6.A'!$A$11:$G$180,5,FALSE))</f>
        <v/>
      </c>
      <c r="F3115" s="24" t="str">
        <f t="shared" si="1337"/>
        <v>0,00</v>
      </c>
      <c r="G3115" s="52"/>
      <c r="H3115" s="52" t="str">
        <f>IF(A3115="","",VLOOKUP(A3115,'6.A'!$A$11:$E$7984,5,FALSE))</f>
        <v/>
      </c>
      <c r="I3115" s="52" t="str">
        <f t="shared" si="1338"/>
        <v/>
      </c>
      <c r="J3115" s="52" t="str">
        <f>IF(H3115="","",VLOOKUP(A3115,'6.A'!$A$11:$E$564,4,FALSE))</f>
        <v/>
      </c>
      <c r="K3115" s="52" t="str">
        <f t="shared" si="1339"/>
        <v/>
      </c>
      <c r="L3115" s="52" t="str">
        <f>IF(H3115="","",IF(C3115="","",G3080*C3115))</f>
        <v/>
      </c>
      <c r="M3115" s="117" t="str">
        <f>IF(A3115="","",VLOOKUP(A3115,'6.A'!$A$11:$C$564,2,FALSE))</f>
        <v/>
      </c>
      <c r="N3115" s="57" t="str">
        <f t="shared" si="1340"/>
        <v/>
      </c>
      <c r="O3115" s="56"/>
      <c r="P3115" s="56"/>
      <c r="Q3115" s="48"/>
      <c r="R3115" s="48"/>
      <c r="S3115" s="2"/>
    </row>
    <row r="3116" spans="1:22" s="65" customFormat="1" ht="12.75" customHeight="1" x14ac:dyDescent="0.2">
      <c r="A3116" s="155"/>
      <c r="B3116" s="138" t="str">
        <f>IF(A3116="","",VLOOKUP(A3116,'6.A'!$A$11:$G$180,2,FALSE))</f>
        <v/>
      </c>
      <c r="C3116" s="156"/>
      <c r="D3116" s="57" t="str">
        <f>IF(A3116="","",VLOOKUP(A3116,'6.A'!$A$11:$G$180,4,FALSE))</f>
        <v/>
      </c>
      <c r="E3116" s="100" t="str">
        <f>IF(A3116="","",VLOOKUP(A3116,'6.A'!$A$11:$G$180,5,FALSE))</f>
        <v/>
      </c>
      <c r="F3116" s="24" t="str">
        <f t="shared" si="1337"/>
        <v>0,00</v>
      </c>
      <c r="G3116" s="52"/>
      <c r="H3116" s="52" t="str">
        <f>IF(A3116="","",VLOOKUP(A3116,'6.A'!$A$11:$E$7984,5,FALSE))</f>
        <v/>
      </c>
      <c r="I3116" s="52" t="str">
        <f t="shared" si="1338"/>
        <v/>
      </c>
      <c r="J3116" s="52" t="str">
        <f>IF(H3116="","",VLOOKUP(A3116,'6.A'!$A$11:$E$564,4,FALSE))</f>
        <v/>
      </c>
      <c r="K3116" s="52" t="str">
        <f t="shared" si="1339"/>
        <v/>
      </c>
      <c r="L3116" s="52" t="str">
        <f>IF(H3116="","",IF(C3116="","",G3080*C3116))</f>
        <v/>
      </c>
      <c r="M3116" s="117" t="str">
        <f>IF(A3116="","",VLOOKUP(A3116,'6.A'!$A$11:$C$564,2,FALSE))</f>
        <v/>
      </c>
      <c r="N3116" s="57" t="str">
        <f t="shared" si="1340"/>
        <v/>
      </c>
      <c r="O3116" s="56"/>
      <c r="P3116" s="56"/>
      <c r="Q3116" s="48"/>
      <c r="R3116" s="48"/>
      <c r="T3116" s="2"/>
      <c r="U3116" s="2"/>
      <c r="V3116" s="2"/>
    </row>
    <row r="3117" spans="1:22" s="65" customFormat="1" ht="12.75" customHeight="1" x14ac:dyDescent="0.2">
      <c r="A3117" s="155"/>
      <c r="B3117" s="138" t="str">
        <f>IF(A3117="","",VLOOKUP(A3117,'6.A'!$A$11:$G$180,2,FALSE))</f>
        <v/>
      </c>
      <c r="C3117" s="156"/>
      <c r="D3117" s="57" t="str">
        <f>IF(A3117="","",VLOOKUP(A3117,'6.A'!$A$11:$G$180,4,FALSE))</f>
        <v/>
      </c>
      <c r="E3117" s="100" t="str">
        <f>IF(A3117="","",VLOOKUP(A3117,'6.A'!$A$11:$G$180,5,FALSE))</f>
        <v/>
      </c>
      <c r="F3117" s="24" t="str">
        <f t="shared" si="1337"/>
        <v>0,00</v>
      </c>
      <c r="G3117" s="52"/>
      <c r="H3117" s="52" t="str">
        <f>IF(A3117="","",VLOOKUP(A3117,'6.A'!$A$11:$E$7984,5,FALSE))</f>
        <v/>
      </c>
      <c r="I3117" s="52" t="str">
        <f t="shared" si="1338"/>
        <v/>
      </c>
      <c r="J3117" s="52" t="str">
        <f>IF(H3117="","",VLOOKUP(A3117,'6.A'!$A$11:$E$564,4,FALSE))</f>
        <v/>
      </c>
      <c r="K3117" s="52" t="str">
        <f t="shared" si="1339"/>
        <v/>
      </c>
      <c r="L3117" s="52" t="str">
        <f>IF(H3117="","",IF(C3117="","",G3080*C3117))</f>
        <v/>
      </c>
      <c r="M3117" s="117" t="str">
        <f>IF(A3117="","",VLOOKUP(A3117,'6.A'!$A$11:$C$564,2,FALSE))</f>
        <v/>
      </c>
      <c r="N3117" s="57" t="str">
        <f t="shared" si="1340"/>
        <v/>
      </c>
      <c r="O3117" s="56"/>
      <c r="P3117" s="56"/>
      <c r="Q3117" s="48"/>
      <c r="R3117" s="48"/>
      <c r="T3117" s="2"/>
      <c r="U3117" s="2"/>
      <c r="V3117" s="2"/>
    </row>
    <row r="3118" spans="1:22" s="65" customFormat="1" ht="12.75" customHeight="1" x14ac:dyDescent="0.2">
      <c r="A3118" s="155"/>
      <c r="B3118" s="138" t="str">
        <f>IF(A3118="","",VLOOKUP(A3118,'6.A'!$A$11:$G$180,2,FALSE))</f>
        <v/>
      </c>
      <c r="C3118" s="156"/>
      <c r="D3118" s="57" t="str">
        <f>IF(A3118="","",VLOOKUP(A3118,'6.A'!$A$11:$G$180,4,FALSE))</f>
        <v/>
      </c>
      <c r="E3118" s="100" t="str">
        <f>IF(A3118="","",VLOOKUP(A3118,'6.A'!$A$11:$G$180,5,FALSE))</f>
        <v/>
      </c>
      <c r="F3118" s="24" t="str">
        <f t="shared" si="1337"/>
        <v>0,00</v>
      </c>
      <c r="G3118" s="52"/>
      <c r="H3118" s="52" t="str">
        <f>IF(A3118="","",VLOOKUP(A3118,'6.A'!$A$11:$E$7984,5,FALSE))</f>
        <v/>
      </c>
      <c r="I3118" s="52" t="str">
        <f t="shared" si="1338"/>
        <v/>
      </c>
      <c r="J3118" s="52" t="str">
        <f>IF(H3118="","",VLOOKUP(A3118,'6.A'!$A$11:$E$564,4,FALSE))</f>
        <v/>
      </c>
      <c r="K3118" s="52" t="str">
        <f t="shared" si="1339"/>
        <v/>
      </c>
      <c r="L3118" s="52" t="str">
        <f>IF(H3118="","",IF(C3118="","",G3080*C3118))</f>
        <v/>
      </c>
      <c r="M3118" s="117" t="str">
        <f>IF(A3118="","",VLOOKUP(A3118,'6.A'!$A$11:$C$564,2,FALSE))</f>
        <v/>
      </c>
      <c r="N3118" s="57" t="str">
        <f t="shared" si="1340"/>
        <v/>
      </c>
      <c r="O3118" s="56"/>
      <c r="P3118" s="56"/>
      <c r="Q3118" s="48"/>
      <c r="R3118" s="48"/>
      <c r="T3118" s="2"/>
      <c r="U3118" s="2"/>
      <c r="V3118" s="2"/>
    </row>
    <row r="3119" spans="1:22" s="65" customFormat="1" ht="12.75" customHeight="1" x14ac:dyDescent="0.2">
      <c r="A3119" s="155"/>
      <c r="B3119" s="138" t="str">
        <f>IF(A3119="","",VLOOKUP(A3119,'6.A'!$A$11:$G$180,2,FALSE))</f>
        <v/>
      </c>
      <c r="C3119" s="156"/>
      <c r="D3119" s="57" t="str">
        <f>IF(A3119="","",VLOOKUP(A3119,'6.A'!$A$11:$G$180,4,FALSE))</f>
        <v/>
      </c>
      <c r="E3119" s="100" t="str">
        <f>IF(A3119="","",VLOOKUP(A3119,'6.A'!$A$11:$G$180,5,FALSE))</f>
        <v/>
      </c>
      <c r="F3119" s="24" t="str">
        <f t="shared" si="1337"/>
        <v>0,00</v>
      </c>
      <c r="G3119" s="52"/>
      <c r="H3119" s="52" t="str">
        <f>IF(A3119="","",VLOOKUP(A3119,'6.A'!$A$11:$E$7984,5,FALSE))</f>
        <v/>
      </c>
      <c r="I3119" s="52" t="str">
        <f t="shared" si="1338"/>
        <v/>
      </c>
      <c r="J3119" s="52" t="str">
        <f>IF(H3119="","",VLOOKUP(A3119,'6.A'!$A$11:$E$564,4,FALSE))</f>
        <v/>
      </c>
      <c r="K3119" s="52" t="str">
        <f t="shared" si="1339"/>
        <v/>
      </c>
      <c r="L3119" s="52" t="str">
        <f>IF(H3119="","",IF(C3119="","",G3080*C3119))</f>
        <v/>
      </c>
      <c r="M3119" s="117" t="str">
        <f>IF(A3119="","",VLOOKUP(A3119,'6.A'!$A$11:$C$564,2,FALSE))</f>
        <v/>
      </c>
      <c r="N3119" s="57" t="str">
        <f t="shared" si="1340"/>
        <v/>
      </c>
      <c r="O3119" s="56"/>
      <c r="P3119" s="56"/>
      <c r="Q3119" s="48"/>
      <c r="R3119" s="48"/>
      <c r="T3119" s="2"/>
      <c r="U3119" s="2"/>
      <c r="V3119" s="2"/>
    </row>
    <row r="3120" spans="1:22" ht="12.75" customHeight="1" x14ac:dyDescent="0.2">
      <c r="A3120" s="22"/>
      <c r="B3120" s="23" t="str">
        <f>IF(A3120="","",VLOOKUP(A3120,'6.A'!$A$11:$G$180,2,FALSE))</f>
        <v/>
      </c>
      <c r="C3120" s="99"/>
      <c r="D3120" s="57" t="str">
        <f>IF(A3120="","",VLOOKUP(A3120,'6.A'!$A$11:$G$180,4,FALSE))</f>
        <v/>
      </c>
      <c r="E3120" s="100" t="str">
        <f>IF(A3120="","",VLOOKUP(A3120,'6.A'!$A$11:$G$180,5,FALSE))</f>
        <v/>
      </c>
      <c r="F3120" s="24" t="str">
        <f t="shared" si="1337"/>
        <v>0,00</v>
      </c>
      <c r="G3120" s="52"/>
      <c r="H3120" s="52" t="str">
        <f>IF(A3120="","",VLOOKUP(A3120,'6.A'!$A$11:$E$7984,5,FALSE))</f>
        <v/>
      </c>
      <c r="I3120" s="52" t="str">
        <f t="shared" si="1338"/>
        <v/>
      </c>
      <c r="J3120" s="52" t="str">
        <f>IF(H3120="","",VLOOKUP(A3120,'6.A'!$A$11:$E$564,4,FALSE))</f>
        <v/>
      </c>
      <c r="K3120" s="52" t="str">
        <f t="shared" si="1339"/>
        <v/>
      </c>
      <c r="L3120" s="52" t="str">
        <f>IF(H3120="","",IF(C3120="","",G3080*C3120))</f>
        <v/>
      </c>
      <c r="M3120" s="117" t="str">
        <f>IF(A3120="","",VLOOKUP(A3120,'6.A'!$A$11:$C$564,2,FALSE))</f>
        <v/>
      </c>
      <c r="N3120" s="57" t="str">
        <f t="shared" si="1340"/>
        <v/>
      </c>
      <c r="O3120" s="56"/>
      <c r="P3120" s="56"/>
      <c r="Q3120" s="48"/>
      <c r="R3120" s="48"/>
    </row>
    <row r="3121" spans="1:23" ht="12.75" customHeight="1" x14ac:dyDescent="0.2">
      <c r="A3121" s="22"/>
      <c r="B3121" s="23" t="str">
        <f>IF(A3121="","",VLOOKUP(A3121,'6.A'!$A$11:$G$180,2,FALSE))</f>
        <v/>
      </c>
      <c r="C3121" s="99"/>
      <c r="D3121" s="57" t="str">
        <f>IF(A3121="","",VLOOKUP(A3121,'6.A'!$A$11:$G$180,4,FALSE))</f>
        <v/>
      </c>
      <c r="E3121" s="100" t="str">
        <f>IF(A3121="","",VLOOKUP(A3121,'6.A'!$A$11:$G$180,5,FALSE))</f>
        <v/>
      </c>
      <c r="F3121" s="24" t="str">
        <f t="shared" si="1337"/>
        <v>0,00</v>
      </c>
      <c r="G3121" s="52"/>
      <c r="H3121" s="52" t="str">
        <f>IF(A3121="","",VLOOKUP(A3121,'6.A'!$A$11:$E$7984,5,FALSE))</f>
        <v/>
      </c>
      <c r="I3121" s="52" t="str">
        <f t="shared" si="1338"/>
        <v/>
      </c>
      <c r="J3121" s="52" t="str">
        <f>IF(H3121="","",VLOOKUP(A3121,'6.A'!$A$11:$E$564,4,FALSE))</f>
        <v/>
      </c>
      <c r="K3121" s="52" t="str">
        <f t="shared" si="1339"/>
        <v/>
      </c>
      <c r="L3121" s="52" t="str">
        <f>IF(H3121="","",IF(C3121="","",G3080*C3121))</f>
        <v/>
      </c>
      <c r="M3121" s="117" t="str">
        <f>IF(A3121="","",VLOOKUP(A3121,'6.A'!$A$11:$C$564,2,FALSE))</f>
        <v/>
      </c>
      <c r="N3121" s="57" t="str">
        <f t="shared" si="1340"/>
        <v/>
      </c>
      <c r="O3121" s="56"/>
      <c r="P3121" s="56"/>
      <c r="Q3121" s="48"/>
      <c r="R3121" s="48"/>
    </row>
    <row r="3122" spans="1:23" ht="12.75" customHeight="1" x14ac:dyDescent="0.2">
      <c r="A3122" s="22"/>
      <c r="B3122" s="23" t="str">
        <f>IF(A3122="","",VLOOKUP(A3122,'6.A'!$A$11:$G$180,2,FALSE))</f>
        <v/>
      </c>
      <c r="C3122" s="99"/>
      <c r="D3122" s="57" t="str">
        <f>IF(A3122="","",VLOOKUP(A3122,'6.A'!$A$11:$G$180,4,FALSE))</f>
        <v/>
      </c>
      <c r="E3122" s="100" t="str">
        <f>IF(A3122="","",VLOOKUP(A3122,'6.A'!$A$11:$G$180,5,FALSE))</f>
        <v/>
      </c>
      <c r="F3122" s="24" t="str">
        <f t="shared" si="1337"/>
        <v>0,00</v>
      </c>
      <c r="G3122" s="52"/>
      <c r="H3122" s="52" t="str">
        <f>IF(A3122="","",VLOOKUP(A3122,'6.A'!$A$11:$E$7984,5,FALSE))</f>
        <v/>
      </c>
      <c r="I3122" s="52" t="str">
        <f t="shared" si="1338"/>
        <v/>
      </c>
      <c r="J3122" s="52" t="str">
        <f>IF(H3122="","",VLOOKUP(A3122,'6.A'!$A$11:$E$564,4,FALSE))</f>
        <v/>
      </c>
      <c r="K3122" s="52" t="str">
        <f t="shared" si="1339"/>
        <v/>
      </c>
      <c r="L3122" s="52" t="str">
        <f>IF(H3122="","",IF(C3122="","",G3080*C3122))</f>
        <v/>
      </c>
      <c r="M3122" s="117" t="str">
        <f>IF(A3122="","",VLOOKUP(A3122,'6.A'!$A$11:$C$564,2,FALSE))</f>
        <v/>
      </c>
      <c r="N3122" s="57" t="str">
        <f t="shared" si="1340"/>
        <v/>
      </c>
      <c r="O3122" s="56"/>
      <c r="P3122" s="56"/>
      <c r="Q3122" s="48"/>
      <c r="R3122" s="48"/>
    </row>
    <row r="3123" spans="1:23" ht="12.75" customHeight="1" x14ac:dyDescent="0.2">
      <c r="A3123" s="22"/>
      <c r="B3123" s="23" t="str">
        <f>IF(A3123="","",VLOOKUP(A3123,'6.A'!$A$11:$G$180,2,FALSE))</f>
        <v/>
      </c>
      <c r="C3123" s="99"/>
      <c r="D3123" s="57" t="str">
        <f>IF(A3123="","",VLOOKUP(A3123,'6.A'!$A$11:$G$180,4,FALSE))</f>
        <v/>
      </c>
      <c r="E3123" s="100" t="str">
        <f>IF(A3123="","",VLOOKUP(A3123,'6.A'!$A$11:$G$180,5,FALSE))</f>
        <v/>
      </c>
      <c r="F3123" s="24" t="str">
        <f t="shared" si="1337"/>
        <v>0,00</v>
      </c>
      <c r="G3123" s="52"/>
      <c r="H3123" s="52" t="str">
        <f>IF(A3123="","",VLOOKUP(A3123,'6.A'!$A$11:$E$7984,5,FALSE))</f>
        <v/>
      </c>
      <c r="I3123" s="52" t="str">
        <f t="shared" si="1338"/>
        <v/>
      </c>
      <c r="J3123" s="52" t="str">
        <f>IF(H3123="","",VLOOKUP(A3123,'6.A'!$A$11:$E$564,4,FALSE))</f>
        <v/>
      </c>
      <c r="K3123" s="52" t="str">
        <f t="shared" si="1339"/>
        <v/>
      </c>
      <c r="L3123" s="52" t="str">
        <f>IF(H3123="","",IF(C3123="","",G3080*C3123))</f>
        <v/>
      </c>
      <c r="M3123" s="117" t="str">
        <f>IF(A3123="","",VLOOKUP(A3123,'6.A'!$A$11:$C$564,2,FALSE))</f>
        <v/>
      </c>
      <c r="N3123" s="57" t="str">
        <f t="shared" si="1340"/>
        <v/>
      </c>
      <c r="O3123" s="56"/>
      <c r="P3123" s="56"/>
      <c r="Q3123" s="48"/>
      <c r="R3123" s="48"/>
    </row>
    <row r="3124" spans="1:23" ht="12.75" customHeight="1" x14ac:dyDescent="0.2">
      <c r="A3124" s="22"/>
      <c r="B3124" s="23" t="str">
        <f>IF(A3124="","",VLOOKUP(A3124,'6.A'!$A$11:$G$180,2,FALSE))</f>
        <v/>
      </c>
      <c r="C3124" s="99"/>
      <c r="D3124" s="57" t="str">
        <f>IF(A3124="","",VLOOKUP(A3124,'6.A'!$A$11:$G$180,4,FALSE))</f>
        <v/>
      </c>
      <c r="E3124" s="100" t="str">
        <f>IF(A3124="","",VLOOKUP(A3124,'6.A'!$A$11:$G$180,5,FALSE))</f>
        <v/>
      </c>
      <c r="F3124" s="24" t="str">
        <f t="shared" si="1337"/>
        <v>0,00</v>
      </c>
      <c r="G3124" s="52"/>
      <c r="H3124" s="52" t="str">
        <f>IF(A3124="","",VLOOKUP(A3124,'6.A'!$A$11:$E$7984,5,FALSE))</f>
        <v/>
      </c>
      <c r="I3124" s="52" t="str">
        <f t="shared" si="1338"/>
        <v/>
      </c>
      <c r="J3124" s="52" t="str">
        <f>IF(H3124="","",VLOOKUP(A3124,'6.A'!$A$11:$E$564,4,FALSE))</f>
        <v/>
      </c>
      <c r="K3124" s="52" t="str">
        <f t="shared" si="1339"/>
        <v/>
      </c>
      <c r="L3124" s="52" t="str">
        <f>IF(H3124="","",IF(C3124="","",G3080*C3124))</f>
        <v/>
      </c>
      <c r="M3124" s="117" t="str">
        <f>IF(A3124="","",VLOOKUP(A3124,'6.A'!$A$11:$C$564,2,FALSE))</f>
        <v/>
      </c>
      <c r="N3124" s="57" t="str">
        <f t="shared" si="1340"/>
        <v/>
      </c>
      <c r="O3124" s="56"/>
      <c r="P3124" s="56"/>
      <c r="Q3124" s="48"/>
      <c r="R3124" s="48"/>
    </row>
    <row r="3125" spans="1:23" ht="12.75" customHeight="1" x14ac:dyDescent="0.2">
      <c r="A3125" s="22"/>
      <c r="B3125" s="23" t="str">
        <f>IF(A3125="","",VLOOKUP(A3125,'6.A'!$A$11:$G$180,2,FALSE))</f>
        <v/>
      </c>
      <c r="C3125" s="99"/>
      <c r="D3125" s="57" t="str">
        <f>IF(A3125="","",VLOOKUP(A3125,'6.A'!$A$11:$G$180,4,FALSE))</f>
        <v/>
      </c>
      <c r="E3125" s="100" t="str">
        <f>IF(A3125="","",VLOOKUP(A3125,'6.A'!$A$11:$G$180,5,FALSE))</f>
        <v/>
      </c>
      <c r="F3125" s="24" t="str">
        <f t="shared" si="1337"/>
        <v>0,00</v>
      </c>
      <c r="G3125" s="52"/>
      <c r="H3125" s="52" t="str">
        <f>IF(A3125="","",VLOOKUP(A3125,'6.A'!$A$11:$E$7984,5,FALSE))</f>
        <v/>
      </c>
      <c r="I3125" s="52" t="str">
        <f t="shared" si="1338"/>
        <v/>
      </c>
      <c r="J3125" s="52" t="str">
        <f>IF(H3125="","",VLOOKUP(A3125,'6.A'!$A$11:$E$564,4,FALSE))</f>
        <v/>
      </c>
      <c r="K3125" s="52" t="str">
        <f t="shared" si="1339"/>
        <v/>
      </c>
      <c r="L3125" s="52" t="str">
        <f>IF(H3125="","",IF(C3125="","",G3080*C3125))</f>
        <v/>
      </c>
      <c r="M3125" s="117" t="str">
        <f>IF(A3125="","",VLOOKUP(A3125,'6.A'!$A$11:$C$564,2,FALSE))</f>
        <v/>
      </c>
      <c r="N3125" s="57" t="str">
        <f t="shared" si="1340"/>
        <v/>
      </c>
      <c r="O3125" s="56"/>
      <c r="P3125" s="56"/>
      <c r="Q3125" s="48"/>
      <c r="R3125" s="48"/>
    </row>
    <row r="3126" spans="1:23" ht="12.75" customHeight="1" x14ac:dyDescent="0.2">
      <c r="A3126" s="22"/>
      <c r="B3126" s="39" t="str">
        <f>IF(A3126="","",VLOOKUP(A3126,'6.A'!$A$11:$G$180,2,FALSE))</f>
        <v/>
      </c>
      <c r="C3126" s="99"/>
      <c r="D3126" s="57" t="str">
        <f>IF(A3126="","",VLOOKUP(A3126,'6.A'!$A$11:$G$180,4,FALSE))</f>
        <v/>
      </c>
      <c r="E3126" s="100" t="str">
        <f>IF(A3126="","",VLOOKUP(A3126,'6.A'!$A$11:$G$180,5,FALSE))</f>
        <v/>
      </c>
      <c r="F3126" s="24" t="str">
        <f t="shared" si="1337"/>
        <v>0,00</v>
      </c>
      <c r="G3126" s="52"/>
      <c r="H3126" s="52" t="str">
        <f>IF(A3126="","",VLOOKUP(A3126,'6.A'!$A$11:$E$7984,5,FALSE))</f>
        <v/>
      </c>
      <c r="I3126" s="52" t="str">
        <f t="shared" si="1338"/>
        <v/>
      </c>
      <c r="J3126" s="52" t="str">
        <f>IF(H3126="","",VLOOKUP(A3126,'6.A'!$A$11:$E$564,4,FALSE))</f>
        <v/>
      </c>
      <c r="K3126" s="52" t="str">
        <f t="shared" si="1339"/>
        <v/>
      </c>
      <c r="L3126" s="52" t="str">
        <f>IF(H3126="","",IF(C3126="","",G3080*C3126))</f>
        <v/>
      </c>
      <c r="M3126" s="117" t="str">
        <f>IF(A3126="","",VLOOKUP(A3126,'6.A'!$A$11:$C$564,2,FALSE))</f>
        <v/>
      </c>
      <c r="N3126" s="57" t="str">
        <f t="shared" si="1340"/>
        <v/>
      </c>
      <c r="O3126" s="56"/>
      <c r="P3126" s="56"/>
      <c r="Q3126" s="48"/>
      <c r="R3126" s="48"/>
    </row>
    <row r="3127" spans="1:23" ht="12.75" customHeight="1" x14ac:dyDescent="0.2">
      <c r="A3127" s="22"/>
      <c r="B3127" s="39" t="str">
        <f>IF(A3127="","",VLOOKUP(A3127,'6.A'!$A$11:$G$180,2,FALSE))</f>
        <v/>
      </c>
      <c r="C3127" s="99"/>
      <c r="D3127" s="57" t="str">
        <f>IF(A3127="","",VLOOKUP(A3127,'6.A'!$A$11:$G$180,4,FALSE))</f>
        <v/>
      </c>
      <c r="E3127" s="100" t="str">
        <f>IF(A3127="","",VLOOKUP(A3127,'6.A'!$A$11:$G$180,5,FALSE))</f>
        <v/>
      </c>
      <c r="F3127" s="24" t="str">
        <f t="shared" si="1337"/>
        <v>0,00</v>
      </c>
      <c r="G3127" s="52"/>
      <c r="H3127" s="52" t="str">
        <f>IF(A3127="","",VLOOKUP(A3127,'6.A'!$A$11:$E$7984,5,FALSE))</f>
        <v/>
      </c>
      <c r="I3127" s="52" t="str">
        <f t="shared" si="1338"/>
        <v/>
      </c>
      <c r="J3127" s="52" t="str">
        <f>IF(H3127="","",VLOOKUP(A3127,'6.A'!$A$11:$E$564,4,FALSE))</f>
        <v/>
      </c>
      <c r="K3127" s="52" t="str">
        <f t="shared" si="1339"/>
        <v/>
      </c>
      <c r="L3127" s="52" t="str">
        <f>IF(H3127="","",IF(C3127="","",G3080*C3127))</f>
        <v/>
      </c>
      <c r="M3127" s="117" t="str">
        <f>IF(A3127="","",VLOOKUP(A3127,'6.A'!$A$11:$C$564,2,FALSE))</f>
        <v/>
      </c>
      <c r="N3127" s="57" t="str">
        <f t="shared" si="1340"/>
        <v/>
      </c>
      <c r="O3127" s="56"/>
      <c r="P3127" s="56"/>
      <c r="Q3127" s="48"/>
      <c r="R3127" s="48"/>
    </row>
    <row r="3128" spans="1:23" ht="12.75" customHeight="1" x14ac:dyDescent="0.2">
      <c r="A3128" s="22"/>
      <c r="B3128" s="39" t="str">
        <f>IF(A3128="","",VLOOKUP(A3128,'6.A'!$A$11:$G$180,2,FALSE))</f>
        <v/>
      </c>
      <c r="C3128" s="99"/>
      <c r="D3128" s="57" t="str">
        <f>IF(A3128="","",VLOOKUP(A3128,'6.A'!$A$11:$G$180,4,FALSE))</f>
        <v/>
      </c>
      <c r="E3128" s="100" t="str">
        <f>IF(A3128="","",VLOOKUP(A3128,'6.A'!$A$11:$G$180,5,FALSE))</f>
        <v/>
      </c>
      <c r="F3128" s="24" t="str">
        <f t="shared" si="1337"/>
        <v>0,00</v>
      </c>
      <c r="G3128" s="52"/>
      <c r="H3128" s="52" t="str">
        <f>IF(A3128="","",VLOOKUP(A3128,'6.A'!$A$11:$E$7984,5,FALSE))</f>
        <v/>
      </c>
      <c r="I3128" s="52" t="str">
        <f t="shared" si="1338"/>
        <v/>
      </c>
      <c r="J3128" s="52" t="str">
        <f>IF(H3128="","",VLOOKUP(A3128,'6.A'!$A$11:$E$564,4,FALSE))</f>
        <v/>
      </c>
      <c r="K3128" s="52" t="str">
        <f t="shared" si="1339"/>
        <v/>
      </c>
      <c r="L3128" s="52" t="str">
        <f>IF(H3128="","",IF(C3128="","",G3080*C3128))</f>
        <v/>
      </c>
      <c r="M3128" s="117" t="str">
        <f>IF(A3128="","",VLOOKUP(A3128,'6.A'!$A$11:$C$564,2,FALSE))</f>
        <v/>
      </c>
      <c r="N3128" s="57" t="str">
        <f t="shared" si="1340"/>
        <v/>
      </c>
      <c r="O3128" s="56"/>
      <c r="P3128" s="56"/>
      <c r="Q3128" s="48"/>
      <c r="R3128" s="48"/>
    </row>
    <row r="3129" spans="1:23" ht="12.75" customHeight="1" x14ac:dyDescent="0.2">
      <c r="A3129" s="22"/>
      <c r="B3129" s="26" t="str">
        <f>$A$9</f>
        <v>BDI</v>
      </c>
      <c r="C3129" s="40">
        <f>$C$9</f>
        <v>0</v>
      </c>
      <c r="D3129" s="57"/>
      <c r="F3129" s="28">
        <f>ROUND(SUM(F3109:F3128)*C3129,2)</f>
        <v>0</v>
      </c>
      <c r="G3129" s="63"/>
      <c r="M3129" s="57"/>
      <c r="N3129" s="57"/>
      <c r="O3129" s="56"/>
      <c r="P3129" s="56"/>
      <c r="Q3129" s="48"/>
      <c r="R3129" s="48"/>
    </row>
    <row r="3130" spans="1:23" ht="12.75" customHeight="1" thickBot="1" x14ac:dyDescent="0.25">
      <c r="A3130" s="41"/>
      <c r="B3130" s="42" t="s">
        <v>57</v>
      </c>
      <c r="C3130" s="43"/>
      <c r="D3130" s="44"/>
      <c r="E3130" s="45"/>
      <c r="F3130" s="46">
        <f>ROUND(SUM(F3109:F3129),2)</f>
        <v>0</v>
      </c>
      <c r="G3130" s="63"/>
      <c r="M3130" s="57"/>
      <c r="N3130" s="57"/>
      <c r="O3130" s="56"/>
      <c r="P3130" s="56"/>
      <c r="Q3130" s="48"/>
      <c r="R3130" s="48"/>
    </row>
    <row r="3131" spans="1:23" ht="12" customHeight="1" thickBot="1" x14ac:dyDescent="0.25">
      <c r="A3131" s="8"/>
      <c r="B3131" s="9"/>
      <c r="C3131" s="10"/>
      <c r="D3131" s="381"/>
      <c r="F3131" s="12"/>
      <c r="H3131" s="382"/>
      <c r="I3131" s="381"/>
      <c r="J3131" s="381"/>
      <c r="K3131" s="381"/>
      <c r="L3131" s="382"/>
      <c r="M3131" s="381"/>
      <c r="N3131" s="381"/>
      <c r="O3131" s="56"/>
      <c r="P3131" s="56"/>
    </row>
    <row r="3132" spans="1:23" ht="50.1" customHeight="1" x14ac:dyDescent="0.2">
      <c r="A3132" s="13" t="str">
        <f>'3.A'!$A$70</f>
        <v>3.4.1</v>
      </c>
      <c r="B3132" s="14" t="str">
        <f>IF(A3132="","",VLOOKUP(A3132,'3.A'!$A$17:$M$279,2,FALSE))</f>
        <v>CAIXA EM CHAPA DE AÇO 16 COM PORTA E FECHO</v>
      </c>
      <c r="C3132" s="413" t="s">
        <v>62</v>
      </c>
      <c r="D3132" s="413"/>
      <c r="E3132" s="15" t="str">
        <f>IF(A3132="","",VLOOKUP(A3132,'3.A'!$A$17:$M$279,3,FALSE))</f>
        <v>M2</v>
      </c>
      <c r="F3132" s="16">
        <f>ROUND(F3146+F3159+F3182,2)</f>
        <v>0</v>
      </c>
      <c r="G3132" s="118">
        <f>VLOOKUP(A3132,'3.A'!$A$19:$I$279,4,FALSE)</f>
        <v>3</v>
      </c>
      <c r="H3132" s="47">
        <f>SUM(F3134:F3145)</f>
        <v>0</v>
      </c>
      <c r="I3132" s="47">
        <f>SUM(F3148:F3158)</f>
        <v>0</v>
      </c>
      <c r="J3132" s="47">
        <f>SUM(F3161:F3181)</f>
        <v>0</v>
      </c>
      <c r="K3132" s="47">
        <f>SUM(H3132:J3132)</f>
        <v>0</v>
      </c>
      <c r="L3132" s="47" t="str">
        <f>IF(K3132=F3132,"SIM","NÃO")</f>
        <v>SIM</v>
      </c>
      <c r="M3132" s="58">
        <f>ROUND(SUM(F3134:F3143)*C3144,2)+ROUND(SUM(F3134:F3144)*C3145,2)+ROUND(SUM(F3134:F3143),2)+ROUND(SUM(F3148:F3157)*C3158,2)+ROUND(SUM(F3148:F3157),2)+ROUND(SUM(F3161:F3180)*C3181,2)+ROUND(SUM(F3161:F3180),2)</f>
        <v>0</v>
      </c>
      <c r="N3132" s="50" t="str">
        <f>IF(M3132=F3132,"SIM","NÃO")</f>
        <v>SIM</v>
      </c>
      <c r="O3132" s="51" t="str">
        <f>VLOOKUP(A3132,'3.A'!$A$8:$E$279,3,FALSE)</f>
        <v>M2</v>
      </c>
      <c r="P3132" s="51" t="str">
        <f>IF(O3132=E3132,"SIM","NÃO")</f>
        <v>SIM</v>
      </c>
      <c r="Q3132" s="53">
        <f>ROUND(G3132*F3146,2)+ROUND(G3132*F3159,2)+ROUND(G3132*F3182,2)</f>
        <v>0</v>
      </c>
      <c r="R3132" s="59">
        <f>VLOOKUP(A3132,'3.A'!$A$17:$L$279,12,FALSE)</f>
        <v>0</v>
      </c>
      <c r="S3132" s="60" t="str">
        <f>IF(Q3132=R3132,"si","no")</f>
        <v>si</v>
      </c>
      <c r="T3132" s="61">
        <f>SUM(L3134:L3143)+SUM(L3148:L3157)+SUM(L3161:L3180)</f>
        <v>40.875</v>
      </c>
      <c r="U3132" s="382">
        <f>G3132*C3140+G3132*C3142+G3132*C3135+G3132*C3136+G3132*C3138+G3132*C3141+G3132*C3139+G3132*C3134+G3132*C3137+G3132*C3143+G3132*C3154+G3132*C3148+G3132*C3156+G3132*C3155+G3132*C3153+G3132*C3150+G3132*C3149+G3132*C3151+G3132*C3157+G3132*C3152+G3132*C3161+G3132*C3162+G3132*C3163+G3132*C3171+G3132*C3172+G3132*C3173+G3132*C3174+G3132*C3175+G3132*C3176+G3132*C3177+G3132*C3178+G3132*C3179+G3132*C3180+G3132*C3169+G3132*C3170+G3132*C3164+G3132*C3165+G3132*C3166+G3132*C3167+G3132*C3168</f>
        <v>40.875</v>
      </c>
      <c r="V3132" s="54" t="str">
        <f>IF(T3132=U3132,"si","no")</f>
        <v>si</v>
      </c>
      <c r="W3132" s="137"/>
    </row>
    <row r="3133" spans="1:23" ht="12.75" customHeight="1" x14ac:dyDescent="0.2">
      <c r="A3133" s="17" t="s">
        <v>3</v>
      </c>
      <c r="B3133" s="18" t="s">
        <v>58</v>
      </c>
      <c r="C3133" s="56" t="s">
        <v>59</v>
      </c>
      <c r="D3133" s="56" t="s">
        <v>16</v>
      </c>
      <c r="E3133" s="19" t="s">
        <v>60</v>
      </c>
      <c r="F3133" s="20" t="s">
        <v>61</v>
      </c>
      <c r="G3133" s="21"/>
      <c r="H3133" s="382"/>
      <c r="I3133" s="381"/>
      <c r="J3133" s="381"/>
      <c r="K3133" s="381"/>
      <c r="L3133" s="382"/>
      <c r="M3133" s="381"/>
      <c r="N3133" s="381"/>
      <c r="O3133" s="56"/>
      <c r="P3133" s="56"/>
      <c r="Q3133" s="48"/>
      <c r="R3133" s="48"/>
    </row>
    <row r="3134" spans="1:23" ht="12.75" customHeight="1" x14ac:dyDescent="0.2">
      <c r="A3134" s="155">
        <f>'6.A'!$A$18</f>
        <v>88264</v>
      </c>
      <c r="B3134" s="138" t="str">
        <f>IF(A3134="","",VLOOKUP(A3134,'6.A'!$A$11:$G$180,2,FALSE))</f>
        <v>ELETRICISTA COM ENCARGOS COMPLEMENTARES</v>
      </c>
      <c r="C3134" s="156">
        <v>5</v>
      </c>
      <c r="D3134" s="381" t="str">
        <f>IF(A3134="","",VLOOKUP(A3134,'6.A'!$A$11:$G$180,4,FALSE))</f>
        <v>H</v>
      </c>
      <c r="E3134" s="100">
        <f>IF(A3134="","",VLOOKUP(A3134,'6.A'!$A$11:$G$180,5,FALSE))</f>
        <v>0</v>
      </c>
      <c r="F3134" s="24">
        <f t="shared" ref="F3134:F3143" si="1341">IF(A3134="","0,00",ROUND(C3134*E3134,2))</f>
        <v>0</v>
      </c>
      <c r="G3134" s="382"/>
      <c r="H3134" s="382">
        <f>IF(A3134="","",VLOOKUP(A3134,'6.A'!$A$11:$E$7984,5,FALSE))</f>
        <v>0</v>
      </c>
      <c r="I3134" s="382" t="str">
        <f>IF(H3134="","",IF(E3134=H3134,"SIM","NÃO"))</f>
        <v>SIM</v>
      </c>
      <c r="J3134" s="382" t="str">
        <f>IF(H3134="","",VLOOKUP(A3134,'6.A'!$A$11:$E$564,4,FALSE))</f>
        <v>H</v>
      </c>
      <c r="K3134" s="382" t="str">
        <f>IF(H3134="","",IF(J3134=D3134,"SIM","NÃO"))</f>
        <v>SIM</v>
      </c>
      <c r="L3134" s="382">
        <f>IF(H3134="","",IF(C3134="","",G3132*C3134))</f>
        <v>15</v>
      </c>
      <c r="M3134" s="117" t="str">
        <f>IF(A3134="","",VLOOKUP(A3134,'6.A'!$A$11:$C$564,2,FALSE))</f>
        <v>ELETRICISTA COM ENCARGOS COMPLEMENTARES</v>
      </c>
      <c r="N3134" s="381" t="str">
        <f>IF(A3134="","",IF(M3134=B3134,"si","no"))</f>
        <v>si</v>
      </c>
      <c r="O3134" s="56"/>
      <c r="P3134" s="56"/>
      <c r="Q3134" s="48"/>
      <c r="R3134" s="48"/>
    </row>
    <row r="3135" spans="1:23" ht="12.75" customHeight="1" x14ac:dyDescent="0.2">
      <c r="A3135" s="155">
        <f>'6.A'!$A$15</f>
        <v>88247</v>
      </c>
      <c r="B3135" s="138" t="str">
        <f>IF(A3135="","",VLOOKUP(A3135,'6.A'!$A$11:$G$180,2,FALSE))</f>
        <v>AUXILIAR DE ELETRICISTA COM ENCARGOS COMPLEMENTARES</v>
      </c>
      <c r="C3135" s="156">
        <v>5</v>
      </c>
      <c r="D3135" s="381" t="str">
        <f>IF(A3135="","",VLOOKUP(A3135,'6.A'!$A$11:$G$180,4,FALSE))</f>
        <v>H</v>
      </c>
      <c r="E3135" s="100">
        <f>IF(A3135="","",VLOOKUP(A3135,'6.A'!$A$11:$G$180,5,FALSE))</f>
        <v>0</v>
      </c>
      <c r="F3135" s="24">
        <f t="shared" si="1341"/>
        <v>0</v>
      </c>
      <c r="G3135" s="382"/>
      <c r="H3135" s="382">
        <f>IF(A3135="","",VLOOKUP(A3135,'6.A'!$A$11:$E$7984,5,FALSE))</f>
        <v>0</v>
      </c>
      <c r="I3135" s="382" t="str">
        <f>IF(H3135="","",IF(E3135=H3135,"SIM","NÃO"))</f>
        <v>SIM</v>
      </c>
      <c r="J3135" s="382" t="str">
        <f>IF(H3135="","",VLOOKUP(A3135,'6.A'!$A$11:$E$564,4,FALSE))</f>
        <v>H</v>
      </c>
      <c r="K3135" s="382" t="str">
        <f>IF(H3135="","",IF(J3135=D3135,"SIM","NÃO"))</f>
        <v>SIM</v>
      </c>
      <c r="L3135" s="382">
        <f>IF(H3135="","",IF(C3135="","",G3132*C3135))</f>
        <v>15</v>
      </c>
      <c r="M3135" s="117" t="str">
        <f>IF(A3135="","",VLOOKUP(A3135,'6.A'!$A$11:$C$564,2,FALSE))</f>
        <v>AUXILIAR DE ELETRICISTA COM ENCARGOS COMPLEMENTARES</v>
      </c>
      <c r="N3135" s="381" t="str">
        <f>IF(A3135="","",IF(M3135=B3135,"si","no"))</f>
        <v>si</v>
      </c>
      <c r="O3135" s="56"/>
      <c r="P3135" s="56"/>
      <c r="Q3135" s="48"/>
      <c r="R3135" s="48"/>
    </row>
    <row r="3136" spans="1:23" ht="12.75" customHeight="1" x14ac:dyDescent="0.2">
      <c r="A3136" s="155"/>
      <c r="B3136" s="138" t="str">
        <f>IF(A3136="","",VLOOKUP(A3136,'6.A'!$A$11:$G$180,2,FALSE))</f>
        <v/>
      </c>
      <c r="C3136" s="156"/>
      <c r="D3136" s="381" t="str">
        <f>IF(A3136="","",VLOOKUP(A3136,'6.A'!$A$11:$G$180,4,FALSE))</f>
        <v/>
      </c>
      <c r="E3136" s="100" t="str">
        <f>IF(A3136="","",VLOOKUP(A3136,'6.A'!$A$11:$G$180,5,FALSE))</f>
        <v/>
      </c>
      <c r="F3136" s="24" t="str">
        <f t="shared" si="1341"/>
        <v>0,00</v>
      </c>
      <c r="G3136" s="382"/>
      <c r="H3136" s="382" t="str">
        <f>IF(A3136="","",VLOOKUP(A3136,'6.A'!$A$11:$E$7984,5,FALSE))</f>
        <v/>
      </c>
      <c r="I3136" s="382" t="str">
        <f>IF(H3136="","",IF(E3136=H3136,"SIM","NÃO"))</f>
        <v/>
      </c>
      <c r="J3136" s="382" t="str">
        <f>IF(H3136="","",VLOOKUP(A3136,'6.A'!$A$11:$E$564,4,FALSE))</f>
        <v/>
      </c>
      <c r="K3136" s="382" t="str">
        <f t="shared" ref="K3136" si="1342">IF(H3136="","",IF(J3136=D3136,"SIM","NÃO"))</f>
        <v/>
      </c>
      <c r="L3136" s="382" t="str">
        <f>IF(H3136="","",IF(C3136="","",G3132*C3136))</f>
        <v/>
      </c>
      <c r="M3136" s="117" t="str">
        <f>IF(A3136="","",VLOOKUP(A3136,'6.A'!$A$11:$C$564,2,FALSE))</f>
        <v/>
      </c>
      <c r="N3136" s="381" t="str">
        <f t="shared" ref="N3136" si="1343">IF(A3136="","",IF(M3136=B3136,"si","no"))</f>
        <v/>
      </c>
      <c r="O3136" s="56"/>
      <c r="P3136" s="56"/>
      <c r="Q3136" s="48"/>
      <c r="R3136" s="48"/>
      <c r="S3136" s="2"/>
    </row>
    <row r="3137" spans="1:19" ht="12.75" customHeight="1" x14ac:dyDescent="0.2">
      <c r="A3137" s="155"/>
      <c r="B3137" s="138" t="str">
        <f>IF(A3137="","",VLOOKUP(A3137,'6.A'!$A$11:$G$180,2,FALSE))</f>
        <v/>
      </c>
      <c r="C3137" s="156"/>
      <c r="D3137" s="381" t="str">
        <f>IF(A3137="","",VLOOKUP(A3137,'6.A'!$A$11:$G$180,4,FALSE))</f>
        <v/>
      </c>
      <c r="E3137" s="100" t="str">
        <f>IF(A3137="","",VLOOKUP(A3137,'6.A'!$A$11:$G$180,5,FALSE))</f>
        <v/>
      </c>
      <c r="F3137" s="24" t="str">
        <f t="shared" si="1341"/>
        <v>0,00</v>
      </c>
      <c r="G3137" s="382"/>
      <c r="H3137" s="382" t="str">
        <f>IF(A3137="","",VLOOKUP(A3137,'6.A'!$A$11:$E$7984,5,FALSE))</f>
        <v/>
      </c>
      <c r="I3137" s="382" t="str">
        <f>IF(H3137="","",IF(E3137=H3137,"SIM","NÃO"))</f>
        <v/>
      </c>
      <c r="J3137" s="382" t="str">
        <f>IF(H3137="","",VLOOKUP(A3137,'6.A'!$A$11:$E$564,4,FALSE))</f>
        <v/>
      </c>
      <c r="K3137" s="382" t="str">
        <f>IF(H3137="","",IF(J3137=D3137,"SIM","NÃO"))</f>
        <v/>
      </c>
      <c r="L3137" s="382" t="str">
        <f>IF(H3137="","",IF(C3137="","",G3132*C3137))</f>
        <v/>
      </c>
      <c r="M3137" s="117" t="str">
        <f>IF(A3137="","",VLOOKUP(A3137,'6.A'!$A$11:$C$564,2,FALSE))</f>
        <v/>
      </c>
      <c r="N3137" s="381" t="str">
        <f>IF(A3137="","",IF(M3137=B3137,"si","no"))</f>
        <v/>
      </c>
      <c r="O3137" s="56"/>
      <c r="P3137" s="56"/>
      <c r="Q3137" s="48"/>
      <c r="R3137" s="48"/>
      <c r="S3137" s="2"/>
    </row>
    <row r="3138" spans="1:19" ht="12.75" customHeight="1" x14ac:dyDescent="0.2">
      <c r="A3138" s="155"/>
      <c r="B3138" s="138" t="str">
        <f>IF(A3138="","",VLOOKUP(A3138,'6.A'!$A$11:$G$180,2,FALSE))</f>
        <v/>
      </c>
      <c r="C3138" s="156"/>
      <c r="D3138" s="381" t="str">
        <f>IF(A3138="","",VLOOKUP(A3138,'6.A'!$A$11:$G$180,4,FALSE))</f>
        <v/>
      </c>
      <c r="E3138" s="101" t="str">
        <f>IF(A3138="","",VLOOKUP(A3138,'6.A'!$A$11:$G$180,5,FALSE))</f>
        <v/>
      </c>
      <c r="F3138" s="24" t="str">
        <f t="shared" si="1341"/>
        <v>0,00</v>
      </c>
      <c r="G3138" s="382"/>
      <c r="H3138" s="382" t="str">
        <f>IF(A3138="","",VLOOKUP(A3138,'6.A'!$A$11:$E$7984,5,FALSE))</f>
        <v/>
      </c>
      <c r="I3138" s="382" t="str">
        <f t="shared" ref="I3138" si="1344">IF(H3138="","",IF(E3138=H3138,"SIM","NÃO"))</f>
        <v/>
      </c>
      <c r="J3138" s="382" t="str">
        <f>IF(H3138="","",VLOOKUP(A3138,'6.A'!$A$11:$E$564,4,FALSE))</f>
        <v/>
      </c>
      <c r="K3138" s="382" t="str">
        <f t="shared" ref="K3138" si="1345">IF(H3138="","",IF(J3138=D3138,"SIM","NÃO"))</f>
        <v/>
      </c>
      <c r="L3138" s="382" t="str">
        <f>IF(H3138="","",IF(C3138="","",G3132*C3138))</f>
        <v/>
      </c>
      <c r="M3138" s="117" t="str">
        <f>IF(A3138="","",VLOOKUP(A3138,'6.A'!$A$11:$C$564,2,FALSE))</f>
        <v/>
      </c>
      <c r="N3138" s="381" t="str">
        <f t="shared" ref="N3138" si="1346">IF(A3138="","",IF(M3138=B3138,"si","no"))</f>
        <v/>
      </c>
      <c r="O3138" s="56"/>
      <c r="P3138" s="56"/>
      <c r="Q3138" s="48"/>
      <c r="R3138" s="48"/>
      <c r="S3138" s="2"/>
    </row>
    <row r="3139" spans="1:19" ht="12.75" customHeight="1" x14ac:dyDescent="0.2">
      <c r="A3139" s="155"/>
      <c r="B3139" s="138" t="str">
        <f>IF(A3139="","",VLOOKUP(A3139,'6.A'!$A$11:$G$180,2,FALSE))</f>
        <v/>
      </c>
      <c r="C3139" s="156"/>
      <c r="D3139" s="381" t="str">
        <f>IF(A3139="","",VLOOKUP(A3139,'6.A'!$A$11:$G$180,4,FALSE))</f>
        <v/>
      </c>
      <c r="E3139" s="101" t="str">
        <f>IF(A3139="","",VLOOKUP(A3139,'6.A'!$A$11:$G$180,5,FALSE))</f>
        <v/>
      </c>
      <c r="F3139" s="24" t="str">
        <f t="shared" si="1341"/>
        <v>0,00</v>
      </c>
      <c r="G3139" s="382"/>
      <c r="H3139" s="382" t="str">
        <f>IF(A3139="","",VLOOKUP(A3139,'6.A'!$A$11:$E$7984,5,FALSE))</f>
        <v/>
      </c>
      <c r="I3139" s="382" t="str">
        <f>IF(H3139="","",IF(E3139=H3139,"SIM","NÃO"))</f>
        <v/>
      </c>
      <c r="J3139" s="382" t="str">
        <f>IF(H3139="","",VLOOKUP(A3139,'6.A'!$A$11:$E$564,4,FALSE))</f>
        <v/>
      </c>
      <c r="K3139" s="382" t="str">
        <f>IF(H3139="","",IF(J3139=D3139,"SIM","NÃO"))</f>
        <v/>
      </c>
      <c r="L3139" s="382" t="str">
        <f>IF(H3139="","",IF(C3139="","",G3132*C3139))</f>
        <v/>
      </c>
      <c r="M3139" s="117" t="str">
        <f>IF(A3139="","",VLOOKUP(A3139,'6.A'!$A$11:$C$564,2,FALSE))</f>
        <v/>
      </c>
      <c r="N3139" s="381" t="str">
        <f>IF(A3139="","",IF(M3139=B3139,"si","no"))</f>
        <v/>
      </c>
      <c r="O3139" s="56"/>
      <c r="P3139" s="56"/>
      <c r="Q3139" s="48"/>
      <c r="R3139" s="48"/>
      <c r="S3139" s="2"/>
    </row>
    <row r="3140" spans="1:19" ht="12.75" customHeight="1" x14ac:dyDescent="0.2">
      <c r="A3140" s="155"/>
      <c r="B3140" s="138" t="str">
        <f>IF(A3140="","",VLOOKUP(A3140,'6.A'!$A$11:$G$180,2,FALSE))</f>
        <v/>
      </c>
      <c r="C3140" s="156"/>
      <c r="D3140" s="381" t="str">
        <f>IF(A3140="","",VLOOKUP(A3140,'6.A'!$A$11:$G$180,4,FALSE))</f>
        <v/>
      </c>
      <c r="E3140" s="100" t="str">
        <f>IF(A3140="","",VLOOKUP(A3140,'6.A'!$A$11:$G$180,5,FALSE))</f>
        <v/>
      </c>
      <c r="F3140" s="24" t="str">
        <f t="shared" si="1341"/>
        <v>0,00</v>
      </c>
      <c r="G3140" s="382"/>
      <c r="H3140" s="382" t="str">
        <f>IF(A3140="","",VLOOKUP(A3140,'6.A'!$A$11:$E$7984,5,FALSE))</f>
        <v/>
      </c>
      <c r="I3140" s="382" t="str">
        <f>IF(H3140="","",IF(E3140=H3140,"SIM","NÃO"))</f>
        <v/>
      </c>
      <c r="J3140" s="382" t="str">
        <f>IF(H3140="","",VLOOKUP(A3140,'6.A'!$A$11:$E$564,4,FALSE))</f>
        <v/>
      </c>
      <c r="K3140" s="382" t="str">
        <f>IF(H3140="","",IF(J3140=D3140,"SIM","NÃO"))</f>
        <v/>
      </c>
      <c r="L3140" s="382" t="str">
        <f>IF(H3140="","",IF(C3140="","",G3132*C3140))</f>
        <v/>
      </c>
      <c r="M3140" s="117" t="str">
        <f>IF(A3140="","",VLOOKUP(A3140,'6.A'!$A$11:$C$564,2,FALSE))</f>
        <v/>
      </c>
      <c r="N3140" s="381" t="str">
        <f>IF(A3140="","",IF(M3140=B3140,"si","no"))</f>
        <v/>
      </c>
      <c r="O3140" s="56"/>
      <c r="P3140" s="56"/>
      <c r="Q3140" s="48"/>
      <c r="R3140" s="48"/>
      <c r="S3140" s="2"/>
    </row>
    <row r="3141" spans="1:19" ht="12.75" customHeight="1" x14ac:dyDescent="0.2">
      <c r="A3141" s="155"/>
      <c r="B3141" s="138" t="str">
        <f>IF(A3141="","",VLOOKUP(A3141,'6.A'!$A$11:$G$180,2,FALSE))</f>
        <v/>
      </c>
      <c r="C3141" s="156"/>
      <c r="D3141" s="381" t="str">
        <f>IF(A3141="","",VLOOKUP(A3141,'6.A'!$A$11:$G$180,4,FALSE))</f>
        <v/>
      </c>
      <c r="E3141" s="100" t="str">
        <f>IF(A3141="","",VLOOKUP(A3141,'6.A'!$A$11:$G$180,5,FALSE))</f>
        <v/>
      </c>
      <c r="F3141" s="24" t="str">
        <f t="shared" si="1341"/>
        <v>0,00</v>
      </c>
      <c r="G3141" s="382"/>
      <c r="H3141" s="382" t="str">
        <f>IF(A3141="","",VLOOKUP(A3141,'6.A'!$A$11:$E$7984,5,FALSE))</f>
        <v/>
      </c>
      <c r="I3141" s="382" t="str">
        <f t="shared" ref="I3141" si="1347">IF(H3141="","",IF(E3141=H3141,"SIM","NÃO"))</f>
        <v/>
      </c>
      <c r="J3141" s="382" t="str">
        <f>IF(H3141="","",VLOOKUP(A3141,'6.A'!$A$11:$E$564,4,FALSE))</f>
        <v/>
      </c>
      <c r="K3141" s="382" t="str">
        <f t="shared" ref="K3141" si="1348">IF(H3141="","",IF(J3141=D3141,"SIM","NÃO"))</f>
        <v/>
      </c>
      <c r="L3141" s="382" t="str">
        <f>IF(H3141="","",IF(C3141="","",G3132*C3141))</f>
        <v/>
      </c>
      <c r="M3141" s="117" t="str">
        <f>IF(A3141="","",VLOOKUP(A3141,'6.A'!$A$11:$C$564,2,FALSE))</f>
        <v/>
      </c>
      <c r="N3141" s="381" t="str">
        <f t="shared" ref="N3141" si="1349">IF(A3141="","",IF(M3141=B3141,"si","no"))</f>
        <v/>
      </c>
      <c r="O3141" s="56"/>
      <c r="P3141" s="56"/>
      <c r="Q3141" s="48"/>
      <c r="R3141" s="48"/>
      <c r="S3141" s="2"/>
    </row>
    <row r="3142" spans="1:19" ht="12.75" customHeight="1" x14ac:dyDescent="0.2">
      <c r="A3142" s="155"/>
      <c r="B3142" s="138" t="str">
        <f>IF(A3142="","",VLOOKUP(A3142,'6.A'!$A$11:$G$180,2,FALSE))</f>
        <v/>
      </c>
      <c r="C3142" s="156"/>
      <c r="D3142" s="73" t="str">
        <f>IF(A3142="","",VLOOKUP(A3142,'6.A'!$A$11:$G$180,4,FALSE))</f>
        <v/>
      </c>
      <c r="E3142" s="101" t="str">
        <f>IF(A3142="","",VLOOKUP(A3142,'6.A'!$A$11:$G$180,5,FALSE))</f>
        <v/>
      </c>
      <c r="F3142" s="24" t="str">
        <f t="shared" si="1341"/>
        <v>0,00</v>
      </c>
      <c r="G3142" s="382"/>
      <c r="H3142" s="382" t="str">
        <f>IF(A3142="","",VLOOKUP(A3142,'6.A'!$A$11:$E$7984,5,FALSE))</f>
        <v/>
      </c>
      <c r="I3142" s="382" t="str">
        <f>IF(H3142="","",IF(E3142=H3142,"SIM","NÃO"))</f>
        <v/>
      </c>
      <c r="J3142" s="382" t="str">
        <f>IF(H3142="","",VLOOKUP(A3142,'6.A'!$A$11:$E$564,4,FALSE))</f>
        <v/>
      </c>
      <c r="K3142" s="382" t="str">
        <f>IF(H3142="","",IF(J3142=D3142,"SIM","NÃO"))</f>
        <v/>
      </c>
      <c r="L3142" s="382" t="str">
        <f>IF(H3142="","",IF(C3142="","",G3132*C3142))</f>
        <v/>
      </c>
      <c r="M3142" s="117" t="str">
        <f>IF(A3142="","",VLOOKUP(A3142,'6.A'!$A$11:$C$564,2,FALSE))</f>
        <v/>
      </c>
      <c r="N3142" s="381" t="str">
        <f>IF(A3142="","",IF(M3142=B3142,"si","no"))</f>
        <v/>
      </c>
      <c r="O3142" s="56"/>
      <c r="P3142" s="56"/>
      <c r="Q3142" s="48"/>
      <c r="R3142" s="48"/>
      <c r="S3142" s="2"/>
    </row>
    <row r="3143" spans="1:19" ht="12.75" customHeight="1" x14ac:dyDescent="0.2">
      <c r="A3143" s="155"/>
      <c r="B3143" s="138" t="str">
        <f>IF(A3143="","",VLOOKUP(A3143,'6.A'!$A$11:$G$180,2,FALSE))</f>
        <v/>
      </c>
      <c r="C3143" s="156"/>
      <c r="D3143" s="25" t="str">
        <f>IF(A3143="","",VLOOKUP(A3143,'6.A'!$A$11:$G$180,4,FALSE))</f>
        <v/>
      </c>
      <c r="E3143" s="101" t="str">
        <f>IF(A3143="","",VLOOKUP(A3143,'6.A'!$A$11:$G$180,5,FALSE))</f>
        <v/>
      </c>
      <c r="F3143" s="24" t="str">
        <f t="shared" si="1341"/>
        <v>0,00</v>
      </c>
      <c r="G3143" s="382"/>
      <c r="H3143" s="382" t="str">
        <f>IF(A3143="","",VLOOKUP(A3143,'6.A'!$A$11:$E$7984,5,FALSE))</f>
        <v/>
      </c>
      <c r="I3143" s="382" t="str">
        <f t="shared" ref="I3143" si="1350">IF(H3143="","",IF(E3143=H3143,"SIM","NÃO"))</f>
        <v/>
      </c>
      <c r="J3143" s="382" t="str">
        <f>IF(H3143="","",VLOOKUP(A3143,'6.A'!$A$11:$E$564,4,FALSE))</f>
        <v/>
      </c>
      <c r="K3143" s="382" t="str">
        <f t="shared" ref="K3143" si="1351">IF(H3143="","",IF(J3143=D3143,"SIM","NÃO"))</f>
        <v/>
      </c>
      <c r="L3143" s="382" t="str">
        <f>IF(H3143="","",IF(C3143="","",G3132*C3143))</f>
        <v/>
      </c>
      <c r="M3143" s="117" t="str">
        <f>IF(A3143="","",VLOOKUP(A3143,'6.A'!$A$11:$C$564,2,FALSE))</f>
        <v/>
      </c>
      <c r="N3143" s="381" t="str">
        <f t="shared" ref="N3143" si="1352">IF(A3143="","",IF(M3143=B3143,"si","no"))</f>
        <v/>
      </c>
      <c r="O3143" s="56"/>
      <c r="P3143" s="56"/>
      <c r="Q3143" s="48"/>
      <c r="R3143" s="48"/>
      <c r="S3143" s="2"/>
    </row>
    <row r="3144" spans="1:19" ht="12.75" customHeight="1" x14ac:dyDescent="0.2">
      <c r="A3144" s="152"/>
      <c r="B3144" s="26" t="str">
        <f>$A$8</f>
        <v>LEIS SOCIAIS HORISTA - JORNADA NORMAL</v>
      </c>
      <c r="C3144" s="27">
        <f>$C$8</f>
        <v>0</v>
      </c>
      <c r="D3144" s="381"/>
      <c r="F3144" s="28">
        <f>ROUND(SUM(F3134:F3143)*C3144,2)</f>
        <v>0</v>
      </c>
      <c r="G3144" s="63"/>
      <c r="H3144" s="382"/>
      <c r="I3144" s="381"/>
      <c r="J3144" s="381"/>
      <c r="K3144" s="381"/>
      <c r="L3144" s="382"/>
      <c r="M3144" s="62"/>
      <c r="N3144" s="381"/>
      <c r="O3144" s="56"/>
      <c r="P3144" s="56"/>
      <c r="Q3144" s="48"/>
      <c r="R3144" s="48"/>
      <c r="S3144" s="2"/>
    </row>
    <row r="3145" spans="1:19" ht="12.75" customHeight="1" x14ac:dyDescent="0.2">
      <c r="A3145" s="155"/>
      <c r="B3145" s="26" t="str">
        <f>$A$9</f>
        <v>BDI</v>
      </c>
      <c r="C3145" s="27">
        <f>$C$9</f>
        <v>0</v>
      </c>
      <c r="D3145" s="29"/>
      <c r="F3145" s="28">
        <f>ROUND(SUM(F3134:F3144)*C3145,2)</f>
        <v>0</v>
      </c>
      <c r="G3145" s="63"/>
      <c r="H3145" s="382"/>
      <c r="I3145" s="381"/>
      <c r="J3145" s="381"/>
      <c r="K3145" s="381"/>
      <c r="L3145" s="382"/>
      <c r="M3145" s="62"/>
      <c r="N3145" s="381"/>
      <c r="O3145" s="56"/>
      <c r="P3145" s="56"/>
      <c r="Q3145" s="48"/>
      <c r="R3145" s="48"/>
      <c r="S3145" s="2"/>
    </row>
    <row r="3146" spans="1:19" ht="12.75" customHeight="1" x14ac:dyDescent="0.2">
      <c r="A3146" s="163"/>
      <c r="B3146" s="164" t="s">
        <v>56</v>
      </c>
      <c r="C3146" s="165"/>
      <c r="D3146" s="33"/>
      <c r="E3146" s="34"/>
      <c r="F3146" s="35">
        <f>ROUND(SUM(F3134:F3145),2)</f>
        <v>0</v>
      </c>
      <c r="G3146" s="63"/>
      <c r="H3146" s="382"/>
      <c r="I3146" s="381"/>
      <c r="J3146" s="381"/>
      <c r="K3146" s="381"/>
      <c r="L3146" s="382"/>
      <c r="M3146" s="62"/>
      <c r="N3146" s="381"/>
      <c r="O3146" s="56"/>
      <c r="P3146" s="56"/>
      <c r="Q3146" s="48"/>
      <c r="R3146" s="48"/>
      <c r="S3146" s="2"/>
    </row>
    <row r="3147" spans="1:19" ht="12.75" customHeight="1" x14ac:dyDescent="0.2">
      <c r="A3147" s="152" t="s">
        <v>5</v>
      </c>
      <c r="B3147" s="153" t="s">
        <v>130</v>
      </c>
      <c r="C3147" s="140" t="s">
        <v>59</v>
      </c>
      <c r="D3147" s="56" t="s">
        <v>16</v>
      </c>
      <c r="E3147" s="19" t="s">
        <v>60</v>
      </c>
      <c r="F3147" s="20" t="s">
        <v>61</v>
      </c>
      <c r="G3147" s="21"/>
      <c r="H3147" s="382"/>
      <c r="I3147" s="381"/>
      <c r="J3147" s="381"/>
      <c r="K3147" s="381"/>
      <c r="L3147" s="382"/>
      <c r="M3147" s="62"/>
      <c r="N3147" s="381"/>
      <c r="O3147" s="56"/>
      <c r="P3147" s="56"/>
      <c r="Q3147" s="48"/>
      <c r="R3147" s="48"/>
      <c r="S3147" s="2"/>
    </row>
    <row r="3148" spans="1:19" ht="12.75" customHeight="1" x14ac:dyDescent="0.2">
      <c r="A3148" s="155"/>
      <c r="B3148" s="138" t="str">
        <f>IF(A3148="","",VLOOKUP(A3148,'6.A'!$A$11:$G$180,2,FALSE))</f>
        <v/>
      </c>
      <c r="C3148" s="156"/>
      <c r="D3148" s="381" t="str">
        <f>IF(A3148="","",VLOOKUP(A3148,'6.A'!$A$11:$G$180,4,FALSE))</f>
        <v/>
      </c>
      <c r="E3148" s="100" t="str">
        <f>IF(A3148="","",VLOOKUP(A3148,'6.A'!$A$11:$G$180,5,FALSE))</f>
        <v/>
      </c>
      <c r="F3148" s="24" t="str">
        <f t="shared" ref="F3148:F3157" si="1353">IF(A3148="","0,00",ROUND(C3148*E3148,2))</f>
        <v>0,00</v>
      </c>
      <c r="G3148" s="382"/>
      <c r="H3148" s="382" t="str">
        <f>IF(A3148="","",VLOOKUP(A3148,'6.A'!$A$11:$E$7984,5,FALSE))</f>
        <v/>
      </c>
      <c r="I3148" s="382" t="str">
        <f t="shared" ref="I3148:I3157" si="1354">IF(H3148="","",IF(E3148=H3148,"SIM","NÃO"))</f>
        <v/>
      </c>
      <c r="J3148" s="382" t="str">
        <f>IF(H3148="","",VLOOKUP(A3148,'6.A'!$A$11:$E$564,4,FALSE))</f>
        <v/>
      </c>
      <c r="K3148" s="382" t="str">
        <f t="shared" ref="K3148:K3157" si="1355">IF(H3148="","",IF(J3148=D3148,"SIM","NÃO"))</f>
        <v/>
      </c>
      <c r="L3148" s="382" t="str">
        <f>IF(H3148="","",IF(C3148="","",G3132*C3148))</f>
        <v/>
      </c>
      <c r="M3148" s="117" t="str">
        <f>IF(A3148="","",VLOOKUP(A3148,'6.A'!$A$11:$C$564,2,FALSE))</f>
        <v/>
      </c>
      <c r="N3148" s="381" t="str">
        <f t="shared" ref="N3148:N3153" si="1356">IF(A3148="","",IF(M3148=B3148,"si","no"))</f>
        <v/>
      </c>
      <c r="O3148" s="56"/>
      <c r="P3148" s="56"/>
      <c r="Q3148" s="48"/>
      <c r="R3148" s="48"/>
      <c r="S3148" s="2"/>
    </row>
    <row r="3149" spans="1:19" ht="12.75" customHeight="1" x14ac:dyDescent="0.2">
      <c r="A3149" s="155"/>
      <c r="B3149" s="138" t="str">
        <f>IF(A3149="","",VLOOKUP(A3149,'6.A'!$A$11:$G$180,2,FALSE))</f>
        <v/>
      </c>
      <c r="C3149" s="156"/>
      <c r="D3149" s="381" t="str">
        <f>IF(A3149="","",VLOOKUP(A3149,'6.A'!$A$11:$G$180,4,FALSE))</f>
        <v/>
      </c>
      <c r="E3149" s="100" t="str">
        <f>IF(A3149="","",VLOOKUP(A3149,'6.A'!$A$11:$G$180,5,FALSE))</f>
        <v/>
      </c>
      <c r="F3149" s="24" t="str">
        <f t="shared" si="1353"/>
        <v>0,00</v>
      </c>
      <c r="G3149" s="382"/>
      <c r="H3149" s="382" t="str">
        <f>IF(A3149="","",VLOOKUP(A3149,'6.A'!$A$11:$E$7984,5,FALSE))</f>
        <v/>
      </c>
      <c r="I3149" s="382" t="str">
        <f t="shared" si="1354"/>
        <v/>
      </c>
      <c r="J3149" s="382" t="str">
        <f>IF(H3149="","",VLOOKUP(A3149,'6.A'!$A$11:$E$564,4,FALSE))</f>
        <v/>
      </c>
      <c r="K3149" s="382" t="str">
        <f t="shared" si="1355"/>
        <v/>
      </c>
      <c r="L3149" s="382" t="str">
        <f>IF(H3149="","",IF(C3149="","",G3132*C3149))</f>
        <v/>
      </c>
      <c r="M3149" s="117" t="str">
        <f>IF(A3149="","",VLOOKUP(A3149,'6.A'!$A$11:$C$564,2,FALSE))</f>
        <v/>
      </c>
      <c r="N3149" s="381" t="str">
        <f t="shared" si="1356"/>
        <v/>
      </c>
      <c r="O3149" s="56"/>
      <c r="P3149" s="56"/>
      <c r="Q3149" s="48"/>
      <c r="R3149" s="48"/>
      <c r="S3149" s="2"/>
    </row>
    <row r="3150" spans="1:19" ht="12.75" customHeight="1" x14ac:dyDescent="0.2">
      <c r="A3150" s="155"/>
      <c r="B3150" s="138" t="str">
        <f>IF(A3150="","",VLOOKUP(A3150,'6.A'!$A$11:$G$180,2,FALSE))</f>
        <v/>
      </c>
      <c r="C3150" s="156"/>
      <c r="D3150" s="381" t="str">
        <f>IF(A3150="","",VLOOKUP(A3150,'6.A'!$A$11:$G$180,4,FALSE))</f>
        <v/>
      </c>
      <c r="E3150" s="100" t="str">
        <f>IF(A3150="","",VLOOKUP(A3150,'6.A'!$A$11:$G$180,5,FALSE))</f>
        <v/>
      </c>
      <c r="F3150" s="24" t="str">
        <f t="shared" si="1353"/>
        <v>0,00</v>
      </c>
      <c r="G3150" s="382"/>
      <c r="H3150" s="382" t="str">
        <f>IF(A3150="","",VLOOKUP(A3150,'6.A'!$A$11:$E$7984,5,FALSE))</f>
        <v/>
      </c>
      <c r="I3150" s="382" t="str">
        <f t="shared" si="1354"/>
        <v/>
      </c>
      <c r="J3150" s="382" t="str">
        <f>IF(H3150="","",VLOOKUP(A3150,'6.A'!$A$11:$E$564,4,FALSE))</f>
        <v/>
      </c>
      <c r="K3150" s="382" t="str">
        <f t="shared" si="1355"/>
        <v/>
      </c>
      <c r="L3150" s="382" t="str">
        <f>IF(H3150="","",IF(C3150="","",G3132*C3150))</f>
        <v/>
      </c>
      <c r="M3150" s="117" t="str">
        <f>IF(A3150="","",VLOOKUP(A3150,'6.A'!$A$11:$C$564,2,FALSE))</f>
        <v/>
      </c>
      <c r="N3150" s="381" t="str">
        <f t="shared" si="1356"/>
        <v/>
      </c>
      <c r="O3150" s="56"/>
      <c r="P3150" s="56"/>
      <c r="Q3150" s="48"/>
      <c r="R3150" s="48"/>
      <c r="S3150" s="2"/>
    </row>
    <row r="3151" spans="1:19" ht="12.75" customHeight="1" x14ac:dyDescent="0.2">
      <c r="A3151" s="155"/>
      <c r="B3151" s="176" t="str">
        <f>IF(A3151="","",VLOOKUP(A3151,'6.A'!$A$11:$G$180,2,FALSE))</f>
        <v/>
      </c>
      <c r="C3151" s="156"/>
      <c r="D3151" s="381" t="str">
        <f>IF(A3151="","",VLOOKUP(A3151,'6.A'!$A$11:$G$180,4,FALSE))</f>
        <v/>
      </c>
      <c r="E3151" s="100" t="str">
        <f>IF(A3151="","",VLOOKUP(A3151,'6.A'!$A$11:$G$180,5,FALSE))</f>
        <v/>
      </c>
      <c r="F3151" s="24" t="str">
        <f t="shared" si="1353"/>
        <v>0,00</v>
      </c>
      <c r="G3151" s="382"/>
      <c r="H3151" s="382" t="str">
        <f>IF(A3151="","",VLOOKUP(A3151,'6.A'!$A$11:$E$7984,5,FALSE))</f>
        <v/>
      </c>
      <c r="I3151" s="382" t="str">
        <f t="shared" si="1354"/>
        <v/>
      </c>
      <c r="J3151" s="382" t="str">
        <f>IF(H3151="","",VLOOKUP(A3151,'6.A'!$A$11:$E$564,4,FALSE))</f>
        <v/>
      </c>
      <c r="K3151" s="382" t="str">
        <f t="shared" si="1355"/>
        <v/>
      </c>
      <c r="L3151" s="382" t="str">
        <f>IF(H3151="","",IF(C3151="","",G3132*C3151))</f>
        <v/>
      </c>
      <c r="M3151" s="117" t="str">
        <f>IF(A3151="","",VLOOKUP(A3151,'6.A'!$A$11:$C$564,2,FALSE))</f>
        <v/>
      </c>
      <c r="N3151" s="381" t="str">
        <f t="shared" si="1356"/>
        <v/>
      </c>
      <c r="O3151" s="56"/>
      <c r="P3151" s="56"/>
      <c r="Q3151" s="48"/>
      <c r="R3151" s="48"/>
      <c r="S3151" s="2"/>
    </row>
    <row r="3152" spans="1:19" ht="12.75" customHeight="1" x14ac:dyDescent="0.2">
      <c r="A3152" s="155"/>
      <c r="B3152" s="176" t="str">
        <f>IF(A3152="","",VLOOKUP(A3152,'6.A'!$A$11:$G$180,2,FALSE))</f>
        <v/>
      </c>
      <c r="C3152" s="156"/>
      <c r="D3152" s="381" t="str">
        <f>IF(A3152="","",VLOOKUP(A3152,'6.A'!$A$11:$G$180,4,FALSE))</f>
        <v/>
      </c>
      <c r="E3152" s="100" t="str">
        <f>IF(A3152="","",VLOOKUP(A3152,'6.A'!$A$11:$G$180,5,FALSE))</f>
        <v/>
      </c>
      <c r="F3152" s="24" t="str">
        <f t="shared" si="1353"/>
        <v>0,00</v>
      </c>
      <c r="G3152" s="382"/>
      <c r="H3152" s="382" t="str">
        <f>IF(A3152="","",VLOOKUP(A3152,'6.A'!$A$11:$E$7984,5,FALSE))</f>
        <v/>
      </c>
      <c r="I3152" s="382" t="str">
        <f t="shared" si="1354"/>
        <v/>
      </c>
      <c r="J3152" s="382" t="str">
        <f>IF(H3152="","",VLOOKUP(A3152,'6.A'!$A$11:$E$564,4,FALSE))</f>
        <v/>
      </c>
      <c r="K3152" s="382" t="str">
        <f t="shared" si="1355"/>
        <v/>
      </c>
      <c r="L3152" s="382" t="str">
        <f>IF(H3152="","",IF(C3152="","",G3132*C3152))</f>
        <v/>
      </c>
      <c r="M3152" s="117" t="str">
        <f>IF(A3152="","",VLOOKUP(A3152,'6.A'!$A$11:$C$564,2,FALSE))</f>
        <v/>
      </c>
      <c r="N3152" s="381" t="str">
        <f t="shared" si="1356"/>
        <v/>
      </c>
      <c r="O3152" s="56"/>
      <c r="P3152" s="56"/>
      <c r="Q3152" s="48"/>
      <c r="R3152" s="48"/>
      <c r="S3152" s="2"/>
    </row>
    <row r="3153" spans="1:22" ht="12.75" customHeight="1" x14ac:dyDescent="0.2">
      <c r="A3153" s="155"/>
      <c r="B3153" s="176" t="str">
        <f>IF(A3153="","",VLOOKUP(A3153,'6.A'!$A$11:$G$180,2,FALSE))</f>
        <v/>
      </c>
      <c r="C3153" s="156"/>
      <c r="D3153" s="381" t="str">
        <f>IF(A3153="","",VLOOKUP(A3153,'6.A'!$A$11:$G$180,4,FALSE))</f>
        <v/>
      </c>
      <c r="E3153" s="100" t="str">
        <f>IF(A3153="","",VLOOKUP(A3153,'6.A'!$A$11:$G$180,5,FALSE))</f>
        <v/>
      </c>
      <c r="F3153" s="24" t="str">
        <f t="shared" si="1353"/>
        <v>0,00</v>
      </c>
      <c r="G3153" s="382"/>
      <c r="H3153" s="382" t="str">
        <f>IF(A3153="","",VLOOKUP(A3153,'6.A'!$A$11:$E$7984,5,FALSE))</f>
        <v/>
      </c>
      <c r="I3153" s="382" t="str">
        <f t="shared" si="1354"/>
        <v/>
      </c>
      <c r="J3153" s="382" t="str">
        <f>IF(H3153="","",VLOOKUP(A3153,'6.A'!$A$11:$E$564,4,FALSE))</f>
        <v/>
      </c>
      <c r="K3153" s="382" t="str">
        <f t="shared" si="1355"/>
        <v/>
      </c>
      <c r="L3153" s="382" t="str">
        <f>IF(H3153="","",IF(C3153="","",G3132*C3153))</f>
        <v/>
      </c>
      <c r="M3153" s="117" t="str">
        <f>IF(A3153="","",VLOOKUP(A3153,'6.A'!$A$11:$C$564,2,FALSE))</f>
        <v/>
      </c>
      <c r="N3153" s="381" t="str">
        <f t="shared" si="1356"/>
        <v/>
      </c>
      <c r="O3153" s="56"/>
      <c r="P3153" s="56"/>
      <c r="Q3153" s="48"/>
      <c r="R3153" s="48"/>
      <c r="S3153" s="2"/>
    </row>
    <row r="3154" spans="1:22" ht="12.75" customHeight="1" x14ac:dyDescent="0.2">
      <c r="A3154" s="155"/>
      <c r="B3154" s="176" t="str">
        <f>IF(A3154="","",VLOOKUP(A3154,'6.A'!$A$11:$G$180,2,FALSE))</f>
        <v/>
      </c>
      <c r="C3154" s="156"/>
      <c r="D3154" s="381" t="str">
        <f>IF(A3154="","",VLOOKUP(A3154,'6.A'!$A$11:$G$180,4,FALSE))</f>
        <v/>
      </c>
      <c r="E3154" s="100" t="str">
        <f>IF(A3154="","",VLOOKUP(A3154,'6.A'!$A$11:$G$180,5,FALSE))</f>
        <v/>
      </c>
      <c r="F3154" s="24" t="str">
        <f t="shared" si="1353"/>
        <v>0,00</v>
      </c>
      <c r="G3154" s="382"/>
      <c r="H3154" s="382" t="str">
        <f>IF(A3154="","",VLOOKUP(A3154,'6.A'!$A$11:$E$7984,5,FALSE))</f>
        <v/>
      </c>
      <c r="I3154" s="382" t="str">
        <f t="shared" si="1354"/>
        <v/>
      </c>
      <c r="J3154" s="382" t="str">
        <f>IF(H3154="","",VLOOKUP(A3154,'6.A'!$A$11:$E$564,4,FALSE))</f>
        <v/>
      </c>
      <c r="K3154" s="382" t="str">
        <f t="shared" si="1355"/>
        <v/>
      </c>
      <c r="L3154" s="382" t="str">
        <f>IF(H3154="","",IF(C3154="","",G3132*C3154))</f>
        <v/>
      </c>
      <c r="M3154" s="117" t="str">
        <f>IF(A3154="","",VLOOKUP(A3154,'6.A'!$A$11:$C$564,2,FALSE))</f>
        <v/>
      </c>
      <c r="N3154" s="381" t="str">
        <f>IF(A3154="","",IF(M3154=B3154,"si","no"))</f>
        <v/>
      </c>
      <c r="O3154" s="56"/>
      <c r="P3154" s="56"/>
      <c r="Q3154" s="48"/>
      <c r="R3154" s="48"/>
      <c r="S3154" s="2"/>
    </row>
    <row r="3155" spans="1:22" ht="12.75" customHeight="1" x14ac:dyDescent="0.2">
      <c r="A3155" s="155"/>
      <c r="B3155" s="138" t="str">
        <f>IF(A3155="","",VLOOKUP(A3155,'6.A'!$A$11:$G$180,2,FALSE))</f>
        <v/>
      </c>
      <c r="C3155" s="156"/>
      <c r="D3155" s="381" t="str">
        <f>IF(A3155="","",VLOOKUP(A3155,'6.A'!$A$11:$G$180,4,FALSE))</f>
        <v/>
      </c>
      <c r="E3155" s="100" t="str">
        <f>IF(A3155="","",VLOOKUP(A3155,'6.A'!$A$11:$G$180,5,FALSE))</f>
        <v/>
      </c>
      <c r="F3155" s="24" t="str">
        <f t="shared" si="1353"/>
        <v>0,00</v>
      </c>
      <c r="G3155" s="382"/>
      <c r="H3155" s="382" t="str">
        <f>IF(A3155="","",VLOOKUP(A3155,'6.A'!$A$11:$E$7984,5,FALSE))</f>
        <v/>
      </c>
      <c r="I3155" s="382" t="str">
        <f t="shared" si="1354"/>
        <v/>
      </c>
      <c r="J3155" s="382" t="str">
        <f>IF(H3155="","",VLOOKUP(A3155,'6.A'!$A$11:$E$564,4,FALSE))</f>
        <v/>
      </c>
      <c r="K3155" s="382" t="str">
        <f t="shared" si="1355"/>
        <v/>
      </c>
      <c r="L3155" s="382" t="str">
        <f>IF(H3155="","",IF(C3155="","",G3132*C3155))</f>
        <v/>
      </c>
      <c r="M3155" s="117" t="str">
        <f>IF(A3155="","",VLOOKUP(A3155,'6.A'!$A$11:$C$564,2,FALSE))</f>
        <v/>
      </c>
      <c r="N3155" s="381" t="str">
        <f>IF(A3155="","",IF(M3155=B3155,"si","no"))</f>
        <v/>
      </c>
      <c r="O3155" s="56"/>
      <c r="P3155" s="56"/>
      <c r="Q3155" s="48"/>
      <c r="R3155" s="48"/>
      <c r="S3155" s="2"/>
    </row>
    <row r="3156" spans="1:22" ht="12.75" customHeight="1" x14ac:dyDescent="0.2">
      <c r="A3156" s="155"/>
      <c r="B3156" s="138" t="str">
        <f>IF(A3156="","",VLOOKUP(A3156,'6.A'!$A$11:$G$180,2,FALSE))</f>
        <v/>
      </c>
      <c r="C3156" s="156"/>
      <c r="D3156" s="381" t="str">
        <f>IF(A3156="","",VLOOKUP(A3156,'6.A'!$A$11:$G$180,4,FALSE))</f>
        <v/>
      </c>
      <c r="E3156" s="100" t="str">
        <f>IF(A3156="","",VLOOKUP(A3156,'6.A'!$A$11:$G$180,5,FALSE))</f>
        <v/>
      </c>
      <c r="F3156" s="24" t="str">
        <f t="shared" si="1353"/>
        <v>0,00</v>
      </c>
      <c r="G3156" s="382"/>
      <c r="H3156" s="382" t="str">
        <f>IF(A3156="","",VLOOKUP(A3156,'6.A'!$A$11:$E$7984,5,FALSE))</f>
        <v/>
      </c>
      <c r="I3156" s="382" t="str">
        <f t="shared" si="1354"/>
        <v/>
      </c>
      <c r="J3156" s="382" t="str">
        <f>IF(H3156="","",VLOOKUP(A3156,'6.A'!$A$11:$E$564,4,FALSE))</f>
        <v/>
      </c>
      <c r="K3156" s="382" t="str">
        <f t="shared" si="1355"/>
        <v/>
      </c>
      <c r="L3156" s="382" t="str">
        <f>IF(H3156="","",IF(C3156="","",G3132*C3156))</f>
        <v/>
      </c>
      <c r="M3156" s="117" t="str">
        <f>IF(A3156="","",VLOOKUP(A3156,'6.A'!$A$11:$C$564,2,FALSE))</f>
        <v/>
      </c>
      <c r="N3156" s="381" t="str">
        <f t="shared" ref="N3156:N3157" si="1357">IF(A3156="","",IF(M3156=B3156,"si","no"))</f>
        <v/>
      </c>
      <c r="O3156" s="56"/>
      <c r="P3156" s="56"/>
      <c r="Q3156" s="48"/>
      <c r="R3156" s="48"/>
      <c r="S3156" s="2"/>
    </row>
    <row r="3157" spans="1:22" ht="12.75" customHeight="1" x14ac:dyDescent="0.2">
      <c r="A3157" s="155"/>
      <c r="B3157" s="138" t="str">
        <f>IF(A3157="","",VLOOKUP(A3157,'6.A'!$A$11:$G$180,2,FALSE))</f>
        <v/>
      </c>
      <c r="C3157" s="156"/>
      <c r="D3157" s="381" t="str">
        <f>IF(A3157="","",VLOOKUP(A3157,'6.A'!$A$11:$G$180,4,FALSE))</f>
        <v/>
      </c>
      <c r="E3157" s="100" t="str">
        <f>IF(A3157="","",VLOOKUP(A3157,'6.A'!$A$11:$G$180,5,FALSE))</f>
        <v/>
      </c>
      <c r="F3157" s="24" t="str">
        <f t="shared" si="1353"/>
        <v>0,00</v>
      </c>
      <c r="G3157" s="382"/>
      <c r="H3157" s="382" t="str">
        <f>IF(A3157="","",VLOOKUP(A3157,'6.A'!$A$11:$E$7984,5,FALSE))</f>
        <v/>
      </c>
      <c r="I3157" s="382" t="str">
        <f t="shared" si="1354"/>
        <v/>
      </c>
      <c r="J3157" s="382" t="str">
        <f>IF(H3157="","",VLOOKUP(A3157,'6.A'!$A$11:$E$564,4,FALSE))</f>
        <v/>
      </c>
      <c r="K3157" s="382" t="str">
        <f t="shared" si="1355"/>
        <v/>
      </c>
      <c r="L3157" s="382" t="str">
        <f>IF(H3157="","",IF(C3157="","",G3132*C3157))</f>
        <v/>
      </c>
      <c r="M3157" s="117" t="str">
        <f>IF(A3157="","",VLOOKUP(A3157,'6.A'!$A$11:$C$564,2,FALSE))</f>
        <v/>
      </c>
      <c r="N3157" s="381" t="str">
        <f t="shared" si="1357"/>
        <v/>
      </c>
      <c r="O3157" s="56"/>
      <c r="P3157" s="56"/>
      <c r="Q3157" s="48"/>
      <c r="R3157" s="48"/>
      <c r="S3157" s="2"/>
    </row>
    <row r="3158" spans="1:22" ht="12.75" customHeight="1" x14ac:dyDescent="0.2">
      <c r="A3158" s="155"/>
      <c r="B3158" s="26" t="str">
        <f>$A$9</f>
        <v>BDI</v>
      </c>
      <c r="C3158" s="27">
        <f>$C$9</f>
        <v>0</v>
      </c>
      <c r="D3158" s="381"/>
      <c r="F3158" s="28">
        <f>ROUND(SUM(F3148:F3157)*C3158,2)</f>
        <v>0</v>
      </c>
      <c r="G3158" s="63"/>
      <c r="H3158" s="382"/>
      <c r="I3158" s="381"/>
      <c r="J3158" s="381"/>
      <c r="K3158" s="381"/>
      <c r="L3158" s="382"/>
      <c r="M3158" s="62"/>
      <c r="N3158" s="381"/>
      <c r="O3158" s="56"/>
      <c r="P3158" s="56"/>
      <c r="Q3158" s="48"/>
      <c r="R3158" s="48"/>
      <c r="S3158" s="2"/>
    </row>
    <row r="3159" spans="1:22" ht="12.75" customHeight="1" x14ac:dyDescent="0.2">
      <c r="A3159" s="163"/>
      <c r="B3159" s="31" t="s">
        <v>117</v>
      </c>
      <c r="C3159" s="36"/>
      <c r="D3159" s="37"/>
      <c r="E3159" s="38"/>
      <c r="F3159" s="35">
        <f>ROUND(SUM(F3148:F3158),2)</f>
        <v>0</v>
      </c>
      <c r="G3159" s="63"/>
      <c r="H3159" s="382"/>
      <c r="I3159" s="381"/>
      <c r="J3159" s="381"/>
      <c r="K3159" s="381"/>
      <c r="L3159" s="382"/>
      <c r="M3159" s="62"/>
      <c r="N3159" s="381"/>
      <c r="O3159" s="56"/>
      <c r="P3159" s="56"/>
      <c r="Q3159" s="48"/>
      <c r="R3159" s="48"/>
      <c r="S3159" s="2"/>
    </row>
    <row r="3160" spans="1:22" ht="12.75" customHeight="1" x14ac:dyDescent="0.2">
      <c r="A3160" s="152" t="s">
        <v>6</v>
      </c>
      <c r="B3160" s="153" t="s">
        <v>17</v>
      </c>
      <c r="C3160" s="140" t="s">
        <v>59</v>
      </c>
      <c r="D3160" s="56" t="s">
        <v>16</v>
      </c>
      <c r="E3160" s="19" t="s">
        <v>60</v>
      </c>
      <c r="F3160" s="20" t="s">
        <v>61</v>
      </c>
      <c r="G3160" s="21"/>
      <c r="H3160" s="382"/>
      <c r="I3160" s="381"/>
      <c r="J3160" s="381"/>
      <c r="K3160" s="381"/>
      <c r="L3160" s="382"/>
      <c r="M3160" s="62"/>
      <c r="N3160" s="381"/>
      <c r="O3160" s="56"/>
      <c r="P3160" s="56"/>
      <c r="Q3160" s="48"/>
      <c r="R3160" s="48"/>
      <c r="S3160" s="2"/>
    </row>
    <row r="3161" spans="1:22" ht="12.75" customHeight="1" x14ac:dyDescent="0.2">
      <c r="A3161" s="155">
        <f>'6.A'!$A$179</f>
        <v>91704</v>
      </c>
      <c r="B3161" s="138" t="str">
        <f>IF(A3161="","",VLOOKUP(A3161,'6.A'!$A$11:$G$180,2,FALSE))</f>
        <v>PLACA DE MONTAGEM PARA QUADROS EM GERAL, EM CHAPA DE AÇO CARBONO, ESPESSURA 2,25MM, ACABAMENTO PINTURA ELETROSTÁTICA</v>
      </c>
      <c r="C3161" s="156">
        <f>((1*1.25)*2)+((1.25*0.25)*2)+((1*0.25)*2)</f>
        <v>3.625</v>
      </c>
      <c r="D3161" s="381" t="str">
        <f>IF(A3161="","",VLOOKUP(A3161,'6.A'!$A$11:$G$180,4,FALSE))</f>
        <v>M2</v>
      </c>
      <c r="E3161" s="100">
        <f>IF(A3161="","",VLOOKUP(A3161,'6.A'!$A$11:$G$180,5,FALSE))</f>
        <v>0</v>
      </c>
      <c r="F3161" s="24">
        <f t="shared" ref="F3161:F3162" si="1358">IF(A3161="","0,00",ROUND(C3161*E3161,2))</f>
        <v>0</v>
      </c>
      <c r="G3161" s="382"/>
      <c r="H3161" s="382">
        <f>IF(A3161="","",VLOOKUP(A3161,'6.A'!$A$11:$E$7984,5,FALSE))</f>
        <v>0</v>
      </c>
      <c r="I3161" s="382" t="str">
        <f t="shared" ref="I3161:I3162" si="1359">IF(H3161="","",IF(E3161=H3161,"SIM","NÃO"))</f>
        <v>SIM</v>
      </c>
      <c r="J3161" s="382" t="str">
        <f>IF(H3161="","",VLOOKUP(A3161,'6.A'!$A$11:$E$564,4,FALSE))</f>
        <v>M2</v>
      </c>
      <c r="K3161" s="382" t="str">
        <f t="shared" ref="K3161:K3162" si="1360">IF(H3161="","",IF(J3161=D3161,"SIM","NÃO"))</f>
        <v>SIM</v>
      </c>
      <c r="L3161" s="382">
        <f>IF(H3161="","",IF(C3161="","",G3132*C3161))</f>
        <v>10.875</v>
      </c>
      <c r="M3161" s="117" t="str">
        <f>IF(A3161="","",VLOOKUP(A3161,'6.A'!$A$11:$C$564,2,FALSE))</f>
        <v>PLACA DE MONTAGEM PARA QUADROS EM GERAL, EM CHAPA DE AÇO CARBONO, ESPESSURA 2,25MM, ACABAMENTO PINTURA ELETROSTÁTICA</v>
      </c>
      <c r="N3161" s="381" t="str">
        <f t="shared" ref="N3161:N3162" si="1361">IF(A3161="","",IF(M3161=B3161,"si","no"))</f>
        <v>si</v>
      </c>
      <c r="O3161" s="56"/>
      <c r="P3161" s="56"/>
      <c r="Q3161" s="48"/>
      <c r="R3161" s="48"/>
      <c r="S3161" s="2"/>
    </row>
    <row r="3162" spans="1:22" ht="12.75" customHeight="1" x14ac:dyDescent="0.2">
      <c r="A3162" s="155"/>
      <c r="B3162" s="138" t="str">
        <f>IF(A3162="","",VLOOKUP(A3162,'6.A'!$A$11:$G$180,2,FALSE))</f>
        <v/>
      </c>
      <c r="C3162" s="156"/>
      <c r="D3162" s="381" t="str">
        <f>IF(A3162="","",VLOOKUP(A3162,'6.A'!$A$11:$G$180,4,FALSE))</f>
        <v/>
      </c>
      <c r="E3162" s="100" t="str">
        <f>IF(A3162="","",VLOOKUP(A3162,'6.A'!$A$11:$G$180,5,FALSE))</f>
        <v/>
      </c>
      <c r="F3162" s="24" t="str">
        <f t="shared" si="1358"/>
        <v>0,00</v>
      </c>
      <c r="G3162" s="382"/>
      <c r="H3162" s="382" t="str">
        <f>IF(A3162="","",VLOOKUP(A3162,'6.A'!$A$11:$E$7984,5,FALSE))</f>
        <v/>
      </c>
      <c r="I3162" s="382" t="str">
        <f t="shared" si="1359"/>
        <v/>
      </c>
      <c r="J3162" s="382" t="str">
        <f>IF(H3162="","",VLOOKUP(A3162,'6.A'!$A$11:$E$564,4,FALSE))</f>
        <v/>
      </c>
      <c r="K3162" s="382" t="str">
        <f t="shared" si="1360"/>
        <v/>
      </c>
      <c r="L3162" s="382" t="str">
        <f>IF(H3162="","",IF(C3162="","",G3132*C3162))</f>
        <v/>
      </c>
      <c r="M3162" s="117" t="str">
        <f>IF(A3162="","",VLOOKUP(A3162,'6.A'!$A$11:$C$564,2,FALSE))</f>
        <v/>
      </c>
      <c r="N3162" s="381" t="str">
        <f t="shared" si="1361"/>
        <v/>
      </c>
      <c r="O3162" s="56"/>
      <c r="P3162" s="56"/>
      <c r="Q3162" s="48"/>
      <c r="R3162" s="48"/>
      <c r="S3162" s="2"/>
    </row>
    <row r="3163" spans="1:22" ht="12.75" customHeight="1" x14ac:dyDescent="0.2">
      <c r="A3163" s="155"/>
      <c r="B3163" s="138" t="str">
        <f>IF(A3163="","",VLOOKUP(A3163,'6.A'!$A$11:$G$180,2,FALSE))</f>
        <v/>
      </c>
      <c r="C3163" s="156"/>
      <c r="D3163" s="381" t="str">
        <f>IF(A3163="","",VLOOKUP(A3163,'6.A'!$A$11:$G$180,4,FALSE))</f>
        <v/>
      </c>
      <c r="E3163" s="100" t="str">
        <f>IF(A3163="","",VLOOKUP(A3163,'6.A'!$A$11:$G$180,5,FALSE))</f>
        <v/>
      </c>
      <c r="F3163" s="24" t="str">
        <f>IF(A3163="","0,00",ROUND(C3163*E3163,2))</f>
        <v>0,00</v>
      </c>
      <c r="G3163" s="382"/>
      <c r="H3163" s="382" t="str">
        <f>IF(A3163="","",VLOOKUP(A3163,'6.A'!$A$11:$E$7984,5,FALSE))</f>
        <v/>
      </c>
      <c r="I3163" s="382" t="str">
        <f>IF(H3163="","",IF(E3163=H3163,"SIM","NÃO"))</f>
        <v/>
      </c>
      <c r="J3163" s="382" t="str">
        <f>IF(H3163="","",VLOOKUP(A3163,'6.A'!$A$11:$E$564,4,FALSE))</f>
        <v/>
      </c>
      <c r="K3163" s="382" t="str">
        <f>IF(H3163="","",IF(J3163=D3163,"SIM","NÃO"))</f>
        <v/>
      </c>
      <c r="L3163" s="382" t="str">
        <f>IF(H3163="","",IF(C3163="","",G3132*C3163))</f>
        <v/>
      </c>
      <c r="M3163" s="117" t="str">
        <f>IF(A3163="","",VLOOKUP(A3163,'6.A'!$A$11:$C$564,2,FALSE))</f>
        <v/>
      </c>
      <c r="N3163" s="381" t="str">
        <f>IF(A3163="","",IF(M3163=B3163,"si","no"))</f>
        <v/>
      </c>
      <c r="O3163" s="56"/>
      <c r="P3163" s="56"/>
      <c r="Q3163" s="48"/>
      <c r="R3163" s="48"/>
      <c r="S3163" s="2"/>
    </row>
    <row r="3164" spans="1:22" ht="12.75" customHeight="1" x14ac:dyDescent="0.2">
      <c r="A3164" s="155"/>
      <c r="B3164" s="138" t="str">
        <f>IF(A3164="","",VLOOKUP(A3164,'6.A'!$A$11:$G$180,2,FALSE))</f>
        <v/>
      </c>
      <c r="C3164" s="156"/>
      <c r="D3164" s="381" t="str">
        <f>IF(A3164="","",VLOOKUP(A3164,'6.A'!$A$11:$G$180,4,FALSE))</f>
        <v/>
      </c>
      <c r="E3164" s="100" t="str">
        <f>IF(A3164="","",VLOOKUP(A3164,'6.A'!$A$11:$G$180,5,FALSE))</f>
        <v/>
      </c>
      <c r="F3164" s="24" t="str">
        <f t="shared" ref="F3164:F3180" si="1362">IF(A3164="","0,00",ROUND(C3164*E3164,2))</f>
        <v>0,00</v>
      </c>
      <c r="G3164" s="382"/>
      <c r="H3164" s="382" t="str">
        <f>IF(A3164="","",VLOOKUP(A3164,'6.A'!$A$11:$E$7984,5,FALSE))</f>
        <v/>
      </c>
      <c r="I3164" s="382" t="str">
        <f t="shared" ref="I3164:I3180" si="1363">IF(H3164="","",IF(E3164=H3164,"SIM","NÃO"))</f>
        <v/>
      </c>
      <c r="J3164" s="382" t="str">
        <f>IF(H3164="","",VLOOKUP(A3164,'6.A'!$A$11:$E$564,4,FALSE))</f>
        <v/>
      </c>
      <c r="K3164" s="382" t="str">
        <f t="shared" ref="K3164:K3180" si="1364">IF(H3164="","",IF(J3164=D3164,"SIM","NÃO"))</f>
        <v/>
      </c>
      <c r="L3164" s="382" t="str">
        <f>IF(H3164="","",IF(C3164="","",G3132*C3164))</f>
        <v/>
      </c>
      <c r="M3164" s="117" t="str">
        <f>IF(A3164="","",VLOOKUP(A3164,'6.A'!$A$11:$C$564,2,FALSE))</f>
        <v/>
      </c>
      <c r="N3164" s="381" t="str">
        <f t="shared" ref="N3164:N3180" si="1365">IF(A3164="","",IF(M3164=B3164,"si","no"))</f>
        <v/>
      </c>
      <c r="O3164" s="56"/>
      <c r="P3164" s="56"/>
      <c r="Q3164" s="48"/>
      <c r="R3164" s="48"/>
      <c r="S3164" s="2"/>
    </row>
    <row r="3165" spans="1:22" ht="12.75" customHeight="1" x14ac:dyDescent="0.2">
      <c r="A3165" s="155"/>
      <c r="B3165" s="138" t="str">
        <f>IF(A3165="","",VLOOKUP(A3165,'6.A'!$A$11:$G$180,2,FALSE))</f>
        <v/>
      </c>
      <c r="C3165" s="156"/>
      <c r="D3165" s="381" t="str">
        <f>IF(A3165="","",VLOOKUP(A3165,'6.A'!$A$11:$G$180,4,FALSE))</f>
        <v/>
      </c>
      <c r="E3165" s="100" t="str">
        <f>IF(A3165="","",VLOOKUP(A3165,'6.A'!$A$11:$G$180,5,FALSE))</f>
        <v/>
      </c>
      <c r="F3165" s="24" t="str">
        <f t="shared" si="1362"/>
        <v>0,00</v>
      </c>
      <c r="G3165" s="382"/>
      <c r="H3165" s="382" t="str">
        <f>IF(A3165="","",VLOOKUP(A3165,'6.A'!$A$11:$E$7984,5,FALSE))</f>
        <v/>
      </c>
      <c r="I3165" s="382" t="str">
        <f t="shared" si="1363"/>
        <v/>
      </c>
      <c r="J3165" s="382" t="str">
        <f>IF(H3165="","",VLOOKUP(A3165,'6.A'!$A$11:$E$564,4,FALSE))</f>
        <v/>
      </c>
      <c r="K3165" s="382" t="str">
        <f t="shared" si="1364"/>
        <v/>
      </c>
      <c r="L3165" s="382" t="str">
        <f>IF(H3165="","",IF(C3165="","",G3132*C3165))</f>
        <v/>
      </c>
      <c r="M3165" s="117" t="str">
        <f>IF(A3165="","",VLOOKUP(A3165,'6.A'!$A$11:$C$564,2,FALSE))</f>
        <v/>
      </c>
      <c r="N3165" s="381" t="str">
        <f t="shared" si="1365"/>
        <v/>
      </c>
      <c r="O3165" s="56"/>
      <c r="P3165" s="56"/>
      <c r="Q3165" s="48"/>
      <c r="R3165" s="48"/>
      <c r="S3165" s="2"/>
    </row>
    <row r="3166" spans="1:22" ht="12.75" customHeight="1" x14ac:dyDescent="0.2">
      <c r="A3166" s="155"/>
      <c r="B3166" s="138" t="str">
        <f>IF(A3166="","",VLOOKUP(A3166,'6.A'!$A$11:$G$180,2,FALSE))</f>
        <v/>
      </c>
      <c r="C3166" s="156"/>
      <c r="D3166" s="381" t="str">
        <f>IF(A3166="","",VLOOKUP(A3166,'6.A'!$A$11:$G$180,4,FALSE))</f>
        <v/>
      </c>
      <c r="E3166" s="100" t="str">
        <f>IF(A3166="","",VLOOKUP(A3166,'6.A'!$A$11:$G$180,5,FALSE))</f>
        <v/>
      </c>
      <c r="F3166" s="24" t="str">
        <f t="shared" si="1362"/>
        <v>0,00</v>
      </c>
      <c r="G3166" s="382"/>
      <c r="H3166" s="382" t="str">
        <f>IF(A3166="","",VLOOKUP(A3166,'6.A'!$A$11:$E$7984,5,FALSE))</f>
        <v/>
      </c>
      <c r="I3166" s="382" t="str">
        <f t="shared" si="1363"/>
        <v/>
      </c>
      <c r="J3166" s="382" t="str">
        <f>IF(H3166="","",VLOOKUP(A3166,'6.A'!$A$11:$E$564,4,FALSE))</f>
        <v/>
      </c>
      <c r="K3166" s="382" t="str">
        <f t="shared" si="1364"/>
        <v/>
      </c>
      <c r="L3166" s="382" t="str">
        <f>IF(H3166="","",IF(C3166="","",G3132*C3166))</f>
        <v/>
      </c>
      <c r="M3166" s="117" t="str">
        <f>IF(A3166="","",VLOOKUP(A3166,'6.A'!$A$11:$C$564,2,FALSE))</f>
        <v/>
      </c>
      <c r="N3166" s="381" t="str">
        <f t="shared" si="1365"/>
        <v/>
      </c>
      <c r="O3166" s="56"/>
      <c r="P3166" s="56"/>
      <c r="Q3166" s="48"/>
      <c r="R3166" s="48"/>
      <c r="S3166" s="2"/>
    </row>
    <row r="3167" spans="1:22" ht="12.75" customHeight="1" x14ac:dyDescent="0.2">
      <c r="A3167" s="155"/>
      <c r="B3167" s="138" t="str">
        <f>IF(A3167="","",VLOOKUP(A3167,'6.A'!$A$11:$G$180,2,FALSE))</f>
        <v/>
      </c>
      <c r="C3167" s="156"/>
      <c r="D3167" s="381" t="str">
        <f>IF(A3167="","",VLOOKUP(A3167,'6.A'!$A$11:$G$180,4,FALSE))</f>
        <v/>
      </c>
      <c r="E3167" s="100" t="str">
        <f>IF(A3167="","",VLOOKUP(A3167,'6.A'!$A$11:$G$180,5,FALSE))</f>
        <v/>
      </c>
      <c r="F3167" s="24" t="str">
        <f t="shared" si="1362"/>
        <v>0,00</v>
      </c>
      <c r="G3167" s="382"/>
      <c r="H3167" s="382" t="str">
        <f>IF(A3167="","",VLOOKUP(A3167,'6.A'!$A$11:$E$7984,5,FALSE))</f>
        <v/>
      </c>
      <c r="I3167" s="382" t="str">
        <f t="shared" si="1363"/>
        <v/>
      </c>
      <c r="J3167" s="382" t="str">
        <f>IF(H3167="","",VLOOKUP(A3167,'6.A'!$A$11:$E$564,4,FALSE))</f>
        <v/>
      </c>
      <c r="K3167" s="382" t="str">
        <f t="shared" si="1364"/>
        <v/>
      </c>
      <c r="L3167" s="382" t="str">
        <f>IF(H3167="","",IF(C3167="","",G3132*C3167))</f>
        <v/>
      </c>
      <c r="M3167" s="117" t="str">
        <f>IF(A3167="","",VLOOKUP(A3167,'6.A'!$A$11:$C$564,2,FALSE))</f>
        <v/>
      </c>
      <c r="N3167" s="381" t="str">
        <f t="shared" si="1365"/>
        <v/>
      </c>
      <c r="O3167" s="56"/>
      <c r="P3167" s="56"/>
      <c r="Q3167" s="48"/>
      <c r="R3167" s="48"/>
      <c r="S3167" s="2"/>
    </row>
    <row r="3168" spans="1:22" s="65" customFormat="1" ht="12.75" customHeight="1" x14ac:dyDescent="0.2">
      <c r="A3168" s="155"/>
      <c r="B3168" s="138" t="str">
        <f>IF(A3168="","",VLOOKUP(A3168,'6.A'!$A$11:$G$180,2,FALSE))</f>
        <v/>
      </c>
      <c r="C3168" s="156"/>
      <c r="D3168" s="381" t="str">
        <f>IF(A3168="","",VLOOKUP(A3168,'6.A'!$A$11:$G$180,4,FALSE))</f>
        <v/>
      </c>
      <c r="E3168" s="100" t="str">
        <f>IF(A3168="","",VLOOKUP(A3168,'6.A'!$A$11:$G$180,5,FALSE))</f>
        <v/>
      </c>
      <c r="F3168" s="24" t="str">
        <f t="shared" si="1362"/>
        <v>0,00</v>
      </c>
      <c r="G3168" s="382"/>
      <c r="H3168" s="382" t="str">
        <f>IF(A3168="","",VLOOKUP(A3168,'6.A'!$A$11:$E$7984,5,FALSE))</f>
        <v/>
      </c>
      <c r="I3168" s="382" t="str">
        <f t="shared" si="1363"/>
        <v/>
      </c>
      <c r="J3168" s="382" t="str">
        <f>IF(H3168="","",VLOOKUP(A3168,'6.A'!$A$11:$E$564,4,FALSE))</f>
        <v/>
      </c>
      <c r="K3168" s="382" t="str">
        <f t="shared" si="1364"/>
        <v/>
      </c>
      <c r="L3168" s="382" t="str">
        <f>IF(H3168="","",IF(C3168="","",G3132*C3168))</f>
        <v/>
      </c>
      <c r="M3168" s="117" t="str">
        <f>IF(A3168="","",VLOOKUP(A3168,'6.A'!$A$11:$C$564,2,FALSE))</f>
        <v/>
      </c>
      <c r="N3168" s="381" t="str">
        <f t="shared" si="1365"/>
        <v/>
      </c>
      <c r="O3168" s="56"/>
      <c r="P3168" s="56"/>
      <c r="Q3168" s="48"/>
      <c r="R3168" s="48"/>
      <c r="T3168" s="2"/>
      <c r="U3168" s="2"/>
      <c r="V3168" s="2"/>
    </row>
    <row r="3169" spans="1:23" s="65" customFormat="1" ht="12.75" customHeight="1" x14ac:dyDescent="0.2">
      <c r="A3169" s="155"/>
      <c r="B3169" s="138" t="str">
        <f>IF(A3169="","",VLOOKUP(A3169,'6.A'!$A$11:$G$180,2,FALSE))</f>
        <v/>
      </c>
      <c r="C3169" s="156"/>
      <c r="D3169" s="381" t="str">
        <f>IF(A3169="","",VLOOKUP(A3169,'6.A'!$A$11:$G$180,4,FALSE))</f>
        <v/>
      </c>
      <c r="E3169" s="100" t="str">
        <f>IF(A3169="","",VLOOKUP(A3169,'6.A'!$A$11:$G$180,5,FALSE))</f>
        <v/>
      </c>
      <c r="F3169" s="24" t="str">
        <f t="shared" si="1362"/>
        <v>0,00</v>
      </c>
      <c r="G3169" s="382"/>
      <c r="H3169" s="382" t="str">
        <f>IF(A3169="","",VLOOKUP(A3169,'6.A'!$A$11:$E$7984,5,FALSE))</f>
        <v/>
      </c>
      <c r="I3169" s="382" t="str">
        <f t="shared" si="1363"/>
        <v/>
      </c>
      <c r="J3169" s="382" t="str">
        <f>IF(H3169="","",VLOOKUP(A3169,'6.A'!$A$11:$E$564,4,FALSE))</f>
        <v/>
      </c>
      <c r="K3169" s="382" t="str">
        <f t="shared" si="1364"/>
        <v/>
      </c>
      <c r="L3169" s="382" t="str">
        <f>IF(H3169="","",IF(C3169="","",G3132*C3169))</f>
        <v/>
      </c>
      <c r="M3169" s="117" t="str">
        <f>IF(A3169="","",VLOOKUP(A3169,'6.A'!$A$11:$C$564,2,FALSE))</f>
        <v/>
      </c>
      <c r="N3169" s="381" t="str">
        <f t="shared" si="1365"/>
        <v/>
      </c>
      <c r="O3169" s="56"/>
      <c r="P3169" s="56"/>
      <c r="Q3169" s="48"/>
      <c r="R3169" s="48"/>
      <c r="T3169" s="2"/>
      <c r="U3169" s="2"/>
      <c r="V3169" s="2"/>
    </row>
    <row r="3170" spans="1:23" s="65" customFormat="1" ht="12.75" customHeight="1" x14ac:dyDescent="0.2">
      <c r="A3170" s="155"/>
      <c r="B3170" s="138" t="str">
        <f>IF(A3170="","",VLOOKUP(A3170,'6.A'!$A$11:$G$180,2,FALSE))</f>
        <v/>
      </c>
      <c r="C3170" s="156"/>
      <c r="D3170" s="381" t="str">
        <f>IF(A3170="","",VLOOKUP(A3170,'6.A'!$A$11:$G$180,4,FALSE))</f>
        <v/>
      </c>
      <c r="E3170" s="100" t="str">
        <f>IF(A3170="","",VLOOKUP(A3170,'6.A'!$A$11:$G$180,5,FALSE))</f>
        <v/>
      </c>
      <c r="F3170" s="24" t="str">
        <f t="shared" si="1362"/>
        <v>0,00</v>
      </c>
      <c r="G3170" s="382"/>
      <c r="H3170" s="382" t="str">
        <f>IF(A3170="","",VLOOKUP(A3170,'6.A'!$A$11:$E$7984,5,FALSE))</f>
        <v/>
      </c>
      <c r="I3170" s="382" t="str">
        <f t="shared" si="1363"/>
        <v/>
      </c>
      <c r="J3170" s="382" t="str">
        <f>IF(H3170="","",VLOOKUP(A3170,'6.A'!$A$11:$E$564,4,FALSE))</f>
        <v/>
      </c>
      <c r="K3170" s="382" t="str">
        <f t="shared" si="1364"/>
        <v/>
      </c>
      <c r="L3170" s="382" t="str">
        <f>IF(H3170="","",IF(C3170="","",G3132*C3170))</f>
        <v/>
      </c>
      <c r="M3170" s="117" t="str">
        <f>IF(A3170="","",VLOOKUP(A3170,'6.A'!$A$11:$C$564,2,FALSE))</f>
        <v/>
      </c>
      <c r="N3170" s="381" t="str">
        <f t="shared" si="1365"/>
        <v/>
      </c>
      <c r="O3170" s="56"/>
      <c r="P3170" s="56"/>
      <c r="Q3170" s="48"/>
      <c r="R3170" s="48"/>
      <c r="T3170" s="2"/>
      <c r="U3170" s="2"/>
      <c r="V3170" s="2"/>
    </row>
    <row r="3171" spans="1:23" s="65" customFormat="1" ht="12.75" customHeight="1" x14ac:dyDescent="0.2">
      <c r="A3171" s="155"/>
      <c r="B3171" s="138" t="str">
        <f>IF(A3171="","",VLOOKUP(A3171,'6.A'!$A$11:$G$180,2,FALSE))</f>
        <v/>
      </c>
      <c r="C3171" s="156"/>
      <c r="D3171" s="381" t="str">
        <f>IF(A3171="","",VLOOKUP(A3171,'6.A'!$A$11:$G$180,4,FALSE))</f>
        <v/>
      </c>
      <c r="E3171" s="100" t="str">
        <f>IF(A3171="","",VLOOKUP(A3171,'6.A'!$A$11:$G$180,5,FALSE))</f>
        <v/>
      </c>
      <c r="F3171" s="24" t="str">
        <f t="shared" si="1362"/>
        <v>0,00</v>
      </c>
      <c r="G3171" s="382"/>
      <c r="H3171" s="382" t="str">
        <f>IF(A3171="","",VLOOKUP(A3171,'6.A'!$A$11:$E$7984,5,FALSE))</f>
        <v/>
      </c>
      <c r="I3171" s="382" t="str">
        <f t="shared" si="1363"/>
        <v/>
      </c>
      <c r="J3171" s="382" t="str">
        <f>IF(H3171="","",VLOOKUP(A3171,'6.A'!$A$11:$E$564,4,FALSE))</f>
        <v/>
      </c>
      <c r="K3171" s="382" t="str">
        <f t="shared" si="1364"/>
        <v/>
      </c>
      <c r="L3171" s="382" t="str">
        <f>IF(H3171="","",IF(C3171="","",G3132*C3171))</f>
        <v/>
      </c>
      <c r="M3171" s="117" t="str">
        <f>IF(A3171="","",VLOOKUP(A3171,'6.A'!$A$11:$C$564,2,FALSE))</f>
        <v/>
      </c>
      <c r="N3171" s="381" t="str">
        <f t="shared" si="1365"/>
        <v/>
      </c>
      <c r="O3171" s="56"/>
      <c r="P3171" s="56"/>
      <c r="Q3171" s="48"/>
      <c r="R3171" s="48"/>
      <c r="T3171" s="2"/>
      <c r="U3171" s="2"/>
      <c r="V3171" s="2"/>
    </row>
    <row r="3172" spans="1:23" ht="12.75" customHeight="1" x14ac:dyDescent="0.2">
      <c r="A3172" s="22"/>
      <c r="B3172" s="23" t="str">
        <f>IF(A3172="","",VLOOKUP(A3172,'6.A'!$A$11:$G$180,2,FALSE))</f>
        <v/>
      </c>
      <c r="C3172" s="99"/>
      <c r="D3172" s="381" t="str">
        <f>IF(A3172="","",VLOOKUP(A3172,'6.A'!$A$11:$G$180,4,FALSE))</f>
        <v/>
      </c>
      <c r="E3172" s="100" t="str">
        <f>IF(A3172="","",VLOOKUP(A3172,'6.A'!$A$11:$G$180,5,FALSE))</f>
        <v/>
      </c>
      <c r="F3172" s="24" t="str">
        <f t="shared" si="1362"/>
        <v>0,00</v>
      </c>
      <c r="G3172" s="382"/>
      <c r="H3172" s="382" t="str">
        <f>IF(A3172="","",VLOOKUP(A3172,'6.A'!$A$11:$E$7984,5,FALSE))</f>
        <v/>
      </c>
      <c r="I3172" s="382" t="str">
        <f t="shared" si="1363"/>
        <v/>
      </c>
      <c r="J3172" s="382" t="str">
        <f>IF(H3172="","",VLOOKUP(A3172,'6.A'!$A$11:$E$564,4,FALSE))</f>
        <v/>
      </c>
      <c r="K3172" s="382" t="str">
        <f t="shared" si="1364"/>
        <v/>
      </c>
      <c r="L3172" s="382" t="str">
        <f>IF(H3172="","",IF(C3172="","",G3132*C3172))</f>
        <v/>
      </c>
      <c r="M3172" s="117" t="str">
        <f>IF(A3172="","",VLOOKUP(A3172,'6.A'!$A$11:$C$564,2,FALSE))</f>
        <v/>
      </c>
      <c r="N3172" s="381" t="str">
        <f t="shared" si="1365"/>
        <v/>
      </c>
      <c r="O3172" s="56"/>
      <c r="P3172" s="56"/>
      <c r="Q3172" s="48"/>
      <c r="R3172" s="48"/>
    </row>
    <row r="3173" spans="1:23" ht="12.75" customHeight="1" x14ac:dyDescent="0.2">
      <c r="A3173" s="22"/>
      <c r="B3173" s="23" t="str">
        <f>IF(A3173="","",VLOOKUP(A3173,'6.A'!$A$11:$G$180,2,FALSE))</f>
        <v/>
      </c>
      <c r="C3173" s="99"/>
      <c r="D3173" s="381" t="str">
        <f>IF(A3173="","",VLOOKUP(A3173,'6.A'!$A$11:$G$180,4,FALSE))</f>
        <v/>
      </c>
      <c r="E3173" s="100" t="str">
        <f>IF(A3173="","",VLOOKUP(A3173,'6.A'!$A$11:$G$180,5,FALSE))</f>
        <v/>
      </c>
      <c r="F3173" s="24" t="str">
        <f t="shared" si="1362"/>
        <v>0,00</v>
      </c>
      <c r="G3173" s="382"/>
      <c r="H3173" s="382" t="str">
        <f>IF(A3173="","",VLOOKUP(A3173,'6.A'!$A$11:$E$7984,5,FALSE))</f>
        <v/>
      </c>
      <c r="I3173" s="382" t="str">
        <f t="shared" si="1363"/>
        <v/>
      </c>
      <c r="J3173" s="382" t="str">
        <f>IF(H3173="","",VLOOKUP(A3173,'6.A'!$A$11:$E$564,4,FALSE))</f>
        <v/>
      </c>
      <c r="K3173" s="382" t="str">
        <f t="shared" si="1364"/>
        <v/>
      </c>
      <c r="L3173" s="382" t="str">
        <f>IF(H3173="","",IF(C3173="","",G3132*C3173))</f>
        <v/>
      </c>
      <c r="M3173" s="117" t="str">
        <f>IF(A3173="","",VLOOKUP(A3173,'6.A'!$A$11:$C$564,2,FALSE))</f>
        <v/>
      </c>
      <c r="N3173" s="381" t="str">
        <f t="shared" si="1365"/>
        <v/>
      </c>
      <c r="O3173" s="56"/>
      <c r="P3173" s="56"/>
      <c r="Q3173" s="48"/>
      <c r="R3173" s="48"/>
    </row>
    <row r="3174" spans="1:23" ht="12.75" customHeight="1" x14ac:dyDescent="0.2">
      <c r="A3174" s="22"/>
      <c r="B3174" s="23" t="str">
        <f>IF(A3174="","",VLOOKUP(A3174,'6.A'!$A$11:$G$180,2,FALSE))</f>
        <v/>
      </c>
      <c r="C3174" s="99"/>
      <c r="D3174" s="381" t="str">
        <f>IF(A3174="","",VLOOKUP(A3174,'6.A'!$A$11:$G$180,4,FALSE))</f>
        <v/>
      </c>
      <c r="E3174" s="100" t="str">
        <f>IF(A3174="","",VLOOKUP(A3174,'6.A'!$A$11:$G$180,5,FALSE))</f>
        <v/>
      </c>
      <c r="F3174" s="24" t="str">
        <f t="shared" si="1362"/>
        <v>0,00</v>
      </c>
      <c r="G3174" s="382"/>
      <c r="H3174" s="382" t="str">
        <f>IF(A3174="","",VLOOKUP(A3174,'6.A'!$A$11:$E$7984,5,FALSE))</f>
        <v/>
      </c>
      <c r="I3174" s="382" t="str">
        <f t="shared" si="1363"/>
        <v/>
      </c>
      <c r="J3174" s="382" t="str">
        <f>IF(H3174="","",VLOOKUP(A3174,'6.A'!$A$11:$E$564,4,FALSE))</f>
        <v/>
      </c>
      <c r="K3174" s="382" t="str">
        <f t="shared" si="1364"/>
        <v/>
      </c>
      <c r="L3174" s="382" t="str">
        <f>IF(H3174="","",IF(C3174="","",G3132*C3174))</f>
        <v/>
      </c>
      <c r="M3174" s="117" t="str">
        <f>IF(A3174="","",VLOOKUP(A3174,'6.A'!$A$11:$C$564,2,FALSE))</f>
        <v/>
      </c>
      <c r="N3174" s="381" t="str">
        <f t="shared" si="1365"/>
        <v/>
      </c>
      <c r="O3174" s="56"/>
      <c r="P3174" s="56"/>
      <c r="Q3174" s="48"/>
      <c r="R3174" s="48"/>
    </row>
    <row r="3175" spans="1:23" ht="12.75" customHeight="1" x14ac:dyDescent="0.2">
      <c r="A3175" s="22"/>
      <c r="B3175" s="23" t="str">
        <f>IF(A3175="","",VLOOKUP(A3175,'6.A'!$A$11:$G$180,2,FALSE))</f>
        <v/>
      </c>
      <c r="C3175" s="99"/>
      <c r="D3175" s="381" t="str">
        <f>IF(A3175="","",VLOOKUP(A3175,'6.A'!$A$11:$G$180,4,FALSE))</f>
        <v/>
      </c>
      <c r="E3175" s="100" t="str">
        <f>IF(A3175="","",VLOOKUP(A3175,'6.A'!$A$11:$G$180,5,FALSE))</f>
        <v/>
      </c>
      <c r="F3175" s="24" t="str">
        <f t="shared" si="1362"/>
        <v>0,00</v>
      </c>
      <c r="G3175" s="382"/>
      <c r="H3175" s="382" t="str">
        <f>IF(A3175="","",VLOOKUP(A3175,'6.A'!$A$11:$E$7984,5,FALSE))</f>
        <v/>
      </c>
      <c r="I3175" s="382" t="str">
        <f t="shared" si="1363"/>
        <v/>
      </c>
      <c r="J3175" s="382" t="str">
        <f>IF(H3175="","",VLOOKUP(A3175,'6.A'!$A$11:$E$564,4,FALSE))</f>
        <v/>
      </c>
      <c r="K3175" s="382" t="str">
        <f t="shared" si="1364"/>
        <v/>
      </c>
      <c r="L3175" s="382" t="str">
        <f>IF(H3175="","",IF(C3175="","",G3132*C3175))</f>
        <v/>
      </c>
      <c r="M3175" s="117" t="str">
        <f>IF(A3175="","",VLOOKUP(A3175,'6.A'!$A$11:$C$564,2,FALSE))</f>
        <v/>
      </c>
      <c r="N3175" s="381" t="str">
        <f t="shared" si="1365"/>
        <v/>
      </c>
      <c r="O3175" s="56"/>
      <c r="P3175" s="56"/>
      <c r="Q3175" s="48"/>
      <c r="R3175" s="48"/>
    </row>
    <row r="3176" spans="1:23" ht="12.75" customHeight="1" x14ac:dyDescent="0.2">
      <c r="A3176" s="22"/>
      <c r="B3176" s="23" t="str">
        <f>IF(A3176="","",VLOOKUP(A3176,'6.A'!$A$11:$G$180,2,FALSE))</f>
        <v/>
      </c>
      <c r="C3176" s="99"/>
      <c r="D3176" s="381" t="str">
        <f>IF(A3176="","",VLOOKUP(A3176,'6.A'!$A$11:$G$180,4,FALSE))</f>
        <v/>
      </c>
      <c r="E3176" s="100" t="str">
        <f>IF(A3176="","",VLOOKUP(A3176,'6.A'!$A$11:$G$180,5,FALSE))</f>
        <v/>
      </c>
      <c r="F3176" s="24" t="str">
        <f t="shared" si="1362"/>
        <v>0,00</v>
      </c>
      <c r="G3176" s="382"/>
      <c r="H3176" s="382" t="str">
        <f>IF(A3176="","",VLOOKUP(A3176,'6.A'!$A$11:$E$7984,5,FALSE))</f>
        <v/>
      </c>
      <c r="I3176" s="382" t="str">
        <f t="shared" si="1363"/>
        <v/>
      </c>
      <c r="J3176" s="382" t="str">
        <f>IF(H3176="","",VLOOKUP(A3176,'6.A'!$A$11:$E$564,4,FALSE))</f>
        <v/>
      </c>
      <c r="K3176" s="382" t="str">
        <f t="shared" si="1364"/>
        <v/>
      </c>
      <c r="L3176" s="382" t="str">
        <f>IF(H3176="","",IF(C3176="","",G3132*C3176))</f>
        <v/>
      </c>
      <c r="M3176" s="117" t="str">
        <f>IF(A3176="","",VLOOKUP(A3176,'6.A'!$A$11:$C$564,2,FALSE))</f>
        <v/>
      </c>
      <c r="N3176" s="381" t="str">
        <f t="shared" si="1365"/>
        <v/>
      </c>
      <c r="O3176" s="56"/>
      <c r="P3176" s="56"/>
      <c r="Q3176" s="48"/>
      <c r="R3176" s="48"/>
    </row>
    <row r="3177" spans="1:23" ht="12.75" customHeight="1" x14ac:dyDescent="0.2">
      <c r="A3177" s="22"/>
      <c r="B3177" s="23" t="str">
        <f>IF(A3177="","",VLOOKUP(A3177,'6.A'!$A$11:$G$180,2,FALSE))</f>
        <v/>
      </c>
      <c r="C3177" s="99"/>
      <c r="D3177" s="381" t="str">
        <f>IF(A3177="","",VLOOKUP(A3177,'6.A'!$A$11:$G$180,4,FALSE))</f>
        <v/>
      </c>
      <c r="E3177" s="100" t="str">
        <f>IF(A3177="","",VLOOKUP(A3177,'6.A'!$A$11:$G$180,5,FALSE))</f>
        <v/>
      </c>
      <c r="F3177" s="24" t="str">
        <f t="shared" si="1362"/>
        <v>0,00</v>
      </c>
      <c r="G3177" s="382"/>
      <c r="H3177" s="382" t="str">
        <f>IF(A3177="","",VLOOKUP(A3177,'6.A'!$A$11:$E$7984,5,FALSE))</f>
        <v/>
      </c>
      <c r="I3177" s="382" t="str">
        <f t="shared" si="1363"/>
        <v/>
      </c>
      <c r="J3177" s="382" t="str">
        <f>IF(H3177="","",VLOOKUP(A3177,'6.A'!$A$11:$E$564,4,FALSE))</f>
        <v/>
      </c>
      <c r="K3177" s="382" t="str">
        <f t="shared" si="1364"/>
        <v/>
      </c>
      <c r="L3177" s="382" t="str">
        <f>IF(H3177="","",IF(C3177="","",G3132*C3177))</f>
        <v/>
      </c>
      <c r="M3177" s="117" t="str">
        <f>IF(A3177="","",VLOOKUP(A3177,'6.A'!$A$11:$C$564,2,FALSE))</f>
        <v/>
      </c>
      <c r="N3177" s="381" t="str">
        <f t="shared" si="1365"/>
        <v/>
      </c>
      <c r="O3177" s="56"/>
      <c r="P3177" s="56"/>
      <c r="Q3177" s="48"/>
      <c r="R3177" s="48"/>
    </row>
    <row r="3178" spans="1:23" ht="12.75" customHeight="1" x14ac:dyDescent="0.2">
      <c r="A3178" s="22"/>
      <c r="B3178" s="39" t="str">
        <f>IF(A3178="","",VLOOKUP(A3178,'6.A'!$A$11:$G$180,2,FALSE))</f>
        <v/>
      </c>
      <c r="C3178" s="99"/>
      <c r="D3178" s="381" t="str">
        <f>IF(A3178="","",VLOOKUP(A3178,'6.A'!$A$11:$G$180,4,FALSE))</f>
        <v/>
      </c>
      <c r="E3178" s="100" t="str">
        <f>IF(A3178="","",VLOOKUP(A3178,'6.A'!$A$11:$G$180,5,FALSE))</f>
        <v/>
      </c>
      <c r="F3178" s="24" t="str">
        <f t="shared" si="1362"/>
        <v>0,00</v>
      </c>
      <c r="G3178" s="382"/>
      <c r="H3178" s="382" t="str">
        <f>IF(A3178="","",VLOOKUP(A3178,'6.A'!$A$11:$E$7984,5,FALSE))</f>
        <v/>
      </c>
      <c r="I3178" s="382" t="str">
        <f t="shared" si="1363"/>
        <v/>
      </c>
      <c r="J3178" s="382" t="str">
        <f>IF(H3178="","",VLOOKUP(A3178,'6.A'!$A$11:$E$564,4,FALSE))</f>
        <v/>
      </c>
      <c r="K3178" s="382" t="str">
        <f t="shared" si="1364"/>
        <v/>
      </c>
      <c r="L3178" s="382" t="str">
        <f>IF(H3178="","",IF(C3178="","",G3132*C3178))</f>
        <v/>
      </c>
      <c r="M3178" s="117" t="str">
        <f>IF(A3178="","",VLOOKUP(A3178,'6.A'!$A$11:$C$564,2,FALSE))</f>
        <v/>
      </c>
      <c r="N3178" s="381" t="str">
        <f t="shared" si="1365"/>
        <v/>
      </c>
      <c r="O3178" s="56"/>
      <c r="P3178" s="56"/>
      <c r="Q3178" s="48"/>
      <c r="R3178" s="48"/>
    </row>
    <row r="3179" spans="1:23" ht="12.75" customHeight="1" x14ac:dyDescent="0.2">
      <c r="A3179" s="22"/>
      <c r="B3179" s="39" t="str">
        <f>IF(A3179="","",VLOOKUP(A3179,'6.A'!$A$11:$G$180,2,FALSE))</f>
        <v/>
      </c>
      <c r="C3179" s="99"/>
      <c r="D3179" s="381" t="str">
        <f>IF(A3179="","",VLOOKUP(A3179,'6.A'!$A$11:$G$180,4,FALSE))</f>
        <v/>
      </c>
      <c r="E3179" s="100" t="str">
        <f>IF(A3179="","",VLOOKUP(A3179,'6.A'!$A$11:$G$180,5,FALSE))</f>
        <v/>
      </c>
      <c r="F3179" s="24" t="str">
        <f t="shared" si="1362"/>
        <v>0,00</v>
      </c>
      <c r="G3179" s="382"/>
      <c r="H3179" s="382" t="str">
        <f>IF(A3179="","",VLOOKUP(A3179,'6.A'!$A$11:$E$7984,5,FALSE))</f>
        <v/>
      </c>
      <c r="I3179" s="382" t="str">
        <f t="shared" si="1363"/>
        <v/>
      </c>
      <c r="J3179" s="382" t="str">
        <f>IF(H3179="","",VLOOKUP(A3179,'6.A'!$A$11:$E$564,4,FALSE))</f>
        <v/>
      </c>
      <c r="K3179" s="382" t="str">
        <f t="shared" si="1364"/>
        <v/>
      </c>
      <c r="L3179" s="382" t="str">
        <f>IF(H3179="","",IF(C3179="","",G3132*C3179))</f>
        <v/>
      </c>
      <c r="M3179" s="117" t="str">
        <f>IF(A3179="","",VLOOKUP(A3179,'6.A'!$A$11:$C$564,2,FALSE))</f>
        <v/>
      </c>
      <c r="N3179" s="381" t="str">
        <f t="shared" si="1365"/>
        <v/>
      </c>
      <c r="O3179" s="56"/>
      <c r="P3179" s="56"/>
      <c r="Q3179" s="48"/>
      <c r="R3179" s="48"/>
    </row>
    <row r="3180" spans="1:23" ht="12.75" customHeight="1" x14ac:dyDescent="0.2">
      <c r="A3180" s="22"/>
      <c r="B3180" s="39" t="str">
        <f>IF(A3180="","",VLOOKUP(A3180,'6.A'!$A$11:$G$180,2,FALSE))</f>
        <v/>
      </c>
      <c r="C3180" s="99"/>
      <c r="D3180" s="381" t="str">
        <f>IF(A3180="","",VLOOKUP(A3180,'6.A'!$A$11:$G$180,4,FALSE))</f>
        <v/>
      </c>
      <c r="E3180" s="100" t="str">
        <f>IF(A3180="","",VLOOKUP(A3180,'6.A'!$A$11:$G$180,5,FALSE))</f>
        <v/>
      </c>
      <c r="F3180" s="24" t="str">
        <f t="shared" si="1362"/>
        <v>0,00</v>
      </c>
      <c r="G3180" s="382"/>
      <c r="H3180" s="382" t="str">
        <f>IF(A3180="","",VLOOKUP(A3180,'6.A'!$A$11:$E$7984,5,FALSE))</f>
        <v/>
      </c>
      <c r="I3180" s="382" t="str">
        <f t="shared" si="1363"/>
        <v/>
      </c>
      <c r="J3180" s="382" t="str">
        <f>IF(H3180="","",VLOOKUP(A3180,'6.A'!$A$11:$E$564,4,FALSE))</f>
        <v/>
      </c>
      <c r="K3180" s="382" t="str">
        <f t="shared" si="1364"/>
        <v/>
      </c>
      <c r="L3180" s="382" t="str">
        <f>IF(H3180="","",IF(C3180="","",G3132*C3180))</f>
        <v/>
      </c>
      <c r="M3180" s="117" t="str">
        <f>IF(A3180="","",VLOOKUP(A3180,'6.A'!$A$11:$C$564,2,FALSE))</f>
        <v/>
      </c>
      <c r="N3180" s="381" t="str">
        <f t="shared" si="1365"/>
        <v/>
      </c>
      <c r="O3180" s="56"/>
      <c r="P3180" s="56"/>
      <c r="Q3180" s="48"/>
      <c r="R3180" s="48"/>
    </row>
    <row r="3181" spans="1:23" ht="12.75" customHeight="1" x14ac:dyDescent="0.2">
      <c r="A3181" s="22"/>
      <c r="B3181" s="26" t="str">
        <f>$A$9</f>
        <v>BDI</v>
      </c>
      <c r="C3181" s="40">
        <f>$C$9</f>
        <v>0</v>
      </c>
      <c r="D3181" s="381"/>
      <c r="F3181" s="28">
        <f>ROUND(SUM(F3161:F3180)*C3181,2)</f>
        <v>0</v>
      </c>
      <c r="G3181" s="63"/>
      <c r="H3181" s="382"/>
      <c r="I3181" s="381"/>
      <c r="J3181" s="381"/>
      <c r="K3181" s="381"/>
      <c r="L3181" s="382"/>
      <c r="M3181" s="381"/>
      <c r="N3181" s="381"/>
      <c r="O3181" s="56"/>
      <c r="P3181" s="56"/>
      <c r="Q3181" s="48"/>
      <c r="R3181" s="48"/>
    </row>
    <row r="3182" spans="1:23" ht="12.75" customHeight="1" thickBot="1" x14ac:dyDescent="0.25">
      <c r="A3182" s="41"/>
      <c r="B3182" s="42" t="s">
        <v>57</v>
      </c>
      <c r="C3182" s="43"/>
      <c r="D3182" s="44"/>
      <c r="E3182" s="45"/>
      <c r="F3182" s="46">
        <f>ROUND(SUM(F3161:F3181),2)</f>
        <v>0</v>
      </c>
      <c r="G3182" s="63"/>
      <c r="H3182" s="382"/>
      <c r="I3182" s="381"/>
      <c r="J3182" s="381"/>
      <c r="K3182" s="381"/>
      <c r="L3182" s="382"/>
      <c r="M3182" s="381"/>
      <c r="N3182" s="381"/>
      <c r="O3182" s="56"/>
      <c r="P3182" s="56"/>
      <c r="Q3182" s="48"/>
      <c r="R3182" s="48"/>
    </row>
    <row r="3183" spans="1:23" ht="12" customHeight="1" thickBot="1" x14ac:dyDescent="0.25">
      <c r="A3183" s="8"/>
      <c r="B3183" s="9"/>
      <c r="C3183" s="10"/>
      <c r="D3183" s="381"/>
      <c r="F3183" s="12"/>
      <c r="H3183" s="382"/>
      <c r="I3183" s="381"/>
      <c r="J3183" s="381"/>
      <c r="K3183" s="381"/>
      <c r="L3183" s="382"/>
      <c r="M3183" s="381"/>
      <c r="N3183" s="381"/>
      <c r="O3183" s="56"/>
      <c r="P3183" s="56"/>
    </row>
    <row r="3184" spans="1:23" ht="50.1" customHeight="1" x14ac:dyDescent="0.2">
      <c r="A3184" s="13" t="str">
        <f>'3.A'!$A$71</f>
        <v>3.4.2</v>
      </c>
      <c r="B3184" s="14" t="str">
        <f>IF(A3184="","",VLOOKUP(A3184,'3.A'!$A$17:$M$279,2,FALSE))</f>
        <v>DISJUNTOR TRIPOLAR TIPO DIN, CORRENTE NOMINAL DE 32A</v>
      </c>
      <c r="C3184" s="413" t="s">
        <v>62</v>
      </c>
      <c r="D3184" s="413"/>
      <c r="E3184" s="15" t="str">
        <f>IF(A3184="","",VLOOKUP(A3184,'3.A'!$A$17:$M$279,3,FALSE))</f>
        <v>UN</v>
      </c>
      <c r="F3184" s="16">
        <f>ROUND(F3198+F3211+F3234,2)</f>
        <v>0</v>
      </c>
      <c r="G3184" s="118">
        <f>VLOOKUP(A3184,'3.A'!$A$19:$I$279,4,FALSE)</f>
        <v>6</v>
      </c>
      <c r="H3184" s="47">
        <f>SUM(F3186:F3197)</f>
        <v>0</v>
      </c>
      <c r="I3184" s="47">
        <f>SUM(F3200:F3210)</f>
        <v>0</v>
      </c>
      <c r="J3184" s="47">
        <f>SUM(F3213:F3233)</f>
        <v>0</v>
      </c>
      <c r="K3184" s="47">
        <f>SUM(H3184:J3184)</f>
        <v>0</v>
      </c>
      <c r="L3184" s="47" t="str">
        <f>IF(K3184=F3184,"SIM","NÃO")</f>
        <v>SIM</v>
      </c>
      <c r="M3184" s="58">
        <f>ROUND(SUM(F3186:F3195)*C3196,2)+ROUND(SUM(F3186:F3196)*C3197,2)+ROUND(SUM(F3186:F3195),2)+ROUND(SUM(F3200:F3209)*C3210,2)+ROUND(SUM(F3200:F3209),2)+ROUND(SUM(F3213:F3232)*C3233,2)+ROUND(SUM(F3213:F3232),2)</f>
        <v>0</v>
      </c>
      <c r="N3184" s="50" t="str">
        <f>IF(M3184=F3184,"SIM","NÃO")</f>
        <v>SIM</v>
      </c>
      <c r="O3184" s="51" t="str">
        <f>VLOOKUP(A3184,'3.A'!$A$8:$E$279,3,FALSE)</f>
        <v>UN</v>
      </c>
      <c r="P3184" s="51" t="str">
        <f>IF(O3184=E3184,"SIM","NÃO")</f>
        <v>SIM</v>
      </c>
      <c r="Q3184" s="53">
        <f>ROUND(G3184*F3198,2)+ROUND(G3184*F3211,2)+ROUND(G3184*F3234,2)</f>
        <v>0</v>
      </c>
      <c r="R3184" s="59">
        <f>VLOOKUP(A3184,'3.A'!$A$17:$L$279,12,FALSE)</f>
        <v>0</v>
      </c>
      <c r="S3184" s="60" t="str">
        <f>IF(Q3184=R3184,"si","no")</f>
        <v>si</v>
      </c>
      <c r="T3184" s="61">
        <f>SUM(L3186:L3195)+SUM(L3200:L3209)+SUM(L3213:L3232)</f>
        <v>27.124524000000001</v>
      </c>
      <c r="U3184" s="382">
        <f>G3184*C3192+G3184*C3194+G3184*C3187+G3184*C3188+G3184*C3190+G3184*C3193+G3184*C3191+G3184*C3186+G3184*C3189+G3184*C3195+G3184*C3206+G3184*C3200+G3184*C3208+G3184*C3207+G3184*C3205+G3184*C3202+G3184*C3201+G3184*C3203+G3184*C3209+G3184*C3204+G3184*C3213+G3184*C3214+G3184*C3215+G3184*C3223+G3184*C3224+G3184*C3225+G3184*C3226+G3184*C3227+G3184*C3228+G3184*C3229+G3184*C3230+G3184*C3231+G3184*C3232+G3184*C3221+G3184*C3222+G3184*C3216+G3184*C3217+G3184*C3218+G3184*C3219+G3184*C3220</f>
        <v>27.124524000000001</v>
      </c>
      <c r="V3184" s="54" t="str">
        <f>IF(T3184=U3184,"si","no")</f>
        <v>si</v>
      </c>
      <c r="W3184" s="137"/>
    </row>
    <row r="3185" spans="1:19" ht="12.75" customHeight="1" x14ac:dyDescent="0.2">
      <c r="A3185" s="17" t="s">
        <v>3</v>
      </c>
      <c r="B3185" s="18" t="s">
        <v>58</v>
      </c>
      <c r="C3185" s="56" t="s">
        <v>59</v>
      </c>
      <c r="D3185" s="56" t="s">
        <v>16</v>
      </c>
      <c r="E3185" s="19" t="s">
        <v>60</v>
      </c>
      <c r="F3185" s="20" t="s">
        <v>61</v>
      </c>
      <c r="G3185" s="21"/>
      <c r="H3185" s="382"/>
      <c r="I3185" s="381"/>
      <c r="J3185" s="381"/>
      <c r="K3185" s="381"/>
      <c r="L3185" s="382"/>
      <c r="M3185" s="381"/>
      <c r="N3185" s="381"/>
      <c r="O3185" s="56"/>
      <c r="P3185" s="56"/>
      <c r="Q3185" s="48"/>
      <c r="R3185" s="48"/>
    </row>
    <row r="3186" spans="1:19" ht="12.75" customHeight="1" x14ac:dyDescent="0.2">
      <c r="A3186" s="155">
        <f>'6.A'!$A$18</f>
        <v>88264</v>
      </c>
      <c r="B3186" s="138" t="str">
        <f>IF(A3186="","",VLOOKUP(A3186,'6.A'!$A$11:$G$180,2,FALSE))</f>
        <v>ELETRICISTA COM ENCARGOS COMPLEMENTARES</v>
      </c>
      <c r="C3186" s="156">
        <v>0.26037700000000003</v>
      </c>
      <c r="D3186" s="381" t="str">
        <f>IF(A3186="","",VLOOKUP(A3186,'6.A'!$A$11:$G$180,4,FALSE))</f>
        <v>H</v>
      </c>
      <c r="E3186" s="100">
        <f>IF(A3186="","",VLOOKUP(A3186,'6.A'!$A$11:$G$180,5,FALSE))</f>
        <v>0</v>
      </c>
      <c r="F3186" s="24">
        <f t="shared" ref="F3186:F3195" si="1366">IF(A3186="","0,00",ROUND(C3186*E3186,2))</f>
        <v>0</v>
      </c>
      <c r="G3186" s="382"/>
      <c r="H3186" s="382">
        <f>IF(A3186="","",VLOOKUP(A3186,'6.A'!$A$11:$E$7984,5,FALSE))</f>
        <v>0</v>
      </c>
      <c r="I3186" s="382" t="str">
        <f>IF(H3186="","",IF(E3186=H3186,"SIM","NÃO"))</f>
        <v>SIM</v>
      </c>
      <c r="J3186" s="382" t="str">
        <f>IF(H3186="","",VLOOKUP(A3186,'6.A'!$A$11:$E$564,4,FALSE))</f>
        <v>H</v>
      </c>
      <c r="K3186" s="382" t="str">
        <f>IF(H3186="","",IF(J3186=D3186,"SIM","NÃO"))</f>
        <v>SIM</v>
      </c>
      <c r="L3186" s="382">
        <f>IF(H3186="","",IF(C3186="","",G3184*C3186))</f>
        <v>1.562262</v>
      </c>
      <c r="M3186" s="117" t="str">
        <f>IF(A3186="","",VLOOKUP(A3186,'6.A'!$A$11:$C$564,2,FALSE))</f>
        <v>ELETRICISTA COM ENCARGOS COMPLEMENTARES</v>
      </c>
      <c r="N3186" s="381" t="str">
        <f>IF(A3186="","",IF(M3186=B3186,"si","no"))</f>
        <v>si</v>
      </c>
      <c r="O3186" s="56"/>
      <c r="P3186" s="56"/>
      <c r="Q3186" s="48"/>
      <c r="R3186" s="48"/>
    </row>
    <row r="3187" spans="1:19" ht="12.75" customHeight="1" x14ac:dyDescent="0.2">
      <c r="A3187" s="155">
        <f>'6.A'!$A$15</f>
        <v>88247</v>
      </c>
      <c r="B3187" s="138" t="str">
        <f>IF(A3187="","",VLOOKUP(A3187,'6.A'!$A$11:$G$180,2,FALSE))</f>
        <v>AUXILIAR DE ELETRICISTA COM ENCARGOS COMPLEMENTARES</v>
      </c>
      <c r="C3187" s="156">
        <v>0.26037700000000003</v>
      </c>
      <c r="D3187" s="381" t="str">
        <f>IF(A3187="","",VLOOKUP(A3187,'6.A'!$A$11:$G$180,4,FALSE))</f>
        <v>H</v>
      </c>
      <c r="E3187" s="100">
        <f>IF(A3187="","",VLOOKUP(A3187,'6.A'!$A$11:$G$180,5,FALSE))</f>
        <v>0</v>
      </c>
      <c r="F3187" s="24">
        <f t="shared" si="1366"/>
        <v>0</v>
      </c>
      <c r="G3187" s="382"/>
      <c r="H3187" s="382">
        <f>IF(A3187="","",VLOOKUP(A3187,'6.A'!$A$11:$E$7984,5,FALSE))</f>
        <v>0</v>
      </c>
      <c r="I3187" s="382" t="str">
        <f>IF(H3187="","",IF(E3187=H3187,"SIM","NÃO"))</f>
        <v>SIM</v>
      </c>
      <c r="J3187" s="382" t="str">
        <f>IF(H3187="","",VLOOKUP(A3187,'6.A'!$A$11:$E$564,4,FALSE))</f>
        <v>H</v>
      </c>
      <c r="K3187" s="382" t="str">
        <f>IF(H3187="","",IF(J3187=D3187,"SIM","NÃO"))</f>
        <v>SIM</v>
      </c>
      <c r="L3187" s="382">
        <f>IF(H3187="","",IF(C3187="","",G3184*C3187))</f>
        <v>1.562262</v>
      </c>
      <c r="M3187" s="117" t="str">
        <f>IF(A3187="","",VLOOKUP(A3187,'6.A'!$A$11:$C$564,2,FALSE))</f>
        <v>AUXILIAR DE ELETRICISTA COM ENCARGOS COMPLEMENTARES</v>
      </c>
      <c r="N3187" s="381" t="str">
        <f>IF(A3187="","",IF(M3187=B3187,"si","no"))</f>
        <v>si</v>
      </c>
      <c r="O3187" s="56"/>
      <c r="P3187" s="56"/>
      <c r="Q3187" s="48"/>
      <c r="R3187" s="48"/>
    </row>
    <row r="3188" spans="1:19" ht="12.75" customHeight="1" x14ac:dyDescent="0.2">
      <c r="A3188" s="155"/>
      <c r="B3188" s="138" t="str">
        <f>IF(A3188="","",VLOOKUP(A3188,'6.A'!$A$11:$G$180,2,FALSE))</f>
        <v/>
      </c>
      <c r="C3188" s="156"/>
      <c r="D3188" s="381" t="str">
        <f>IF(A3188="","",VLOOKUP(A3188,'6.A'!$A$11:$G$180,4,FALSE))</f>
        <v/>
      </c>
      <c r="E3188" s="100" t="str">
        <f>IF(A3188="","",VLOOKUP(A3188,'6.A'!$A$11:$G$180,5,FALSE))</f>
        <v/>
      </c>
      <c r="F3188" s="24" t="str">
        <f t="shared" si="1366"/>
        <v>0,00</v>
      </c>
      <c r="G3188" s="382"/>
      <c r="H3188" s="382" t="str">
        <f>IF(A3188="","",VLOOKUP(A3188,'6.A'!$A$11:$E$7984,5,FALSE))</f>
        <v/>
      </c>
      <c r="I3188" s="382" t="str">
        <f>IF(H3188="","",IF(E3188=H3188,"SIM","NÃO"))</f>
        <v/>
      </c>
      <c r="J3188" s="382" t="str">
        <f>IF(H3188="","",VLOOKUP(A3188,'6.A'!$A$11:$E$564,4,FALSE))</f>
        <v/>
      </c>
      <c r="K3188" s="382" t="str">
        <f t="shared" ref="K3188" si="1367">IF(H3188="","",IF(J3188=D3188,"SIM","NÃO"))</f>
        <v/>
      </c>
      <c r="L3188" s="382" t="str">
        <f>IF(H3188="","",IF(C3188="","",G3184*C3188))</f>
        <v/>
      </c>
      <c r="M3188" s="117" t="str">
        <f>IF(A3188="","",VLOOKUP(A3188,'6.A'!$A$11:$C$564,2,FALSE))</f>
        <v/>
      </c>
      <c r="N3188" s="381" t="str">
        <f t="shared" ref="N3188" si="1368">IF(A3188="","",IF(M3188=B3188,"si","no"))</f>
        <v/>
      </c>
      <c r="O3188" s="56"/>
      <c r="P3188" s="56"/>
      <c r="Q3188" s="48"/>
      <c r="R3188" s="48"/>
      <c r="S3188" s="2"/>
    </row>
    <row r="3189" spans="1:19" ht="12.75" customHeight="1" x14ac:dyDescent="0.2">
      <c r="A3189" s="155"/>
      <c r="B3189" s="138" t="str">
        <f>IF(A3189="","",VLOOKUP(A3189,'6.A'!$A$11:$G$180,2,FALSE))</f>
        <v/>
      </c>
      <c r="C3189" s="156"/>
      <c r="D3189" s="381" t="str">
        <f>IF(A3189="","",VLOOKUP(A3189,'6.A'!$A$11:$G$180,4,FALSE))</f>
        <v/>
      </c>
      <c r="E3189" s="100" t="str">
        <f>IF(A3189="","",VLOOKUP(A3189,'6.A'!$A$11:$G$180,5,FALSE))</f>
        <v/>
      </c>
      <c r="F3189" s="24" t="str">
        <f t="shared" si="1366"/>
        <v>0,00</v>
      </c>
      <c r="G3189" s="382"/>
      <c r="H3189" s="382" t="str">
        <f>IF(A3189="","",VLOOKUP(A3189,'6.A'!$A$11:$E$7984,5,FALSE))</f>
        <v/>
      </c>
      <c r="I3189" s="382" t="str">
        <f>IF(H3189="","",IF(E3189=H3189,"SIM","NÃO"))</f>
        <v/>
      </c>
      <c r="J3189" s="382" t="str">
        <f>IF(H3189="","",VLOOKUP(A3189,'6.A'!$A$11:$E$564,4,FALSE))</f>
        <v/>
      </c>
      <c r="K3189" s="382" t="str">
        <f>IF(H3189="","",IF(J3189=D3189,"SIM","NÃO"))</f>
        <v/>
      </c>
      <c r="L3189" s="382" t="str">
        <f>IF(H3189="","",IF(C3189="","",G3184*C3189))</f>
        <v/>
      </c>
      <c r="M3189" s="117" t="str">
        <f>IF(A3189="","",VLOOKUP(A3189,'6.A'!$A$11:$C$564,2,FALSE))</f>
        <v/>
      </c>
      <c r="N3189" s="381" t="str">
        <f>IF(A3189="","",IF(M3189=B3189,"si","no"))</f>
        <v/>
      </c>
      <c r="O3189" s="56"/>
      <c r="P3189" s="56"/>
      <c r="Q3189" s="48"/>
      <c r="R3189" s="48"/>
      <c r="S3189" s="2"/>
    </row>
    <row r="3190" spans="1:19" ht="12.75" customHeight="1" x14ac:dyDescent="0.2">
      <c r="A3190" s="155"/>
      <c r="B3190" s="138" t="str">
        <f>IF(A3190="","",VLOOKUP(A3190,'6.A'!$A$11:$G$180,2,FALSE))</f>
        <v/>
      </c>
      <c r="C3190" s="156"/>
      <c r="D3190" s="381" t="str">
        <f>IF(A3190="","",VLOOKUP(A3190,'6.A'!$A$11:$G$180,4,FALSE))</f>
        <v/>
      </c>
      <c r="E3190" s="101" t="str">
        <f>IF(A3190="","",VLOOKUP(A3190,'6.A'!$A$11:$G$180,5,FALSE))</f>
        <v/>
      </c>
      <c r="F3190" s="24" t="str">
        <f t="shared" si="1366"/>
        <v>0,00</v>
      </c>
      <c r="G3190" s="382"/>
      <c r="H3190" s="382" t="str">
        <f>IF(A3190="","",VLOOKUP(A3190,'6.A'!$A$11:$E$7984,5,FALSE))</f>
        <v/>
      </c>
      <c r="I3190" s="382" t="str">
        <f t="shared" ref="I3190" si="1369">IF(H3190="","",IF(E3190=H3190,"SIM","NÃO"))</f>
        <v/>
      </c>
      <c r="J3190" s="382" t="str">
        <f>IF(H3190="","",VLOOKUP(A3190,'6.A'!$A$11:$E$564,4,FALSE))</f>
        <v/>
      </c>
      <c r="K3190" s="382" t="str">
        <f t="shared" ref="K3190" si="1370">IF(H3190="","",IF(J3190=D3190,"SIM","NÃO"))</f>
        <v/>
      </c>
      <c r="L3190" s="382" t="str">
        <f>IF(H3190="","",IF(C3190="","",G3184*C3190))</f>
        <v/>
      </c>
      <c r="M3190" s="117" t="str">
        <f>IF(A3190="","",VLOOKUP(A3190,'6.A'!$A$11:$C$564,2,FALSE))</f>
        <v/>
      </c>
      <c r="N3190" s="381" t="str">
        <f t="shared" ref="N3190" si="1371">IF(A3190="","",IF(M3190=B3190,"si","no"))</f>
        <v/>
      </c>
      <c r="O3190" s="56"/>
      <c r="P3190" s="56"/>
      <c r="Q3190" s="48"/>
      <c r="R3190" s="48"/>
      <c r="S3190" s="2"/>
    </row>
    <row r="3191" spans="1:19" ht="12.75" customHeight="1" x14ac:dyDescent="0.2">
      <c r="A3191" s="155"/>
      <c r="B3191" s="138" t="str">
        <f>IF(A3191="","",VLOOKUP(A3191,'6.A'!$A$11:$G$180,2,FALSE))</f>
        <v/>
      </c>
      <c r="C3191" s="156"/>
      <c r="D3191" s="381" t="str">
        <f>IF(A3191="","",VLOOKUP(A3191,'6.A'!$A$11:$G$180,4,FALSE))</f>
        <v/>
      </c>
      <c r="E3191" s="101" t="str">
        <f>IF(A3191="","",VLOOKUP(A3191,'6.A'!$A$11:$G$180,5,FALSE))</f>
        <v/>
      </c>
      <c r="F3191" s="24" t="str">
        <f t="shared" si="1366"/>
        <v>0,00</v>
      </c>
      <c r="G3191" s="382"/>
      <c r="H3191" s="382" t="str">
        <f>IF(A3191="","",VLOOKUP(A3191,'6.A'!$A$11:$E$7984,5,FALSE))</f>
        <v/>
      </c>
      <c r="I3191" s="382" t="str">
        <f>IF(H3191="","",IF(E3191=H3191,"SIM","NÃO"))</f>
        <v/>
      </c>
      <c r="J3191" s="382" t="str">
        <f>IF(H3191="","",VLOOKUP(A3191,'6.A'!$A$11:$E$564,4,FALSE))</f>
        <v/>
      </c>
      <c r="K3191" s="382" t="str">
        <f>IF(H3191="","",IF(J3191=D3191,"SIM","NÃO"))</f>
        <v/>
      </c>
      <c r="L3191" s="382" t="str">
        <f>IF(H3191="","",IF(C3191="","",G3184*C3191))</f>
        <v/>
      </c>
      <c r="M3191" s="117" t="str">
        <f>IF(A3191="","",VLOOKUP(A3191,'6.A'!$A$11:$C$564,2,FALSE))</f>
        <v/>
      </c>
      <c r="N3191" s="381" t="str">
        <f>IF(A3191="","",IF(M3191=B3191,"si","no"))</f>
        <v/>
      </c>
      <c r="O3191" s="56"/>
      <c r="P3191" s="56"/>
      <c r="Q3191" s="48"/>
      <c r="R3191" s="48"/>
      <c r="S3191" s="2"/>
    </row>
    <row r="3192" spans="1:19" ht="12.75" customHeight="1" x14ac:dyDescent="0.2">
      <c r="A3192" s="155"/>
      <c r="B3192" s="138" t="str">
        <f>IF(A3192="","",VLOOKUP(A3192,'6.A'!$A$11:$G$180,2,FALSE))</f>
        <v/>
      </c>
      <c r="C3192" s="156"/>
      <c r="D3192" s="381" t="str">
        <f>IF(A3192="","",VLOOKUP(A3192,'6.A'!$A$11:$G$180,4,FALSE))</f>
        <v/>
      </c>
      <c r="E3192" s="100" t="str">
        <f>IF(A3192="","",VLOOKUP(A3192,'6.A'!$A$11:$G$180,5,FALSE))</f>
        <v/>
      </c>
      <c r="F3192" s="24" t="str">
        <f t="shared" si="1366"/>
        <v>0,00</v>
      </c>
      <c r="G3192" s="382"/>
      <c r="H3192" s="382" t="str">
        <f>IF(A3192="","",VLOOKUP(A3192,'6.A'!$A$11:$E$7984,5,FALSE))</f>
        <v/>
      </c>
      <c r="I3192" s="382" t="str">
        <f>IF(H3192="","",IF(E3192=H3192,"SIM","NÃO"))</f>
        <v/>
      </c>
      <c r="J3192" s="382" t="str">
        <f>IF(H3192="","",VLOOKUP(A3192,'6.A'!$A$11:$E$564,4,FALSE))</f>
        <v/>
      </c>
      <c r="K3192" s="382" t="str">
        <f>IF(H3192="","",IF(J3192=D3192,"SIM","NÃO"))</f>
        <v/>
      </c>
      <c r="L3192" s="382" t="str">
        <f>IF(H3192="","",IF(C3192="","",G3184*C3192))</f>
        <v/>
      </c>
      <c r="M3192" s="117" t="str">
        <f>IF(A3192="","",VLOOKUP(A3192,'6.A'!$A$11:$C$564,2,FALSE))</f>
        <v/>
      </c>
      <c r="N3192" s="381" t="str">
        <f>IF(A3192="","",IF(M3192=B3192,"si","no"))</f>
        <v/>
      </c>
      <c r="O3192" s="56"/>
      <c r="P3192" s="56"/>
      <c r="Q3192" s="48"/>
      <c r="R3192" s="48"/>
      <c r="S3192" s="2"/>
    </row>
    <row r="3193" spans="1:19" ht="12.75" customHeight="1" x14ac:dyDescent="0.2">
      <c r="A3193" s="155"/>
      <c r="B3193" s="138" t="str">
        <f>IF(A3193="","",VLOOKUP(A3193,'6.A'!$A$11:$G$180,2,FALSE))</f>
        <v/>
      </c>
      <c r="C3193" s="156"/>
      <c r="D3193" s="381" t="str">
        <f>IF(A3193="","",VLOOKUP(A3193,'6.A'!$A$11:$G$180,4,FALSE))</f>
        <v/>
      </c>
      <c r="E3193" s="100" t="str">
        <f>IF(A3193="","",VLOOKUP(A3193,'6.A'!$A$11:$G$180,5,FALSE))</f>
        <v/>
      </c>
      <c r="F3193" s="24" t="str">
        <f t="shared" si="1366"/>
        <v>0,00</v>
      </c>
      <c r="G3193" s="382"/>
      <c r="H3193" s="382" t="str">
        <f>IF(A3193="","",VLOOKUP(A3193,'6.A'!$A$11:$E$7984,5,FALSE))</f>
        <v/>
      </c>
      <c r="I3193" s="382" t="str">
        <f t="shared" ref="I3193" si="1372">IF(H3193="","",IF(E3193=H3193,"SIM","NÃO"))</f>
        <v/>
      </c>
      <c r="J3193" s="382" t="str">
        <f>IF(H3193="","",VLOOKUP(A3193,'6.A'!$A$11:$E$564,4,FALSE))</f>
        <v/>
      </c>
      <c r="K3193" s="382" t="str">
        <f t="shared" ref="K3193" si="1373">IF(H3193="","",IF(J3193=D3193,"SIM","NÃO"))</f>
        <v/>
      </c>
      <c r="L3193" s="382" t="str">
        <f>IF(H3193="","",IF(C3193="","",G3184*C3193))</f>
        <v/>
      </c>
      <c r="M3193" s="117" t="str">
        <f>IF(A3193="","",VLOOKUP(A3193,'6.A'!$A$11:$C$564,2,FALSE))</f>
        <v/>
      </c>
      <c r="N3193" s="381" t="str">
        <f t="shared" ref="N3193" si="1374">IF(A3193="","",IF(M3193=B3193,"si","no"))</f>
        <v/>
      </c>
      <c r="O3193" s="56"/>
      <c r="P3193" s="56"/>
      <c r="Q3193" s="48"/>
      <c r="R3193" s="48"/>
      <c r="S3193" s="2"/>
    </row>
    <row r="3194" spans="1:19" ht="12.75" customHeight="1" x14ac:dyDescent="0.2">
      <c r="A3194" s="155"/>
      <c r="B3194" s="138" t="str">
        <f>IF(A3194="","",VLOOKUP(A3194,'6.A'!$A$11:$G$180,2,FALSE))</f>
        <v/>
      </c>
      <c r="C3194" s="156"/>
      <c r="D3194" s="73" t="str">
        <f>IF(A3194="","",VLOOKUP(A3194,'6.A'!$A$11:$G$180,4,FALSE))</f>
        <v/>
      </c>
      <c r="E3194" s="101" t="str">
        <f>IF(A3194="","",VLOOKUP(A3194,'6.A'!$A$11:$G$180,5,FALSE))</f>
        <v/>
      </c>
      <c r="F3194" s="24" t="str">
        <f t="shared" si="1366"/>
        <v>0,00</v>
      </c>
      <c r="G3194" s="382"/>
      <c r="H3194" s="382" t="str">
        <f>IF(A3194="","",VLOOKUP(A3194,'6.A'!$A$11:$E$7984,5,FALSE))</f>
        <v/>
      </c>
      <c r="I3194" s="382" t="str">
        <f>IF(H3194="","",IF(E3194=H3194,"SIM","NÃO"))</f>
        <v/>
      </c>
      <c r="J3194" s="382" t="str">
        <f>IF(H3194="","",VLOOKUP(A3194,'6.A'!$A$11:$E$564,4,FALSE))</f>
        <v/>
      </c>
      <c r="K3194" s="382" t="str">
        <f>IF(H3194="","",IF(J3194=D3194,"SIM","NÃO"))</f>
        <v/>
      </c>
      <c r="L3194" s="382" t="str">
        <f>IF(H3194="","",IF(C3194="","",G3184*C3194))</f>
        <v/>
      </c>
      <c r="M3194" s="117" t="str">
        <f>IF(A3194="","",VLOOKUP(A3194,'6.A'!$A$11:$C$564,2,FALSE))</f>
        <v/>
      </c>
      <c r="N3194" s="381" t="str">
        <f>IF(A3194="","",IF(M3194=B3194,"si","no"))</f>
        <v/>
      </c>
      <c r="O3194" s="56"/>
      <c r="P3194" s="56"/>
      <c r="Q3194" s="48"/>
      <c r="R3194" s="48"/>
      <c r="S3194" s="2"/>
    </row>
    <row r="3195" spans="1:19" ht="12.75" customHeight="1" x14ac:dyDescent="0.2">
      <c r="A3195" s="155"/>
      <c r="B3195" s="138" t="str">
        <f>IF(A3195="","",VLOOKUP(A3195,'6.A'!$A$11:$G$180,2,FALSE))</f>
        <v/>
      </c>
      <c r="C3195" s="156"/>
      <c r="D3195" s="25" t="str">
        <f>IF(A3195="","",VLOOKUP(A3195,'6.A'!$A$11:$G$180,4,FALSE))</f>
        <v/>
      </c>
      <c r="E3195" s="101" t="str">
        <f>IF(A3195="","",VLOOKUP(A3195,'6.A'!$A$11:$G$180,5,FALSE))</f>
        <v/>
      </c>
      <c r="F3195" s="24" t="str">
        <f t="shared" si="1366"/>
        <v>0,00</v>
      </c>
      <c r="G3195" s="382"/>
      <c r="H3195" s="382" t="str">
        <f>IF(A3195="","",VLOOKUP(A3195,'6.A'!$A$11:$E$7984,5,FALSE))</f>
        <v/>
      </c>
      <c r="I3195" s="382" t="str">
        <f t="shared" ref="I3195" si="1375">IF(H3195="","",IF(E3195=H3195,"SIM","NÃO"))</f>
        <v/>
      </c>
      <c r="J3195" s="382" t="str">
        <f>IF(H3195="","",VLOOKUP(A3195,'6.A'!$A$11:$E$564,4,FALSE))</f>
        <v/>
      </c>
      <c r="K3195" s="382" t="str">
        <f t="shared" ref="K3195" si="1376">IF(H3195="","",IF(J3195=D3195,"SIM","NÃO"))</f>
        <v/>
      </c>
      <c r="L3195" s="382" t="str">
        <f>IF(H3195="","",IF(C3195="","",G3184*C3195))</f>
        <v/>
      </c>
      <c r="M3195" s="117" t="str">
        <f>IF(A3195="","",VLOOKUP(A3195,'6.A'!$A$11:$C$564,2,FALSE))</f>
        <v/>
      </c>
      <c r="N3195" s="381" t="str">
        <f t="shared" ref="N3195" si="1377">IF(A3195="","",IF(M3195=B3195,"si","no"))</f>
        <v/>
      </c>
      <c r="O3195" s="56"/>
      <c r="P3195" s="56"/>
      <c r="Q3195" s="48"/>
      <c r="R3195" s="48"/>
      <c r="S3195" s="2"/>
    </row>
    <row r="3196" spans="1:19" ht="12.75" customHeight="1" x14ac:dyDescent="0.2">
      <c r="A3196" s="152"/>
      <c r="B3196" s="26" t="str">
        <f>$A$8</f>
        <v>LEIS SOCIAIS HORISTA - JORNADA NORMAL</v>
      </c>
      <c r="C3196" s="27">
        <f>$C$8</f>
        <v>0</v>
      </c>
      <c r="D3196" s="381"/>
      <c r="F3196" s="28">
        <f>ROUND(SUM(F3186:F3195)*C3196,2)</f>
        <v>0</v>
      </c>
      <c r="G3196" s="63"/>
      <c r="H3196" s="382"/>
      <c r="I3196" s="381"/>
      <c r="J3196" s="381"/>
      <c r="K3196" s="381"/>
      <c r="L3196" s="382"/>
      <c r="M3196" s="62"/>
      <c r="N3196" s="381"/>
      <c r="O3196" s="56"/>
      <c r="P3196" s="56"/>
      <c r="Q3196" s="48"/>
      <c r="R3196" s="48"/>
      <c r="S3196" s="2"/>
    </row>
    <row r="3197" spans="1:19" ht="12.75" customHeight="1" x14ac:dyDescent="0.2">
      <c r="A3197" s="155"/>
      <c r="B3197" s="26" t="str">
        <f>$A$9</f>
        <v>BDI</v>
      </c>
      <c r="C3197" s="27">
        <f>$C$9</f>
        <v>0</v>
      </c>
      <c r="D3197" s="29"/>
      <c r="F3197" s="28">
        <f>ROUND(SUM(F3186:F3196)*C3197,2)</f>
        <v>0</v>
      </c>
      <c r="G3197" s="63"/>
      <c r="H3197" s="382"/>
      <c r="I3197" s="381"/>
      <c r="J3197" s="381"/>
      <c r="K3197" s="381"/>
      <c r="L3197" s="382"/>
      <c r="M3197" s="62"/>
      <c r="N3197" s="381"/>
      <c r="O3197" s="56"/>
      <c r="P3197" s="56"/>
      <c r="Q3197" s="48"/>
      <c r="R3197" s="48"/>
      <c r="S3197" s="2"/>
    </row>
    <row r="3198" spans="1:19" ht="12.75" customHeight="1" x14ac:dyDescent="0.2">
      <c r="A3198" s="163"/>
      <c r="B3198" s="164" t="s">
        <v>56</v>
      </c>
      <c r="C3198" s="165"/>
      <c r="D3198" s="33"/>
      <c r="E3198" s="34"/>
      <c r="F3198" s="35">
        <f>ROUND(SUM(F3186:F3197),2)</f>
        <v>0</v>
      </c>
      <c r="G3198" s="63"/>
      <c r="H3198" s="382"/>
      <c r="I3198" s="381"/>
      <c r="J3198" s="381"/>
      <c r="K3198" s="381"/>
      <c r="L3198" s="382"/>
      <c r="M3198" s="62"/>
      <c r="N3198" s="381"/>
      <c r="O3198" s="56"/>
      <c r="P3198" s="56"/>
      <c r="Q3198" s="48"/>
      <c r="R3198" s="48"/>
      <c r="S3198" s="2"/>
    </row>
    <row r="3199" spans="1:19" ht="12.75" customHeight="1" x14ac:dyDescent="0.2">
      <c r="A3199" s="152" t="s">
        <v>5</v>
      </c>
      <c r="B3199" s="153" t="s">
        <v>130</v>
      </c>
      <c r="C3199" s="140" t="s">
        <v>59</v>
      </c>
      <c r="D3199" s="56" t="s">
        <v>16</v>
      </c>
      <c r="E3199" s="19" t="s">
        <v>60</v>
      </c>
      <c r="F3199" s="20" t="s">
        <v>61</v>
      </c>
      <c r="G3199" s="21"/>
      <c r="H3199" s="382"/>
      <c r="I3199" s="381"/>
      <c r="J3199" s="381"/>
      <c r="K3199" s="381"/>
      <c r="L3199" s="382"/>
      <c r="M3199" s="62"/>
      <c r="N3199" s="381"/>
      <c r="O3199" s="56"/>
      <c r="P3199" s="56"/>
      <c r="Q3199" s="48"/>
      <c r="R3199" s="48"/>
      <c r="S3199" s="2"/>
    </row>
    <row r="3200" spans="1:19" ht="12.75" customHeight="1" x14ac:dyDescent="0.2">
      <c r="A3200" s="155"/>
      <c r="B3200" s="138" t="str">
        <f>IF(A3200="","",VLOOKUP(A3200,'6.A'!$A$11:$G$180,2,FALSE))</f>
        <v/>
      </c>
      <c r="C3200" s="156"/>
      <c r="D3200" s="381" t="str">
        <f>IF(A3200="","",VLOOKUP(A3200,'6.A'!$A$11:$G$180,4,FALSE))</f>
        <v/>
      </c>
      <c r="E3200" s="100" t="str">
        <f>IF(A3200="","",VLOOKUP(A3200,'6.A'!$A$11:$G$180,5,FALSE))</f>
        <v/>
      </c>
      <c r="F3200" s="24" t="str">
        <f t="shared" ref="F3200:F3209" si="1378">IF(A3200="","0,00",ROUND(C3200*E3200,2))</f>
        <v>0,00</v>
      </c>
      <c r="G3200" s="382"/>
      <c r="H3200" s="382" t="str">
        <f>IF(A3200="","",VLOOKUP(A3200,'6.A'!$A$11:$E$7984,5,FALSE))</f>
        <v/>
      </c>
      <c r="I3200" s="382" t="str">
        <f t="shared" ref="I3200:I3209" si="1379">IF(H3200="","",IF(E3200=H3200,"SIM","NÃO"))</f>
        <v/>
      </c>
      <c r="J3200" s="382" t="str">
        <f>IF(H3200="","",VLOOKUP(A3200,'6.A'!$A$11:$E$564,4,FALSE))</f>
        <v/>
      </c>
      <c r="K3200" s="382" t="str">
        <f t="shared" ref="K3200:K3209" si="1380">IF(H3200="","",IF(J3200=D3200,"SIM","NÃO"))</f>
        <v/>
      </c>
      <c r="L3200" s="382" t="str">
        <f>IF(H3200="","",IF(C3200="","",G3184*C3200))</f>
        <v/>
      </c>
      <c r="M3200" s="117" t="str">
        <f>IF(A3200="","",VLOOKUP(A3200,'6.A'!$A$11:$C$564,2,FALSE))</f>
        <v/>
      </c>
      <c r="N3200" s="381" t="str">
        <f t="shared" ref="N3200:N3205" si="1381">IF(A3200="","",IF(M3200=B3200,"si","no"))</f>
        <v/>
      </c>
      <c r="O3200" s="56"/>
      <c r="P3200" s="56"/>
      <c r="Q3200" s="48"/>
      <c r="R3200" s="48"/>
      <c r="S3200" s="2"/>
    </row>
    <row r="3201" spans="1:19" ht="12.75" customHeight="1" x14ac:dyDescent="0.2">
      <c r="A3201" s="155"/>
      <c r="B3201" s="138" t="str">
        <f>IF(A3201="","",VLOOKUP(A3201,'6.A'!$A$11:$G$180,2,FALSE))</f>
        <v/>
      </c>
      <c r="C3201" s="156"/>
      <c r="D3201" s="381" t="str">
        <f>IF(A3201="","",VLOOKUP(A3201,'6.A'!$A$11:$G$180,4,FALSE))</f>
        <v/>
      </c>
      <c r="E3201" s="100" t="str">
        <f>IF(A3201="","",VLOOKUP(A3201,'6.A'!$A$11:$G$180,5,FALSE))</f>
        <v/>
      </c>
      <c r="F3201" s="24" t="str">
        <f t="shared" si="1378"/>
        <v>0,00</v>
      </c>
      <c r="G3201" s="382"/>
      <c r="H3201" s="382" t="str">
        <f>IF(A3201="","",VLOOKUP(A3201,'6.A'!$A$11:$E$7984,5,FALSE))</f>
        <v/>
      </c>
      <c r="I3201" s="382" t="str">
        <f t="shared" si="1379"/>
        <v/>
      </c>
      <c r="J3201" s="382" t="str">
        <f>IF(H3201="","",VLOOKUP(A3201,'6.A'!$A$11:$E$564,4,FALSE))</f>
        <v/>
      </c>
      <c r="K3201" s="382" t="str">
        <f t="shared" si="1380"/>
        <v/>
      </c>
      <c r="L3201" s="382" t="str">
        <f>IF(H3201="","",IF(C3201="","",G3184*C3201))</f>
        <v/>
      </c>
      <c r="M3201" s="117" t="str">
        <f>IF(A3201="","",VLOOKUP(A3201,'6.A'!$A$11:$C$564,2,FALSE))</f>
        <v/>
      </c>
      <c r="N3201" s="381" t="str">
        <f t="shared" si="1381"/>
        <v/>
      </c>
      <c r="O3201" s="56"/>
      <c r="P3201" s="56"/>
      <c r="Q3201" s="48"/>
      <c r="R3201" s="48"/>
      <c r="S3201" s="2"/>
    </row>
    <row r="3202" spans="1:19" ht="12.75" customHeight="1" x14ac:dyDescent="0.2">
      <c r="A3202" s="155"/>
      <c r="B3202" s="138" t="str">
        <f>IF(A3202="","",VLOOKUP(A3202,'6.A'!$A$11:$G$180,2,FALSE))</f>
        <v/>
      </c>
      <c r="C3202" s="156"/>
      <c r="D3202" s="381" t="str">
        <f>IF(A3202="","",VLOOKUP(A3202,'6.A'!$A$11:$G$180,4,FALSE))</f>
        <v/>
      </c>
      <c r="E3202" s="100" t="str">
        <f>IF(A3202="","",VLOOKUP(A3202,'6.A'!$A$11:$G$180,5,FALSE))</f>
        <v/>
      </c>
      <c r="F3202" s="24" t="str">
        <f t="shared" si="1378"/>
        <v>0,00</v>
      </c>
      <c r="G3202" s="382"/>
      <c r="H3202" s="382" t="str">
        <f>IF(A3202="","",VLOOKUP(A3202,'6.A'!$A$11:$E$7984,5,FALSE))</f>
        <v/>
      </c>
      <c r="I3202" s="382" t="str">
        <f t="shared" si="1379"/>
        <v/>
      </c>
      <c r="J3202" s="382" t="str">
        <f>IF(H3202="","",VLOOKUP(A3202,'6.A'!$A$11:$E$564,4,FALSE))</f>
        <v/>
      </c>
      <c r="K3202" s="382" t="str">
        <f t="shared" si="1380"/>
        <v/>
      </c>
      <c r="L3202" s="382" t="str">
        <f>IF(H3202="","",IF(C3202="","",G3184*C3202))</f>
        <v/>
      </c>
      <c r="M3202" s="117" t="str">
        <f>IF(A3202="","",VLOOKUP(A3202,'6.A'!$A$11:$C$564,2,FALSE))</f>
        <v/>
      </c>
      <c r="N3202" s="381" t="str">
        <f t="shared" si="1381"/>
        <v/>
      </c>
      <c r="O3202" s="56"/>
      <c r="P3202" s="56"/>
      <c r="Q3202" s="48"/>
      <c r="R3202" s="48"/>
      <c r="S3202" s="2"/>
    </row>
    <row r="3203" spans="1:19" ht="12.75" customHeight="1" x14ac:dyDescent="0.2">
      <c r="A3203" s="155"/>
      <c r="B3203" s="176" t="str">
        <f>IF(A3203="","",VLOOKUP(A3203,'6.A'!$A$11:$G$180,2,FALSE))</f>
        <v/>
      </c>
      <c r="C3203" s="156"/>
      <c r="D3203" s="381" t="str">
        <f>IF(A3203="","",VLOOKUP(A3203,'6.A'!$A$11:$G$180,4,FALSE))</f>
        <v/>
      </c>
      <c r="E3203" s="100" t="str">
        <f>IF(A3203="","",VLOOKUP(A3203,'6.A'!$A$11:$G$180,5,FALSE))</f>
        <v/>
      </c>
      <c r="F3203" s="24" t="str">
        <f t="shared" si="1378"/>
        <v>0,00</v>
      </c>
      <c r="G3203" s="382"/>
      <c r="H3203" s="382" t="str">
        <f>IF(A3203="","",VLOOKUP(A3203,'6.A'!$A$11:$E$7984,5,FALSE))</f>
        <v/>
      </c>
      <c r="I3203" s="382" t="str">
        <f t="shared" si="1379"/>
        <v/>
      </c>
      <c r="J3203" s="382" t="str">
        <f>IF(H3203="","",VLOOKUP(A3203,'6.A'!$A$11:$E$564,4,FALSE))</f>
        <v/>
      </c>
      <c r="K3203" s="382" t="str">
        <f t="shared" si="1380"/>
        <v/>
      </c>
      <c r="L3203" s="382" t="str">
        <f>IF(H3203="","",IF(C3203="","",G3184*C3203))</f>
        <v/>
      </c>
      <c r="M3203" s="117" t="str">
        <f>IF(A3203="","",VLOOKUP(A3203,'6.A'!$A$11:$C$564,2,FALSE))</f>
        <v/>
      </c>
      <c r="N3203" s="381" t="str">
        <f t="shared" si="1381"/>
        <v/>
      </c>
      <c r="O3203" s="56"/>
      <c r="P3203" s="56"/>
      <c r="Q3203" s="48"/>
      <c r="R3203" s="48"/>
      <c r="S3203" s="2"/>
    </row>
    <row r="3204" spans="1:19" ht="12.75" customHeight="1" x14ac:dyDescent="0.2">
      <c r="A3204" s="155"/>
      <c r="B3204" s="176" t="str">
        <f>IF(A3204="","",VLOOKUP(A3204,'6.A'!$A$11:$G$180,2,FALSE))</f>
        <v/>
      </c>
      <c r="C3204" s="156"/>
      <c r="D3204" s="381" t="str">
        <f>IF(A3204="","",VLOOKUP(A3204,'6.A'!$A$11:$G$180,4,FALSE))</f>
        <v/>
      </c>
      <c r="E3204" s="100" t="str">
        <f>IF(A3204="","",VLOOKUP(A3204,'6.A'!$A$11:$G$180,5,FALSE))</f>
        <v/>
      </c>
      <c r="F3204" s="24" t="str">
        <f t="shared" si="1378"/>
        <v>0,00</v>
      </c>
      <c r="G3204" s="382"/>
      <c r="H3204" s="382" t="str">
        <f>IF(A3204="","",VLOOKUP(A3204,'6.A'!$A$11:$E$7984,5,FALSE))</f>
        <v/>
      </c>
      <c r="I3204" s="382" t="str">
        <f t="shared" si="1379"/>
        <v/>
      </c>
      <c r="J3204" s="382" t="str">
        <f>IF(H3204="","",VLOOKUP(A3204,'6.A'!$A$11:$E$564,4,FALSE))</f>
        <v/>
      </c>
      <c r="K3204" s="382" t="str">
        <f t="shared" si="1380"/>
        <v/>
      </c>
      <c r="L3204" s="382" t="str">
        <f>IF(H3204="","",IF(C3204="","",G3184*C3204))</f>
        <v/>
      </c>
      <c r="M3204" s="117" t="str">
        <f>IF(A3204="","",VLOOKUP(A3204,'6.A'!$A$11:$C$564,2,FALSE))</f>
        <v/>
      </c>
      <c r="N3204" s="381" t="str">
        <f t="shared" si="1381"/>
        <v/>
      </c>
      <c r="O3204" s="56"/>
      <c r="P3204" s="56"/>
      <c r="Q3204" s="48"/>
      <c r="R3204" s="48"/>
      <c r="S3204" s="2"/>
    </row>
    <row r="3205" spans="1:19" ht="12.75" customHeight="1" x14ac:dyDescent="0.2">
      <c r="A3205" s="155"/>
      <c r="B3205" s="176" t="str">
        <f>IF(A3205="","",VLOOKUP(A3205,'6.A'!$A$11:$G$180,2,FALSE))</f>
        <v/>
      </c>
      <c r="C3205" s="156"/>
      <c r="D3205" s="381" t="str">
        <f>IF(A3205="","",VLOOKUP(A3205,'6.A'!$A$11:$G$180,4,FALSE))</f>
        <v/>
      </c>
      <c r="E3205" s="100" t="str">
        <f>IF(A3205="","",VLOOKUP(A3205,'6.A'!$A$11:$G$180,5,FALSE))</f>
        <v/>
      </c>
      <c r="F3205" s="24" t="str">
        <f t="shared" si="1378"/>
        <v>0,00</v>
      </c>
      <c r="G3205" s="382"/>
      <c r="H3205" s="382" t="str">
        <f>IF(A3205="","",VLOOKUP(A3205,'6.A'!$A$11:$E$7984,5,FALSE))</f>
        <v/>
      </c>
      <c r="I3205" s="382" t="str">
        <f t="shared" si="1379"/>
        <v/>
      </c>
      <c r="J3205" s="382" t="str">
        <f>IF(H3205="","",VLOOKUP(A3205,'6.A'!$A$11:$E$564,4,FALSE))</f>
        <v/>
      </c>
      <c r="K3205" s="382" t="str">
        <f t="shared" si="1380"/>
        <v/>
      </c>
      <c r="L3205" s="382" t="str">
        <f>IF(H3205="","",IF(C3205="","",G3184*C3205))</f>
        <v/>
      </c>
      <c r="M3205" s="117" t="str">
        <f>IF(A3205="","",VLOOKUP(A3205,'6.A'!$A$11:$C$564,2,FALSE))</f>
        <v/>
      </c>
      <c r="N3205" s="381" t="str">
        <f t="shared" si="1381"/>
        <v/>
      </c>
      <c r="O3205" s="56"/>
      <c r="P3205" s="56"/>
      <c r="Q3205" s="48"/>
      <c r="R3205" s="48"/>
      <c r="S3205" s="2"/>
    </row>
    <row r="3206" spans="1:19" ht="12.75" customHeight="1" x14ac:dyDescent="0.2">
      <c r="A3206" s="155"/>
      <c r="B3206" s="176" t="str">
        <f>IF(A3206="","",VLOOKUP(A3206,'6.A'!$A$11:$G$180,2,FALSE))</f>
        <v/>
      </c>
      <c r="C3206" s="156"/>
      <c r="D3206" s="381" t="str">
        <f>IF(A3206="","",VLOOKUP(A3206,'6.A'!$A$11:$G$180,4,FALSE))</f>
        <v/>
      </c>
      <c r="E3206" s="100" t="str">
        <f>IF(A3206="","",VLOOKUP(A3206,'6.A'!$A$11:$G$180,5,FALSE))</f>
        <v/>
      </c>
      <c r="F3206" s="24" t="str">
        <f t="shared" si="1378"/>
        <v>0,00</v>
      </c>
      <c r="G3206" s="382"/>
      <c r="H3206" s="382" t="str">
        <f>IF(A3206="","",VLOOKUP(A3206,'6.A'!$A$11:$E$7984,5,FALSE))</f>
        <v/>
      </c>
      <c r="I3206" s="382" t="str">
        <f t="shared" si="1379"/>
        <v/>
      </c>
      <c r="J3206" s="382" t="str">
        <f>IF(H3206="","",VLOOKUP(A3206,'6.A'!$A$11:$E$564,4,FALSE))</f>
        <v/>
      </c>
      <c r="K3206" s="382" t="str">
        <f t="shared" si="1380"/>
        <v/>
      </c>
      <c r="L3206" s="382" t="str">
        <f>IF(H3206="","",IF(C3206="","",G3184*C3206))</f>
        <v/>
      </c>
      <c r="M3206" s="117" t="str">
        <f>IF(A3206="","",VLOOKUP(A3206,'6.A'!$A$11:$C$564,2,FALSE))</f>
        <v/>
      </c>
      <c r="N3206" s="381" t="str">
        <f>IF(A3206="","",IF(M3206=B3206,"si","no"))</f>
        <v/>
      </c>
      <c r="O3206" s="56"/>
      <c r="P3206" s="56"/>
      <c r="Q3206" s="48"/>
      <c r="R3206" s="48"/>
      <c r="S3206" s="2"/>
    </row>
    <row r="3207" spans="1:19" ht="12.75" customHeight="1" x14ac:dyDescent="0.2">
      <c r="A3207" s="155"/>
      <c r="B3207" s="138" t="str">
        <f>IF(A3207="","",VLOOKUP(A3207,'6.A'!$A$11:$G$180,2,FALSE))</f>
        <v/>
      </c>
      <c r="C3207" s="156"/>
      <c r="D3207" s="381" t="str">
        <f>IF(A3207="","",VLOOKUP(A3207,'6.A'!$A$11:$G$180,4,FALSE))</f>
        <v/>
      </c>
      <c r="E3207" s="100" t="str">
        <f>IF(A3207="","",VLOOKUP(A3207,'6.A'!$A$11:$G$180,5,FALSE))</f>
        <v/>
      </c>
      <c r="F3207" s="24" t="str">
        <f t="shared" si="1378"/>
        <v>0,00</v>
      </c>
      <c r="G3207" s="382"/>
      <c r="H3207" s="382" t="str">
        <f>IF(A3207="","",VLOOKUP(A3207,'6.A'!$A$11:$E$7984,5,FALSE))</f>
        <v/>
      </c>
      <c r="I3207" s="382" t="str">
        <f t="shared" si="1379"/>
        <v/>
      </c>
      <c r="J3207" s="382" t="str">
        <f>IF(H3207="","",VLOOKUP(A3207,'6.A'!$A$11:$E$564,4,FALSE))</f>
        <v/>
      </c>
      <c r="K3207" s="382" t="str">
        <f t="shared" si="1380"/>
        <v/>
      </c>
      <c r="L3207" s="382" t="str">
        <f>IF(H3207="","",IF(C3207="","",G3184*C3207))</f>
        <v/>
      </c>
      <c r="M3207" s="117" t="str">
        <f>IF(A3207="","",VLOOKUP(A3207,'6.A'!$A$11:$C$564,2,FALSE))</f>
        <v/>
      </c>
      <c r="N3207" s="381" t="str">
        <f>IF(A3207="","",IF(M3207=B3207,"si","no"))</f>
        <v/>
      </c>
      <c r="O3207" s="56"/>
      <c r="P3207" s="56"/>
      <c r="Q3207" s="48"/>
      <c r="R3207" s="48"/>
      <c r="S3207" s="2"/>
    </row>
    <row r="3208" spans="1:19" ht="12.75" customHeight="1" x14ac:dyDescent="0.2">
      <c r="A3208" s="155"/>
      <c r="B3208" s="138" t="str">
        <f>IF(A3208="","",VLOOKUP(A3208,'6.A'!$A$11:$G$180,2,FALSE))</f>
        <v/>
      </c>
      <c r="C3208" s="156"/>
      <c r="D3208" s="381" t="str">
        <f>IF(A3208="","",VLOOKUP(A3208,'6.A'!$A$11:$G$180,4,FALSE))</f>
        <v/>
      </c>
      <c r="E3208" s="100" t="str">
        <f>IF(A3208="","",VLOOKUP(A3208,'6.A'!$A$11:$G$180,5,FALSE))</f>
        <v/>
      </c>
      <c r="F3208" s="24" t="str">
        <f t="shared" si="1378"/>
        <v>0,00</v>
      </c>
      <c r="G3208" s="382"/>
      <c r="H3208" s="382" t="str">
        <f>IF(A3208="","",VLOOKUP(A3208,'6.A'!$A$11:$E$7984,5,FALSE))</f>
        <v/>
      </c>
      <c r="I3208" s="382" t="str">
        <f t="shared" si="1379"/>
        <v/>
      </c>
      <c r="J3208" s="382" t="str">
        <f>IF(H3208="","",VLOOKUP(A3208,'6.A'!$A$11:$E$564,4,FALSE))</f>
        <v/>
      </c>
      <c r="K3208" s="382" t="str">
        <f t="shared" si="1380"/>
        <v/>
      </c>
      <c r="L3208" s="382" t="str">
        <f>IF(H3208="","",IF(C3208="","",G3184*C3208))</f>
        <v/>
      </c>
      <c r="M3208" s="117" t="str">
        <f>IF(A3208="","",VLOOKUP(A3208,'6.A'!$A$11:$C$564,2,FALSE))</f>
        <v/>
      </c>
      <c r="N3208" s="381" t="str">
        <f t="shared" ref="N3208:N3209" si="1382">IF(A3208="","",IF(M3208=B3208,"si","no"))</f>
        <v/>
      </c>
      <c r="O3208" s="56"/>
      <c r="P3208" s="56"/>
      <c r="Q3208" s="48"/>
      <c r="R3208" s="48"/>
      <c r="S3208" s="2"/>
    </row>
    <row r="3209" spans="1:19" ht="12.75" customHeight="1" x14ac:dyDescent="0.2">
      <c r="A3209" s="155"/>
      <c r="B3209" s="138" t="str">
        <f>IF(A3209="","",VLOOKUP(A3209,'6.A'!$A$11:$G$180,2,FALSE))</f>
        <v/>
      </c>
      <c r="C3209" s="156"/>
      <c r="D3209" s="381" t="str">
        <f>IF(A3209="","",VLOOKUP(A3209,'6.A'!$A$11:$G$180,4,FALSE))</f>
        <v/>
      </c>
      <c r="E3209" s="100" t="str">
        <f>IF(A3209="","",VLOOKUP(A3209,'6.A'!$A$11:$G$180,5,FALSE))</f>
        <v/>
      </c>
      <c r="F3209" s="24" t="str">
        <f t="shared" si="1378"/>
        <v>0,00</v>
      </c>
      <c r="G3209" s="382"/>
      <c r="H3209" s="382" t="str">
        <f>IF(A3209="","",VLOOKUP(A3209,'6.A'!$A$11:$E$7984,5,FALSE))</f>
        <v/>
      </c>
      <c r="I3209" s="382" t="str">
        <f t="shared" si="1379"/>
        <v/>
      </c>
      <c r="J3209" s="382" t="str">
        <f>IF(H3209="","",VLOOKUP(A3209,'6.A'!$A$11:$E$564,4,FALSE))</f>
        <v/>
      </c>
      <c r="K3209" s="382" t="str">
        <f t="shared" si="1380"/>
        <v/>
      </c>
      <c r="L3209" s="382" t="str">
        <f>IF(H3209="","",IF(C3209="","",G3184*C3209))</f>
        <v/>
      </c>
      <c r="M3209" s="117" t="str">
        <f>IF(A3209="","",VLOOKUP(A3209,'6.A'!$A$11:$C$564,2,FALSE))</f>
        <v/>
      </c>
      <c r="N3209" s="381" t="str">
        <f t="shared" si="1382"/>
        <v/>
      </c>
      <c r="O3209" s="56"/>
      <c r="P3209" s="56"/>
      <c r="Q3209" s="48"/>
      <c r="R3209" s="48"/>
      <c r="S3209" s="2"/>
    </row>
    <row r="3210" spans="1:19" ht="12.75" customHeight="1" x14ac:dyDescent="0.2">
      <c r="A3210" s="155"/>
      <c r="B3210" s="26" t="str">
        <f>$A$9</f>
        <v>BDI</v>
      </c>
      <c r="C3210" s="27">
        <f>$C$9</f>
        <v>0</v>
      </c>
      <c r="D3210" s="381"/>
      <c r="F3210" s="28">
        <f>ROUND(SUM(F3200:F3209)*C3210,2)</f>
        <v>0</v>
      </c>
      <c r="G3210" s="63"/>
      <c r="H3210" s="382"/>
      <c r="I3210" s="381"/>
      <c r="J3210" s="381"/>
      <c r="K3210" s="381"/>
      <c r="L3210" s="382"/>
      <c r="M3210" s="62"/>
      <c r="N3210" s="381"/>
      <c r="O3210" s="56"/>
      <c r="P3210" s="56"/>
      <c r="Q3210" s="48"/>
      <c r="R3210" s="48"/>
      <c r="S3210" s="2"/>
    </row>
    <row r="3211" spans="1:19" ht="12.75" customHeight="1" x14ac:dyDescent="0.2">
      <c r="A3211" s="163"/>
      <c r="B3211" s="31" t="s">
        <v>117</v>
      </c>
      <c r="C3211" s="36"/>
      <c r="D3211" s="37"/>
      <c r="E3211" s="38"/>
      <c r="F3211" s="35">
        <f>ROUND(SUM(F3200:F3210),2)</f>
        <v>0</v>
      </c>
      <c r="G3211" s="63"/>
      <c r="H3211" s="382"/>
      <c r="I3211" s="381"/>
      <c r="J3211" s="381"/>
      <c r="K3211" s="381"/>
      <c r="L3211" s="382"/>
      <c r="M3211" s="62"/>
      <c r="N3211" s="381"/>
      <c r="O3211" s="56"/>
      <c r="P3211" s="56"/>
      <c r="Q3211" s="48"/>
      <c r="R3211" s="48"/>
      <c r="S3211" s="2"/>
    </row>
    <row r="3212" spans="1:19" ht="12.75" customHeight="1" x14ac:dyDescent="0.2">
      <c r="A3212" s="152" t="s">
        <v>6</v>
      </c>
      <c r="B3212" s="153" t="s">
        <v>17</v>
      </c>
      <c r="C3212" s="140" t="s">
        <v>59</v>
      </c>
      <c r="D3212" s="56" t="s">
        <v>16</v>
      </c>
      <c r="E3212" s="19" t="s">
        <v>60</v>
      </c>
      <c r="F3212" s="20" t="s">
        <v>61</v>
      </c>
      <c r="G3212" s="21"/>
      <c r="H3212" s="382"/>
      <c r="I3212" s="381"/>
      <c r="J3212" s="381"/>
      <c r="K3212" s="381"/>
      <c r="L3212" s="382"/>
      <c r="M3212" s="62"/>
      <c r="N3212" s="381"/>
      <c r="O3212" s="56"/>
      <c r="P3212" s="56"/>
      <c r="Q3212" s="48"/>
      <c r="R3212" s="48"/>
      <c r="S3212" s="2"/>
    </row>
    <row r="3213" spans="1:19" ht="12.75" customHeight="1" x14ac:dyDescent="0.2">
      <c r="A3213" s="155">
        <f>'6.A'!$A$88</f>
        <v>1573</v>
      </c>
      <c r="B3213" s="138" t="str">
        <f>IF(A3213="","",VLOOKUP(A3213,'6.A'!$A$11:$G$180,2,FALSE))</f>
        <v>TERMINAL A COMPRESSAO EM COBRE ESTANHADO PARA CABO 6 MM2, 1 FURO E 1 COMPRESSAO, PARA PARAFUSO DE FIXACAO M6</v>
      </c>
      <c r="C3213" s="156">
        <v>3</v>
      </c>
      <c r="D3213" s="381" t="str">
        <f>IF(A3213="","",VLOOKUP(A3213,'6.A'!$A$11:$G$180,4,FALSE))</f>
        <v>UN</v>
      </c>
      <c r="E3213" s="100">
        <f>IF(A3213="","",VLOOKUP(A3213,'6.A'!$A$11:$G$180,5,FALSE))</f>
        <v>0</v>
      </c>
      <c r="F3213" s="24">
        <f t="shared" ref="F3213:F3232" si="1383">IF(A3213="","0,00",ROUND(C3213*E3213,2))</f>
        <v>0</v>
      </c>
      <c r="G3213" s="382"/>
      <c r="H3213" s="382">
        <f>IF(A3213="","",VLOOKUP(A3213,'6.A'!$A$11:$E$7984,5,FALSE))</f>
        <v>0</v>
      </c>
      <c r="I3213" s="382" t="str">
        <f t="shared" ref="I3213:I3232" si="1384">IF(H3213="","",IF(E3213=H3213,"SIM","NÃO"))</f>
        <v>SIM</v>
      </c>
      <c r="J3213" s="382" t="str">
        <f>IF(H3213="","",VLOOKUP(A3213,'6.A'!$A$11:$E$564,4,FALSE))</f>
        <v>UN</v>
      </c>
      <c r="K3213" s="382" t="str">
        <f t="shared" ref="K3213:K3232" si="1385">IF(H3213="","",IF(J3213=D3213,"SIM","NÃO"))</f>
        <v>SIM</v>
      </c>
      <c r="L3213" s="382">
        <f>IF(H3213="","",IF(C3213="","",G3184*C3213))</f>
        <v>18</v>
      </c>
      <c r="M3213" s="117" t="str">
        <f>IF(A3213="","",VLOOKUP(A3213,'6.A'!$A$11:$C$564,2,FALSE))</f>
        <v>TERMINAL A COMPRESSAO EM COBRE ESTANHADO PARA CABO 6 MM2, 1 FURO E 1 COMPRESSAO, PARA PARAFUSO DE FIXACAO M6</v>
      </c>
      <c r="N3213" s="381" t="str">
        <f t="shared" ref="N3213:N3232" si="1386">IF(A3213="","",IF(M3213=B3213,"si","no"))</f>
        <v>si</v>
      </c>
      <c r="O3213" s="56"/>
      <c r="P3213" s="56"/>
      <c r="Q3213" s="48"/>
      <c r="R3213" s="48"/>
      <c r="S3213" s="2"/>
    </row>
    <row r="3214" spans="1:19" ht="12.75" customHeight="1" x14ac:dyDescent="0.2">
      <c r="A3214" s="155">
        <f>'6.A'!$A$130</f>
        <v>34709</v>
      </c>
      <c r="B3214" s="138" t="str">
        <f>IF(A3214="","",VLOOKUP(A3214,'6.A'!$A$11:$G$180,2,FALSE))</f>
        <v>DISJUNTOR TERMOMAGNETICO PARA TRILHO DIN (IEC), TRIPOLAR, 10 - 50 A</v>
      </c>
      <c r="C3214" s="156">
        <v>1</v>
      </c>
      <c r="D3214" s="381" t="str">
        <f>IF(A3214="","",VLOOKUP(A3214,'6.A'!$A$11:$G$180,4,FALSE))</f>
        <v>UN</v>
      </c>
      <c r="E3214" s="100">
        <f>IF(A3214="","",VLOOKUP(A3214,'6.A'!$A$11:$G$180,5,FALSE))</f>
        <v>0</v>
      </c>
      <c r="F3214" s="24">
        <f t="shared" si="1383"/>
        <v>0</v>
      </c>
      <c r="G3214" s="382"/>
      <c r="H3214" s="382">
        <f>IF(A3214="","",VLOOKUP(A3214,'6.A'!$A$11:$E$7984,5,FALSE))</f>
        <v>0</v>
      </c>
      <c r="I3214" s="382" t="str">
        <f t="shared" si="1384"/>
        <v>SIM</v>
      </c>
      <c r="J3214" s="382" t="str">
        <f>IF(H3214="","",VLOOKUP(A3214,'6.A'!$A$11:$E$564,4,FALSE))</f>
        <v>UN</v>
      </c>
      <c r="K3214" s="382" t="str">
        <f t="shared" si="1385"/>
        <v>SIM</v>
      </c>
      <c r="L3214" s="382">
        <f>IF(H3214="","",IF(C3214="","",G3184*C3214))</f>
        <v>6</v>
      </c>
      <c r="M3214" s="117" t="str">
        <f>IF(A3214="","",VLOOKUP(A3214,'6.A'!$A$11:$C$564,2,FALSE))</f>
        <v>DISJUNTOR TERMOMAGNETICO PARA TRILHO DIN (IEC), TRIPOLAR, 10 - 50 A</v>
      </c>
      <c r="N3214" s="381" t="str">
        <f t="shared" si="1386"/>
        <v>si</v>
      </c>
      <c r="O3214" s="56"/>
      <c r="P3214" s="56"/>
      <c r="Q3214" s="48"/>
      <c r="R3214" s="48"/>
      <c r="S3214" s="2"/>
    </row>
    <row r="3215" spans="1:19" ht="12.75" customHeight="1" x14ac:dyDescent="0.2">
      <c r="A3215" s="155"/>
      <c r="B3215" s="138" t="str">
        <f>IF(A3215="","",VLOOKUP(A3215,'6.A'!$A$11:$G$180,2,FALSE))</f>
        <v/>
      </c>
      <c r="C3215" s="156"/>
      <c r="D3215" s="381" t="str">
        <f>IF(A3215="","",VLOOKUP(A3215,'6.A'!$A$11:$G$180,4,FALSE))</f>
        <v/>
      </c>
      <c r="E3215" s="100" t="str">
        <f>IF(A3215="","",VLOOKUP(A3215,'6.A'!$A$11:$G$180,5,FALSE))</f>
        <v/>
      </c>
      <c r="F3215" s="24" t="str">
        <f t="shared" si="1383"/>
        <v>0,00</v>
      </c>
      <c r="G3215" s="382"/>
      <c r="H3215" s="382" t="str">
        <f>IF(A3215="","",VLOOKUP(A3215,'6.A'!$A$11:$E$7984,5,FALSE))</f>
        <v/>
      </c>
      <c r="I3215" s="382" t="str">
        <f t="shared" si="1384"/>
        <v/>
      </c>
      <c r="J3215" s="382" t="str">
        <f>IF(H3215="","",VLOOKUP(A3215,'6.A'!$A$11:$E$564,4,FALSE))</f>
        <v/>
      </c>
      <c r="K3215" s="382" t="str">
        <f t="shared" si="1385"/>
        <v/>
      </c>
      <c r="L3215" s="382" t="str">
        <f>IF(H3215="","",IF(C3215="","",G3184*C3215))</f>
        <v/>
      </c>
      <c r="M3215" s="117" t="str">
        <f>IF(A3215="","",VLOOKUP(A3215,'6.A'!$A$11:$C$564,2,FALSE))</f>
        <v/>
      </c>
      <c r="N3215" s="381" t="str">
        <f t="shared" si="1386"/>
        <v/>
      </c>
      <c r="O3215" s="56"/>
      <c r="P3215" s="56"/>
      <c r="Q3215" s="48"/>
      <c r="R3215" s="48"/>
      <c r="S3215" s="2"/>
    </row>
    <row r="3216" spans="1:19" ht="12.75" customHeight="1" x14ac:dyDescent="0.2">
      <c r="A3216" s="155"/>
      <c r="B3216" s="138" t="str">
        <f>IF(A3216="","",VLOOKUP(A3216,'6.A'!$A$11:$G$180,2,FALSE))</f>
        <v/>
      </c>
      <c r="C3216" s="156"/>
      <c r="D3216" s="381" t="str">
        <f>IF(A3216="","",VLOOKUP(A3216,'6.A'!$A$11:$G$180,4,FALSE))</f>
        <v/>
      </c>
      <c r="E3216" s="100" t="str">
        <f>IF(A3216="","",VLOOKUP(A3216,'6.A'!$A$11:$G$180,5,FALSE))</f>
        <v/>
      </c>
      <c r="F3216" s="24" t="str">
        <f t="shared" si="1383"/>
        <v>0,00</v>
      </c>
      <c r="G3216" s="382"/>
      <c r="H3216" s="382" t="str">
        <f>IF(A3216="","",VLOOKUP(A3216,'6.A'!$A$11:$E$7984,5,FALSE))</f>
        <v/>
      </c>
      <c r="I3216" s="382" t="str">
        <f t="shared" si="1384"/>
        <v/>
      </c>
      <c r="J3216" s="382" t="str">
        <f>IF(H3216="","",VLOOKUP(A3216,'6.A'!$A$11:$E$564,4,FALSE))</f>
        <v/>
      </c>
      <c r="K3216" s="382" t="str">
        <f t="shared" si="1385"/>
        <v/>
      </c>
      <c r="L3216" s="382" t="str">
        <f>IF(H3216="","",IF(C3216="","",G3184*C3216))</f>
        <v/>
      </c>
      <c r="M3216" s="117" t="str">
        <f>IF(A3216="","",VLOOKUP(A3216,'6.A'!$A$11:$C$564,2,FALSE))</f>
        <v/>
      </c>
      <c r="N3216" s="381" t="str">
        <f t="shared" si="1386"/>
        <v/>
      </c>
      <c r="O3216" s="56"/>
      <c r="P3216" s="56"/>
      <c r="Q3216" s="48"/>
      <c r="R3216" s="48"/>
      <c r="S3216" s="2"/>
    </row>
    <row r="3217" spans="1:22" ht="12.75" customHeight="1" x14ac:dyDescent="0.2">
      <c r="A3217" s="155"/>
      <c r="B3217" s="138" t="str">
        <f>IF(A3217="","",VLOOKUP(A3217,'6.A'!$A$11:$G$180,2,FALSE))</f>
        <v/>
      </c>
      <c r="C3217" s="156"/>
      <c r="D3217" s="381" t="str">
        <f>IF(A3217="","",VLOOKUP(A3217,'6.A'!$A$11:$G$180,4,FALSE))</f>
        <v/>
      </c>
      <c r="E3217" s="100" t="str">
        <f>IF(A3217="","",VLOOKUP(A3217,'6.A'!$A$11:$G$180,5,FALSE))</f>
        <v/>
      </c>
      <c r="F3217" s="24" t="str">
        <f t="shared" si="1383"/>
        <v>0,00</v>
      </c>
      <c r="G3217" s="382"/>
      <c r="H3217" s="382" t="str">
        <f>IF(A3217="","",VLOOKUP(A3217,'6.A'!$A$11:$E$7984,5,FALSE))</f>
        <v/>
      </c>
      <c r="I3217" s="382" t="str">
        <f t="shared" si="1384"/>
        <v/>
      </c>
      <c r="J3217" s="382" t="str">
        <f>IF(H3217="","",VLOOKUP(A3217,'6.A'!$A$11:$E$564,4,FALSE))</f>
        <v/>
      </c>
      <c r="K3217" s="382" t="str">
        <f t="shared" si="1385"/>
        <v/>
      </c>
      <c r="L3217" s="382" t="str">
        <f>IF(H3217="","",IF(C3217="","",G3184*C3217))</f>
        <v/>
      </c>
      <c r="M3217" s="117" t="str">
        <f>IF(A3217="","",VLOOKUP(A3217,'6.A'!$A$11:$C$564,2,FALSE))</f>
        <v/>
      </c>
      <c r="N3217" s="381" t="str">
        <f t="shared" si="1386"/>
        <v/>
      </c>
      <c r="O3217" s="56"/>
      <c r="P3217" s="56"/>
      <c r="Q3217" s="48"/>
      <c r="R3217" s="48"/>
      <c r="S3217" s="2"/>
    </row>
    <row r="3218" spans="1:22" ht="12.75" customHeight="1" x14ac:dyDescent="0.2">
      <c r="A3218" s="155"/>
      <c r="B3218" s="138" t="str">
        <f>IF(A3218="","",VLOOKUP(A3218,'6.A'!$A$11:$G$180,2,FALSE))</f>
        <v/>
      </c>
      <c r="C3218" s="156"/>
      <c r="D3218" s="381" t="str">
        <f>IF(A3218="","",VLOOKUP(A3218,'6.A'!$A$11:$G$180,4,FALSE))</f>
        <v/>
      </c>
      <c r="E3218" s="100" t="str">
        <f>IF(A3218="","",VLOOKUP(A3218,'6.A'!$A$11:$G$180,5,FALSE))</f>
        <v/>
      </c>
      <c r="F3218" s="24" t="str">
        <f t="shared" si="1383"/>
        <v>0,00</v>
      </c>
      <c r="G3218" s="382"/>
      <c r="H3218" s="382" t="str">
        <f>IF(A3218="","",VLOOKUP(A3218,'6.A'!$A$11:$E$7984,5,FALSE))</f>
        <v/>
      </c>
      <c r="I3218" s="382" t="str">
        <f t="shared" si="1384"/>
        <v/>
      </c>
      <c r="J3218" s="382" t="str">
        <f>IF(H3218="","",VLOOKUP(A3218,'6.A'!$A$11:$E$564,4,FALSE))</f>
        <v/>
      </c>
      <c r="K3218" s="382" t="str">
        <f t="shared" si="1385"/>
        <v/>
      </c>
      <c r="L3218" s="382" t="str">
        <f>IF(H3218="","",IF(C3218="","",G3184*C3218))</f>
        <v/>
      </c>
      <c r="M3218" s="117" t="str">
        <f>IF(A3218="","",VLOOKUP(A3218,'6.A'!$A$11:$C$564,2,FALSE))</f>
        <v/>
      </c>
      <c r="N3218" s="381" t="str">
        <f t="shared" si="1386"/>
        <v/>
      </c>
      <c r="O3218" s="56"/>
      <c r="P3218" s="56"/>
      <c r="Q3218" s="48"/>
      <c r="R3218" s="48"/>
      <c r="S3218" s="2"/>
    </row>
    <row r="3219" spans="1:22" ht="12.75" customHeight="1" x14ac:dyDescent="0.2">
      <c r="A3219" s="155"/>
      <c r="B3219" s="138" t="str">
        <f>IF(A3219="","",VLOOKUP(A3219,'6.A'!$A$11:$G$180,2,FALSE))</f>
        <v/>
      </c>
      <c r="C3219" s="156"/>
      <c r="D3219" s="381" t="str">
        <f>IF(A3219="","",VLOOKUP(A3219,'6.A'!$A$11:$G$180,4,FALSE))</f>
        <v/>
      </c>
      <c r="E3219" s="100" t="str">
        <f>IF(A3219="","",VLOOKUP(A3219,'6.A'!$A$11:$G$180,5,FALSE))</f>
        <v/>
      </c>
      <c r="F3219" s="24" t="str">
        <f t="shared" si="1383"/>
        <v>0,00</v>
      </c>
      <c r="G3219" s="382"/>
      <c r="H3219" s="382" t="str">
        <f>IF(A3219="","",VLOOKUP(A3219,'6.A'!$A$11:$E$7984,5,FALSE))</f>
        <v/>
      </c>
      <c r="I3219" s="382" t="str">
        <f t="shared" si="1384"/>
        <v/>
      </c>
      <c r="J3219" s="382" t="str">
        <f>IF(H3219="","",VLOOKUP(A3219,'6.A'!$A$11:$E$564,4,FALSE))</f>
        <v/>
      </c>
      <c r="K3219" s="382" t="str">
        <f t="shared" si="1385"/>
        <v/>
      </c>
      <c r="L3219" s="382" t="str">
        <f>IF(H3219="","",IF(C3219="","",G3184*C3219))</f>
        <v/>
      </c>
      <c r="M3219" s="117" t="str">
        <f>IF(A3219="","",VLOOKUP(A3219,'6.A'!$A$11:$C$564,2,FALSE))</f>
        <v/>
      </c>
      <c r="N3219" s="381" t="str">
        <f t="shared" si="1386"/>
        <v/>
      </c>
      <c r="O3219" s="56"/>
      <c r="P3219" s="56"/>
      <c r="Q3219" s="48"/>
      <c r="R3219" s="48"/>
      <c r="S3219" s="2"/>
    </row>
    <row r="3220" spans="1:22" s="65" customFormat="1" ht="12.75" customHeight="1" x14ac:dyDescent="0.2">
      <c r="A3220" s="155"/>
      <c r="B3220" s="138" t="str">
        <f>IF(A3220="","",VLOOKUP(A3220,'6.A'!$A$11:$G$180,2,FALSE))</f>
        <v/>
      </c>
      <c r="C3220" s="156"/>
      <c r="D3220" s="381" t="str">
        <f>IF(A3220="","",VLOOKUP(A3220,'6.A'!$A$11:$G$180,4,FALSE))</f>
        <v/>
      </c>
      <c r="E3220" s="100" t="str">
        <f>IF(A3220="","",VLOOKUP(A3220,'6.A'!$A$11:$G$180,5,FALSE))</f>
        <v/>
      </c>
      <c r="F3220" s="24" t="str">
        <f t="shared" si="1383"/>
        <v>0,00</v>
      </c>
      <c r="G3220" s="382"/>
      <c r="H3220" s="382" t="str">
        <f>IF(A3220="","",VLOOKUP(A3220,'6.A'!$A$11:$E$7984,5,FALSE))</f>
        <v/>
      </c>
      <c r="I3220" s="382" t="str">
        <f t="shared" si="1384"/>
        <v/>
      </c>
      <c r="J3220" s="382" t="str">
        <f>IF(H3220="","",VLOOKUP(A3220,'6.A'!$A$11:$E$564,4,FALSE))</f>
        <v/>
      </c>
      <c r="K3220" s="382" t="str">
        <f t="shared" si="1385"/>
        <v/>
      </c>
      <c r="L3220" s="382" t="str">
        <f>IF(H3220="","",IF(C3220="","",G3184*C3220))</f>
        <v/>
      </c>
      <c r="M3220" s="117" t="str">
        <f>IF(A3220="","",VLOOKUP(A3220,'6.A'!$A$11:$C$564,2,FALSE))</f>
        <v/>
      </c>
      <c r="N3220" s="381" t="str">
        <f t="shared" si="1386"/>
        <v/>
      </c>
      <c r="O3220" s="56"/>
      <c r="P3220" s="56"/>
      <c r="Q3220" s="48"/>
      <c r="R3220" s="48"/>
      <c r="T3220" s="2"/>
      <c r="U3220" s="2"/>
      <c r="V3220" s="2"/>
    </row>
    <row r="3221" spans="1:22" s="65" customFormat="1" ht="12.75" customHeight="1" x14ac:dyDescent="0.2">
      <c r="A3221" s="155"/>
      <c r="B3221" s="138" t="str">
        <f>IF(A3221="","",VLOOKUP(A3221,'6.A'!$A$11:$G$180,2,FALSE))</f>
        <v/>
      </c>
      <c r="C3221" s="156"/>
      <c r="D3221" s="381" t="str">
        <f>IF(A3221="","",VLOOKUP(A3221,'6.A'!$A$11:$G$180,4,FALSE))</f>
        <v/>
      </c>
      <c r="E3221" s="100" t="str">
        <f>IF(A3221="","",VLOOKUP(A3221,'6.A'!$A$11:$G$180,5,FALSE))</f>
        <v/>
      </c>
      <c r="F3221" s="24" t="str">
        <f t="shared" si="1383"/>
        <v>0,00</v>
      </c>
      <c r="G3221" s="382"/>
      <c r="H3221" s="382" t="str">
        <f>IF(A3221="","",VLOOKUP(A3221,'6.A'!$A$11:$E$7984,5,FALSE))</f>
        <v/>
      </c>
      <c r="I3221" s="382" t="str">
        <f t="shared" si="1384"/>
        <v/>
      </c>
      <c r="J3221" s="382" t="str">
        <f>IF(H3221="","",VLOOKUP(A3221,'6.A'!$A$11:$E$564,4,FALSE))</f>
        <v/>
      </c>
      <c r="K3221" s="382" t="str">
        <f t="shared" si="1385"/>
        <v/>
      </c>
      <c r="L3221" s="382" t="str">
        <f>IF(H3221="","",IF(C3221="","",G3184*C3221))</f>
        <v/>
      </c>
      <c r="M3221" s="117" t="str">
        <f>IF(A3221="","",VLOOKUP(A3221,'6.A'!$A$11:$C$564,2,FALSE))</f>
        <v/>
      </c>
      <c r="N3221" s="381" t="str">
        <f t="shared" si="1386"/>
        <v/>
      </c>
      <c r="O3221" s="56"/>
      <c r="P3221" s="56"/>
      <c r="Q3221" s="48"/>
      <c r="R3221" s="48"/>
      <c r="T3221" s="2"/>
      <c r="U3221" s="2"/>
      <c r="V3221" s="2"/>
    </row>
    <row r="3222" spans="1:22" s="65" customFormat="1" ht="12.75" customHeight="1" x14ac:dyDescent="0.2">
      <c r="A3222" s="155"/>
      <c r="B3222" s="138" t="str">
        <f>IF(A3222="","",VLOOKUP(A3222,'6.A'!$A$11:$G$180,2,FALSE))</f>
        <v/>
      </c>
      <c r="C3222" s="156"/>
      <c r="D3222" s="381" t="str">
        <f>IF(A3222="","",VLOOKUP(A3222,'6.A'!$A$11:$G$180,4,FALSE))</f>
        <v/>
      </c>
      <c r="E3222" s="100" t="str">
        <f>IF(A3222="","",VLOOKUP(A3222,'6.A'!$A$11:$G$180,5,FALSE))</f>
        <v/>
      </c>
      <c r="F3222" s="24" t="str">
        <f t="shared" si="1383"/>
        <v>0,00</v>
      </c>
      <c r="G3222" s="382"/>
      <c r="H3222" s="382" t="str">
        <f>IF(A3222="","",VLOOKUP(A3222,'6.A'!$A$11:$E$7984,5,FALSE))</f>
        <v/>
      </c>
      <c r="I3222" s="382" t="str">
        <f t="shared" si="1384"/>
        <v/>
      </c>
      <c r="J3222" s="382" t="str">
        <f>IF(H3222="","",VLOOKUP(A3222,'6.A'!$A$11:$E$564,4,FALSE))</f>
        <v/>
      </c>
      <c r="K3222" s="382" t="str">
        <f t="shared" si="1385"/>
        <v/>
      </c>
      <c r="L3222" s="382" t="str">
        <f>IF(H3222="","",IF(C3222="","",G3184*C3222))</f>
        <v/>
      </c>
      <c r="M3222" s="117" t="str">
        <f>IF(A3222="","",VLOOKUP(A3222,'6.A'!$A$11:$C$564,2,FALSE))</f>
        <v/>
      </c>
      <c r="N3222" s="381" t="str">
        <f t="shared" si="1386"/>
        <v/>
      </c>
      <c r="O3222" s="56"/>
      <c r="P3222" s="56"/>
      <c r="Q3222" s="48"/>
      <c r="R3222" s="48"/>
      <c r="T3222" s="2"/>
      <c r="U3222" s="2"/>
      <c r="V3222" s="2"/>
    </row>
    <row r="3223" spans="1:22" s="65" customFormat="1" ht="12.75" customHeight="1" x14ac:dyDescent="0.2">
      <c r="A3223" s="155"/>
      <c r="B3223" s="138" t="str">
        <f>IF(A3223="","",VLOOKUP(A3223,'6.A'!$A$11:$G$180,2,FALSE))</f>
        <v/>
      </c>
      <c r="C3223" s="156"/>
      <c r="D3223" s="381" t="str">
        <f>IF(A3223="","",VLOOKUP(A3223,'6.A'!$A$11:$G$180,4,FALSE))</f>
        <v/>
      </c>
      <c r="E3223" s="100" t="str">
        <f>IF(A3223="","",VLOOKUP(A3223,'6.A'!$A$11:$G$180,5,FALSE))</f>
        <v/>
      </c>
      <c r="F3223" s="24" t="str">
        <f t="shared" si="1383"/>
        <v>0,00</v>
      </c>
      <c r="G3223" s="382"/>
      <c r="H3223" s="382" t="str">
        <f>IF(A3223="","",VLOOKUP(A3223,'6.A'!$A$11:$E$7984,5,FALSE))</f>
        <v/>
      </c>
      <c r="I3223" s="382" t="str">
        <f t="shared" si="1384"/>
        <v/>
      </c>
      <c r="J3223" s="382" t="str">
        <f>IF(H3223="","",VLOOKUP(A3223,'6.A'!$A$11:$E$564,4,FALSE))</f>
        <v/>
      </c>
      <c r="K3223" s="382" t="str">
        <f t="shared" si="1385"/>
        <v/>
      </c>
      <c r="L3223" s="382" t="str">
        <f>IF(H3223="","",IF(C3223="","",G3184*C3223))</f>
        <v/>
      </c>
      <c r="M3223" s="117" t="str">
        <f>IF(A3223="","",VLOOKUP(A3223,'6.A'!$A$11:$C$564,2,FALSE))</f>
        <v/>
      </c>
      <c r="N3223" s="381" t="str">
        <f t="shared" si="1386"/>
        <v/>
      </c>
      <c r="O3223" s="56"/>
      <c r="P3223" s="56"/>
      <c r="Q3223" s="48"/>
      <c r="R3223" s="48"/>
      <c r="T3223" s="2"/>
      <c r="U3223" s="2"/>
      <c r="V3223" s="2"/>
    </row>
    <row r="3224" spans="1:22" ht="12.75" customHeight="1" x14ac:dyDescent="0.2">
      <c r="A3224" s="22"/>
      <c r="B3224" s="23" t="str">
        <f>IF(A3224="","",VLOOKUP(A3224,'6.A'!$A$11:$G$180,2,FALSE))</f>
        <v/>
      </c>
      <c r="C3224" s="99"/>
      <c r="D3224" s="381" t="str">
        <f>IF(A3224="","",VLOOKUP(A3224,'6.A'!$A$11:$G$180,4,FALSE))</f>
        <v/>
      </c>
      <c r="E3224" s="100" t="str">
        <f>IF(A3224="","",VLOOKUP(A3224,'6.A'!$A$11:$G$180,5,FALSE))</f>
        <v/>
      </c>
      <c r="F3224" s="24" t="str">
        <f t="shared" si="1383"/>
        <v>0,00</v>
      </c>
      <c r="G3224" s="382"/>
      <c r="H3224" s="382" t="str">
        <f>IF(A3224="","",VLOOKUP(A3224,'6.A'!$A$11:$E$7984,5,FALSE))</f>
        <v/>
      </c>
      <c r="I3224" s="382" t="str">
        <f t="shared" si="1384"/>
        <v/>
      </c>
      <c r="J3224" s="382" t="str">
        <f>IF(H3224="","",VLOOKUP(A3224,'6.A'!$A$11:$E$564,4,FALSE))</f>
        <v/>
      </c>
      <c r="K3224" s="382" t="str">
        <f t="shared" si="1385"/>
        <v/>
      </c>
      <c r="L3224" s="382" t="str">
        <f>IF(H3224="","",IF(C3224="","",G3184*C3224))</f>
        <v/>
      </c>
      <c r="M3224" s="117" t="str">
        <f>IF(A3224="","",VLOOKUP(A3224,'6.A'!$A$11:$C$564,2,FALSE))</f>
        <v/>
      </c>
      <c r="N3224" s="381" t="str">
        <f t="shared" si="1386"/>
        <v/>
      </c>
      <c r="O3224" s="56"/>
      <c r="P3224" s="56"/>
      <c r="Q3224" s="48"/>
      <c r="R3224" s="48"/>
    </row>
    <row r="3225" spans="1:22" ht="12.75" customHeight="1" x14ac:dyDescent="0.2">
      <c r="A3225" s="22"/>
      <c r="B3225" s="23" t="str">
        <f>IF(A3225="","",VLOOKUP(A3225,'6.A'!$A$11:$G$180,2,FALSE))</f>
        <v/>
      </c>
      <c r="C3225" s="99"/>
      <c r="D3225" s="381" t="str">
        <f>IF(A3225="","",VLOOKUP(A3225,'6.A'!$A$11:$G$180,4,FALSE))</f>
        <v/>
      </c>
      <c r="E3225" s="100" t="str">
        <f>IF(A3225="","",VLOOKUP(A3225,'6.A'!$A$11:$G$180,5,FALSE))</f>
        <v/>
      </c>
      <c r="F3225" s="24" t="str">
        <f t="shared" si="1383"/>
        <v>0,00</v>
      </c>
      <c r="G3225" s="382"/>
      <c r="H3225" s="382" t="str">
        <f>IF(A3225="","",VLOOKUP(A3225,'6.A'!$A$11:$E$7984,5,FALSE))</f>
        <v/>
      </c>
      <c r="I3225" s="382" t="str">
        <f t="shared" si="1384"/>
        <v/>
      </c>
      <c r="J3225" s="382" t="str">
        <f>IF(H3225="","",VLOOKUP(A3225,'6.A'!$A$11:$E$564,4,FALSE))</f>
        <v/>
      </c>
      <c r="K3225" s="382" t="str">
        <f t="shared" si="1385"/>
        <v/>
      </c>
      <c r="L3225" s="382" t="str">
        <f>IF(H3225="","",IF(C3225="","",G3184*C3225))</f>
        <v/>
      </c>
      <c r="M3225" s="117" t="str">
        <f>IF(A3225="","",VLOOKUP(A3225,'6.A'!$A$11:$C$564,2,FALSE))</f>
        <v/>
      </c>
      <c r="N3225" s="381" t="str">
        <f t="shared" si="1386"/>
        <v/>
      </c>
      <c r="O3225" s="56"/>
      <c r="P3225" s="56"/>
      <c r="Q3225" s="48"/>
      <c r="R3225" s="48"/>
    </row>
    <row r="3226" spans="1:22" ht="12.75" customHeight="1" x14ac:dyDescent="0.2">
      <c r="A3226" s="22"/>
      <c r="B3226" s="23" t="str">
        <f>IF(A3226="","",VLOOKUP(A3226,'6.A'!$A$11:$G$180,2,FALSE))</f>
        <v/>
      </c>
      <c r="C3226" s="99"/>
      <c r="D3226" s="381" t="str">
        <f>IF(A3226="","",VLOOKUP(A3226,'6.A'!$A$11:$G$180,4,FALSE))</f>
        <v/>
      </c>
      <c r="E3226" s="100" t="str">
        <f>IF(A3226="","",VLOOKUP(A3226,'6.A'!$A$11:$G$180,5,FALSE))</f>
        <v/>
      </c>
      <c r="F3226" s="24" t="str">
        <f t="shared" si="1383"/>
        <v>0,00</v>
      </c>
      <c r="G3226" s="382"/>
      <c r="H3226" s="382" t="str">
        <f>IF(A3226="","",VLOOKUP(A3226,'6.A'!$A$11:$E$7984,5,FALSE))</f>
        <v/>
      </c>
      <c r="I3226" s="382" t="str">
        <f t="shared" si="1384"/>
        <v/>
      </c>
      <c r="J3226" s="382" t="str">
        <f>IF(H3226="","",VLOOKUP(A3226,'6.A'!$A$11:$E$564,4,FALSE))</f>
        <v/>
      </c>
      <c r="K3226" s="382" t="str">
        <f t="shared" si="1385"/>
        <v/>
      </c>
      <c r="L3226" s="382" t="str">
        <f>IF(H3226="","",IF(C3226="","",G3184*C3226))</f>
        <v/>
      </c>
      <c r="M3226" s="117" t="str">
        <f>IF(A3226="","",VLOOKUP(A3226,'6.A'!$A$11:$C$564,2,FALSE))</f>
        <v/>
      </c>
      <c r="N3226" s="381" t="str">
        <f t="shared" si="1386"/>
        <v/>
      </c>
      <c r="O3226" s="56"/>
      <c r="P3226" s="56"/>
      <c r="Q3226" s="48"/>
      <c r="R3226" s="48"/>
    </row>
    <row r="3227" spans="1:22" ht="12.75" customHeight="1" x14ac:dyDescent="0.2">
      <c r="A3227" s="22"/>
      <c r="B3227" s="23" t="str">
        <f>IF(A3227="","",VLOOKUP(A3227,'6.A'!$A$11:$G$180,2,FALSE))</f>
        <v/>
      </c>
      <c r="C3227" s="99"/>
      <c r="D3227" s="381" t="str">
        <f>IF(A3227="","",VLOOKUP(A3227,'6.A'!$A$11:$G$180,4,FALSE))</f>
        <v/>
      </c>
      <c r="E3227" s="100" t="str">
        <f>IF(A3227="","",VLOOKUP(A3227,'6.A'!$A$11:$G$180,5,FALSE))</f>
        <v/>
      </c>
      <c r="F3227" s="24" t="str">
        <f t="shared" si="1383"/>
        <v>0,00</v>
      </c>
      <c r="G3227" s="382"/>
      <c r="H3227" s="382" t="str">
        <f>IF(A3227="","",VLOOKUP(A3227,'6.A'!$A$11:$E$7984,5,FALSE))</f>
        <v/>
      </c>
      <c r="I3227" s="382" t="str">
        <f t="shared" si="1384"/>
        <v/>
      </c>
      <c r="J3227" s="382" t="str">
        <f>IF(H3227="","",VLOOKUP(A3227,'6.A'!$A$11:$E$564,4,FALSE))</f>
        <v/>
      </c>
      <c r="K3227" s="382" t="str">
        <f t="shared" si="1385"/>
        <v/>
      </c>
      <c r="L3227" s="382" t="str">
        <f>IF(H3227="","",IF(C3227="","",G3184*C3227))</f>
        <v/>
      </c>
      <c r="M3227" s="117" t="str">
        <f>IF(A3227="","",VLOOKUP(A3227,'6.A'!$A$11:$C$564,2,FALSE))</f>
        <v/>
      </c>
      <c r="N3227" s="381" t="str">
        <f t="shared" si="1386"/>
        <v/>
      </c>
      <c r="O3227" s="56"/>
      <c r="P3227" s="56"/>
      <c r="Q3227" s="48"/>
      <c r="R3227" s="48"/>
    </row>
    <row r="3228" spans="1:22" ht="12.75" customHeight="1" x14ac:dyDescent="0.2">
      <c r="A3228" s="22"/>
      <c r="B3228" s="23" t="str">
        <f>IF(A3228="","",VLOOKUP(A3228,'6.A'!$A$11:$G$180,2,FALSE))</f>
        <v/>
      </c>
      <c r="C3228" s="99"/>
      <c r="D3228" s="381" t="str">
        <f>IF(A3228="","",VLOOKUP(A3228,'6.A'!$A$11:$G$180,4,FALSE))</f>
        <v/>
      </c>
      <c r="E3228" s="100" t="str">
        <f>IF(A3228="","",VLOOKUP(A3228,'6.A'!$A$11:$G$180,5,FALSE))</f>
        <v/>
      </c>
      <c r="F3228" s="24" t="str">
        <f t="shared" si="1383"/>
        <v>0,00</v>
      </c>
      <c r="G3228" s="382"/>
      <c r="H3228" s="382" t="str">
        <f>IF(A3228="","",VLOOKUP(A3228,'6.A'!$A$11:$E$7984,5,FALSE))</f>
        <v/>
      </c>
      <c r="I3228" s="382" t="str">
        <f t="shared" si="1384"/>
        <v/>
      </c>
      <c r="J3228" s="382" t="str">
        <f>IF(H3228="","",VLOOKUP(A3228,'6.A'!$A$11:$E$564,4,FALSE))</f>
        <v/>
      </c>
      <c r="K3228" s="382" t="str">
        <f t="shared" si="1385"/>
        <v/>
      </c>
      <c r="L3228" s="382" t="str">
        <f>IF(H3228="","",IF(C3228="","",G3184*C3228))</f>
        <v/>
      </c>
      <c r="M3228" s="117" t="str">
        <f>IF(A3228="","",VLOOKUP(A3228,'6.A'!$A$11:$C$564,2,FALSE))</f>
        <v/>
      </c>
      <c r="N3228" s="381" t="str">
        <f t="shared" si="1386"/>
        <v/>
      </c>
      <c r="O3228" s="56"/>
      <c r="P3228" s="56"/>
      <c r="Q3228" s="48"/>
      <c r="R3228" s="48"/>
    </row>
    <row r="3229" spans="1:22" ht="12.75" customHeight="1" x14ac:dyDescent="0.2">
      <c r="A3229" s="22"/>
      <c r="B3229" s="23" t="str">
        <f>IF(A3229="","",VLOOKUP(A3229,'6.A'!$A$11:$G$180,2,FALSE))</f>
        <v/>
      </c>
      <c r="C3229" s="99"/>
      <c r="D3229" s="381" t="str">
        <f>IF(A3229="","",VLOOKUP(A3229,'6.A'!$A$11:$G$180,4,FALSE))</f>
        <v/>
      </c>
      <c r="E3229" s="100" t="str">
        <f>IF(A3229="","",VLOOKUP(A3229,'6.A'!$A$11:$G$180,5,FALSE))</f>
        <v/>
      </c>
      <c r="F3229" s="24" t="str">
        <f t="shared" si="1383"/>
        <v>0,00</v>
      </c>
      <c r="G3229" s="382"/>
      <c r="H3229" s="382" t="str">
        <f>IF(A3229="","",VLOOKUP(A3229,'6.A'!$A$11:$E$7984,5,FALSE))</f>
        <v/>
      </c>
      <c r="I3229" s="382" t="str">
        <f t="shared" si="1384"/>
        <v/>
      </c>
      <c r="J3229" s="382" t="str">
        <f>IF(H3229="","",VLOOKUP(A3229,'6.A'!$A$11:$E$564,4,FALSE))</f>
        <v/>
      </c>
      <c r="K3229" s="382" t="str">
        <f t="shared" si="1385"/>
        <v/>
      </c>
      <c r="L3229" s="382" t="str">
        <f>IF(H3229="","",IF(C3229="","",G3184*C3229))</f>
        <v/>
      </c>
      <c r="M3229" s="117" t="str">
        <f>IF(A3229="","",VLOOKUP(A3229,'6.A'!$A$11:$C$564,2,FALSE))</f>
        <v/>
      </c>
      <c r="N3229" s="381" t="str">
        <f t="shared" si="1386"/>
        <v/>
      </c>
      <c r="O3229" s="56"/>
      <c r="P3229" s="56"/>
      <c r="Q3229" s="48"/>
      <c r="R3229" s="48"/>
    </row>
    <row r="3230" spans="1:22" ht="12.75" customHeight="1" x14ac:dyDescent="0.2">
      <c r="A3230" s="22"/>
      <c r="B3230" s="39" t="str">
        <f>IF(A3230="","",VLOOKUP(A3230,'6.A'!$A$11:$G$180,2,FALSE))</f>
        <v/>
      </c>
      <c r="C3230" s="99"/>
      <c r="D3230" s="381" t="str">
        <f>IF(A3230="","",VLOOKUP(A3230,'6.A'!$A$11:$G$180,4,FALSE))</f>
        <v/>
      </c>
      <c r="E3230" s="100" t="str">
        <f>IF(A3230="","",VLOOKUP(A3230,'6.A'!$A$11:$G$180,5,FALSE))</f>
        <v/>
      </c>
      <c r="F3230" s="24" t="str">
        <f t="shared" si="1383"/>
        <v>0,00</v>
      </c>
      <c r="G3230" s="382"/>
      <c r="H3230" s="382" t="str">
        <f>IF(A3230="","",VLOOKUP(A3230,'6.A'!$A$11:$E$7984,5,FALSE))</f>
        <v/>
      </c>
      <c r="I3230" s="382" t="str">
        <f t="shared" si="1384"/>
        <v/>
      </c>
      <c r="J3230" s="382" t="str">
        <f>IF(H3230="","",VLOOKUP(A3230,'6.A'!$A$11:$E$564,4,FALSE))</f>
        <v/>
      </c>
      <c r="K3230" s="382" t="str">
        <f t="shared" si="1385"/>
        <v/>
      </c>
      <c r="L3230" s="382" t="str">
        <f>IF(H3230="","",IF(C3230="","",G3184*C3230))</f>
        <v/>
      </c>
      <c r="M3230" s="117" t="str">
        <f>IF(A3230="","",VLOOKUP(A3230,'6.A'!$A$11:$C$564,2,FALSE))</f>
        <v/>
      </c>
      <c r="N3230" s="381" t="str">
        <f t="shared" si="1386"/>
        <v/>
      </c>
      <c r="O3230" s="56"/>
      <c r="P3230" s="56"/>
      <c r="Q3230" s="48"/>
      <c r="R3230" s="48"/>
    </row>
    <row r="3231" spans="1:22" ht="12.75" customHeight="1" x14ac:dyDescent="0.2">
      <c r="A3231" s="22"/>
      <c r="B3231" s="39" t="str">
        <f>IF(A3231="","",VLOOKUP(A3231,'6.A'!$A$11:$G$180,2,FALSE))</f>
        <v/>
      </c>
      <c r="C3231" s="99"/>
      <c r="D3231" s="381" t="str">
        <f>IF(A3231="","",VLOOKUP(A3231,'6.A'!$A$11:$G$180,4,FALSE))</f>
        <v/>
      </c>
      <c r="E3231" s="100" t="str">
        <f>IF(A3231="","",VLOOKUP(A3231,'6.A'!$A$11:$G$180,5,FALSE))</f>
        <v/>
      </c>
      <c r="F3231" s="24" t="str">
        <f t="shared" si="1383"/>
        <v>0,00</v>
      </c>
      <c r="G3231" s="382"/>
      <c r="H3231" s="382" t="str">
        <f>IF(A3231="","",VLOOKUP(A3231,'6.A'!$A$11:$E$7984,5,FALSE))</f>
        <v/>
      </c>
      <c r="I3231" s="382" t="str">
        <f t="shared" si="1384"/>
        <v/>
      </c>
      <c r="J3231" s="382" t="str">
        <f>IF(H3231="","",VLOOKUP(A3231,'6.A'!$A$11:$E$564,4,FALSE))</f>
        <v/>
      </c>
      <c r="K3231" s="382" t="str">
        <f t="shared" si="1385"/>
        <v/>
      </c>
      <c r="L3231" s="382" t="str">
        <f>IF(H3231="","",IF(C3231="","",G3184*C3231))</f>
        <v/>
      </c>
      <c r="M3231" s="117" t="str">
        <f>IF(A3231="","",VLOOKUP(A3231,'6.A'!$A$11:$C$564,2,FALSE))</f>
        <v/>
      </c>
      <c r="N3231" s="381" t="str">
        <f t="shared" si="1386"/>
        <v/>
      </c>
      <c r="O3231" s="56"/>
      <c r="P3231" s="56"/>
      <c r="Q3231" s="48"/>
      <c r="R3231" s="48"/>
    </row>
    <row r="3232" spans="1:22" ht="12.75" customHeight="1" x14ac:dyDescent="0.2">
      <c r="A3232" s="22"/>
      <c r="B3232" s="39" t="str">
        <f>IF(A3232="","",VLOOKUP(A3232,'6.A'!$A$11:$G$180,2,FALSE))</f>
        <v/>
      </c>
      <c r="C3232" s="99"/>
      <c r="D3232" s="381" t="str">
        <f>IF(A3232="","",VLOOKUP(A3232,'6.A'!$A$11:$G$180,4,FALSE))</f>
        <v/>
      </c>
      <c r="E3232" s="100" t="str">
        <f>IF(A3232="","",VLOOKUP(A3232,'6.A'!$A$11:$G$180,5,FALSE))</f>
        <v/>
      </c>
      <c r="F3232" s="24" t="str">
        <f t="shared" si="1383"/>
        <v>0,00</v>
      </c>
      <c r="G3232" s="382"/>
      <c r="H3232" s="382" t="str">
        <f>IF(A3232="","",VLOOKUP(A3232,'6.A'!$A$11:$E$7984,5,FALSE))</f>
        <v/>
      </c>
      <c r="I3232" s="382" t="str">
        <f t="shared" si="1384"/>
        <v/>
      </c>
      <c r="J3232" s="382" t="str">
        <f>IF(H3232="","",VLOOKUP(A3232,'6.A'!$A$11:$E$564,4,FALSE))</f>
        <v/>
      </c>
      <c r="K3232" s="382" t="str">
        <f t="shared" si="1385"/>
        <v/>
      </c>
      <c r="L3232" s="382" t="str">
        <f>IF(H3232="","",IF(C3232="","",G3184*C3232))</f>
        <v/>
      </c>
      <c r="M3232" s="117" t="str">
        <f>IF(A3232="","",VLOOKUP(A3232,'6.A'!$A$11:$C$564,2,FALSE))</f>
        <v/>
      </c>
      <c r="N3232" s="381" t="str">
        <f t="shared" si="1386"/>
        <v/>
      </c>
      <c r="O3232" s="56"/>
      <c r="P3232" s="56"/>
      <c r="Q3232" s="48"/>
      <c r="R3232" s="48"/>
    </row>
    <row r="3233" spans="1:23" ht="12.75" customHeight="1" x14ac:dyDescent="0.2">
      <c r="A3233" s="22"/>
      <c r="B3233" s="26" t="str">
        <f>$A$9</f>
        <v>BDI</v>
      </c>
      <c r="C3233" s="40">
        <f>$C$9</f>
        <v>0</v>
      </c>
      <c r="D3233" s="381"/>
      <c r="F3233" s="28">
        <f>ROUND(SUM(F3213:F3232)*C3233,2)</f>
        <v>0</v>
      </c>
      <c r="G3233" s="63"/>
      <c r="H3233" s="382"/>
      <c r="I3233" s="381"/>
      <c r="J3233" s="381"/>
      <c r="K3233" s="381"/>
      <c r="L3233" s="382"/>
      <c r="M3233" s="381"/>
      <c r="N3233" s="381"/>
      <c r="O3233" s="56"/>
      <c r="P3233" s="56"/>
      <c r="Q3233" s="48"/>
      <c r="R3233" s="48"/>
    </row>
    <row r="3234" spans="1:23" ht="12.75" customHeight="1" thickBot="1" x14ac:dyDescent="0.25">
      <c r="A3234" s="41"/>
      <c r="B3234" s="42" t="s">
        <v>57</v>
      </c>
      <c r="C3234" s="43"/>
      <c r="D3234" s="44"/>
      <c r="E3234" s="45"/>
      <c r="F3234" s="46">
        <f>ROUND(SUM(F3213:F3233),2)</f>
        <v>0</v>
      </c>
      <c r="G3234" s="63"/>
      <c r="H3234" s="382"/>
      <c r="I3234" s="381"/>
      <c r="J3234" s="381"/>
      <c r="K3234" s="381"/>
      <c r="L3234" s="382"/>
      <c r="M3234" s="381"/>
      <c r="N3234" s="381"/>
      <c r="O3234" s="56"/>
      <c r="P3234" s="56"/>
      <c r="Q3234" s="48"/>
      <c r="R3234" s="48"/>
    </row>
    <row r="3235" spans="1:23" ht="12" customHeight="1" thickBot="1" x14ac:dyDescent="0.25">
      <c r="A3235" s="8"/>
      <c r="B3235" s="9"/>
      <c r="C3235" s="10"/>
      <c r="D3235" s="381"/>
      <c r="F3235" s="12"/>
      <c r="H3235" s="382"/>
      <c r="I3235" s="381"/>
      <c r="J3235" s="381"/>
      <c r="K3235" s="381"/>
      <c r="L3235" s="382"/>
      <c r="M3235" s="381"/>
      <c r="N3235" s="381"/>
      <c r="O3235" s="56"/>
      <c r="P3235" s="56"/>
    </row>
    <row r="3236" spans="1:23" ht="50.1" customHeight="1" x14ac:dyDescent="0.2">
      <c r="A3236" s="13" t="str">
        <f>'3.A'!$A$158</f>
        <v>3.4.3</v>
      </c>
      <c r="B3236" s="14" t="str">
        <f>IF(A3236="","",VLOOKUP(A3236,'3.A'!$A$17:$M$279,2,FALSE))</f>
        <v>DISJUNTOR CAIXA MOLDADA TRIPOLAR 100A COM DISPARADOR TERMOMAGNÉTICO AJUSTÁVEL</v>
      </c>
      <c r="C3236" s="413" t="s">
        <v>62</v>
      </c>
      <c r="D3236" s="413"/>
      <c r="E3236" s="15" t="str">
        <f>IF(A3236="","",VLOOKUP(A3236,'3.A'!$A$17:$M$279,3,FALSE))</f>
        <v>UN</v>
      </c>
      <c r="F3236" s="16">
        <f>ROUND(F3250+F3263+F3286,2)</f>
        <v>0</v>
      </c>
      <c r="G3236" s="118">
        <f>VLOOKUP(A3236,'3.A'!$A$19:$I$279,4,FALSE)</f>
        <v>1</v>
      </c>
      <c r="H3236" s="47">
        <f>SUM(F3238:F3249)</f>
        <v>0</v>
      </c>
      <c r="I3236" s="47">
        <f>SUM(F3252:F3262)</f>
        <v>0</v>
      </c>
      <c r="J3236" s="47">
        <f>SUM(F3265:F3285)</f>
        <v>0</v>
      </c>
      <c r="K3236" s="47">
        <f>SUM(H3236:J3236)</f>
        <v>0</v>
      </c>
      <c r="L3236" s="47" t="str">
        <f>IF(K3236=F3236,"SIM","NÃO")</f>
        <v>SIM</v>
      </c>
      <c r="M3236" s="58">
        <f>ROUND(SUM(F3238:F3247)*C3248,2)+ROUND(SUM(F3238:F3248)*C3249,2)+ROUND(SUM(F3238:F3247),2)+ROUND(SUM(F3252:F3261)*C3262,2)+ROUND(SUM(F3252:F3261),2)+ROUND(SUM(F3265:F3284)*C3285,2)+ROUND(SUM(F3265:F3284),2)</f>
        <v>0</v>
      </c>
      <c r="N3236" s="50" t="str">
        <f>IF(M3236=F3236,"SIM","NÃO")</f>
        <v>SIM</v>
      </c>
      <c r="O3236" s="51" t="str">
        <f>VLOOKUP(A3236,'3.A'!$A$8:$E$279,3,FALSE)</f>
        <v>UN</v>
      </c>
      <c r="P3236" s="51" t="str">
        <f>IF(O3236=E3236,"SIM","NÃO")</f>
        <v>SIM</v>
      </c>
      <c r="Q3236" s="53">
        <f>ROUND(G3236*F3250,2)+ROUND(G3236*F3263,2)+ROUND(G3236*F3286,2)</f>
        <v>0</v>
      </c>
      <c r="R3236" s="59">
        <f>VLOOKUP(A3236,'3.A'!$A$17:$L$279,12,FALSE)</f>
        <v>0</v>
      </c>
      <c r="S3236" s="60" t="str">
        <f>IF(Q3236=R3236,"si","no")</f>
        <v>si</v>
      </c>
      <c r="T3236" s="61">
        <f>SUM(L3238:L3247)+SUM(L3252:L3261)+SUM(L3265:L3284)</f>
        <v>5.2</v>
      </c>
      <c r="U3236" s="382">
        <f>G3236*C3244+G3236*C3246+G3236*C3239+G3236*C3240+G3236*C3242+G3236*C3245+G3236*C3243+G3236*C3238+G3236*C3241+G3236*C3247+G3236*C3258+G3236*C3252+G3236*C3260+G3236*C3259+G3236*C3257+G3236*C3254+G3236*C3253+G3236*C3255+G3236*C3261+G3236*C3256+G3236*C3265+G3236*C3266+G3236*C3267+G3236*C3275+G3236*C3276+G3236*C3277+G3236*C3278+G3236*C3279+G3236*C3280+G3236*C3281+G3236*C3282+G3236*C3283+G3236*C3284+G3236*C3273+G3236*C3274+G3236*C3268+G3236*C3269+G3236*C3270+G3236*C3271+G3236*C3272</f>
        <v>5.2</v>
      </c>
      <c r="V3236" s="54" t="str">
        <f>IF(T3236=U3236,"si","no")</f>
        <v>si</v>
      </c>
      <c r="W3236" s="137"/>
    </row>
    <row r="3237" spans="1:23" ht="12.75" customHeight="1" x14ac:dyDescent="0.2">
      <c r="A3237" s="17" t="s">
        <v>3</v>
      </c>
      <c r="B3237" s="18" t="s">
        <v>58</v>
      </c>
      <c r="C3237" s="56" t="s">
        <v>59</v>
      </c>
      <c r="D3237" s="56" t="s">
        <v>16</v>
      </c>
      <c r="E3237" s="19" t="s">
        <v>60</v>
      </c>
      <c r="F3237" s="20" t="s">
        <v>61</v>
      </c>
      <c r="G3237" s="21"/>
      <c r="H3237" s="382"/>
      <c r="I3237" s="381"/>
      <c r="J3237" s="381"/>
      <c r="K3237" s="381"/>
      <c r="L3237" s="382"/>
      <c r="M3237" s="381"/>
      <c r="N3237" s="381"/>
      <c r="O3237" s="56"/>
      <c r="P3237" s="56"/>
      <c r="Q3237" s="48"/>
      <c r="R3237" s="48"/>
    </row>
    <row r="3238" spans="1:23" ht="12.75" customHeight="1" x14ac:dyDescent="0.2">
      <c r="A3238" s="155">
        <f>'6.A'!$A$19</f>
        <v>88266</v>
      </c>
      <c r="B3238" s="138" t="str">
        <f>IF(A3238="","",VLOOKUP(A3238,'6.A'!$A$11:$G$180,2,FALSE))</f>
        <v>ELETROTÉCNICO COM ENCARGOS COMPLEMENTARES</v>
      </c>
      <c r="C3238" s="156">
        <v>0.6</v>
      </c>
      <c r="D3238" s="381" t="str">
        <f>IF(A3238="","",VLOOKUP(A3238,'6.A'!$A$11:$G$180,4,FALSE))</f>
        <v>H</v>
      </c>
      <c r="E3238" s="100">
        <f>IF(A3238="","",VLOOKUP(A3238,'6.A'!$A$11:$G$180,5,FALSE))</f>
        <v>0</v>
      </c>
      <c r="F3238" s="24">
        <f t="shared" ref="F3238" si="1387">IF(A3238="","0,00",ROUND(C3238*E3238,2))</f>
        <v>0</v>
      </c>
      <c r="G3238" s="382"/>
      <c r="H3238" s="382">
        <f>IF(A3238="","",VLOOKUP(A3238,'6.A'!$A$11:$E$7984,5,FALSE))</f>
        <v>0</v>
      </c>
      <c r="I3238" s="382" t="str">
        <f>IF(H3238="","",IF(E3238=H3238,"SIM","NÃO"))</f>
        <v>SIM</v>
      </c>
      <c r="J3238" s="382" t="str">
        <f>IF(H3238="","",VLOOKUP(A3238,'6.A'!$A$11:$E$564,4,FALSE))</f>
        <v>H</v>
      </c>
      <c r="K3238" s="382" t="str">
        <f>IF(H3238="","",IF(J3238=D3238,"SIM","NÃO"))</f>
        <v>SIM</v>
      </c>
      <c r="L3238" s="382">
        <f>IF(H3238="","",IF(C3238="","",G3236*C3238))</f>
        <v>0.6</v>
      </c>
      <c r="M3238" s="117" t="str">
        <f>IF(A3238="","",VLOOKUP(A3238,'6.A'!$A$11:$C$564,2,FALSE))</f>
        <v>ELETROTÉCNICO COM ENCARGOS COMPLEMENTARES</v>
      </c>
      <c r="N3238" s="381" t="str">
        <f>IF(A3238="","",IF(M3238=B3238,"si","no"))</f>
        <v>si</v>
      </c>
      <c r="O3238" s="56"/>
      <c r="P3238" s="56"/>
      <c r="Q3238" s="48"/>
      <c r="R3238" s="48"/>
    </row>
    <row r="3239" spans="1:23" ht="12.75" customHeight="1" x14ac:dyDescent="0.2">
      <c r="A3239" s="155">
        <f>'6.A'!$A$18</f>
        <v>88264</v>
      </c>
      <c r="B3239" s="138" t="str">
        <f>IF(A3239="","",VLOOKUP(A3239,'6.A'!$A$11:$G$180,2,FALSE))</f>
        <v>ELETRICISTA COM ENCARGOS COMPLEMENTARES</v>
      </c>
      <c r="C3239" s="156">
        <v>1.8</v>
      </c>
      <c r="D3239" s="381" t="str">
        <f>IF(A3239="","",VLOOKUP(A3239,'6.A'!$A$11:$G$180,4,FALSE))</f>
        <v>H</v>
      </c>
      <c r="E3239" s="100">
        <f>IF(A3239="","",VLOOKUP(A3239,'6.A'!$A$11:$G$180,5,FALSE))</f>
        <v>0</v>
      </c>
      <c r="F3239" s="24">
        <f>IF(A3239="","0,00",ROUND(C3239*E3239,2))</f>
        <v>0</v>
      </c>
      <c r="G3239" s="382"/>
      <c r="H3239" s="382">
        <f>IF(A3239="","",VLOOKUP(A3239,'6.A'!$A$11:$E$7984,5,FALSE))</f>
        <v>0</v>
      </c>
      <c r="I3239" s="382" t="str">
        <f>IF(H3239="","",IF(E3239=H3239,"SIM","NÃO"))</f>
        <v>SIM</v>
      </c>
      <c r="J3239" s="382" t="str">
        <f>IF(H3239="","",VLOOKUP(A3239,'6.A'!$A$11:$E$564,4,FALSE))</f>
        <v>H</v>
      </c>
      <c r="K3239" s="382" t="str">
        <f>IF(H3239="","",IF(J3239=D3239,"SIM","NÃO"))</f>
        <v>SIM</v>
      </c>
      <c r="L3239" s="382">
        <f>IF(H3239="","",IF(C3239="","",G3236*C3239))</f>
        <v>1.8</v>
      </c>
      <c r="M3239" s="117" t="str">
        <f>IF(A3239="","",VLOOKUP(A3239,'6.A'!$A$11:$C$564,2,FALSE))</f>
        <v>ELETRICISTA COM ENCARGOS COMPLEMENTARES</v>
      </c>
      <c r="N3239" s="381" t="str">
        <f>IF(A3239="","",IF(M3239=B3239,"si","no"))</f>
        <v>si</v>
      </c>
      <c r="O3239" s="56"/>
      <c r="P3239" s="56"/>
      <c r="Q3239" s="48"/>
      <c r="R3239" s="48"/>
    </row>
    <row r="3240" spans="1:23" ht="12.75" customHeight="1" x14ac:dyDescent="0.2">
      <c r="A3240" s="155">
        <f>'6.A'!$A$22</f>
        <v>88316</v>
      </c>
      <c r="B3240" s="138" t="str">
        <f>IF(A3240="","",VLOOKUP(A3240,'6.A'!$A$11:$G$180,2,FALSE))</f>
        <v>SERVENTE COM ENCARGOS COMPLEMENTARES</v>
      </c>
      <c r="C3240" s="156">
        <v>1.8</v>
      </c>
      <c r="D3240" s="381" t="str">
        <f>IF(A3240="","",VLOOKUP(A3240,'6.A'!$A$11:$G$180,4,FALSE))</f>
        <v>H</v>
      </c>
      <c r="E3240" s="100">
        <f>IF(A3240="","",VLOOKUP(A3240,'6.A'!$A$11:$G$180,5,FALSE))</f>
        <v>0</v>
      </c>
      <c r="F3240" s="24">
        <f t="shared" ref="F3240:F3247" si="1388">IF(A3240="","0,00",ROUND(C3240*E3240,2))</f>
        <v>0</v>
      </c>
      <c r="G3240" s="382"/>
      <c r="H3240" s="382">
        <f>IF(A3240="","",VLOOKUP(A3240,'6.A'!$A$11:$E$7984,5,FALSE))</f>
        <v>0</v>
      </c>
      <c r="I3240" s="382" t="str">
        <f>IF(H3240="","",IF(E3240=H3240,"SIM","NÃO"))</f>
        <v>SIM</v>
      </c>
      <c r="J3240" s="382" t="str">
        <f>IF(H3240="","",VLOOKUP(A3240,'6.A'!$A$11:$E$564,4,FALSE))</f>
        <v>H</v>
      </c>
      <c r="K3240" s="382" t="str">
        <f t="shared" ref="K3240" si="1389">IF(H3240="","",IF(J3240=D3240,"SIM","NÃO"))</f>
        <v>SIM</v>
      </c>
      <c r="L3240" s="382">
        <f>IF(H3240="","",IF(C3240="","",G3236*C3240))</f>
        <v>1.8</v>
      </c>
      <c r="M3240" s="117" t="str">
        <f>IF(A3240="","",VLOOKUP(A3240,'6.A'!$A$11:$C$564,2,FALSE))</f>
        <v>SERVENTE COM ENCARGOS COMPLEMENTARES</v>
      </c>
      <c r="N3240" s="381" t="str">
        <f t="shared" ref="N3240" si="1390">IF(A3240="","",IF(M3240=B3240,"si","no"))</f>
        <v>si</v>
      </c>
      <c r="O3240" s="56"/>
      <c r="P3240" s="56"/>
      <c r="Q3240" s="48"/>
      <c r="R3240" s="48"/>
      <c r="S3240" s="2"/>
    </row>
    <row r="3241" spans="1:23" ht="12.75" customHeight="1" x14ac:dyDescent="0.2">
      <c r="A3241" s="155"/>
      <c r="B3241" s="138" t="str">
        <f>IF(A3241="","",VLOOKUP(A3241,'6.A'!$A$11:$G$180,2,FALSE))</f>
        <v/>
      </c>
      <c r="C3241" s="156"/>
      <c r="D3241" s="381" t="str">
        <f>IF(A3241="","",VLOOKUP(A3241,'6.A'!$A$11:$G$180,4,FALSE))</f>
        <v/>
      </c>
      <c r="E3241" s="100" t="str">
        <f>IF(A3241="","",VLOOKUP(A3241,'6.A'!$A$11:$G$180,5,FALSE))</f>
        <v/>
      </c>
      <c r="F3241" s="24" t="str">
        <f t="shared" si="1388"/>
        <v>0,00</v>
      </c>
      <c r="G3241" s="382"/>
      <c r="H3241" s="382" t="str">
        <f>IF(A3241="","",VLOOKUP(A3241,'6.A'!$A$11:$E$7984,5,FALSE))</f>
        <v/>
      </c>
      <c r="I3241" s="382" t="str">
        <f>IF(H3241="","",IF(E3241=H3241,"SIM","NÃO"))</f>
        <v/>
      </c>
      <c r="J3241" s="382" t="str">
        <f>IF(H3241="","",VLOOKUP(A3241,'6.A'!$A$11:$E$564,4,FALSE))</f>
        <v/>
      </c>
      <c r="K3241" s="382" t="str">
        <f>IF(H3241="","",IF(J3241=D3241,"SIM","NÃO"))</f>
        <v/>
      </c>
      <c r="L3241" s="382" t="str">
        <f>IF(H3241="","",IF(C3241="","",G3236*C3241))</f>
        <v/>
      </c>
      <c r="M3241" s="117" t="str">
        <f>IF(A3241="","",VLOOKUP(A3241,'6.A'!$A$11:$C$564,2,FALSE))</f>
        <v/>
      </c>
      <c r="N3241" s="381" t="str">
        <f>IF(A3241="","",IF(M3241=B3241,"si","no"))</f>
        <v/>
      </c>
      <c r="O3241" s="56"/>
      <c r="P3241" s="56"/>
      <c r="Q3241" s="48"/>
      <c r="R3241" s="48"/>
      <c r="S3241" s="2"/>
    </row>
    <row r="3242" spans="1:23" ht="12.75" customHeight="1" x14ac:dyDescent="0.2">
      <c r="A3242" s="155"/>
      <c r="B3242" s="138" t="str">
        <f>IF(A3242="","",VLOOKUP(A3242,'6.A'!$A$11:$G$180,2,FALSE))</f>
        <v/>
      </c>
      <c r="C3242" s="156"/>
      <c r="D3242" s="381" t="str">
        <f>IF(A3242="","",VLOOKUP(A3242,'6.A'!$A$11:$G$180,4,FALSE))</f>
        <v/>
      </c>
      <c r="E3242" s="101" t="str">
        <f>IF(A3242="","",VLOOKUP(A3242,'6.A'!$A$11:$G$180,5,FALSE))</f>
        <v/>
      </c>
      <c r="F3242" s="24" t="str">
        <f t="shared" si="1388"/>
        <v>0,00</v>
      </c>
      <c r="G3242" s="382"/>
      <c r="H3242" s="382" t="str">
        <f>IF(A3242="","",VLOOKUP(A3242,'6.A'!$A$11:$E$7984,5,FALSE))</f>
        <v/>
      </c>
      <c r="I3242" s="382" t="str">
        <f t="shared" ref="I3242" si="1391">IF(H3242="","",IF(E3242=H3242,"SIM","NÃO"))</f>
        <v/>
      </c>
      <c r="J3242" s="382" t="str">
        <f>IF(H3242="","",VLOOKUP(A3242,'6.A'!$A$11:$E$564,4,FALSE))</f>
        <v/>
      </c>
      <c r="K3242" s="382" t="str">
        <f t="shared" ref="K3242" si="1392">IF(H3242="","",IF(J3242=D3242,"SIM","NÃO"))</f>
        <v/>
      </c>
      <c r="L3242" s="382" t="str">
        <f>IF(H3242="","",IF(C3242="","",G3236*C3242))</f>
        <v/>
      </c>
      <c r="M3242" s="117" t="str">
        <f>IF(A3242="","",VLOOKUP(A3242,'6.A'!$A$11:$C$564,2,FALSE))</f>
        <v/>
      </c>
      <c r="N3242" s="381" t="str">
        <f t="shared" ref="N3242" si="1393">IF(A3242="","",IF(M3242=B3242,"si","no"))</f>
        <v/>
      </c>
      <c r="O3242" s="56"/>
      <c r="P3242" s="56"/>
      <c r="Q3242" s="48"/>
      <c r="R3242" s="48"/>
      <c r="S3242" s="2"/>
    </row>
    <row r="3243" spans="1:23" ht="12.75" customHeight="1" x14ac:dyDescent="0.2">
      <c r="A3243" s="155"/>
      <c r="B3243" s="138" t="str">
        <f>IF(A3243="","",VLOOKUP(A3243,'6.A'!$A$11:$G$180,2,FALSE))</f>
        <v/>
      </c>
      <c r="C3243" s="156"/>
      <c r="D3243" s="381" t="str">
        <f>IF(A3243="","",VLOOKUP(A3243,'6.A'!$A$11:$G$180,4,FALSE))</f>
        <v/>
      </c>
      <c r="E3243" s="101" t="str">
        <f>IF(A3243="","",VLOOKUP(A3243,'6.A'!$A$11:$G$180,5,FALSE))</f>
        <v/>
      </c>
      <c r="F3243" s="24" t="str">
        <f t="shared" si="1388"/>
        <v>0,00</v>
      </c>
      <c r="G3243" s="382"/>
      <c r="H3243" s="382" t="str">
        <f>IF(A3243="","",VLOOKUP(A3243,'6.A'!$A$11:$E$7984,5,FALSE))</f>
        <v/>
      </c>
      <c r="I3243" s="382" t="str">
        <f>IF(H3243="","",IF(E3243=H3243,"SIM","NÃO"))</f>
        <v/>
      </c>
      <c r="J3243" s="382" t="str">
        <f>IF(H3243="","",VLOOKUP(A3243,'6.A'!$A$11:$E$564,4,FALSE))</f>
        <v/>
      </c>
      <c r="K3243" s="382" t="str">
        <f>IF(H3243="","",IF(J3243=D3243,"SIM","NÃO"))</f>
        <v/>
      </c>
      <c r="L3243" s="382" t="str">
        <f>IF(H3243="","",IF(C3243="","",G3236*C3243))</f>
        <v/>
      </c>
      <c r="M3243" s="117" t="str">
        <f>IF(A3243="","",VLOOKUP(A3243,'6.A'!$A$11:$C$564,2,FALSE))</f>
        <v/>
      </c>
      <c r="N3243" s="381" t="str">
        <f>IF(A3243="","",IF(M3243=B3243,"si","no"))</f>
        <v/>
      </c>
      <c r="O3243" s="56"/>
      <c r="P3243" s="56"/>
      <c r="Q3243" s="48"/>
      <c r="R3243" s="48"/>
      <c r="S3243" s="2"/>
    </row>
    <row r="3244" spans="1:23" ht="12.75" customHeight="1" x14ac:dyDescent="0.2">
      <c r="A3244" s="155"/>
      <c r="B3244" s="138" t="str">
        <f>IF(A3244="","",VLOOKUP(A3244,'6.A'!$A$11:$G$180,2,FALSE))</f>
        <v/>
      </c>
      <c r="C3244" s="156"/>
      <c r="D3244" s="381" t="str">
        <f>IF(A3244="","",VLOOKUP(A3244,'6.A'!$A$11:$G$180,4,FALSE))</f>
        <v/>
      </c>
      <c r="E3244" s="100" t="str">
        <f>IF(A3244="","",VLOOKUP(A3244,'6.A'!$A$11:$G$180,5,FALSE))</f>
        <v/>
      </c>
      <c r="F3244" s="24" t="str">
        <f t="shared" si="1388"/>
        <v>0,00</v>
      </c>
      <c r="G3244" s="382"/>
      <c r="H3244" s="382" t="str">
        <f>IF(A3244="","",VLOOKUP(A3244,'6.A'!$A$11:$E$7984,5,FALSE))</f>
        <v/>
      </c>
      <c r="I3244" s="382" t="str">
        <f>IF(H3244="","",IF(E3244=H3244,"SIM","NÃO"))</f>
        <v/>
      </c>
      <c r="J3244" s="382" t="str">
        <f>IF(H3244="","",VLOOKUP(A3244,'6.A'!$A$11:$E$564,4,FALSE))</f>
        <v/>
      </c>
      <c r="K3244" s="382" t="str">
        <f>IF(H3244="","",IF(J3244=D3244,"SIM","NÃO"))</f>
        <v/>
      </c>
      <c r="L3244" s="382" t="str">
        <f>IF(H3244="","",IF(C3244="","",G3236*C3244))</f>
        <v/>
      </c>
      <c r="M3244" s="117" t="str">
        <f>IF(A3244="","",VLOOKUP(A3244,'6.A'!$A$11:$C$564,2,FALSE))</f>
        <v/>
      </c>
      <c r="N3244" s="381" t="str">
        <f>IF(A3244="","",IF(M3244=B3244,"si","no"))</f>
        <v/>
      </c>
      <c r="O3244" s="56"/>
      <c r="P3244" s="56"/>
      <c r="Q3244" s="48"/>
      <c r="R3244" s="48"/>
      <c r="S3244" s="2"/>
    </row>
    <row r="3245" spans="1:23" ht="12.75" customHeight="1" x14ac:dyDescent="0.2">
      <c r="A3245" s="155"/>
      <c r="B3245" s="138" t="str">
        <f>IF(A3245="","",VLOOKUP(A3245,'6.A'!$A$11:$G$180,2,FALSE))</f>
        <v/>
      </c>
      <c r="C3245" s="156"/>
      <c r="D3245" s="381" t="str">
        <f>IF(A3245="","",VLOOKUP(A3245,'6.A'!$A$11:$G$180,4,FALSE))</f>
        <v/>
      </c>
      <c r="E3245" s="100" t="str">
        <f>IF(A3245="","",VLOOKUP(A3245,'6.A'!$A$11:$G$180,5,FALSE))</f>
        <v/>
      </c>
      <c r="F3245" s="24" t="str">
        <f t="shared" si="1388"/>
        <v>0,00</v>
      </c>
      <c r="G3245" s="382"/>
      <c r="H3245" s="382" t="str">
        <f>IF(A3245="","",VLOOKUP(A3245,'6.A'!$A$11:$E$7984,5,FALSE))</f>
        <v/>
      </c>
      <c r="I3245" s="382" t="str">
        <f t="shared" ref="I3245" si="1394">IF(H3245="","",IF(E3245=H3245,"SIM","NÃO"))</f>
        <v/>
      </c>
      <c r="J3245" s="382" t="str">
        <f>IF(H3245="","",VLOOKUP(A3245,'6.A'!$A$11:$E$564,4,FALSE))</f>
        <v/>
      </c>
      <c r="K3245" s="382" t="str">
        <f t="shared" ref="K3245" si="1395">IF(H3245="","",IF(J3245=D3245,"SIM","NÃO"))</f>
        <v/>
      </c>
      <c r="L3245" s="382" t="str">
        <f>IF(H3245="","",IF(C3245="","",G3236*C3245))</f>
        <v/>
      </c>
      <c r="M3245" s="117" t="str">
        <f>IF(A3245="","",VLOOKUP(A3245,'6.A'!$A$11:$C$564,2,FALSE))</f>
        <v/>
      </c>
      <c r="N3245" s="381" t="str">
        <f t="shared" ref="N3245" si="1396">IF(A3245="","",IF(M3245=B3245,"si","no"))</f>
        <v/>
      </c>
      <c r="O3245" s="56"/>
      <c r="P3245" s="56"/>
      <c r="Q3245" s="48"/>
      <c r="R3245" s="48"/>
      <c r="S3245" s="2"/>
    </row>
    <row r="3246" spans="1:23" ht="12.75" customHeight="1" x14ac:dyDescent="0.2">
      <c r="A3246" s="155"/>
      <c r="B3246" s="138" t="str">
        <f>IF(A3246="","",VLOOKUP(A3246,'6.A'!$A$11:$G$180,2,FALSE))</f>
        <v/>
      </c>
      <c r="C3246" s="156"/>
      <c r="D3246" s="73" t="str">
        <f>IF(A3246="","",VLOOKUP(A3246,'6.A'!$A$11:$G$180,4,FALSE))</f>
        <v/>
      </c>
      <c r="E3246" s="101" t="str">
        <f>IF(A3246="","",VLOOKUP(A3246,'6.A'!$A$11:$G$180,5,FALSE))</f>
        <v/>
      </c>
      <c r="F3246" s="24" t="str">
        <f t="shared" si="1388"/>
        <v>0,00</v>
      </c>
      <c r="G3246" s="382"/>
      <c r="H3246" s="382" t="str">
        <f>IF(A3246="","",VLOOKUP(A3246,'6.A'!$A$11:$E$7984,5,FALSE))</f>
        <v/>
      </c>
      <c r="I3246" s="382" t="str">
        <f>IF(H3246="","",IF(E3246=H3246,"SIM","NÃO"))</f>
        <v/>
      </c>
      <c r="J3246" s="382" t="str">
        <f>IF(H3246="","",VLOOKUP(A3246,'6.A'!$A$11:$E$564,4,FALSE))</f>
        <v/>
      </c>
      <c r="K3246" s="382" t="str">
        <f>IF(H3246="","",IF(J3246=D3246,"SIM","NÃO"))</f>
        <v/>
      </c>
      <c r="L3246" s="382" t="str">
        <f>IF(H3246="","",IF(C3246="","",G3236*C3246))</f>
        <v/>
      </c>
      <c r="M3246" s="117" t="str">
        <f>IF(A3246="","",VLOOKUP(A3246,'6.A'!$A$11:$C$564,2,FALSE))</f>
        <v/>
      </c>
      <c r="N3246" s="381" t="str">
        <f>IF(A3246="","",IF(M3246=B3246,"si","no"))</f>
        <v/>
      </c>
      <c r="O3246" s="56"/>
      <c r="P3246" s="56"/>
      <c r="Q3246" s="48"/>
      <c r="R3246" s="48"/>
      <c r="S3246" s="2"/>
    </row>
    <row r="3247" spans="1:23" ht="12.75" customHeight="1" x14ac:dyDescent="0.2">
      <c r="A3247" s="155"/>
      <c r="B3247" s="138" t="str">
        <f>IF(A3247="","",VLOOKUP(A3247,'6.A'!$A$11:$G$180,2,FALSE))</f>
        <v/>
      </c>
      <c r="C3247" s="156"/>
      <c r="D3247" s="25" t="str">
        <f>IF(A3247="","",VLOOKUP(A3247,'6.A'!$A$11:$G$180,4,FALSE))</f>
        <v/>
      </c>
      <c r="E3247" s="101" t="str">
        <f>IF(A3247="","",VLOOKUP(A3247,'6.A'!$A$11:$G$180,5,FALSE))</f>
        <v/>
      </c>
      <c r="F3247" s="24" t="str">
        <f t="shared" si="1388"/>
        <v>0,00</v>
      </c>
      <c r="G3247" s="382"/>
      <c r="H3247" s="382" t="str">
        <f>IF(A3247="","",VLOOKUP(A3247,'6.A'!$A$11:$E$7984,5,FALSE))</f>
        <v/>
      </c>
      <c r="I3247" s="382" t="str">
        <f t="shared" ref="I3247" si="1397">IF(H3247="","",IF(E3247=H3247,"SIM","NÃO"))</f>
        <v/>
      </c>
      <c r="J3247" s="382" t="str">
        <f>IF(H3247="","",VLOOKUP(A3247,'6.A'!$A$11:$E$564,4,FALSE))</f>
        <v/>
      </c>
      <c r="K3247" s="382" t="str">
        <f t="shared" ref="K3247" si="1398">IF(H3247="","",IF(J3247=D3247,"SIM","NÃO"))</f>
        <v/>
      </c>
      <c r="L3247" s="382" t="str">
        <f>IF(H3247="","",IF(C3247="","",G3236*C3247))</f>
        <v/>
      </c>
      <c r="M3247" s="117" t="str">
        <f>IF(A3247="","",VLOOKUP(A3247,'6.A'!$A$11:$C$564,2,FALSE))</f>
        <v/>
      </c>
      <c r="N3247" s="381" t="str">
        <f t="shared" ref="N3247" si="1399">IF(A3247="","",IF(M3247=B3247,"si","no"))</f>
        <v/>
      </c>
      <c r="O3247" s="56"/>
      <c r="P3247" s="56"/>
      <c r="Q3247" s="48"/>
      <c r="R3247" s="48"/>
      <c r="S3247" s="2"/>
    </row>
    <row r="3248" spans="1:23" ht="12.75" customHeight="1" x14ac:dyDescent="0.2">
      <c r="A3248" s="152"/>
      <c r="B3248" s="26" t="str">
        <f>$A$8</f>
        <v>LEIS SOCIAIS HORISTA - JORNADA NORMAL</v>
      </c>
      <c r="C3248" s="27">
        <f>$C$8</f>
        <v>0</v>
      </c>
      <c r="D3248" s="381"/>
      <c r="F3248" s="28">
        <f>ROUND(SUM(F3238:F3247)*C3248,2)</f>
        <v>0</v>
      </c>
      <c r="G3248" s="63"/>
      <c r="H3248" s="382"/>
      <c r="I3248" s="381"/>
      <c r="J3248" s="381"/>
      <c r="K3248" s="381"/>
      <c r="L3248" s="382"/>
      <c r="M3248" s="62"/>
      <c r="N3248" s="381"/>
      <c r="O3248" s="56"/>
      <c r="P3248" s="56"/>
      <c r="Q3248" s="48"/>
      <c r="R3248" s="48"/>
      <c r="S3248" s="2"/>
    </row>
    <row r="3249" spans="1:19" ht="12.75" customHeight="1" x14ac:dyDescent="0.2">
      <c r="A3249" s="155"/>
      <c r="B3249" s="26" t="str">
        <f>$A$9</f>
        <v>BDI</v>
      </c>
      <c r="C3249" s="27">
        <f>$C$9</f>
        <v>0</v>
      </c>
      <c r="D3249" s="29"/>
      <c r="F3249" s="28">
        <f>ROUND(SUM(F3238:F3248)*C3249,2)</f>
        <v>0</v>
      </c>
      <c r="G3249" s="63"/>
      <c r="H3249" s="382"/>
      <c r="I3249" s="381"/>
      <c r="J3249" s="381"/>
      <c r="K3249" s="381"/>
      <c r="L3249" s="382"/>
      <c r="M3249" s="62"/>
      <c r="N3249" s="381"/>
      <c r="O3249" s="56"/>
      <c r="P3249" s="56"/>
      <c r="Q3249" s="48"/>
      <c r="R3249" s="48"/>
      <c r="S3249" s="2"/>
    </row>
    <row r="3250" spans="1:19" ht="12.75" customHeight="1" x14ac:dyDescent="0.2">
      <c r="A3250" s="163"/>
      <c r="B3250" s="164" t="s">
        <v>56</v>
      </c>
      <c r="C3250" s="165"/>
      <c r="D3250" s="33"/>
      <c r="E3250" s="34"/>
      <c r="F3250" s="35">
        <f>ROUND(SUM(F3238:F3249),2)</f>
        <v>0</v>
      </c>
      <c r="G3250" s="63"/>
      <c r="H3250" s="382"/>
      <c r="I3250" s="381"/>
      <c r="J3250" s="381"/>
      <c r="K3250" s="381"/>
      <c r="L3250" s="382"/>
      <c r="M3250" s="62"/>
      <c r="N3250" s="381"/>
      <c r="O3250" s="56"/>
      <c r="P3250" s="56"/>
      <c r="Q3250" s="48"/>
      <c r="R3250" s="48"/>
      <c r="S3250" s="2"/>
    </row>
    <row r="3251" spans="1:19" ht="12.75" customHeight="1" x14ac:dyDescent="0.2">
      <c r="A3251" s="152" t="s">
        <v>5</v>
      </c>
      <c r="B3251" s="153" t="s">
        <v>130</v>
      </c>
      <c r="C3251" s="140" t="s">
        <v>59</v>
      </c>
      <c r="D3251" s="56" t="s">
        <v>16</v>
      </c>
      <c r="E3251" s="19" t="s">
        <v>60</v>
      </c>
      <c r="F3251" s="20" t="s">
        <v>61</v>
      </c>
      <c r="G3251" s="21"/>
      <c r="H3251" s="382"/>
      <c r="I3251" s="381"/>
      <c r="J3251" s="381"/>
      <c r="K3251" s="381"/>
      <c r="L3251" s="382"/>
      <c r="M3251" s="62"/>
      <c r="N3251" s="381"/>
      <c r="O3251" s="56"/>
      <c r="P3251" s="56"/>
      <c r="Q3251" s="48"/>
      <c r="R3251" s="48"/>
      <c r="S3251" s="2"/>
    </row>
    <row r="3252" spans="1:19" ht="12.75" customHeight="1" x14ac:dyDescent="0.2">
      <c r="A3252" s="155"/>
      <c r="B3252" s="138" t="str">
        <f>IF(A3252="","",VLOOKUP(A3252,'6.A'!$A$11:$G$180,2,FALSE))</f>
        <v/>
      </c>
      <c r="C3252" s="156"/>
      <c r="D3252" s="381" t="str">
        <f>IF(A3252="","",VLOOKUP(A3252,'6.A'!$A$11:$G$180,4,FALSE))</f>
        <v/>
      </c>
      <c r="E3252" s="100" t="str">
        <f>IF(A3252="","",VLOOKUP(A3252,'6.A'!$A$11:$G$180,5,FALSE))</f>
        <v/>
      </c>
      <c r="F3252" s="24" t="str">
        <f t="shared" ref="F3252:F3261" si="1400">IF(A3252="","0,00",ROUND(C3252*E3252,2))</f>
        <v>0,00</v>
      </c>
      <c r="G3252" s="382"/>
      <c r="H3252" s="382" t="str">
        <f>IF(A3252="","",VLOOKUP(A3252,'6.A'!$A$11:$E$7984,5,FALSE))</f>
        <v/>
      </c>
      <c r="I3252" s="382" t="str">
        <f t="shared" ref="I3252:I3261" si="1401">IF(H3252="","",IF(E3252=H3252,"SIM","NÃO"))</f>
        <v/>
      </c>
      <c r="J3252" s="382" t="str">
        <f>IF(H3252="","",VLOOKUP(A3252,'6.A'!$A$11:$E$564,4,FALSE))</f>
        <v/>
      </c>
      <c r="K3252" s="382" t="str">
        <f t="shared" ref="K3252:K3261" si="1402">IF(H3252="","",IF(J3252=D3252,"SIM","NÃO"))</f>
        <v/>
      </c>
      <c r="L3252" s="382" t="str">
        <f>IF(H3252="","",IF(C3252="","",G3236*C3252))</f>
        <v/>
      </c>
      <c r="M3252" s="117" t="str">
        <f>IF(A3252="","",VLOOKUP(A3252,'6.A'!$A$11:$C$564,2,FALSE))</f>
        <v/>
      </c>
      <c r="N3252" s="381" t="str">
        <f t="shared" ref="N3252:N3257" si="1403">IF(A3252="","",IF(M3252=B3252,"si","no"))</f>
        <v/>
      </c>
      <c r="O3252" s="56"/>
      <c r="P3252" s="56"/>
      <c r="Q3252" s="48"/>
      <c r="R3252" s="48"/>
      <c r="S3252" s="2"/>
    </row>
    <row r="3253" spans="1:19" ht="12.75" customHeight="1" x14ac:dyDescent="0.2">
      <c r="A3253" s="155"/>
      <c r="B3253" s="138" t="str">
        <f>IF(A3253="","",VLOOKUP(A3253,'6.A'!$A$11:$G$180,2,FALSE))</f>
        <v/>
      </c>
      <c r="C3253" s="156"/>
      <c r="D3253" s="381" t="str">
        <f>IF(A3253="","",VLOOKUP(A3253,'6.A'!$A$11:$G$180,4,FALSE))</f>
        <v/>
      </c>
      <c r="E3253" s="100" t="str">
        <f>IF(A3253="","",VLOOKUP(A3253,'6.A'!$A$11:$G$180,5,FALSE))</f>
        <v/>
      </c>
      <c r="F3253" s="24" t="str">
        <f t="shared" si="1400"/>
        <v>0,00</v>
      </c>
      <c r="G3253" s="382"/>
      <c r="H3253" s="382" t="str">
        <f>IF(A3253="","",VLOOKUP(A3253,'6.A'!$A$11:$E$7984,5,FALSE))</f>
        <v/>
      </c>
      <c r="I3253" s="382" t="str">
        <f t="shared" si="1401"/>
        <v/>
      </c>
      <c r="J3253" s="382" t="str">
        <f>IF(H3253="","",VLOOKUP(A3253,'6.A'!$A$11:$E$564,4,FALSE))</f>
        <v/>
      </c>
      <c r="K3253" s="382" t="str">
        <f t="shared" si="1402"/>
        <v/>
      </c>
      <c r="L3253" s="382" t="str">
        <f>IF(H3253="","",IF(C3253="","",G3236*C3253))</f>
        <v/>
      </c>
      <c r="M3253" s="117" t="str">
        <f>IF(A3253="","",VLOOKUP(A3253,'6.A'!$A$11:$C$564,2,FALSE))</f>
        <v/>
      </c>
      <c r="N3253" s="381" t="str">
        <f t="shared" si="1403"/>
        <v/>
      </c>
      <c r="O3253" s="56"/>
      <c r="P3253" s="56"/>
      <c r="Q3253" s="48"/>
      <c r="R3253" s="48"/>
      <c r="S3253" s="2"/>
    </row>
    <row r="3254" spans="1:19" ht="12.75" customHeight="1" x14ac:dyDescent="0.2">
      <c r="A3254" s="155"/>
      <c r="B3254" s="138" t="str">
        <f>IF(A3254="","",VLOOKUP(A3254,'6.A'!$A$11:$G$180,2,FALSE))</f>
        <v/>
      </c>
      <c r="C3254" s="156"/>
      <c r="D3254" s="381" t="str">
        <f>IF(A3254="","",VLOOKUP(A3254,'6.A'!$A$11:$G$180,4,FALSE))</f>
        <v/>
      </c>
      <c r="E3254" s="100" t="str">
        <f>IF(A3254="","",VLOOKUP(A3254,'6.A'!$A$11:$G$180,5,FALSE))</f>
        <v/>
      </c>
      <c r="F3254" s="24" t="str">
        <f t="shared" si="1400"/>
        <v>0,00</v>
      </c>
      <c r="G3254" s="382"/>
      <c r="H3254" s="382" t="str">
        <f>IF(A3254="","",VLOOKUP(A3254,'6.A'!$A$11:$E$7984,5,FALSE))</f>
        <v/>
      </c>
      <c r="I3254" s="382" t="str">
        <f t="shared" si="1401"/>
        <v/>
      </c>
      <c r="J3254" s="382" t="str">
        <f>IF(H3254="","",VLOOKUP(A3254,'6.A'!$A$11:$E$564,4,FALSE))</f>
        <v/>
      </c>
      <c r="K3254" s="382" t="str">
        <f t="shared" si="1402"/>
        <v/>
      </c>
      <c r="L3254" s="382" t="str">
        <f>IF(H3254="","",IF(C3254="","",G3236*C3254))</f>
        <v/>
      </c>
      <c r="M3254" s="117" t="str">
        <f>IF(A3254="","",VLOOKUP(A3254,'6.A'!$A$11:$C$564,2,FALSE))</f>
        <v/>
      </c>
      <c r="N3254" s="381" t="str">
        <f t="shared" si="1403"/>
        <v/>
      </c>
      <c r="O3254" s="56"/>
      <c r="P3254" s="56"/>
      <c r="Q3254" s="48"/>
      <c r="R3254" s="48"/>
      <c r="S3254" s="2"/>
    </row>
    <row r="3255" spans="1:19" ht="12.75" customHeight="1" x14ac:dyDescent="0.2">
      <c r="A3255" s="155"/>
      <c r="B3255" s="176" t="str">
        <f>IF(A3255="","",VLOOKUP(A3255,'6.A'!$A$11:$G$180,2,FALSE))</f>
        <v/>
      </c>
      <c r="C3255" s="156"/>
      <c r="D3255" s="381" t="str">
        <f>IF(A3255="","",VLOOKUP(A3255,'6.A'!$A$11:$G$180,4,FALSE))</f>
        <v/>
      </c>
      <c r="E3255" s="100" t="str">
        <f>IF(A3255="","",VLOOKUP(A3255,'6.A'!$A$11:$G$180,5,FALSE))</f>
        <v/>
      </c>
      <c r="F3255" s="24" t="str">
        <f t="shared" si="1400"/>
        <v>0,00</v>
      </c>
      <c r="G3255" s="382"/>
      <c r="H3255" s="382" t="str">
        <f>IF(A3255="","",VLOOKUP(A3255,'6.A'!$A$11:$E$7984,5,FALSE))</f>
        <v/>
      </c>
      <c r="I3255" s="382" t="str">
        <f t="shared" si="1401"/>
        <v/>
      </c>
      <c r="J3255" s="382" t="str">
        <f>IF(H3255="","",VLOOKUP(A3255,'6.A'!$A$11:$E$564,4,FALSE))</f>
        <v/>
      </c>
      <c r="K3255" s="382" t="str">
        <f t="shared" si="1402"/>
        <v/>
      </c>
      <c r="L3255" s="382" t="str">
        <f>IF(H3255="","",IF(C3255="","",G3236*C3255))</f>
        <v/>
      </c>
      <c r="M3255" s="117" t="str">
        <f>IF(A3255="","",VLOOKUP(A3255,'6.A'!$A$11:$C$564,2,FALSE))</f>
        <v/>
      </c>
      <c r="N3255" s="381" t="str">
        <f t="shared" si="1403"/>
        <v/>
      </c>
      <c r="O3255" s="56"/>
      <c r="P3255" s="56"/>
      <c r="Q3255" s="48"/>
      <c r="R3255" s="48"/>
      <c r="S3255" s="2"/>
    </row>
    <row r="3256" spans="1:19" ht="12.75" customHeight="1" x14ac:dyDescent="0.2">
      <c r="A3256" s="155"/>
      <c r="B3256" s="176" t="str">
        <f>IF(A3256="","",VLOOKUP(A3256,'6.A'!$A$11:$G$180,2,FALSE))</f>
        <v/>
      </c>
      <c r="C3256" s="156"/>
      <c r="D3256" s="381" t="str">
        <f>IF(A3256="","",VLOOKUP(A3256,'6.A'!$A$11:$G$180,4,FALSE))</f>
        <v/>
      </c>
      <c r="E3256" s="100" t="str">
        <f>IF(A3256="","",VLOOKUP(A3256,'6.A'!$A$11:$G$180,5,FALSE))</f>
        <v/>
      </c>
      <c r="F3256" s="24" t="str">
        <f t="shared" si="1400"/>
        <v>0,00</v>
      </c>
      <c r="G3256" s="382"/>
      <c r="H3256" s="382" t="str">
        <f>IF(A3256="","",VLOOKUP(A3256,'6.A'!$A$11:$E$7984,5,FALSE))</f>
        <v/>
      </c>
      <c r="I3256" s="382" t="str">
        <f t="shared" si="1401"/>
        <v/>
      </c>
      <c r="J3256" s="382" t="str">
        <f>IF(H3256="","",VLOOKUP(A3256,'6.A'!$A$11:$E$564,4,FALSE))</f>
        <v/>
      </c>
      <c r="K3256" s="382" t="str">
        <f t="shared" si="1402"/>
        <v/>
      </c>
      <c r="L3256" s="382" t="str">
        <f>IF(H3256="","",IF(C3256="","",G3236*C3256))</f>
        <v/>
      </c>
      <c r="M3256" s="117" t="str">
        <f>IF(A3256="","",VLOOKUP(A3256,'6.A'!$A$11:$C$564,2,FALSE))</f>
        <v/>
      </c>
      <c r="N3256" s="381" t="str">
        <f t="shared" si="1403"/>
        <v/>
      </c>
      <c r="O3256" s="56"/>
      <c r="P3256" s="56"/>
      <c r="Q3256" s="48"/>
      <c r="R3256" s="48"/>
      <c r="S3256" s="2"/>
    </row>
    <row r="3257" spans="1:19" ht="12.75" customHeight="1" x14ac:dyDescent="0.2">
      <c r="A3257" s="155"/>
      <c r="B3257" s="176" t="str">
        <f>IF(A3257="","",VLOOKUP(A3257,'6.A'!$A$11:$G$180,2,FALSE))</f>
        <v/>
      </c>
      <c r="C3257" s="156"/>
      <c r="D3257" s="381" t="str">
        <f>IF(A3257="","",VLOOKUP(A3257,'6.A'!$A$11:$G$180,4,FALSE))</f>
        <v/>
      </c>
      <c r="E3257" s="100" t="str">
        <f>IF(A3257="","",VLOOKUP(A3257,'6.A'!$A$11:$G$180,5,FALSE))</f>
        <v/>
      </c>
      <c r="F3257" s="24" t="str">
        <f t="shared" si="1400"/>
        <v>0,00</v>
      </c>
      <c r="G3257" s="382"/>
      <c r="H3257" s="382" t="str">
        <f>IF(A3257="","",VLOOKUP(A3257,'6.A'!$A$11:$E$7984,5,FALSE))</f>
        <v/>
      </c>
      <c r="I3257" s="382" t="str">
        <f t="shared" si="1401"/>
        <v/>
      </c>
      <c r="J3257" s="382" t="str">
        <f>IF(H3257="","",VLOOKUP(A3257,'6.A'!$A$11:$E$564,4,FALSE))</f>
        <v/>
      </c>
      <c r="K3257" s="382" t="str">
        <f t="shared" si="1402"/>
        <v/>
      </c>
      <c r="L3257" s="382" t="str">
        <f>IF(H3257="","",IF(C3257="","",G3236*C3257))</f>
        <v/>
      </c>
      <c r="M3257" s="117" t="str">
        <f>IF(A3257="","",VLOOKUP(A3257,'6.A'!$A$11:$C$564,2,FALSE))</f>
        <v/>
      </c>
      <c r="N3257" s="381" t="str">
        <f t="shared" si="1403"/>
        <v/>
      </c>
      <c r="O3257" s="56"/>
      <c r="P3257" s="56"/>
      <c r="Q3257" s="48"/>
      <c r="R3257" s="48"/>
      <c r="S3257" s="2"/>
    </row>
    <row r="3258" spans="1:19" ht="12.75" customHeight="1" x14ac:dyDescent="0.2">
      <c r="A3258" s="155"/>
      <c r="B3258" s="176" t="str">
        <f>IF(A3258="","",VLOOKUP(A3258,'6.A'!$A$11:$G$180,2,FALSE))</f>
        <v/>
      </c>
      <c r="C3258" s="156"/>
      <c r="D3258" s="381" t="str">
        <f>IF(A3258="","",VLOOKUP(A3258,'6.A'!$A$11:$G$180,4,FALSE))</f>
        <v/>
      </c>
      <c r="E3258" s="100" t="str">
        <f>IF(A3258="","",VLOOKUP(A3258,'6.A'!$A$11:$G$180,5,FALSE))</f>
        <v/>
      </c>
      <c r="F3258" s="24" t="str">
        <f t="shared" si="1400"/>
        <v>0,00</v>
      </c>
      <c r="G3258" s="382"/>
      <c r="H3258" s="382" t="str">
        <f>IF(A3258="","",VLOOKUP(A3258,'6.A'!$A$11:$E$7984,5,FALSE))</f>
        <v/>
      </c>
      <c r="I3258" s="382" t="str">
        <f t="shared" si="1401"/>
        <v/>
      </c>
      <c r="J3258" s="382" t="str">
        <f>IF(H3258="","",VLOOKUP(A3258,'6.A'!$A$11:$E$564,4,FALSE))</f>
        <v/>
      </c>
      <c r="K3258" s="382" t="str">
        <f t="shared" si="1402"/>
        <v/>
      </c>
      <c r="L3258" s="382" t="str">
        <f>IF(H3258="","",IF(C3258="","",G3236*C3258))</f>
        <v/>
      </c>
      <c r="M3258" s="117" t="str">
        <f>IF(A3258="","",VLOOKUP(A3258,'6.A'!$A$11:$C$564,2,FALSE))</f>
        <v/>
      </c>
      <c r="N3258" s="381" t="str">
        <f>IF(A3258="","",IF(M3258=B3258,"si","no"))</f>
        <v/>
      </c>
      <c r="O3258" s="56"/>
      <c r="P3258" s="56"/>
      <c r="Q3258" s="48"/>
      <c r="R3258" s="48"/>
      <c r="S3258" s="2"/>
    </row>
    <row r="3259" spans="1:19" ht="12.75" customHeight="1" x14ac:dyDescent="0.2">
      <c r="A3259" s="155"/>
      <c r="B3259" s="138" t="str">
        <f>IF(A3259="","",VLOOKUP(A3259,'6.A'!$A$11:$G$180,2,FALSE))</f>
        <v/>
      </c>
      <c r="C3259" s="156"/>
      <c r="D3259" s="381" t="str">
        <f>IF(A3259="","",VLOOKUP(A3259,'6.A'!$A$11:$G$180,4,FALSE))</f>
        <v/>
      </c>
      <c r="E3259" s="100" t="str">
        <f>IF(A3259="","",VLOOKUP(A3259,'6.A'!$A$11:$G$180,5,FALSE))</f>
        <v/>
      </c>
      <c r="F3259" s="24" t="str">
        <f t="shared" si="1400"/>
        <v>0,00</v>
      </c>
      <c r="G3259" s="382"/>
      <c r="H3259" s="382" t="str">
        <f>IF(A3259="","",VLOOKUP(A3259,'6.A'!$A$11:$E$7984,5,FALSE))</f>
        <v/>
      </c>
      <c r="I3259" s="382" t="str">
        <f t="shared" si="1401"/>
        <v/>
      </c>
      <c r="J3259" s="382" t="str">
        <f>IF(H3259="","",VLOOKUP(A3259,'6.A'!$A$11:$E$564,4,FALSE))</f>
        <v/>
      </c>
      <c r="K3259" s="382" t="str">
        <f t="shared" si="1402"/>
        <v/>
      </c>
      <c r="L3259" s="382" t="str">
        <f>IF(H3259="","",IF(C3259="","",G3236*C3259))</f>
        <v/>
      </c>
      <c r="M3259" s="117" t="str">
        <f>IF(A3259="","",VLOOKUP(A3259,'6.A'!$A$11:$C$564,2,FALSE))</f>
        <v/>
      </c>
      <c r="N3259" s="381" t="str">
        <f>IF(A3259="","",IF(M3259=B3259,"si","no"))</f>
        <v/>
      </c>
      <c r="O3259" s="56"/>
      <c r="P3259" s="56"/>
      <c r="Q3259" s="48"/>
      <c r="R3259" s="48"/>
      <c r="S3259" s="2"/>
    </row>
    <row r="3260" spans="1:19" ht="12.75" customHeight="1" x14ac:dyDescent="0.2">
      <c r="A3260" s="155"/>
      <c r="B3260" s="138" t="str">
        <f>IF(A3260="","",VLOOKUP(A3260,'6.A'!$A$11:$G$180,2,FALSE))</f>
        <v/>
      </c>
      <c r="C3260" s="156"/>
      <c r="D3260" s="381" t="str">
        <f>IF(A3260="","",VLOOKUP(A3260,'6.A'!$A$11:$G$180,4,FALSE))</f>
        <v/>
      </c>
      <c r="E3260" s="100" t="str">
        <f>IF(A3260="","",VLOOKUP(A3260,'6.A'!$A$11:$G$180,5,FALSE))</f>
        <v/>
      </c>
      <c r="F3260" s="24" t="str">
        <f t="shared" si="1400"/>
        <v>0,00</v>
      </c>
      <c r="G3260" s="382"/>
      <c r="H3260" s="382" t="str">
        <f>IF(A3260="","",VLOOKUP(A3260,'6.A'!$A$11:$E$7984,5,FALSE))</f>
        <v/>
      </c>
      <c r="I3260" s="382" t="str">
        <f t="shared" si="1401"/>
        <v/>
      </c>
      <c r="J3260" s="382" t="str">
        <f>IF(H3260="","",VLOOKUP(A3260,'6.A'!$A$11:$E$564,4,FALSE))</f>
        <v/>
      </c>
      <c r="K3260" s="382" t="str">
        <f t="shared" si="1402"/>
        <v/>
      </c>
      <c r="L3260" s="382" t="str">
        <f>IF(H3260="","",IF(C3260="","",G3236*C3260))</f>
        <v/>
      </c>
      <c r="M3260" s="117" t="str">
        <f>IF(A3260="","",VLOOKUP(A3260,'6.A'!$A$11:$C$564,2,FALSE))</f>
        <v/>
      </c>
      <c r="N3260" s="381" t="str">
        <f t="shared" ref="N3260:N3261" si="1404">IF(A3260="","",IF(M3260=B3260,"si","no"))</f>
        <v/>
      </c>
      <c r="O3260" s="56"/>
      <c r="P3260" s="56"/>
      <c r="Q3260" s="48"/>
      <c r="R3260" s="48"/>
      <c r="S3260" s="2"/>
    </row>
    <row r="3261" spans="1:19" ht="12.75" customHeight="1" x14ac:dyDescent="0.2">
      <c r="A3261" s="155"/>
      <c r="B3261" s="138" t="str">
        <f>IF(A3261="","",VLOOKUP(A3261,'6.A'!$A$11:$G$180,2,FALSE))</f>
        <v/>
      </c>
      <c r="C3261" s="156"/>
      <c r="D3261" s="381" t="str">
        <f>IF(A3261="","",VLOOKUP(A3261,'6.A'!$A$11:$G$180,4,FALSE))</f>
        <v/>
      </c>
      <c r="E3261" s="100" t="str">
        <f>IF(A3261="","",VLOOKUP(A3261,'6.A'!$A$11:$G$180,5,FALSE))</f>
        <v/>
      </c>
      <c r="F3261" s="24" t="str">
        <f t="shared" si="1400"/>
        <v>0,00</v>
      </c>
      <c r="G3261" s="382"/>
      <c r="H3261" s="382" t="str">
        <f>IF(A3261="","",VLOOKUP(A3261,'6.A'!$A$11:$E$7984,5,FALSE))</f>
        <v/>
      </c>
      <c r="I3261" s="382" t="str">
        <f t="shared" si="1401"/>
        <v/>
      </c>
      <c r="J3261" s="382" t="str">
        <f>IF(H3261="","",VLOOKUP(A3261,'6.A'!$A$11:$E$564,4,FALSE))</f>
        <v/>
      </c>
      <c r="K3261" s="382" t="str">
        <f t="shared" si="1402"/>
        <v/>
      </c>
      <c r="L3261" s="382" t="str">
        <f>IF(H3261="","",IF(C3261="","",G3236*C3261))</f>
        <v/>
      </c>
      <c r="M3261" s="117" t="str">
        <f>IF(A3261="","",VLOOKUP(A3261,'6.A'!$A$11:$C$564,2,FALSE))</f>
        <v/>
      </c>
      <c r="N3261" s="381" t="str">
        <f t="shared" si="1404"/>
        <v/>
      </c>
      <c r="O3261" s="56"/>
      <c r="P3261" s="56"/>
      <c r="Q3261" s="48"/>
      <c r="R3261" s="48"/>
      <c r="S3261" s="2"/>
    </row>
    <row r="3262" spans="1:19" ht="12.75" customHeight="1" x14ac:dyDescent="0.2">
      <c r="A3262" s="155"/>
      <c r="B3262" s="26" t="str">
        <f>$A$9</f>
        <v>BDI</v>
      </c>
      <c r="C3262" s="27">
        <f>$C$9</f>
        <v>0</v>
      </c>
      <c r="D3262" s="381"/>
      <c r="F3262" s="28">
        <f>ROUND(SUM(F3252:F3261)*C3262,2)</f>
        <v>0</v>
      </c>
      <c r="G3262" s="63"/>
      <c r="H3262" s="382"/>
      <c r="I3262" s="381"/>
      <c r="J3262" s="381"/>
      <c r="K3262" s="381"/>
      <c r="L3262" s="382"/>
      <c r="M3262" s="62"/>
      <c r="N3262" s="381"/>
      <c r="O3262" s="56"/>
      <c r="P3262" s="56"/>
      <c r="Q3262" s="48"/>
      <c r="R3262" s="48"/>
      <c r="S3262" s="2"/>
    </row>
    <row r="3263" spans="1:19" ht="12.75" customHeight="1" x14ac:dyDescent="0.2">
      <c r="A3263" s="163"/>
      <c r="B3263" s="31" t="s">
        <v>117</v>
      </c>
      <c r="C3263" s="36"/>
      <c r="D3263" s="37"/>
      <c r="E3263" s="38"/>
      <c r="F3263" s="35">
        <f>ROUND(SUM(F3252:F3262),2)</f>
        <v>0</v>
      </c>
      <c r="G3263" s="63"/>
      <c r="H3263" s="382"/>
      <c r="I3263" s="381"/>
      <c r="J3263" s="381"/>
      <c r="K3263" s="381"/>
      <c r="L3263" s="382"/>
      <c r="M3263" s="62"/>
      <c r="N3263" s="381"/>
      <c r="O3263" s="56"/>
      <c r="P3263" s="56"/>
      <c r="Q3263" s="48"/>
      <c r="R3263" s="48"/>
      <c r="S3263" s="2"/>
    </row>
    <row r="3264" spans="1:19" ht="12.75" customHeight="1" x14ac:dyDescent="0.2">
      <c r="A3264" s="152" t="s">
        <v>6</v>
      </c>
      <c r="B3264" s="153" t="s">
        <v>17</v>
      </c>
      <c r="C3264" s="140" t="s">
        <v>59</v>
      </c>
      <c r="D3264" s="56" t="s">
        <v>16</v>
      </c>
      <c r="E3264" s="19" t="s">
        <v>60</v>
      </c>
      <c r="F3264" s="20" t="s">
        <v>61</v>
      </c>
      <c r="G3264" s="21"/>
      <c r="H3264" s="382"/>
      <c r="I3264" s="381"/>
      <c r="J3264" s="381"/>
      <c r="K3264" s="381"/>
      <c r="L3264" s="382"/>
      <c r="M3264" s="62"/>
      <c r="N3264" s="381"/>
      <c r="O3264" s="56"/>
      <c r="P3264" s="56"/>
      <c r="Q3264" s="48"/>
      <c r="R3264" s="48"/>
      <c r="S3264" s="2"/>
    </row>
    <row r="3265" spans="1:22" ht="12.75" customHeight="1" x14ac:dyDescent="0.2">
      <c r="A3265" s="155">
        <f>'6.A'!$A$174</f>
        <v>54485</v>
      </c>
      <c r="B3265" s="138" t="str">
        <f>IF(A3265="","",VLOOKUP(A3265,'6.A'!$A$11:$G$180,2,FALSE))</f>
        <v>DISJUNTOR CX. MOLD. TRIP. C/ DISPARADOR TÉRMICO AJUSTÁVEL E MAGNÉTICO FIXO - 100A</v>
      </c>
      <c r="C3265" s="156">
        <v>1</v>
      </c>
      <c r="D3265" s="381" t="str">
        <f>IF(A3265="","",VLOOKUP(A3265,'6.A'!$A$11:$G$180,4,FALSE))</f>
        <v>UN</v>
      </c>
      <c r="E3265" s="100">
        <f>IF(A3265="","",VLOOKUP(A3265,'6.A'!$A$11:$G$180,5,FALSE))</f>
        <v>0</v>
      </c>
      <c r="F3265" s="24">
        <f t="shared" ref="F3265:F3284" si="1405">IF(A3265="","0,00",ROUND(C3265*E3265,2))</f>
        <v>0</v>
      </c>
      <c r="G3265" s="382"/>
      <c r="H3265" s="382">
        <f>IF(A3265="","",VLOOKUP(A3265,'6.A'!$A$11:$E$7984,5,FALSE))</f>
        <v>0</v>
      </c>
      <c r="I3265" s="382" t="str">
        <f t="shared" ref="I3265:I3284" si="1406">IF(H3265="","",IF(E3265=H3265,"SIM","NÃO"))</f>
        <v>SIM</v>
      </c>
      <c r="J3265" s="382" t="str">
        <f>IF(H3265="","",VLOOKUP(A3265,'6.A'!$A$11:$E$564,4,FALSE))</f>
        <v>UN</v>
      </c>
      <c r="K3265" s="382" t="str">
        <f t="shared" ref="K3265:K3284" si="1407">IF(H3265="","",IF(J3265=D3265,"SIM","NÃO"))</f>
        <v>SIM</v>
      </c>
      <c r="L3265" s="382">
        <f>IF(H3265="","",IF(C3265="","",G3236*C3265))</f>
        <v>1</v>
      </c>
      <c r="M3265" s="117" t="str">
        <f>IF(A3265="","",VLOOKUP(A3265,'6.A'!$A$11:$C$564,2,FALSE))</f>
        <v>DISJUNTOR CX. MOLD. TRIP. C/ DISPARADOR TÉRMICO AJUSTÁVEL E MAGNÉTICO FIXO - 100A</v>
      </c>
      <c r="N3265" s="381" t="str">
        <f t="shared" ref="N3265:N3284" si="1408">IF(A3265="","",IF(M3265=B3265,"si","no"))</f>
        <v>si</v>
      </c>
      <c r="O3265" s="56"/>
      <c r="P3265" s="56"/>
      <c r="Q3265" s="48"/>
      <c r="R3265" s="48"/>
      <c r="S3265" s="2"/>
    </row>
    <row r="3266" spans="1:22" ht="12.75" customHeight="1" x14ac:dyDescent="0.2">
      <c r="A3266" s="155"/>
      <c r="B3266" s="138" t="str">
        <f>IF(A3266="","",VLOOKUP(A3266,'6.A'!$A$11:$G$180,2,FALSE))</f>
        <v/>
      </c>
      <c r="C3266" s="156"/>
      <c r="D3266" s="381" t="str">
        <f>IF(A3266="","",VLOOKUP(A3266,'6.A'!$A$11:$G$180,4,FALSE))</f>
        <v/>
      </c>
      <c r="E3266" s="100" t="str">
        <f>IF(A3266="","",VLOOKUP(A3266,'6.A'!$A$11:$G$180,5,FALSE))</f>
        <v/>
      </c>
      <c r="F3266" s="24" t="str">
        <f t="shared" si="1405"/>
        <v>0,00</v>
      </c>
      <c r="G3266" s="382"/>
      <c r="H3266" s="382" t="str">
        <f>IF(A3266="","",VLOOKUP(A3266,'6.A'!$A$11:$E$7984,5,FALSE))</f>
        <v/>
      </c>
      <c r="I3266" s="382" t="str">
        <f t="shared" si="1406"/>
        <v/>
      </c>
      <c r="J3266" s="382" t="str">
        <f>IF(H3266="","",VLOOKUP(A3266,'6.A'!$A$11:$E$564,4,FALSE))</f>
        <v/>
      </c>
      <c r="K3266" s="382" t="str">
        <f t="shared" si="1407"/>
        <v/>
      </c>
      <c r="L3266" s="382" t="str">
        <f>IF(H3266="","",IF(C3266="","",G3236*C3266))</f>
        <v/>
      </c>
      <c r="M3266" s="117" t="str">
        <f>IF(A3266="","",VLOOKUP(A3266,'6.A'!$A$11:$C$564,2,FALSE))</f>
        <v/>
      </c>
      <c r="N3266" s="381" t="str">
        <f t="shared" si="1408"/>
        <v/>
      </c>
      <c r="O3266" s="56"/>
      <c r="P3266" s="56"/>
      <c r="Q3266" s="48"/>
      <c r="R3266" s="48"/>
      <c r="S3266" s="2"/>
    </row>
    <row r="3267" spans="1:22" ht="12.75" customHeight="1" x14ac:dyDescent="0.2">
      <c r="A3267" s="155"/>
      <c r="B3267" s="138" t="str">
        <f>IF(A3267="","",VLOOKUP(A3267,'6.A'!$A$11:$G$180,2,FALSE))</f>
        <v/>
      </c>
      <c r="C3267" s="156"/>
      <c r="D3267" s="381" t="str">
        <f>IF(A3267="","",VLOOKUP(A3267,'6.A'!$A$11:$G$180,4,FALSE))</f>
        <v/>
      </c>
      <c r="E3267" s="100" t="str">
        <f>IF(A3267="","",VLOOKUP(A3267,'6.A'!$A$11:$G$180,5,FALSE))</f>
        <v/>
      </c>
      <c r="F3267" s="24" t="str">
        <f t="shared" si="1405"/>
        <v>0,00</v>
      </c>
      <c r="G3267" s="382"/>
      <c r="H3267" s="382" t="str">
        <f>IF(A3267="","",VLOOKUP(A3267,'6.A'!$A$11:$E$7984,5,FALSE))</f>
        <v/>
      </c>
      <c r="I3267" s="382" t="str">
        <f t="shared" si="1406"/>
        <v/>
      </c>
      <c r="J3267" s="382" t="str">
        <f>IF(H3267="","",VLOOKUP(A3267,'6.A'!$A$11:$E$564,4,FALSE))</f>
        <v/>
      </c>
      <c r="K3267" s="382" t="str">
        <f t="shared" si="1407"/>
        <v/>
      </c>
      <c r="L3267" s="382" t="str">
        <f>IF(H3267="","",IF(C3267="","",G3236*C3267))</f>
        <v/>
      </c>
      <c r="M3267" s="117" t="str">
        <f>IF(A3267="","",VLOOKUP(A3267,'6.A'!$A$11:$C$564,2,FALSE))</f>
        <v/>
      </c>
      <c r="N3267" s="381" t="str">
        <f t="shared" si="1408"/>
        <v/>
      </c>
      <c r="O3267" s="56"/>
      <c r="P3267" s="56"/>
      <c r="Q3267" s="48"/>
      <c r="R3267" s="48"/>
      <c r="S3267" s="2"/>
    </row>
    <row r="3268" spans="1:22" ht="12.75" customHeight="1" x14ac:dyDescent="0.2">
      <c r="A3268" s="155"/>
      <c r="B3268" s="138" t="str">
        <f>IF(A3268="","",VLOOKUP(A3268,'6.A'!$A$11:$G$180,2,FALSE))</f>
        <v/>
      </c>
      <c r="C3268" s="156"/>
      <c r="D3268" s="381" t="str">
        <f>IF(A3268="","",VLOOKUP(A3268,'6.A'!$A$11:$G$180,4,FALSE))</f>
        <v/>
      </c>
      <c r="E3268" s="100" t="str">
        <f>IF(A3268="","",VLOOKUP(A3268,'6.A'!$A$11:$G$180,5,FALSE))</f>
        <v/>
      </c>
      <c r="F3268" s="24" t="str">
        <f t="shared" si="1405"/>
        <v>0,00</v>
      </c>
      <c r="G3268" s="382"/>
      <c r="H3268" s="382" t="str">
        <f>IF(A3268="","",VLOOKUP(A3268,'6.A'!$A$11:$E$7984,5,FALSE))</f>
        <v/>
      </c>
      <c r="I3268" s="382" t="str">
        <f t="shared" si="1406"/>
        <v/>
      </c>
      <c r="J3268" s="382" t="str">
        <f>IF(H3268="","",VLOOKUP(A3268,'6.A'!$A$11:$E$564,4,FALSE))</f>
        <v/>
      </c>
      <c r="K3268" s="382" t="str">
        <f t="shared" si="1407"/>
        <v/>
      </c>
      <c r="L3268" s="382" t="str">
        <f>IF(H3268="","",IF(C3268="","",G3236*C3268))</f>
        <v/>
      </c>
      <c r="M3268" s="117" t="str">
        <f>IF(A3268="","",VLOOKUP(A3268,'6.A'!$A$11:$C$564,2,FALSE))</f>
        <v/>
      </c>
      <c r="N3268" s="381" t="str">
        <f t="shared" si="1408"/>
        <v/>
      </c>
      <c r="O3268" s="56"/>
      <c r="P3268" s="56"/>
      <c r="Q3268" s="48"/>
      <c r="R3268" s="48"/>
      <c r="S3268" s="2"/>
    </row>
    <row r="3269" spans="1:22" ht="12.75" customHeight="1" x14ac:dyDescent="0.2">
      <c r="A3269" s="155"/>
      <c r="B3269" s="138" t="str">
        <f>IF(A3269="","",VLOOKUP(A3269,'6.A'!$A$11:$G$180,2,FALSE))</f>
        <v/>
      </c>
      <c r="C3269" s="156"/>
      <c r="D3269" s="381" t="str">
        <f>IF(A3269="","",VLOOKUP(A3269,'6.A'!$A$11:$G$180,4,FALSE))</f>
        <v/>
      </c>
      <c r="E3269" s="100" t="str">
        <f>IF(A3269="","",VLOOKUP(A3269,'6.A'!$A$11:$G$180,5,FALSE))</f>
        <v/>
      </c>
      <c r="F3269" s="24" t="str">
        <f t="shared" si="1405"/>
        <v>0,00</v>
      </c>
      <c r="G3269" s="382"/>
      <c r="H3269" s="382" t="str">
        <f>IF(A3269="","",VLOOKUP(A3269,'6.A'!$A$11:$E$7984,5,FALSE))</f>
        <v/>
      </c>
      <c r="I3269" s="382" t="str">
        <f t="shared" si="1406"/>
        <v/>
      </c>
      <c r="J3269" s="382" t="str">
        <f>IF(H3269="","",VLOOKUP(A3269,'6.A'!$A$11:$E$564,4,FALSE))</f>
        <v/>
      </c>
      <c r="K3269" s="382" t="str">
        <f t="shared" si="1407"/>
        <v/>
      </c>
      <c r="L3269" s="382" t="str">
        <f>IF(H3269="","",IF(C3269="","",G3236*C3269))</f>
        <v/>
      </c>
      <c r="M3269" s="117" t="str">
        <f>IF(A3269="","",VLOOKUP(A3269,'6.A'!$A$11:$C$564,2,FALSE))</f>
        <v/>
      </c>
      <c r="N3269" s="381" t="str">
        <f t="shared" si="1408"/>
        <v/>
      </c>
      <c r="O3269" s="56"/>
      <c r="P3269" s="56"/>
      <c r="Q3269" s="48"/>
      <c r="R3269" s="48"/>
      <c r="S3269" s="2"/>
    </row>
    <row r="3270" spans="1:22" ht="12.75" customHeight="1" x14ac:dyDescent="0.2">
      <c r="A3270" s="155"/>
      <c r="B3270" s="138" t="str">
        <f>IF(A3270="","",VLOOKUP(A3270,'6.A'!$A$11:$G$180,2,FALSE))</f>
        <v/>
      </c>
      <c r="C3270" s="156"/>
      <c r="D3270" s="381" t="str">
        <f>IF(A3270="","",VLOOKUP(A3270,'6.A'!$A$11:$G$180,4,FALSE))</f>
        <v/>
      </c>
      <c r="E3270" s="100" t="str">
        <f>IF(A3270="","",VLOOKUP(A3270,'6.A'!$A$11:$G$180,5,FALSE))</f>
        <v/>
      </c>
      <c r="F3270" s="24" t="str">
        <f t="shared" si="1405"/>
        <v>0,00</v>
      </c>
      <c r="G3270" s="382"/>
      <c r="H3270" s="382" t="str">
        <f>IF(A3270="","",VLOOKUP(A3270,'6.A'!$A$11:$E$7984,5,FALSE))</f>
        <v/>
      </c>
      <c r="I3270" s="382" t="str">
        <f t="shared" si="1406"/>
        <v/>
      </c>
      <c r="J3270" s="382" t="str">
        <f>IF(H3270="","",VLOOKUP(A3270,'6.A'!$A$11:$E$564,4,FALSE))</f>
        <v/>
      </c>
      <c r="K3270" s="382" t="str">
        <f t="shared" si="1407"/>
        <v/>
      </c>
      <c r="L3270" s="382" t="str">
        <f>IF(H3270="","",IF(C3270="","",G3236*C3270))</f>
        <v/>
      </c>
      <c r="M3270" s="117" t="str">
        <f>IF(A3270="","",VLOOKUP(A3270,'6.A'!$A$11:$C$564,2,FALSE))</f>
        <v/>
      </c>
      <c r="N3270" s="381" t="str">
        <f t="shared" si="1408"/>
        <v/>
      </c>
      <c r="O3270" s="56"/>
      <c r="P3270" s="56"/>
      <c r="Q3270" s="48"/>
      <c r="R3270" s="48"/>
      <c r="S3270" s="2"/>
    </row>
    <row r="3271" spans="1:22" ht="12.75" customHeight="1" x14ac:dyDescent="0.2">
      <c r="A3271" s="155"/>
      <c r="B3271" s="138" t="str">
        <f>IF(A3271="","",VLOOKUP(A3271,'6.A'!$A$11:$G$180,2,FALSE))</f>
        <v/>
      </c>
      <c r="C3271" s="156"/>
      <c r="D3271" s="381" t="str">
        <f>IF(A3271="","",VLOOKUP(A3271,'6.A'!$A$11:$G$180,4,FALSE))</f>
        <v/>
      </c>
      <c r="E3271" s="100" t="str">
        <f>IF(A3271="","",VLOOKUP(A3271,'6.A'!$A$11:$G$180,5,FALSE))</f>
        <v/>
      </c>
      <c r="F3271" s="24" t="str">
        <f t="shared" si="1405"/>
        <v>0,00</v>
      </c>
      <c r="G3271" s="382"/>
      <c r="H3271" s="382" t="str">
        <f>IF(A3271="","",VLOOKUP(A3271,'6.A'!$A$11:$E$7984,5,FALSE))</f>
        <v/>
      </c>
      <c r="I3271" s="382" t="str">
        <f t="shared" si="1406"/>
        <v/>
      </c>
      <c r="J3271" s="382" t="str">
        <f>IF(H3271="","",VLOOKUP(A3271,'6.A'!$A$11:$E$564,4,FALSE))</f>
        <v/>
      </c>
      <c r="K3271" s="382" t="str">
        <f t="shared" si="1407"/>
        <v/>
      </c>
      <c r="L3271" s="382" t="str">
        <f>IF(H3271="","",IF(C3271="","",G3236*C3271))</f>
        <v/>
      </c>
      <c r="M3271" s="117" t="str">
        <f>IF(A3271="","",VLOOKUP(A3271,'6.A'!$A$11:$C$564,2,FALSE))</f>
        <v/>
      </c>
      <c r="N3271" s="381" t="str">
        <f t="shared" si="1408"/>
        <v/>
      </c>
      <c r="O3271" s="56"/>
      <c r="P3271" s="56"/>
      <c r="Q3271" s="48"/>
      <c r="R3271" s="48"/>
      <c r="S3271" s="2"/>
    </row>
    <row r="3272" spans="1:22" s="65" customFormat="1" ht="12.75" customHeight="1" x14ac:dyDescent="0.2">
      <c r="A3272" s="155"/>
      <c r="B3272" s="138" t="str">
        <f>IF(A3272="","",VLOOKUP(A3272,'6.A'!$A$11:$G$180,2,FALSE))</f>
        <v/>
      </c>
      <c r="C3272" s="156"/>
      <c r="D3272" s="381" t="str">
        <f>IF(A3272="","",VLOOKUP(A3272,'6.A'!$A$11:$G$180,4,FALSE))</f>
        <v/>
      </c>
      <c r="E3272" s="100" t="str">
        <f>IF(A3272="","",VLOOKUP(A3272,'6.A'!$A$11:$G$180,5,FALSE))</f>
        <v/>
      </c>
      <c r="F3272" s="24" t="str">
        <f t="shared" si="1405"/>
        <v>0,00</v>
      </c>
      <c r="G3272" s="382"/>
      <c r="H3272" s="382" t="str">
        <f>IF(A3272="","",VLOOKUP(A3272,'6.A'!$A$11:$E$7984,5,FALSE))</f>
        <v/>
      </c>
      <c r="I3272" s="382" t="str">
        <f t="shared" si="1406"/>
        <v/>
      </c>
      <c r="J3272" s="382" t="str">
        <f>IF(H3272="","",VLOOKUP(A3272,'6.A'!$A$11:$E$564,4,FALSE))</f>
        <v/>
      </c>
      <c r="K3272" s="382" t="str">
        <f t="shared" si="1407"/>
        <v/>
      </c>
      <c r="L3272" s="382" t="str">
        <f>IF(H3272="","",IF(C3272="","",G3236*C3272))</f>
        <v/>
      </c>
      <c r="M3272" s="117" t="str">
        <f>IF(A3272="","",VLOOKUP(A3272,'6.A'!$A$11:$C$564,2,FALSE))</f>
        <v/>
      </c>
      <c r="N3272" s="381" t="str">
        <f t="shared" si="1408"/>
        <v/>
      </c>
      <c r="O3272" s="56"/>
      <c r="P3272" s="56"/>
      <c r="Q3272" s="48"/>
      <c r="R3272" s="48"/>
      <c r="T3272" s="2"/>
      <c r="U3272" s="2"/>
      <c r="V3272" s="2"/>
    </row>
    <row r="3273" spans="1:22" s="65" customFormat="1" ht="12.75" customHeight="1" x14ac:dyDescent="0.2">
      <c r="A3273" s="155"/>
      <c r="B3273" s="138" t="str">
        <f>IF(A3273="","",VLOOKUP(A3273,'6.A'!$A$11:$G$180,2,FALSE))</f>
        <v/>
      </c>
      <c r="C3273" s="156"/>
      <c r="D3273" s="381" t="str">
        <f>IF(A3273="","",VLOOKUP(A3273,'6.A'!$A$11:$G$180,4,FALSE))</f>
        <v/>
      </c>
      <c r="E3273" s="100" t="str">
        <f>IF(A3273="","",VLOOKUP(A3273,'6.A'!$A$11:$G$180,5,FALSE))</f>
        <v/>
      </c>
      <c r="F3273" s="24" t="str">
        <f t="shared" si="1405"/>
        <v>0,00</v>
      </c>
      <c r="G3273" s="382"/>
      <c r="H3273" s="382" t="str">
        <f>IF(A3273="","",VLOOKUP(A3273,'6.A'!$A$11:$E$7984,5,FALSE))</f>
        <v/>
      </c>
      <c r="I3273" s="382" t="str">
        <f t="shared" si="1406"/>
        <v/>
      </c>
      <c r="J3273" s="382" t="str">
        <f>IF(H3273="","",VLOOKUP(A3273,'6.A'!$A$11:$E$564,4,FALSE))</f>
        <v/>
      </c>
      <c r="K3273" s="382" t="str">
        <f t="shared" si="1407"/>
        <v/>
      </c>
      <c r="L3273" s="382" t="str">
        <f>IF(H3273="","",IF(C3273="","",G3236*C3273))</f>
        <v/>
      </c>
      <c r="M3273" s="117" t="str">
        <f>IF(A3273="","",VLOOKUP(A3273,'6.A'!$A$11:$C$564,2,FALSE))</f>
        <v/>
      </c>
      <c r="N3273" s="381" t="str">
        <f t="shared" si="1408"/>
        <v/>
      </c>
      <c r="O3273" s="56"/>
      <c r="P3273" s="56"/>
      <c r="Q3273" s="48"/>
      <c r="R3273" s="48"/>
      <c r="T3273" s="2"/>
      <c r="U3273" s="2"/>
      <c r="V3273" s="2"/>
    </row>
    <row r="3274" spans="1:22" s="65" customFormat="1" ht="12.75" customHeight="1" x14ac:dyDescent="0.2">
      <c r="A3274" s="155"/>
      <c r="B3274" s="138" t="str">
        <f>IF(A3274="","",VLOOKUP(A3274,'6.A'!$A$11:$G$180,2,FALSE))</f>
        <v/>
      </c>
      <c r="C3274" s="156"/>
      <c r="D3274" s="381" t="str">
        <f>IF(A3274="","",VLOOKUP(A3274,'6.A'!$A$11:$G$180,4,FALSE))</f>
        <v/>
      </c>
      <c r="E3274" s="100" t="str">
        <f>IF(A3274="","",VLOOKUP(A3274,'6.A'!$A$11:$G$180,5,FALSE))</f>
        <v/>
      </c>
      <c r="F3274" s="24" t="str">
        <f t="shared" si="1405"/>
        <v>0,00</v>
      </c>
      <c r="G3274" s="382"/>
      <c r="H3274" s="382" t="str">
        <f>IF(A3274="","",VLOOKUP(A3274,'6.A'!$A$11:$E$7984,5,FALSE))</f>
        <v/>
      </c>
      <c r="I3274" s="382" t="str">
        <f t="shared" si="1406"/>
        <v/>
      </c>
      <c r="J3274" s="382" t="str">
        <f>IF(H3274="","",VLOOKUP(A3274,'6.A'!$A$11:$E$564,4,FALSE))</f>
        <v/>
      </c>
      <c r="K3274" s="382" t="str">
        <f t="shared" si="1407"/>
        <v/>
      </c>
      <c r="L3274" s="382" t="str">
        <f>IF(H3274="","",IF(C3274="","",G3236*C3274))</f>
        <v/>
      </c>
      <c r="M3274" s="117" t="str">
        <f>IF(A3274="","",VLOOKUP(A3274,'6.A'!$A$11:$C$564,2,FALSE))</f>
        <v/>
      </c>
      <c r="N3274" s="381" t="str">
        <f t="shared" si="1408"/>
        <v/>
      </c>
      <c r="O3274" s="56"/>
      <c r="P3274" s="56"/>
      <c r="Q3274" s="48"/>
      <c r="R3274" s="48"/>
      <c r="T3274" s="2"/>
      <c r="U3274" s="2"/>
      <c r="V3274" s="2"/>
    </row>
    <row r="3275" spans="1:22" s="65" customFormat="1" ht="12.75" customHeight="1" x14ac:dyDescent="0.2">
      <c r="A3275" s="155"/>
      <c r="B3275" s="138" t="str">
        <f>IF(A3275="","",VLOOKUP(A3275,'6.A'!$A$11:$G$180,2,FALSE))</f>
        <v/>
      </c>
      <c r="C3275" s="156"/>
      <c r="D3275" s="381" t="str">
        <f>IF(A3275="","",VLOOKUP(A3275,'6.A'!$A$11:$G$180,4,FALSE))</f>
        <v/>
      </c>
      <c r="E3275" s="100" t="str">
        <f>IF(A3275="","",VLOOKUP(A3275,'6.A'!$A$11:$G$180,5,FALSE))</f>
        <v/>
      </c>
      <c r="F3275" s="24" t="str">
        <f t="shared" si="1405"/>
        <v>0,00</v>
      </c>
      <c r="G3275" s="382"/>
      <c r="H3275" s="382" t="str">
        <f>IF(A3275="","",VLOOKUP(A3275,'6.A'!$A$11:$E$7984,5,FALSE))</f>
        <v/>
      </c>
      <c r="I3275" s="382" t="str">
        <f t="shared" si="1406"/>
        <v/>
      </c>
      <c r="J3275" s="382" t="str">
        <f>IF(H3275="","",VLOOKUP(A3275,'6.A'!$A$11:$E$564,4,FALSE))</f>
        <v/>
      </c>
      <c r="K3275" s="382" t="str">
        <f t="shared" si="1407"/>
        <v/>
      </c>
      <c r="L3275" s="382" t="str">
        <f>IF(H3275="","",IF(C3275="","",G3236*C3275))</f>
        <v/>
      </c>
      <c r="M3275" s="117" t="str">
        <f>IF(A3275="","",VLOOKUP(A3275,'6.A'!$A$11:$C$564,2,FALSE))</f>
        <v/>
      </c>
      <c r="N3275" s="381" t="str">
        <f t="shared" si="1408"/>
        <v/>
      </c>
      <c r="O3275" s="56"/>
      <c r="P3275" s="56"/>
      <c r="Q3275" s="48"/>
      <c r="R3275" s="48"/>
      <c r="T3275" s="2"/>
      <c r="U3275" s="2"/>
      <c r="V3275" s="2"/>
    </row>
    <row r="3276" spans="1:22" ht="12.75" customHeight="1" x14ac:dyDescent="0.2">
      <c r="A3276" s="22"/>
      <c r="B3276" s="23" t="str">
        <f>IF(A3276="","",VLOOKUP(A3276,'6.A'!$A$11:$G$180,2,FALSE))</f>
        <v/>
      </c>
      <c r="C3276" s="99"/>
      <c r="D3276" s="381" t="str">
        <f>IF(A3276="","",VLOOKUP(A3276,'6.A'!$A$11:$G$180,4,FALSE))</f>
        <v/>
      </c>
      <c r="E3276" s="100" t="str">
        <f>IF(A3276="","",VLOOKUP(A3276,'6.A'!$A$11:$G$180,5,FALSE))</f>
        <v/>
      </c>
      <c r="F3276" s="24" t="str">
        <f t="shared" si="1405"/>
        <v>0,00</v>
      </c>
      <c r="G3276" s="382"/>
      <c r="H3276" s="382" t="str">
        <f>IF(A3276="","",VLOOKUP(A3276,'6.A'!$A$11:$E$7984,5,FALSE))</f>
        <v/>
      </c>
      <c r="I3276" s="382" t="str">
        <f t="shared" si="1406"/>
        <v/>
      </c>
      <c r="J3276" s="382" t="str">
        <f>IF(H3276="","",VLOOKUP(A3276,'6.A'!$A$11:$E$564,4,FALSE))</f>
        <v/>
      </c>
      <c r="K3276" s="382" t="str">
        <f t="shared" si="1407"/>
        <v/>
      </c>
      <c r="L3276" s="382" t="str">
        <f>IF(H3276="","",IF(C3276="","",G3236*C3276))</f>
        <v/>
      </c>
      <c r="M3276" s="117" t="str">
        <f>IF(A3276="","",VLOOKUP(A3276,'6.A'!$A$11:$C$564,2,FALSE))</f>
        <v/>
      </c>
      <c r="N3276" s="381" t="str">
        <f t="shared" si="1408"/>
        <v/>
      </c>
      <c r="O3276" s="56"/>
      <c r="P3276" s="56"/>
      <c r="Q3276" s="48"/>
      <c r="R3276" s="48"/>
    </row>
    <row r="3277" spans="1:22" ht="12.75" customHeight="1" x14ac:dyDescent="0.2">
      <c r="A3277" s="22"/>
      <c r="B3277" s="23" t="str">
        <f>IF(A3277="","",VLOOKUP(A3277,'6.A'!$A$11:$G$180,2,FALSE))</f>
        <v/>
      </c>
      <c r="C3277" s="99"/>
      <c r="D3277" s="381" t="str">
        <f>IF(A3277="","",VLOOKUP(A3277,'6.A'!$A$11:$G$180,4,FALSE))</f>
        <v/>
      </c>
      <c r="E3277" s="100" t="str">
        <f>IF(A3277="","",VLOOKUP(A3277,'6.A'!$A$11:$G$180,5,FALSE))</f>
        <v/>
      </c>
      <c r="F3277" s="24" t="str">
        <f t="shared" si="1405"/>
        <v>0,00</v>
      </c>
      <c r="G3277" s="382"/>
      <c r="H3277" s="382" t="str">
        <f>IF(A3277="","",VLOOKUP(A3277,'6.A'!$A$11:$E$7984,5,FALSE))</f>
        <v/>
      </c>
      <c r="I3277" s="382" t="str">
        <f t="shared" si="1406"/>
        <v/>
      </c>
      <c r="J3277" s="382" t="str">
        <f>IF(H3277="","",VLOOKUP(A3277,'6.A'!$A$11:$E$564,4,FALSE))</f>
        <v/>
      </c>
      <c r="K3277" s="382" t="str">
        <f t="shared" si="1407"/>
        <v/>
      </c>
      <c r="L3277" s="382" t="str">
        <f>IF(H3277="","",IF(C3277="","",G3236*C3277))</f>
        <v/>
      </c>
      <c r="M3277" s="117" t="str">
        <f>IF(A3277="","",VLOOKUP(A3277,'6.A'!$A$11:$C$564,2,FALSE))</f>
        <v/>
      </c>
      <c r="N3277" s="381" t="str">
        <f t="shared" si="1408"/>
        <v/>
      </c>
      <c r="O3277" s="56"/>
      <c r="P3277" s="56"/>
      <c r="Q3277" s="48"/>
      <c r="R3277" s="48"/>
    </row>
    <row r="3278" spans="1:22" ht="12.75" customHeight="1" x14ac:dyDescent="0.2">
      <c r="A3278" s="22"/>
      <c r="B3278" s="23" t="str">
        <f>IF(A3278="","",VLOOKUP(A3278,'6.A'!$A$11:$G$180,2,FALSE))</f>
        <v/>
      </c>
      <c r="C3278" s="99"/>
      <c r="D3278" s="381" t="str">
        <f>IF(A3278="","",VLOOKUP(A3278,'6.A'!$A$11:$G$180,4,FALSE))</f>
        <v/>
      </c>
      <c r="E3278" s="100" t="str">
        <f>IF(A3278="","",VLOOKUP(A3278,'6.A'!$A$11:$G$180,5,FALSE))</f>
        <v/>
      </c>
      <c r="F3278" s="24" t="str">
        <f t="shared" si="1405"/>
        <v>0,00</v>
      </c>
      <c r="G3278" s="382"/>
      <c r="H3278" s="382" t="str">
        <f>IF(A3278="","",VLOOKUP(A3278,'6.A'!$A$11:$E$7984,5,FALSE))</f>
        <v/>
      </c>
      <c r="I3278" s="382" t="str">
        <f t="shared" si="1406"/>
        <v/>
      </c>
      <c r="J3278" s="382" t="str">
        <f>IF(H3278="","",VLOOKUP(A3278,'6.A'!$A$11:$E$564,4,FALSE))</f>
        <v/>
      </c>
      <c r="K3278" s="382" t="str">
        <f t="shared" si="1407"/>
        <v/>
      </c>
      <c r="L3278" s="382" t="str">
        <f>IF(H3278="","",IF(C3278="","",G3236*C3278))</f>
        <v/>
      </c>
      <c r="M3278" s="117" t="str">
        <f>IF(A3278="","",VLOOKUP(A3278,'6.A'!$A$11:$C$564,2,FALSE))</f>
        <v/>
      </c>
      <c r="N3278" s="381" t="str">
        <f t="shared" si="1408"/>
        <v/>
      </c>
      <c r="O3278" s="56"/>
      <c r="P3278" s="56"/>
      <c r="Q3278" s="48"/>
      <c r="R3278" s="48"/>
    </row>
    <row r="3279" spans="1:22" ht="12.75" customHeight="1" x14ac:dyDescent="0.2">
      <c r="A3279" s="22"/>
      <c r="B3279" s="23" t="str">
        <f>IF(A3279="","",VLOOKUP(A3279,'6.A'!$A$11:$G$180,2,FALSE))</f>
        <v/>
      </c>
      <c r="C3279" s="99"/>
      <c r="D3279" s="381" t="str">
        <f>IF(A3279="","",VLOOKUP(A3279,'6.A'!$A$11:$G$180,4,FALSE))</f>
        <v/>
      </c>
      <c r="E3279" s="100" t="str">
        <f>IF(A3279="","",VLOOKUP(A3279,'6.A'!$A$11:$G$180,5,FALSE))</f>
        <v/>
      </c>
      <c r="F3279" s="24" t="str">
        <f t="shared" si="1405"/>
        <v>0,00</v>
      </c>
      <c r="G3279" s="382"/>
      <c r="H3279" s="382" t="str">
        <f>IF(A3279="","",VLOOKUP(A3279,'6.A'!$A$11:$E$7984,5,FALSE))</f>
        <v/>
      </c>
      <c r="I3279" s="382" t="str">
        <f t="shared" si="1406"/>
        <v/>
      </c>
      <c r="J3279" s="382" t="str">
        <f>IF(H3279="","",VLOOKUP(A3279,'6.A'!$A$11:$E$564,4,FALSE))</f>
        <v/>
      </c>
      <c r="K3279" s="382" t="str">
        <f t="shared" si="1407"/>
        <v/>
      </c>
      <c r="L3279" s="382" t="str">
        <f>IF(H3279="","",IF(C3279="","",G3236*C3279))</f>
        <v/>
      </c>
      <c r="M3279" s="117" t="str">
        <f>IF(A3279="","",VLOOKUP(A3279,'6.A'!$A$11:$C$564,2,FALSE))</f>
        <v/>
      </c>
      <c r="N3279" s="381" t="str">
        <f t="shared" si="1408"/>
        <v/>
      </c>
      <c r="O3279" s="56"/>
      <c r="P3279" s="56"/>
      <c r="Q3279" s="48"/>
      <c r="R3279" s="48"/>
    </row>
    <row r="3280" spans="1:22" ht="12.75" customHeight="1" x14ac:dyDescent="0.2">
      <c r="A3280" s="22"/>
      <c r="B3280" s="23" t="str">
        <f>IF(A3280="","",VLOOKUP(A3280,'6.A'!$A$11:$G$180,2,FALSE))</f>
        <v/>
      </c>
      <c r="C3280" s="99"/>
      <c r="D3280" s="381" t="str">
        <f>IF(A3280="","",VLOOKUP(A3280,'6.A'!$A$11:$G$180,4,FALSE))</f>
        <v/>
      </c>
      <c r="E3280" s="100" t="str">
        <f>IF(A3280="","",VLOOKUP(A3280,'6.A'!$A$11:$G$180,5,FALSE))</f>
        <v/>
      </c>
      <c r="F3280" s="24" t="str">
        <f t="shared" si="1405"/>
        <v>0,00</v>
      </c>
      <c r="G3280" s="382"/>
      <c r="H3280" s="382" t="str">
        <f>IF(A3280="","",VLOOKUP(A3280,'6.A'!$A$11:$E$7984,5,FALSE))</f>
        <v/>
      </c>
      <c r="I3280" s="382" t="str">
        <f t="shared" si="1406"/>
        <v/>
      </c>
      <c r="J3280" s="382" t="str">
        <f>IF(H3280="","",VLOOKUP(A3280,'6.A'!$A$11:$E$564,4,FALSE))</f>
        <v/>
      </c>
      <c r="K3280" s="382" t="str">
        <f t="shared" si="1407"/>
        <v/>
      </c>
      <c r="L3280" s="382" t="str">
        <f>IF(H3280="","",IF(C3280="","",G3236*C3280))</f>
        <v/>
      </c>
      <c r="M3280" s="117" t="str">
        <f>IF(A3280="","",VLOOKUP(A3280,'6.A'!$A$11:$C$564,2,FALSE))</f>
        <v/>
      </c>
      <c r="N3280" s="381" t="str">
        <f t="shared" si="1408"/>
        <v/>
      </c>
      <c r="O3280" s="56"/>
      <c r="P3280" s="56"/>
      <c r="Q3280" s="48"/>
      <c r="R3280" s="48"/>
    </row>
    <row r="3281" spans="1:23" ht="12.75" customHeight="1" x14ac:dyDescent="0.2">
      <c r="A3281" s="22"/>
      <c r="B3281" s="23" t="str">
        <f>IF(A3281="","",VLOOKUP(A3281,'6.A'!$A$11:$G$180,2,FALSE))</f>
        <v/>
      </c>
      <c r="C3281" s="99"/>
      <c r="D3281" s="381" t="str">
        <f>IF(A3281="","",VLOOKUP(A3281,'6.A'!$A$11:$G$180,4,FALSE))</f>
        <v/>
      </c>
      <c r="E3281" s="100" t="str">
        <f>IF(A3281="","",VLOOKUP(A3281,'6.A'!$A$11:$G$180,5,FALSE))</f>
        <v/>
      </c>
      <c r="F3281" s="24" t="str">
        <f t="shared" si="1405"/>
        <v>0,00</v>
      </c>
      <c r="G3281" s="382"/>
      <c r="H3281" s="382" t="str">
        <f>IF(A3281="","",VLOOKUP(A3281,'6.A'!$A$11:$E$7984,5,FALSE))</f>
        <v/>
      </c>
      <c r="I3281" s="382" t="str">
        <f t="shared" si="1406"/>
        <v/>
      </c>
      <c r="J3281" s="382" t="str">
        <f>IF(H3281="","",VLOOKUP(A3281,'6.A'!$A$11:$E$564,4,FALSE))</f>
        <v/>
      </c>
      <c r="K3281" s="382" t="str">
        <f t="shared" si="1407"/>
        <v/>
      </c>
      <c r="L3281" s="382" t="str">
        <f>IF(H3281="","",IF(C3281="","",G3236*C3281))</f>
        <v/>
      </c>
      <c r="M3281" s="117" t="str">
        <f>IF(A3281="","",VLOOKUP(A3281,'6.A'!$A$11:$C$564,2,FALSE))</f>
        <v/>
      </c>
      <c r="N3281" s="381" t="str">
        <f t="shared" si="1408"/>
        <v/>
      </c>
      <c r="O3281" s="56"/>
      <c r="P3281" s="56"/>
      <c r="Q3281" s="48"/>
      <c r="R3281" s="48"/>
    </row>
    <row r="3282" spans="1:23" ht="12.75" customHeight="1" x14ac:dyDescent="0.2">
      <c r="A3282" s="22"/>
      <c r="B3282" s="39" t="str">
        <f>IF(A3282="","",VLOOKUP(A3282,'6.A'!$A$11:$G$180,2,FALSE))</f>
        <v/>
      </c>
      <c r="C3282" s="99"/>
      <c r="D3282" s="381" t="str">
        <f>IF(A3282="","",VLOOKUP(A3282,'6.A'!$A$11:$G$180,4,FALSE))</f>
        <v/>
      </c>
      <c r="E3282" s="100" t="str">
        <f>IF(A3282="","",VLOOKUP(A3282,'6.A'!$A$11:$G$180,5,FALSE))</f>
        <v/>
      </c>
      <c r="F3282" s="24" t="str">
        <f t="shared" si="1405"/>
        <v>0,00</v>
      </c>
      <c r="G3282" s="382"/>
      <c r="H3282" s="382" t="str">
        <f>IF(A3282="","",VLOOKUP(A3282,'6.A'!$A$11:$E$7984,5,FALSE))</f>
        <v/>
      </c>
      <c r="I3282" s="382" t="str">
        <f t="shared" si="1406"/>
        <v/>
      </c>
      <c r="J3282" s="382" t="str">
        <f>IF(H3282="","",VLOOKUP(A3282,'6.A'!$A$11:$E$564,4,FALSE))</f>
        <v/>
      </c>
      <c r="K3282" s="382" t="str">
        <f t="shared" si="1407"/>
        <v/>
      </c>
      <c r="L3282" s="382" t="str">
        <f>IF(H3282="","",IF(C3282="","",G3236*C3282))</f>
        <v/>
      </c>
      <c r="M3282" s="117" t="str">
        <f>IF(A3282="","",VLOOKUP(A3282,'6.A'!$A$11:$C$564,2,FALSE))</f>
        <v/>
      </c>
      <c r="N3282" s="381" t="str">
        <f t="shared" si="1408"/>
        <v/>
      </c>
      <c r="O3282" s="56"/>
      <c r="P3282" s="56"/>
      <c r="Q3282" s="48"/>
      <c r="R3282" s="48"/>
    </row>
    <row r="3283" spans="1:23" ht="12.75" customHeight="1" x14ac:dyDescent="0.2">
      <c r="A3283" s="22"/>
      <c r="B3283" s="39" t="str">
        <f>IF(A3283="","",VLOOKUP(A3283,'6.A'!$A$11:$G$180,2,FALSE))</f>
        <v/>
      </c>
      <c r="C3283" s="99"/>
      <c r="D3283" s="381" t="str">
        <f>IF(A3283="","",VLOOKUP(A3283,'6.A'!$A$11:$G$180,4,FALSE))</f>
        <v/>
      </c>
      <c r="E3283" s="100" t="str">
        <f>IF(A3283="","",VLOOKUP(A3283,'6.A'!$A$11:$G$180,5,FALSE))</f>
        <v/>
      </c>
      <c r="F3283" s="24" t="str">
        <f t="shared" si="1405"/>
        <v>0,00</v>
      </c>
      <c r="G3283" s="382"/>
      <c r="H3283" s="382" t="str">
        <f>IF(A3283="","",VLOOKUP(A3283,'6.A'!$A$11:$E$7984,5,FALSE))</f>
        <v/>
      </c>
      <c r="I3283" s="382" t="str">
        <f t="shared" si="1406"/>
        <v/>
      </c>
      <c r="J3283" s="382" t="str">
        <f>IF(H3283="","",VLOOKUP(A3283,'6.A'!$A$11:$E$564,4,FALSE))</f>
        <v/>
      </c>
      <c r="K3283" s="382" t="str">
        <f t="shared" si="1407"/>
        <v/>
      </c>
      <c r="L3283" s="382" t="str">
        <f>IF(H3283="","",IF(C3283="","",G3236*C3283))</f>
        <v/>
      </c>
      <c r="M3283" s="117" t="str">
        <f>IF(A3283="","",VLOOKUP(A3283,'6.A'!$A$11:$C$564,2,FALSE))</f>
        <v/>
      </c>
      <c r="N3283" s="381" t="str">
        <f t="shared" si="1408"/>
        <v/>
      </c>
      <c r="O3283" s="56"/>
      <c r="P3283" s="56"/>
      <c r="Q3283" s="48"/>
      <c r="R3283" s="48"/>
    </row>
    <row r="3284" spans="1:23" ht="12.75" customHeight="1" x14ac:dyDescent="0.2">
      <c r="A3284" s="22"/>
      <c r="B3284" s="39" t="str">
        <f>IF(A3284="","",VLOOKUP(A3284,'6.A'!$A$11:$G$180,2,FALSE))</f>
        <v/>
      </c>
      <c r="C3284" s="99"/>
      <c r="D3284" s="381" t="str">
        <f>IF(A3284="","",VLOOKUP(A3284,'6.A'!$A$11:$G$180,4,FALSE))</f>
        <v/>
      </c>
      <c r="E3284" s="100" t="str">
        <f>IF(A3284="","",VLOOKUP(A3284,'6.A'!$A$11:$G$180,5,FALSE))</f>
        <v/>
      </c>
      <c r="F3284" s="24" t="str">
        <f t="shared" si="1405"/>
        <v>0,00</v>
      </c>
      <c r="G3284" s="382"/>
      <c r="H3284" s="382" t="str">
        <f>IF(A3284="","",VLOOKUP(A3284,'6.A'!$A$11:$E$7984,5,FALSE))</f>
        <v/>
      </c>
      <c r="I3284" s="382" t="str">
        <f t="shared" si="1406"/>
        <v/>
      </c>
      <c r="J3284" s="382" t="str">
        <f>IF(H3284="","",VLOOKUP(A3284,'6.A'!$A$11:$E$564,4,FALSE))</f>
        <v/>
      </c>
      <c r="K3284" s="382" t="str">
        <f t="shared" si="1407"/>
        <v/>
      </c>
      <c r="L3284" s="382" t="str">
        <f>IF(H3284="","",IF(C3284="","",G3236*C3284))</f>
        <v/>
      </c>
      <c r="M3284" s="117" t="str">
        <f>IF(A3284="","",VLOOKUP(A3284,'6.A'!$A$11:$C$564,2,FALSE))</f>
        <v/>
      </c>
      <c r="N3284" s="381" t="str">
        <f t="shared" si="1408"/>
        <v/>
      </c>
      <c r="O3284" s="56"/>
      <c r="P3284" s="56"/>
      <c r="Q3284" s="48"/>
      <c r="R3284" s="48"/>
    </row>
    <row r="3285" spans="1:23" ht="12.75" customHeight="1" x14ac:dyDescent="0.2">
      <c r="A3285" s="22"/>
      <c r="B3285" s="26" t="str">
        <f>$A$9</f>
        <v>BDI</v>
      </c>
      <c r="C3285" s="40">
        <f>$C$9</f>
        <v>0</v>
      </c>
      <c r="D3285" s="381"/>
      <c r="F3285" s="28">
        <f>ROUND(SUM(F3265:F3284)*C3285,2)</f>
        <v>0</v>
      </c>
      <c r="G3285" s="63"/>
      <c r="H3285" s="382"/>
      <c r="I3285" s="381"/>
      <c r="J3285" s="381"/>
      <c r="K3285" s="381"/>
      <c r="L3285" s="382"/>
      <c r="M3285" s="381"/>
      <c r="N3285" s="381"/>
      <c r="O3285" s="56"/>
      <c r="P3285" s="56"/>
      <c r="Q3285" s="48"/>
      <c r="R3285" s="48"/>
    </row>
    <row r="3286" spans="1:23" ht="12.75" customHeight="1" thickBot="1" x14ac:dyDescent="0.25">
      <c r="A3286" s="41"/>
      <c r="B3286" s="42" t="s">
        <v>57</v>
      </c>
      <c r="C3286" s="43"/>
      <c r="D3286" s="44"/>
      <c r="E3286" s="45"/>
      <c r="F3286" s="46">
        <f>ROUND(SUM(F3265:F3285),2)</f>
        <v>0</v>
      </c>
      <c r="G3286" s="63"/>
      <c r="H3286" s="382"/>
      <c r="I3286" s="381"/>
      <c r="J3286" s="381"/>
      <c r="K3286" s="381"/>
      <c r="L3286" s="382"/>
      <c r="M3286" s="381"/>
      <c r="N3286" s="381"/>
      <c r="O3286" s="56"/>
      <c r="P3286" s="56"/>
      <c r="Q3286" s="48"/>
      <c r="R3286" s="48"/>
    </row>
    <row r="3287" spans="1:23" ht="12" customHeight="1" thickBot="1" x14ac:dyDescent="0.25">
      <c r="A3287" s="8"/>
      <c r="B3287" s="9"/>
      <c r="C3287" s="10"/>
      <c r="D3287" s="381"/>
      <c r="F3287" s="12"/>
      <c r="H3287" s="382"/>
      <c r="I3287" s="381"/>
      <c r="J3287" s="381"/>
      <c r="K3287" s="381"/>
      <c r="L3287" s="382"/>
      <c r="M3287" s="381"/>
      <c r="N3287" s="381"/>
      <c r="O3287" s="56"/>
      <c r="P3287" s="56"/>
    </row>
    <row r="3288" spans="1:23" ht="50.1" customHeight="1" x14ac:dyDescent="0.2">
      <c r="A3288" s="13" t="str">
        <f>'3.A'!$A$72</f>
        <v>3.4.4</v>
      </c>
      <c r="B3288" s="14" t="str">
        <f>IF(A3288="","",VLOOKUP(A3288,'3.A'!$A$17:$M$279,2,FALSE))</f>
        <v>DISJUNTOR CAIXA MOLDADA TRIPOLAR 150A COM DISPARADOR TERMOMAGNÉTICO AJUSTÁVEL</v>
      </c>
      <c r="C3288" s="413" t="s">
        <v>62</v>
      </c>
      <c r="D3288" s="413"/>
      <c r="E3288" s="15" t="str">
        <f>IF(A3288="","",VLOOKUP(A3288,'3.A'!$A$17:$M$279,3,FALSE))</f>
        <v>UN</v>
      </c>
      <c r="F3288" s="16">
        <f>ROUND(F3302+F3315+F3338,2)</f>
        <v>0</v>
      </c>
      <c r="G3288" s="118">
        <f>VLOOKUP(A3288,'3.A'!$A$19:$I$279,4,FALSE)</f>
        <v>1</v>
      </c>
      <c r="H3288" s="47">
        <f>SUM(F3290:F3301)</f>
        <v>0</v>
      </c>
      <c r="I3288" s="47">
        <f>SUM(F3304:F3314)</f>
        <v>0</v>
      </c>
      <c r="J3288" s="47">
        <f>SUM(F3317:F3337)</f>
        <v>0</v>
      </c>
      <c r="K3288" s="47">
        <f>SUM(H3288:J3288)</f>
        <v>0</v>
      </c>
      <c r="L3288" s="47" t="str">
        <f>IF(K3288=F3288,"SIM","NÃO")</f>
        <v>SIM</v>
      </c>
      <c r="M3288" s="58">
        <f>ROUND(SUM(F3290:F3299)*C3300,2)+ROUND(SUM(F3290:F3300)*C3301,2)+ROUND(SUM(F3290:F3299),2)+ROUND(SUM(F3304:F3313)*C3314,2)+ROUND(SUM(F3304:F3313),2)+ROUND(SUM(F3317:F3336)*C3337,2)+ROUND(SUM(F3317:F3336),2)</f>
        <v>0</v>
      </c>
      <c r="N3288" s="50" t="str">
        <f>IF(M3288=F3288,"SIM","NÃO")</f>
        <v>SIM</v>
      </c>
      <c r="O3288" s="51" t="str">
        <f>VLOOKUP(A3288,'3.A'!$A$8:$E$279,3,FALSE)</f>
        <v>UN</v>
      </c>
      <c r="P3288" s="51" t="str">
        <f>IF(O3288=E3288,"SIM","NÃO")</f>
        <v>SIM</v>
      </c>
      <c r="Q3288" s="53">
        <f>ROUND(G3288*F3302,2)+ROUND(G3288*F3315,2)+ROUND(G3288*F3338,2)</f>
        <v>0</v>
      </c>
      <c r="R3288" s="59">
        <f>VLOOKUP(A3288,'3.A'!$A$17:$L$279,12,FALSE)</f>
        <v>0</v>
      </c>
      <c r="S3288" s="60" t="str">
        <f>IF(Q3288=R3288,"si","no")</f>
        <v>si</v>
      </c>
      <c r="T3288" s="61">
        <f>SUM(L3290:L3299)+SUM(L3304:L3313)+SUM(L3317:L3336)</f>
        <v>5.2</v>
      </c>
      <c r="U3288" s="382">
        <f>G3288*C3296+G3288*C3298+G3288*C3291+G3288*C3292+G3288*C3294+G3288*C3297+G3288*C3295+G3288*C3290+G3288*C3293+G3288*C3299+G3288*C3310+G3288*C3304+G3288*C3312+G3288*C3311+G3288*C3309+G3288*C3306+G3288*C3305+G3288*C3307+G3288*C3313+G3288*C3308+G3288*C3317+G3288*C3318+G3288*C3319+G3288*C3327+G3288*C3328+G3288*C3329+G3288*C3330+G3288*C3331+G3288*C3332+G3288*C3333+G3288*C3334+G3288*C3335+G3288*C3336+G3288*C3325+G3288*C3326+G3288*C3320+G3288*C3321+G3288*C3322+G3288*C3323+G3288*C3324</f>
        <v>5.2</v>
      </c>
      <c r="V3288" s="54" t="str">
        <f>IF(T3288=U3288,"si","no")</f>
        <v>si</v>
      </c>
      <c r="W3288" s="137"/>
    </row>
    <row r="3289" spans="1:23" ht="12.75" customHeight="1" x14ac:dyDescent="0.2">
      <c r="A3289" s="17" t="s">
        <v>3</v>
      </c>
      <c r="B3289" s="18" t="s">
        <v>58</v>
      </c>
      <c r="C3289" s="56" t="s">
        <v>59</v>
      </c>
      <c r="D3289" s="56" t="s">
        <v>16</v>
      </c>
      <c r="E3289" s="19" t="s">
        <v>60</v>
      </c>
      <c r="F3289" s="20" t="s">
        <v>61</v>
      </c>
      <c r="G3289" s="21"/>
      <c r="H3289" s="382"/>
      <c r="I3289" s="381"/>
      <c r="J3289" s="381"/>
      <c r="K3289" s="381"/>
      <c r="L3289" s="382"/>
      <c r="M3289" s="381"/>
      <c r="N3289" s="381"/>
      <c r="O3289" s="56"/>
      <c r="P3289" s="56"/>
      <c r="Q3289" s="48"/>
      <c r="R3289" s="48"/>
    </row>
    <row r="3290" spans="1:23" ht="12.75" customHeight="1" x14ac:dyDescent="0.2">
      <c r="A3290" s="155">
        <f>'6.A'!$A$19</f>
        <v>88266</v>
      </c>
      <c r="B3290" s="138" t="str">
        <f>IF(A3290="","",VLOOKUP(A3290,'6.A'!$A$11:$G$180,2,FALSE))</f>
        <v>ELETROTÉCNICO COM ENCARGOS COMPLEMENTARES</v>
      </c>
      <c r="C3290" s="156">
        <v>0.6</v>
      </c>
      <c r="D3290" s="381" t="str">
        <f>IF(A3290="","",VLOOKUP(A3290,'6.A'!$A$11:$G$180,4,FALSE))</f>
        <v>H</v>
      </c>
      <c r="E3290" s="100">
        <f>IF(A3290="","",VLOOKUP(A3290,'6.A'!$A$11:$G$180,5,FALSE))</f>
        <v>0</v>
      </c>
      <c r="F3290" s="24">
        <f t="shared" ref="F3290" si="1409">IF(A3290="","0,00",ROUND(C3290*E3290,2))</f>
        <v>0</v>
      </c>
      <c r="G3290" s="382"/>
      <c r="H3290" s="382">
        <f>IF(A3290="","",VLOOKUP(A3290,'6.A'!$A$11:$E$7984,5,FALSE))</f>
        <v>0</v>
      </c>
      <c r="I3290" s="382" t="str">
        <f>IF(H3290="","",IF(E3290=H3290,"SIM","NÃO"))</f>
        <v>SIM</v>
      </c>
      <c r="J3290" s="382" t="str">
        <f>IF(H3290="","",VLOOKUP(A3290,'6.A'!$A$11:$E$564,4,FALSE))</f>
        <v>H</v>
      </c>
      <c r="K3290" s="382" t="str">
        <f>IF(H3290="","",IF(J3290=D3290,"SIM","NÃO"))</f>
        <v>SIM</v>
      </c>
      <c r="L3290" s="382">
        <f>IF(H3290="","",IF(C3290="","",G3288*C3290))</f>
        <v>0.6</v>
      </c>
      <c r="M3290" s="117" t="str">
        <f>IF(A3290="","",VLOOKUP(A3290,'6.A'!$A$11:$C$564,2,FALSE))</f>
        <v>ELETROTÉCNICO COM ENCARGOS COMPLEMENTARES</v>
      </c>
      <c r="N3290" s="381" t="str">
        <f>IF(A3290="","",IF(M3290=B3290,"si","no"))</f>
        <v>si</v>
      </c>
      <c r="O3290" s="56"/>
      <c r="P3290" s="56"/>
      <c r="Q3290" s="48"/>
      <c r="R3290" s="48"/>
    </row>
    <row r="3291" spans="1:23" ht="12.75" customHeight="1" x14ac:dyDescent="0.2">
      <c r="A3291" s="155">
        <f>'6.A'!$A$18</f>
        <v>88264</v>
      </c>
      <c r="B3291" s="138" t="str">
        <f>IF(A3291="","",VLOOKUP(A3291,'6.A'!$A$11:$G$180,2,FALSE))</f>
        <v>ELETRICISTA COM ENCARGOS COMPLEMENTARES</v>
      </c>
      <c r="C3291" s="156">
        <v>1.8</v>
      </c>
      <c r="D3291" s="381" t="str">
        <f>IF(A3291="","",VLOOKUP(A3291,'6.A'!$A$11:$G$180,4,FALSE))</f>
        <v>H</v>
      </c>
      <c r="E3291" s="100">
        <f>IF(A3291="","",VLOOKUP(A3291,'6.A'!$A$11:$G$180,5,FALSE))</f>
        <v>0</v>
      </c>
      <c r="F3291" s="24">
        <f>IF(A3291="","0,00",ROUND(C3291*E3291,2))</f>
        <v>0</v>
      </c>
      <c r="G3291" s="382"/>
      <c r="H3291" s="382">
        <f>IF(A3291="","",VLOOKUP(A3291,'6.A'!$A$11:$E$7984,5,FALSE))</f>
        <v>0</v>
      </c>
      <c r="I3291" s="382" t="str">
        <f>IF(H3291="","",IF(E3291=H3291,"SIM","NÃO"))</f>
        <v>SIM</v>
      </c>
      <c r="J3291" s="382" t="str">
        <f>IF(H3291="","",VLOOKUP(A3291,'6.A'!$A$11:$E$564,4,FALSE))</f>
        <v>H</v>
      </c>
      <c r="K3291" s="382" t="str">
        <f>IF(H3291="","",IF(J3291=D3291,"SIM","NÃO"))</f>
        <v>SIM</v>
      </c>
      <c r="L3291" s="382">
        <f>IF(H3291="","",IF(C3291="","",G3288*C3291))</f>
        <v>1.8</v>
      </c>
      <c r="M3291" s="117" t="str">
        <f>IF(A3291="","",VLOOKUP(A3291,'6.A'!$A$11:$C$564,2,FALSE))</f>
        <v>ELETRICISTA COM ENCARGOS COMPLEMENTARES</v>
      </c>
      <c r="N3291" s="381" t="str">
        <f>IF(A3291="","",IF(M3291=B3291,"si","no"))</f>
        <v>si</v>
      </c>
      <c r="O3291" s="56"/>
      <c r="P3291" s="56"/>
      <c r="Q3291" s="48"/>
      <c r="R3291" s="48"/>
    </row>
    <row r="3292" spans="1:23" ht="12.75" customHeight="1" x14ac:dyDescent="0.2">
      <c r="A3292" s="155">
        <f>'6.A'!$A$22</f>
        <v>88316</v>
      </c>
      <c r="B3292" s="138" t="str">
        <f>IF(A3292="","",VLOOKUP(A3292,'6.A'!$A$11:$G$180,2,FALSE))</f>
        <v>SERVENTE COM ENCARGOS COMPLEMENTARES</v>
      </c>
      <c r="C3292" s="156">
        <v>1.8</v>
      </c>
      <c r="D3292" s="381" t="str">
        <f>IF(A3292="","",VLOOKUP(A3292,'6.A'!$A$11:$G$180,4,FALSE))</f>
        <v>H</v>
      </c>
      <c r="E3292" s="100">
        <f>IF(A3292="","",VLOOKUP(A3292,'6.A'!$A$11:$G$180,5,FALSE))</f>
        <v>0</v>
      </c>
      <c r="F3292" s="24">
        <f t="shared" ref="F3292:F3299" si="1410">IF(A3292="","0,00",ROUND(C3292*E3292,2))</f>
        <v>0</v>
      </c>
      <c r="G3292" s="382"/>
      <c r="H3292" s="382">
        <f>IF(A3292="","",VLOOKUP(A3292,'6.A'!$A$11:$E$7984,5,FALSE))</f>
        <v>0</v>
      </c>
      <c r="I3292" s="382" t="str">
        <f>IF(H3292="","",IF(E3292=H3292,"SIM","NÃO"))</f>
        <v>SIM</v>
      </c>
      <c r="J3292" s="382" t="str">
        <f>IF(H3292="","",VLOOKUP(A3292,'6.A'!$A$11:$E$564,4,FALSE))</f>
        <v>H</v>
      </c>
      <c r="K3292" s="382" t="str">
        <f t="shared" ref="K3292" si="1411">IF(H3292="","",IF(J3292=D3292,"SIM","NÃO"))</f>
        <v>SIM</v>
      </c>
      <c r="L3292" s="382">
        <f>IF(H3292="","",IF(C3292="","",G3288*C3292))</f>
        <v>1.8</v>
      </c>
      <c r="M3292" s="117" t="str">
        <f>IF(A3292="","",VLOOKUP(A3292,'6.A'!$A$11:$C$564,2,FALSE))</f>
        <v>SERVENTE COM ENCARGOS COMPLEMENTARES</v>
      </c>
      <c r="N3292" s="381" t="str">
        <f t="shared" ref="N3292" si="1412">IF(A3292="","",IF(M3292=B3292,"si","no"))</f>
        <v>si</v>
      </c>
      <c r="O3292" s="56"/>
      <c r="P3292" s="56"/>
      <c r="Q3292" s="48"/>
      <c r="R3292" s="48"/>
      <c r="S3292" s="2"/>
    </row>
    <row r="3293" spans="1:23" ht="12.75" customHeight="1" x14ac:dyDescent="0.2">
      <c r="A3293" s="155"/>
      <c r="B3293" s="138" t="str">
        <f>IF(A3293="","",VLOOKUP(A3293,'6.A'!$A$11:$G$180,2,FALSE))</f>
        <v/>
      </c>
      <c r="C3293" s="156"/>
      <c r="D3293" s="381" t="str">
        <f>IF(A3293="","",VLOOKUP(A3293,'6.A'!$A$11:$G$180,4,FALSE))</f>
        <v/>
      </c>
      <c r="E3293" s="100" t="str">
        <f>IF(A3293="","",VLOOKUP(A3293,'6.A'!$A$11:$G$180,5,FALSE))</f>
        <v/>
      </c>
      <c r="F3293" s="24" t="str">
        <f t="shared" si="1410"/>
        <v>0,00</v>
      </c>
      <c r="G3293" s="382"/>
      <c r="H3293" s="382" t="str">
        <f>IF(A3293="","",VLOOKUP(A3293,'6.A'!$A$11:$E$7984,5,FALSE))</f>
        <v/>
      </c>
      <c r="I3293" s="382" t="str">
        <f>IF(H3293="","",IF(E3293=H3293,"SIM","NÃO"))</f>
        <v/>
      </c>
      <c r="J3293" s="382" t="str">
        <f>IF(H3293="","",VLOOKUP(A3293,'6.A'!$A$11:$E$564,4,FALSE))</f>
        <v/>
      </c>
      <c r="K3293" s="382" t="str">
        <f>IF(H3293="","",IF(J3293=D3293,"SIM","NÃO"))</f>
        <v/>
      </c>
      <c r="L3293" s="382" t="str">
        <f>IF(H3293="","",IF(C3293="","",G3288*C3293))</f>
        <v/>
      </c>
      <c r="M3293" s="117" t="str">
        <f>IF(A3293="","",VLOOKUP(A3293,'6.A'!$A$11:$C$564,2,FALSE))</f>
        <v/>
      </c>
      <c r="N3293" s="381" t="str">
        <f>IF(A3293="","",IF(M3293=B3293,"si","no"))</f>
        <v/>
      </c>
      <c r="O3293" s="56"/>
      <c r="P3293" s="56"/>
      <c r="Q3293" s="48"/>
      <c r="R3293" s="48"/>
      <c r="S3293" s="2"/>
    </row>
    <row r="3294" spans="1:23" ht="12.75" customHeight="1" x14ac:dyDescent="0.2">
      <c r="A3294" s="155"/>
      <c r="B3294" s="138" t="str">
        <f>IF(A3294="","",VLOOKUP(A3294,'6.A'!$A$11:$G$180,2,FALSE))</f>
        <v/>
      </c>
      <c r="C3294" s="156"/>
      <c r="D3294" s="381" t="str">
        <f>IF(A3294="","",VLOOKUP(A3294,'6.A'!$A$11:$G$180,4,FALSE))</f>
        <v/>
      </c>
      <c r="E3294" s="101" t="str">
        <f>IF(A3294="","",VLOOKUP(A3294,'6.A'!$A$11:$G$180,5,FALSE))</f>
        <v/>
      </c>
      <c r="F3294" s="24" t="str">
        <f t="shared" si="1410"/>
        <v>0,00</v>
      </c>
      <c r="G3294" s="382"/>
      <c r="H3294" s="382" t="str">
        <f>IF(A3294="","",VLOOKUP(A3294,'6.A'!$A$11:$E$7984,5,FALSE))</f>
        <v/>
      </c>
      <c r="I3294" s="382" t="str">
        <f t="shared" ref="I3294" si="1413">IF(H3294="","",IF(E3294=H3294,"SIM","NÃO"))</f>
        <v/>
      </c>
      <c r="J3294" s="382" t="str">
        <f>IF(H3294="","",VLOOKUP(A3294,'6.A'!$A$11:$E$564,4,FALSE))</f>
        <v/>
      </c>
      <c r="K3294" s="382" t="str">
        <f t="shared" ref="K3294" si="1414">IF(H3294="","",IF(J3294=D3294,"SIM","NÃO"))</f>
        <v/>
      </c>
      <c r="L3294" s="382" t="str">
        <f>IF(H3294="","",IF(C3294="","",G3288*C3294))</f>
        <v/>
      </c>
      <c r="M3294" s="117" t="str">
        <f>IF(A3294="","",VLOOKUP(A3294,'6.A'!$A$11:$C$564,2,FALSE))</f>
        <v/>
      </c>
      <c r="N3294" s="381" t="str">
        <f t="shared" ref="N3294" si="1415">IF(A3294="","",IF(M3294=B3294,"si","no"))</f>
        <v/>
      </c>
      <c r="O3294" s="56"/>
      <c r="P3294" s="56"/>
      <c r="Q3294" s="48"/>
      <c r="R3294" s="48"/>
      <c r="S3294" s="2"/>
    </row>
    <row r="3295" spans="1:23" ht="12.75" customHeight="1" x14ac:dyDescent="0.2">
      <c r="A3295" s="155"/>
      <c r="B3295" s="138" t="str">
        <f>IF(A3295="","",VLOOKUP(A3295,'6.A'!$A$11:$G$180,2,FALSE))</f>
        <v/>
      </c>
      <c r="C3295" s="156"/>
      <c r="D3295" s="381" t="str">
        <f>IF(A3295="","",VLOOKUP(A3295,'6.A'!$A$11:$G$180,4,FALSE))</f>
        <v/>
      </c>
      <c r="E3295" s="101" t="str">
        <f>IF(A3295="","",VLOOKUP(A3295,'6.A'!$A$11:$G$180,5,FALSE))</f>
        <v/>
      </c>
      <c r="F3295" s="24" t="str">
        <f t="shared" si="1410"/>
        <v>0,00</v>
      </c>
      <c r="G3295" s="382"/>
      <c r="H3295" s="382" t="str">
        <f>IF(A3295="","",VLOOKUP(A3295,'6.A'!$A$11:$E$7984,5,FALSE))</f>
        <v/>
      </c>
      <c r="I3295" s="382" t="str">
        <f>IF(H3295="","",IF(E3295=H3295,"SIM","NÃO"))</f>
        <v/>
      </c>
      <c r="J3295" s="382" t="str">
        <f>IF(H3295="","",VLOOKUP(A3295,'6.A'!$A$11:$E$564,4,FALSE))</f>
        <v/>
      </c>
      <c r="K3295" s="382" t="str">
        <f>IF(H3295="","",IF(J3295=D3295,"SIM","NÃO"))</f>
        <v/>
      </c>
      <c r="L3295" s="382" t="str">
        <f>IF(H3295="","",IF(C3295="","",G3288*C3295))</f>
        <v/>
      </c>
      <c r="M3295" s="117" t="str">
        <f>IF(A3295="","",VLOOKUP(A3295,'6.A'!$A$11:$C$564,2,FALSE))</f>
        <v/>
      </c>
      <c r="N3295" s="381" t="str">
        <f>IF(A3295="","",IF(M3295=B3295,"si","no"))</f>
        <v/>
      </c>
      <c r="O3295" s="56"/>
      <c r="P3295" s="56"/>
      <c r="Q3295" s="48"/>
      <c r="R3295" s="48"/>
      <c r="S3295" s="2"/>
    </row>
    <row r="3296" spans="1:23" ht="12.75" customHeight="1" x14ac:dyDescent="0.2">
      <c r="A3296" s="155"/>
      <c r="B3296" s="138" t="str">
        <f>IF(A3296="","",VLOOKUP(A3296,'6.A'!$A$11:$G$180,2,FALSE))</f>
        <v/>
      </c>
      <c r="C3296" s="156"/>
      <c r="D3296" s="381" t="str">
        <f>IF(A3296="","",VLOOKUP(A3296,'6.A'!$A$11:$G$180,4,FALSE))</f>
        <v/>
      </c>
      <c r="E3296" s="100" t="str">
        <f>IF(A3296="","",VLOOKUP(A3296,'6.A'!$A$11:$G$180,5,FALSE))</f>
        <v/>
      </c>
      <c r="F3296" s="24" t="str">
        <f t="shared" si="1410"/>
        <v>0,00</v>
      </c>
      <c r="G3296" s="382"/>
      <c r="H3296" s="382" t="str">
        <f>IF(A3296="","",VLOOKUP(A3296,'6.A'!$A$11:$E$7984,5,FALSE))</f>
        <v/>
      </c>
      <c r="I3296" s="382" t="str">
        <f>IF(H3296="","",IF(E3296=H3296,"SIM","NÃO"))</f>
        <v/>
      </c>
      <c r="J3296" s="382" t="str">
        <f>IF(H3296="","",VLOOKUP(A3296,'6.A'!$A$11:$E$564,4,FALSE))</f>
        <v/>
      </c>
      <c r="K3296" s="382" t="str">
        <f>IF(H3296="","",IF(J3296=D3296,"SIM","NÃO"))</f>
        <v/>
      </c>
      <c r="L3296" s="382" t="str">
        <f>IF(H3296="","",IF(C3296="","",G3288*C3296))</f>
        <v/>
      </c>
      <c r="M3296" s="117" t="str">
        <f>IF(A3296="","",VLOOKUP(A3296,'6.A'!$A$11:$C$564,2,FALSE))</f>
        <v/>
      </c>
      <c r="N3296" s="381" t="str">
        <f>IF(A3296="","",IF(M3296=B3296,"si","no"))</f>
        <v/>
      </c>
      <c r="O3296" s="56"/>
      <c r="P3296" s="56"/>
      <c r="Q3296" s="48"/>
      <c r="R3296" s="48"/>
      <c r="S3296" s="2"/>
    </row>
    <row r="3297" spans="1:19" ht="12.75" customHeight="1" x14ac:dyDescent="0.2">
      <c r="A3297" s="155"/>
      <c r="B3297" s="138" t="str">
        <f>IF(A3297="","",VLOOKUP(A3297,'6.A'!$A$11:$G$180,2,FALSE))</f>
        <v/>
      </c>
      <c r="C3297" s="156"/>
      <c r="D3297" s="381" t="str">
        <f>IF(A3297="","",VLOOKUP(A3297,'6.A'!$A$11:$G$180,4,FALSE))</f>
        <v/>
      </c>
      <c r="E3297" s="100" t="str">
        <f>IF(A3297="","",VLOOKUP(A3297,'6.A'!$A$11:$G$180,5,FALSE))</f>
        <v/>
      </c>
      <c r="F3297" s="24" t="str">
        <f t="shared" si="1410"/>
        <v>0,00</v>
      </c>
      <c r="G3297" s="382"/>
      <c r="H3297" s="382" t="str">
        <f>IF(A3297="","",VLOOKUP(A3297,'6.A'!$A$11:$E$7984,5,FALSE))</f>
        <v/>
      </c>
      <c r="I3297" s="382" t="str">
        <f t="shared" ref="I3297" si="1416">IF(H3297="","",IF(E3297=H3297,"SIM","NÃO"))</f>
        <v/>
      </c>
      <c r="J3297" s="382" t="str">
        <f>IF(H3297="","",VLOOKUP(A3297,'6.A'!$A$11:$E$564,4,FALSE))</f>
        <v/>
      </c>
      <c r="K3297" s="382" t="str">
        <f t="shared" ref="K3297" si="1417">IF(H3297="","",IF(J3297=D3297,"SIM","NÃO"))</f>
        <v/>
      </c>
      <c r="L3297" s="382" t="str">
        <f>IF(H3297="","",IF(C3297="","",G3288*C3297))</f>
        <v/>
      </c>
      <c r="M3297" s="117" t="str">
        <f>IF(A3297="","",VLOOKUP(A3297,'6.A'!$A$11:$C$564,2,FALSE))</f>
        <v/>
      </c>
      <c r="N3297" s="381" t="str">
        <f t="shared" ref="N3297" si="1418">IF(A3297="","",IF(M3297=B3297,"si","no"))</f>
        <v/>
      </c>
      <c r="O3297" s="56"/>
      <c r="P3297" s="56"/>
      <c r="Q3297" s="48"/>
      <c r="R3297" s="48"/>
      <c r="S3297" s="2"/>
    </row>
    <row r="3298" spans="1:19" ht="12.75" customHeight="1" x14ac:dyDescent="0.2">
      <c r="A3298" s="155"/>
      <c r="B3298" s="138" t="str">
        <f>IF(A3298="","",VLOOKUP(A3298,'6.A'!$A$11:$G$180,2,FALSE))</f>
        <v/>
      </c>
      <c r="C3298" s="156"/>
      <c r="D3298" s="73" t="str">
        <f>IF(A3298="","",VLOOKUP(A3298,'6.A'!$A$11:$G$180,4,FALSE))</f>
        <v/>
      </c>
      <c r="E3298" s="101" t="str">
        <f>IF(A3298="","",VLOOKUP(A3298,'6.A'!$A$11:$G$180,5,FALSE))</f>
        <v/>
      </c>
      <c r="F3298" s="24" t="str">
        <f t="shared" si="1410"/>
        <v>0,00</v>
      </c>
      <c r="G3298" s="382"/>
      <c r="H3298" s="382" t="str">
        <f>IF(A3298="","",VLOOKUP(A3298,'6.A'!$A$11:$E$7984,5,FALSE))</f>
        <v/>
      </c>
      <c r="I3298" s="382" t="str">
        <f>IF(H3298="","",IF(E3298=H3298,"SIM","NÃO"))</f>
        <v/>
      </c>
      <c r="J3298" s="382" t="str">
        <f>IF(H3298="","",VLOOKUP(A3298,'6.A'!$A$11:$E$564,4,FALSE))</f>
        <v/>
      </c>
      <c r="K3298" s="382" t="str">
        <f>IF(H3298="","",IF(J3298=D3298,"SIM","NÃO"))</f>
        <v/>
      </c>
      <c r="L3298" s="382" t="str">
        <f>IF(H3298="","",IF(C3298="","",G3288*C3298))</f>
        <v/>
      </c>
      <c r="M3298" s="117" t="str">
        <f>IF(A3298="","",VLOOKUP(A3298,'6.A'!$A$11:$C$564,2,FALSE))</f>
        <v/>
      </c>
      <c r="N3298" s="381" t="str">
        <f>IF(A3298="","",IF(M3298=B3298,"si","no"))</f>
        <v/>
      </c>
      <c r="O3298" s="56"/>
      <c r="P3298" s="56"/>
      <c r="Q3298" s="48"/>
      <c r="R3298" s="48"/>
      <c r="S3298" s="2"/>
    </row>
    <row r="3299" spans="1:19" ht="12.75" customHeight="1" x14ac:dyDescent="0.2">
      <c r="A3299" s="155"/>
      <c r="B3299" s="138" t="str">
        <f>IF(A3299="","",VLOOKUP(A3299,'6.A'!$A$11:$G$180,2,FALSE))</f>
        <v/>
      </c>
      <c r="C3299" s="156"/>
      <c r="D3299" s="25" t="str">
        <f>IF(A3299="","",VLOOKUP(A3299,'6.A'!$A$11:$G$180,4,FALSE))</f>
        <v/>
      </c>
      <c r="E3299" s="101" t="str">
        <f>IF(A3299="","",VLOOKUP(A3299,'6.A'!$A$11:$G$180,5,FALSE))</f>
        <v/>
      </c>
      <c r="F3299" s="24" t="str">
        <f t="shared" si="1410"/>
        <v>0,00</v>
      </c>
      <c r="G3299" s="382"/>
      <c r="H3299" s="382" t="str">
        <f>IF(A3299="","",VLOOKUP(A3299,'6.A'!$A$11:$E$7984,5,FALSE))</f>
        <v/>
      </c>
      <c r="I3299" s="382" t="str">
        <f t="shared" ref="I3299" si="1419">IF(H3299="","",IF(E3299=H3299,"SIM","NÃO"))</f>
        <v/>
      </c>
      <c r="J3299" s="382" t="str">
        <f>IF(H3299="","",VLOOKUP(A3299,'6.A'!$A$11:$E$564,4,FALSE))</f>
        <v/>
      </c>
      <c r="K3299" s="382" t="str">
        <f t="shared" ref="K3299" si="1420">IF(H3299="","",IF(J3299=D3299,"SIM","NÃO"))</f>
        <v/>
      </c>
      <c r="L3299" s="382" t="str">
        <f>IF(H3299="","",IF(C3299="","",G3288*C3299))</f>
        <v/>
      </c>
      <c r="M3299" s="117" t="str">
        <f>IF(A3299="","",VLOOKUP(A3299,'6.A'!$A$11:$C$564,2,FALSE))</f>
        <v/>
      </c>
      <c r="N3299" s="381" t="str">
        <f t="shared" ref="N3299" si="1421">IF(A3299="","",IF(M3299=B3299,"si","no"))</f>
        <v/>
      </c>
      <c r="O3299" s="56"/>
      <c r="P3299" s="56"/>
      <c r="Q3299" s="48"/>
      <c r="R3299" s="48"/>
      <c r="S3299" s="2"/>
    </row>
    <row r="3300" spans="1:19" ht="12.75" customHeight="1" x14ac:dyDescent="0.2">
      <c r="A3300" s="152"/>
      <c r="B3300" s="26" t="str">
        <f>$A$8</f>
        <v>LEIS SOCIAIS HORISTA - JORNADA NORMAL</v>
      </c>
      <c r="C3300" s="27">
        <f>$C$8</f>
        <v>0</v>
      </c>
      <c r="D3300" s="381"/>
      <c r="F3300" s="28">
        <f>ROUND(SUM(F3290:F3299)*C3300,2)</f>
        <v>0</v>
      </c>
      <c r="G3300" s="63"/>
      <c r="H3300" s="382"/>
      <c r="I3300" s="381"/>
      <c r="J3300" s="381"/>
      <c r="K3300" s="381"/>
      <c r="L3300" s="382"/>
      <c r="M3300" s="62"/>
      <c r="N3300" s="381"/>
      <c r="O3300" s="56"/>
      <c r="P3300" s="56"/>
      <c r="Q3300" s="48"/>
      <c r="R3300" s="48"/>
      <c r="S3300" s="2"/>
    </row>
    <row r="3301" spans="1:19" ht="12.75" customHeight="1" x14ac:dyDescent="0.2">
      <c r="A3301" s="155"/>
      <c r="B3301" s="26" t="str">
        <f>$A$9</f>
        <v>BDI</v>
      </c>
      <c r="C3301" s="27">
        <f>$C$9</f>
        <v>0</v>
      </c>
      <c r="D3301" s="29"/>
      <c r="F3301" s="28">
        <f>ROUND(SUM(F3290:F3300)*C3301,2)</f>
        <v>0</v>
      </c>
      <c r="G3301" s="63"/>
      <c r="H3301" s="382"/>
      <c r="I3301" s="381"/>
      <c r="J3301" s="381"/>
      <c r="K3301" s="381"/>
      <c r="L3301" s="382"/>
      <c r="M3301" s="62"/>
      <c r="N3301" s="381"/>
      <c r="O3301" s="56"/>
      <c r="P3301" s="56"/>
      <c r="Q3301" s="48"/>
      <c r="R3301" s="48"/>
      <c r="S3301" s="2"/>
    </row>
    <row r="3302" spans="1:19" ht="12.75" customHeight="1" x14ac:dyDescent="0.2">
      <c r="A3302" s="163"/>
      <c r="B3302" s="164" t="s">
        <v>56</v>
      </c>
      <c r="C3302" s="165"/>
      <c r="D3302" s="33"/>
      <c r="E3302" s="34"/>
      <c r="F3302" s="35">
        <f>ROUND(SUM(F3290:F3301),2)</f>
        <v>0</v>
      </c>
      <c r="G3302" s="63"/>
      <c r="H3302" s="382"/>
      <c r="I3302" s="381"/>
      <c r="J3302" s="381"/>
      <c r="K3302" s="381"/>
      <c r="L3302" s="382"/>
      <c r="M3302" s="62"/>
      <c r="N3302" s="381"/>
      <c r="O3302" s="56"/>
      <c r="P3302" s="56"/>
      <c r="Q3302" s="48"/>
      <c r="R3302" s="48"/>
      <c r="S3302" s="2"/>
    </row>
    <row r="3303" spans="1:19" ht="12.75" customHeight="1" x14ac:dyDescent="0.2">
      <c r="A3303" s="152" t="s">
        <v>5</v>
      </c>
      <c r="B3303" s="153" t="s">
        <v>130</v>
      </c>
      <c r="C3303" s="140" t="s">
        <v>59</v>
      </c>
      <c r="D3303" s="56" t="s">
        <v>16</v>
      </c>
      <c r="E3303" s="19" t="s">
        <v>60</v>
      </c>
      <c r="F3303" s="20" t="s">
        <v>61</v>
      </c>
      <c r="G3303" s="21"/>
      <c r="H3303" s="382"/>
      <c r="I3303" s="381"/>
      <c r="J3303" s="381"/>
      <c r="K3303" s="381"/>
      <c r="L3303" s="382"/>
      <c r="M3303" s="62"/>
      <c r="N3303" s="381"/>
      <c r="O3303" s="56"/>
      <c r="P3303" s="56"/>
      <c r="Q3303" s="48"/>
      <c r="R3303" s="48"/>
      <c r="S3303" s="2"/>
    </row>
    <row r="3304" spans="1:19" ht="12.75" customHeight="1" x14ac:dyDescent="0.2">
      <c r="A3304" s="155"/>
      <c r="B3304" s="138" t="str">
        <f>IF(A3304="","",VLOOKUP(A3304,'6.A'!$A$11:$G$180,2,FALSE))</f>
        <v/>
      </c>
      <c r="C3304" s="156"/>
      <c r="D3304" s="381" t="str">
        <f>IF(A3304="","",VLOOKUP(A3304,'6.A'!$A$11:$G$180,4,FALSE))</f>
        <v/>
      </c>
      <c r="E3304" s="100" t="str">
        <f>IF(A3304="","",VLOOKUP(A3304,'6.A'!$A$11:$G$180,5,FALSE))</f>
        <v/>
      </c>
      <c r="F3304" s="24" t="str">
        <f t="shared" ref="F3304:F3313" si="1422">IF(A3304="","0,00",ROUND(C3304*E3304,2))</f>
        <v>0,00</v>
      </c>
      <c r="G3304" s="382"/>
      <c r="H3304" s="382" t="str">
        <f>IF(A3304="","",VLOOKUP(A3304,'6.A'!$A$11:$E$7984,5,FALSE))</f>
        <v/>
      </c>
      <c r="I3304" s="382" t="str">
        <f t="shared" ref="I3304:I3313" si="1423">IF(H3304="","",IF(E3304=H3304,"SIM","NÃO"))</f>
        <v/>
      </c>
      <c r="J3304" s="382" t="str">
        <f>IF(H3304="","",VLOOKUP(A3304,'6.A'!$A$11:$E$564,4,FALSE))</f>
        <v/>
      </c>
      <c r="K3304" s="382" t="str">
        <f t="shared" ref="K3304:K3313" si="1424">IF(H3304="","",IF(J3304=D3304,"SIM","NÃO"))</f>
        <v/>
      </c>
      <c r="L3304" s="382" t="str">
        <f>IF(H3304="","",IF(C3304="","",G3288*C3304))</f>
        <v/>
      </c>
      <c r="M3304" s="117" t="str">
        <f>IF(A3304="","",VLOOKUP(A3304,'6.A'!$A$11:$C$564,2,FALSE))</f>
        <v/>
      </c>
      <c r="N3304" s="381" t="str">
        <f t="shared" ref="N3304:N3309" si="1425">IF(A3304="","",IF(M3304=B3304,"si","no"))</f>
        <v/>
      </c>
      <c r="O3304" s="56"/>
      <c r="P3304" s="56"/>
      <c r="Q3304" s="48"/>
      <c r="R3304" s="48"/>
      <c r="S3304" s="2"/>
    </row>
    <row r="3305" spans="1:19" ht="12.75" customHeight="1" x14ac:dyDescent="0.2">
      <c r="A3305" s="155"/>
      <c r="B3305" s="138" t="str">
        <f>IF(A3305="","",VLOOKUP(A3305,'6.A'!$A$11:$G$180,2,FALSE))</f>
        <v/>
      </c>
      <c r="C3305" s="156"/>
      <c r="D3305" s="381" t="str">
        <f>IF(A3305="","",VLOOKUP(A3305,'6.A'!$A$11:$G$180,4,FALSE))</f>
        <v/>
      </c>
      <c r="E3305" s="100" t="str">
        <f>IF(A3305="","",VLOOKUP(A3305,'6.A'!$A$11:$G$180,5,FALSE))</f>
        <v/>
      </c>
      <c r="F3305" s="24" t="str">
        <f t="shared" si="1422"/>
        <v>0,00</v>
      </c>
      <c r="G3305" s="382"/>
      <c r="H3305" s="382" t="str">
        <f>IF(A3305="","",VLOOKUP(A3305,'6.A'!$A$11:$E$7984,5,FALSE))</f>
        <v/>
      </c>
      <c r="I3305" s="382" t="str">
        <f t="shared" si="1423"/>
        <v/>
      </c>
      <c r="J3305" s="382" t="str">
        <f>IF(H3305="","",VLOOKUP(A3305,'6.A'!$A$11:$E$564,4,FALSE))</f>
        <v/>
      </c>
      <c r="K3305" s="382" t="str">
        <f t="shared" si="1424"/>
        <v/>
      </c>
      <c r="L3305" s="382" t="str">
        <f>IF(H3305="","",IF(C3305="","",G3288*C3305))</f>
        <v/>
      </c>
      <c r="M3305" s="117" t="str">
        <f>IF(A3305="","",VLOOKUP(A3305,'6.A'!$A$11:$C$564,2,FALSE))</f>
        <v/>
      </c>
      <c r="N3305" s="381" t="str">
        <f t="shared" si="1425"/>
        <v/>
      </c>
      <c r="O3305" s="56"/>
      <c r="P3305" s="56"/>
      <c r="Q3305" s="48"/>
      <c r="R3305" s="48"/>
      <c r="S3305" s="2"/>
    </row>
    <row r="3306" spans="1:19" ht="12.75" customHeight="1" x14ac:dyDescent="0.2">
      <c r="A3306" s="155"/>
      <c r="B3306" s="138" t="str">
        <f>IF(A3306="","",VLOOKUP(A3306,'6.A'!$A$11:$G$180,2,FALSE))</f>
        <v/>
      </c>
      <c r="C3306" s="156"/>
      <c r="D3306" s="381" t="str">
        <f>IF(A3306="","",VLOOKUP(A3306,'6.A'!$A$11:$G$180,4,FALSE))</f>
        <v/>
      </c>
      <c r="E3306" s="100" t="str">
        <f>IF(A3306="","",VLOOKUP(A3306,'6.A'!$A$11:$G$180,5,FALSE))</f>
        <v/>
      </c>
      <c r="F3306" s="24" t="str">
        <f t="shared" si="1422"/>
        <v>0,00</v>
      </c>
      <c r="G3306" s="382"/>
      <c r="H3306" s="382" t="str">
        <f>IF(A3306="","",VLOOKUP(A3306,'6.A'!$A$11:$E$7984,5,FALSE))</f>
        <v/>
      </c>
      <c r="I3306" s="382" t="str">
        <f t="shared" si="1423"/>
        <v/>
      </c>
      <c r="J3306" s="382" t="str">
        <f>IF(H3306="","",VLOOKUP(A3306,'6.A'!$A$11:$E$564,4,FALSE))</f>
        <v/>
      </c>
      <c r="K3306" s="382" t="str">
        <f t="shared" si="1424"/>
        <v/>
      </c>
      <c r="L3306" s="382" t="str">
        <f>IF(H3306="","",IF(C3306="","",G3288*C3306))</f>
        <v/>
      </c>
      <c r="M3306" s="117" t="str">
        <f>IF(A3306="","",VLOOKUP(A3306,'6.A'!$A$11:$C$564,2,FALSE))</f>
        <v/>
      </c>
      <c r="N3306" s="381" t="str">
        <f t="shared" si="1425"/>
        <v/>
      </c>
      <c r="O3306" s="56"/>
      <c r="P3306" s="56"/>
      <c r="Q3306" s="48"/>
      <c r="R3306" s="48"/>
      <c r="S3306" s="2"/>
    </row>
    <row r="3307" spans="1:19" ht="12.75" customHeight="1" x14ac:dyDescent="0.2">
      <c r="A3307" s="155"/>
      <c r="B3307" s="176" t="str">
        <f>IF(A3307="","",VLOOKUP(A3307,'6.A'!$A$11:$G$180,2,FALSE))</f>
        <v/>
      </c>
      <c r="C3307" s="156"/>
      <c r="D3307" s="381" t="str">
        <f>IF(A3307="","",VLOOKUP(A3307,'6.A'!$A$11:$G$180,4,FALSE))</f>
        <v/>
      </c>
      <c r="E3307" s="100" t="str">
        <f>IF(A3307="","",VLOOKUP(A3307,'6.A'!$A$11:$G$180,5,FALSE))</f>
        <v/>
      </c>
      <c r="F3307" s="24" t="str">
        <f t="shared" si="1422"/>
        <v>0,00</v>
      </c>
      <c r="G3307" s="382"/>
      <c r="H3307" s="382" t="str">
        <f>IF(A3307="","",VLOOKUP(A3307,'6.A'!$A$11:$E$7984,5,FALSE))</f>
        <v/>
      </c>
      <c r="I3307" s="382" t="str">
        <f t="shared" si="1423"/>
        <v/>
      </c>
      <c r="J3307" s="382" t="str">
        <f>IF(H3307="","",VLOOKUP(A3307,'6.A'!$A$11:$E$564,4,FALSE))</f>
        <v/>
      </c>
      <c r="K3307" s="382" t="str">
        <f t="shared" si="1424"/>
        <v/>
      </c>
      <c r="L3307" s="382" t="str">
        <f>IF(H3307="","",IF(C3307="","",G3288*C3307))</f>
        <v/>
      </c>
      <c r="M3307" s="117" t="str">
        <f>IF(A3307="","",VLOOKUP(A3307,'6.A'!$A$11:$C$564,2,FALSE))</f>
        <v/>
      </c>
      <c r="N3307" s="381" t="str">
        <f t="shared" si="1425"/>
        <v/>
      </c>
      <c r="O3307" s="56"/>
      <c r="P3307" s="56"/>
      <c r="Q3307" s="48"/>
      <c r="R3307" s="48"/>
      <c r="S3307" s="2"/>
    </row>
    <row r="3308" spans="1:19" ht="12.75" customHeight="1" x14ac:dyDescent="0.2">
      <c r="A3308" s="155"/>
      <c r="B3308" s="176" t="str">
        <f>IF(A3308="","",VLOOKUP(A3308,'6.A'!$A$11:$G$180,2,FALSE))</f>
        <v/>
      </c>
      <c r="C3308" s="156"/>
      <c r="D3308" s="381" t="str">
        <f>IF(A3308="","",VLOOKUP(A3308,'6.A'!$A$11:$G$180,4,FALSE))</f>
        <v/>
      </c>
      <c r="E3308" s="100" t="str">
        <f>IF(A3308="","",VLOOKUP(A3308,'6.A'!$A$11:$G$180,5,FALSE))</f>
        <v/>
      </c>
      <c r="F3308" s="24" t="str">
        <f t="shared" si="1422"/>
        <v>0,00</v>
      </c>
      <c r="G3308" s="382"/>
      <c r="H3308" s="382" t="str">
        <f>IF(A3308="","",VLOOKUP(A3308,'6.A'!$A$11:$E$7984,5,FALSE))</f>
        <v/>
      </c>
      <c r="I3308" s="382" t="str">
        <f t="shared" si="1423"/>
        <v/>
      </c>
      <c r="J3308" s="382" t="str">
        <f>IF(H3308="","",VLOOKUP(A3308,'6.A'!$A$11:$E$564,4,FALSE))</f>
        <v/>
      </c>
      <c r="K3308" s="382" t="str">
        <f t="shared" si="1424"/>
        <v/>
      </c>
      <c r="L3308" s="382" t="str">
        <f>IF(H3308="","",IF(C3308="","",G3288*C3308))</f>
        <v/>
      </c>
      <c r="M3308" s="117" t="str">
        <f>IF(A3308="","",VLOOKUP(A3308,'6.A'!$A$11:$C$564,2,FALSE))</f>
        <v/>
      </c>
      <c r="N3308" s="381" t="str">
        <f t="shared" si="1425"/>
        <v/>
      </c>
      <c r="O3308" s="56"/>
      <c r="P3308" s="56"/>
      <c r="Q3308" s="48"/>
      <c r="R3308" s="48"/>
      <c r="S3308" s="2"/>
    </row>
    <row r="3309" spans="1:19" ht="12.75" customHeight="1" x14ac:dyDescent="0.2">
      <c r="A3309" s="155"/>
      <c r="B3309" s="176" t="str">
        <f>IF(A3309="","",VLOOKUP(A3309,'6.A'!$A$11:$G$180,2,FALSE))</f>
        <v/>
      </c>
      <c r="C3309" s="156"/>
      <c r="D3309" s="381" t="str">
        <f>IF(A3309="","",VLOOKUP(A3309,'6.A'!$A$11:$G$180,4,FALSE))</f>
        <v/>
      </c>
      <c r="E3309" s="100" t="str">
        <f>IF(A3309="","",VLOOKUP(A3309,'6.A'!$A$11:$G$180,5,FALSE))</f>
        <v/>
      </c>
      <c r="F3309" s="24" t="str">
        <f t="shared" si="1422"/>
        <v>0,00</v>
      </c>
      <c r="G3309" s="382"/>
      <c r="H3309" s="382" t="str">
        <f>IF(A3309="","",VLOOKUP(A3309,'6.A'!$A$11:$E$7984,5,FALSE))</f>
        <v/>
      </c>
      <c r="I3309" s="382" t="str">
        <f t="shared" si="1423"/>
        <v/>
      </c>
      <c r="J3309" s="382" t="str">
        <f>IF(H3309="","",VLOOKUP(A3309,'6.A'!$A$11:$E$564,4,FALSE))</f>
        <v/>
      </c>
      <c r="K3309" s="382" t="str">
        <f t="shared" si="1424"/>
        <v/>
      </c>
      <c r="L3309" s="382" t="str">
        <f>IF(H3309="","",IF(C3309="","",G3288*C3309))</f>
        <v/>
      </c>
      <c r="M3309" s="117" t="str">
        <f>IF(A3309="","",VLOOKUP(A3309,'6.A'!$A$11:$C$564,2,FALSE))</f>
        <v/>
      </c>
      <c r="N3309" s="381" t="str">
        <f t="shared" si="1425"/>
        <v/>
      </c>
      <c r="O3309" s="56"/>
      <c r="P3309" s="56"/>
      <c r="Q3309" s="48"/>
      <c r="R3309" s="48"/>
      <c r="S3309" s="2"/>
    </row>
    <row r="3310" spans="1:19" ht="12.75" customHeight="1" x14ac:dyDescent="0.2">
      <c r="A3310" s="155"/>
      <c r="B3310" s="176" t="str">
        <f>IF(A3310="","",VLOOKUP(A3310,'6.A'!$A$11:$G$180,2,FALSE))</f>
        <v/>
      </c>
      <c r="C3310" s="156"/>
      <c r="D3310" s="381" t="str">
        <f>IF(A3310="","",VLOOKUP(A3310,'6.A'!$A$11:$G$180,4,FALSE))</f>
        <v/>
      </c>
      <c r="E3310" s="100" t="str">
        <f>IF(A3310="","",VLOOKUP(A3310,'6.A'!$A$11:$G$180,5,FALSE))</f>
        <v/>
      </c>
      <c r="F3310" s="24" t="str">
        <f t="shared" si="1422"/>
        <v>0,00</v>
      </c>
      <c r="G3310" s="382"/>
      <c r="H3310" s="382" t="str">
        <f>IF(A3310="","",VLOOKUP(A3310,'6.A'!$A$11:$E$7984,5,FALSE))</f>
        <v/>
      </c>
      <c r="I3310" s="382" t="str">
        <f t="shared" si="1423"/>
        <v/>
      </c>
      <c r="J3310" s="382" t="str">
        <f>IF(H3310="","",VLOOKUP(A3310,'6.A'!$A$11:$E$564,4,FALSE))</f>
        <v/>
      </c>
      <c r="K3310" s="382" t="str">
        <f t="shared" si="1424"/>
        <v/>
      </c>
      <c r="L3310" s="382" t="str">
        <f>IF(H3310="","",IF(C3310="","",G3288*C3310))</f>
        <v/>
      </c>
      <c r="M3310" s="117" t="str">
        <f>IF(A3310="","",VLOOKUP(A3310,'6.A'!$A$11:$C$564,2,FALSE))</f>
        <v/>
      </c>
      <c r="N3310" s="381" t="str">
        <f>IF(A3310="","",IF(M3310=B3310,"si","no"))</f>
        <v/>
      </c>
      <c r="O3310" s="56"/>
      <c r="P3310" s="56"/>
      <c r="Q3310" s="48"/>
      <c r="R3310" s="48"/>
      <c r="S3310" s="2"/>
    </row>
    <row r="3311" spans="1:19" ht="12.75" customHeight="1" x14ac:dyDescent="0.2">
      <c r="A3311" s="155"/>
      <c r="B3311" s="138" t="str">
        <f>IF(A3311="","",VLOOKUP(A3311,'6.A'!$A$11:$G$180,2,FALSE))</f>
        <v/>
      </c>
      <c r="C3311" s="156"/>
      <c r="D3311" s="381" t="str">
        <f>IF(A3311="","",VLOOKUP(A3311,'6.A'!$A$11:$G$180,4,FALSE))</f>
        <v/>
      </c>
      <c r="E3311" s="100" t="str">
        <f>IF(A3311="","",VLOOKUP(A3311,'6.A'!$A$11:$G$180,5,FALSE))</f>
        <v/>
      </c>
      <c r="F3311" s="24" t="str">
        <f t="shared" si="1422"/>
        <v>0,00</v>
      </c>
      <c r="G3311" s="382"/>
      <c r="H3311" s="382" t="str">
        <f>IF(A3311="","",VLOOKUP(A3311,'6.A'!$A$11:$E$7984,5,FALSE))</f>
        <v/>
      </c>
      <c r="I3311" s="382" t="str">
        <f t="shared" si="1423"/>
        <v/>
      </c>
      <c r="J3311" s="382" t="str">
        <f>IF(H3311="","",VLOOKUP(A3311,'6.A'!$A$11:$E$564,4,FALSE))</f>
        <v/>
      </c>
      <c r="K3311" s="382" t="str">
        <f t="shared" si="1424"/>
        <v/>
      </c>
      <c r="L3311" s="382" t="str">
        <f>IF(H3311="","",IF(C3311="","",G3288*C3311))</f>
        <v/>
      </c>
      <c r="M3311" s="117" t="str">
        <f>IF(A3311="","",VLOOKUP(A3311,'6.A'!$A$11:$C$564,2,FALSE))</f>
        <v/>
      </c>
      <c r="N3311" s="381" t="str">
        <f>IF(A3311="","",IF(M3311=B3311,"si","no"))</f>
        <v/>
      </c>
      <c r="O3311" s="56"/>
      <c r="P3311" s="56"/>
      <c r="Q3311" s="48"/>
      <c r="R3311" s="48"/>
      <c r="S3311" s="2"/>
    </row>
    <row r="3312" spans="1:19" ht="12.75" customHeight="1" x14ac:dyDescent="0.2">
      <c r="A3312" s="155"/>
      <c r="B3312" s="138" t="str">
        <f>IF(A3312="","",VLOOKUP(A3312,'6.A'!$A$11:$G$180,2,FALSE))</f>
        <v/>
      </c>
      <c r="C3312" s="156"/>
      <c r="D3312" s="381" t="str">
        <f>IF(A3312="","",VLOOKUP(A3312,'6.A'!$A$11:$G$180,4,FALSE))</f>
        <v/>
      </c>
      <c r="E3312" s="100" t="str">
        <f>IF(A3312="","",VLOOKUP(A3312,'6.A'!$A$11:$G$180,5,FALSE))</f>
        <v/>
      </c>
      <c r="F3312" s="24" t="str">
        <f t="shared" si="1422"/>
        <v>0,00</v>
      </c>
      <c r="G3312" s="382"/>
      <c r="H3312" s="382" t="str">
        <f>IF(A3312="","",VLOOKUP(A3312,'6.A'!$A$11:$E$7984,5,FALSE))</f>
        <v/>
      </c>
      <c r="I3312" s="382" t="str">
        <f t="shared" si="1423"/>
        <v/>
      </c>
      <c r="J3312" s="382" t="str">
        <f>IF(H3312="","",VLOOKUP(A3312,'6.A'!$A$11:$E$564,4,FALSE))</f>
        <v/>
      </c>
      <c r="K3312" s="382" t="str">
        <f t="shared" si="1424"/>
        <v/>
      </c>
      <c r="L3312" s="382" t="str">
        <f>IF(H3312="","",IF(C3312="","",G3288*C3312))</f>
        <v/>
      </c>
      <c r="M3312" s="117" t="str">
        <f>IF(A3312="","",VLOOKUP(A3312,'6.A'!$A$11:$C$564,2,FALSE))</f>
        <v/>
      </c>
      <c r="N3312" s="381" t="str">
        <f t="shared" ref="N3312:N3313" si="1426">IF(A3312="","",IF(M3312=B3312,"si","no"))</f>
        <v/>
      </c>
      <c r="O3312" s="56"/>
      <c r="P3312" s="56"/>
      <c r="Q3312" s="48"/>
      <c r="R3312" s="48"/>
      <c r="S3312" s="2"/>
    </row>
    <row r="3313" spans="1:22" ht="12.75" customHeight="1" x14ac:dyDescent="0.2">
      <c r="A3313" s="155"/>
      <c r="B3313" s="138" t="str">
        <f>IF(A3313="","",VLOOKUP(A3313,'6.A'!$A$11:$G$180,2,FALSE))</f>
        <v/>
      </c>
      <c r="C3313" s="156"/>
      <c r="D3313" s="381" t="str">
        <f>IF(A3313="","",VLOOKUP(A3313,'6.A'!$A$11:$G$180,4,FALSE))</f>
        <v/>
      </c>
      <c r="E3313" s="100" t="str">
        <f>IF(A3313="","",VLOOKUP(A3313,'6.A'!$A$11:$G$180,5,FALSE))</f>
        <v/>
      </c>
      <c r="F3313" s="24" t="str">
        <f t="shared" si="1422"/>
        <v>0,00</v>
      </c>
      <c r="G3313" s="382"/>
      <c r="H3313" s="382" t="str">
        <f>IF(A3313="","",VLOOKUP(A3313,'6.A'!$A$11:$E$7984,5,FALSE))</f>
        <v/>
      </c>
      <c r="I3313" s="382" t="str">
        <f t="shared" si="1423"/>
        <v/>
      </c>
      <c r="J3313" s="382" t="str">
        <f>IF(H3313="","",VLOOKUP(A3313,'6.A'!$A$11:$E$564,4,FALSE))</f>
        <v/>
      </c>
      <c r="K3313" s="382" t="str">
        <f t="shared" si="1424"/>
        <v/>
      </c>
      <c r="L3313" s="382" t="str">
        <f>IF(H3313="","",IF(C3313="","",G3288*C3313))</f>
        <v/>
      </c>
      <c r="M3313" s="117" t="str">
        <f>IF(A3313="","",VLOOKUP(A3313,'6.A'!$A$11:$C$564,2,FALSE))</f>
        <v/>
      </c>
      <c r="N3313" s="381" t="str">
        <f t="shared" si="1426"/>
        <v/>
      </c>
      <c r="O3313" s="56"/>
      <c r="P3313" s="56"/>
      <c r="Q3313" s="48"/>
      <c r="R3313" s="48"/>
      <c r="S3313" s="2"/>
    </row>
    <row r="3314" spans="1:22" ht="12.75" customHeight="1" x14ac:dyDescent="0.2">
      <c r="A3314" s="155"/>
      <c r="B3314" s="26" t="str">
        <f>$A$9</f>
        <v>BDI</v>
      </c>
      <c r="C3314" s="27">
        <f>$C$9</f>
        <v>0</v>
      </c>
      <c r="D3314" s="381"/>
      <c r="F3314" s="28">
        <f>ROUND(SUM(F3304:F3313)*C3314,2)</f>
        <v>0</v>
      </c>
      <c r="G3314" s="63"/>
      <c r="H3314" s="382"/>
      <c r="I3314" s="381"/>
      <c r="J3314" s="381"/>
      <c r="K3314" s="381"/>
      <c r="L3314" s="382"/>
      <c r="M3314" s="62"/>
      <c r="N3314" s="381"/>
      <c r="O3314" s="56"/>
      <c r="P3314" s="56"/>
      <c r="Q3314" s="48"/>
      <c r="R3314" s="48"/>
      <c r="S3314" s="2"/>
    </row>
    <row r="3315" spans="1:22" ht="12.75" customHeight="1" x14ac:dyDescent="0.2">
      <c r="A3315" s="163"/>
      <c r="B3315" s="31" t="s">
        <v>117</v>
      </c>
      <c r="C3315" s="36"/>
      <c r="D3315" s="37"/>
      <c r="E3315" s="38"/>
      <c r="F3315" s="35">
        <f>ROUND(SUM(F3304:F3314),2)</f>
        <v>0</v>
      </c>
      <c r="G3315" s="63"/>
      <c r="H3315" s="382"/>
      <c r="I3315" s="381"/>
      <c r="J3315" s="381"/>
      <c r="K3315" s="381"/>
      <c r="L3315" s="382"/>
      <c r="M3315" s="62"/>
      <c r="N3315" s="381"/>
      <c r="O3315" s="56"/>
      <c r="P3315" s="56"/>
      <c r="Q3315" s="48"/>
      <c r="R3315" s="48"/>
      <c r="S3315" s="2"/>
    </row>
    <row r="3316" spans="1:22" ht="12.75" customHeight="1" x14ac:dyDescent="0.2">
      <c r="A3316" s="152" t="s">
        <v>6</v>
      </c>
      <c r="B3316" s="153" t="s">
        <v>17</v>
      </c>
      <c r="C3316" s="140" t="s">
        <v>59</v>
      </c>
      <c r="D3316" s="56" t="s">
        <v>16</v>
      </c>
      <c r="E3316" s="19" t="s">
        <v>60</v>
      </c>
      <c r="F3316" s="20" t="s">
        <v>61</v>
      </c>
      <c r="G3316" s="21"/>
      <c r="H3316" s="382"/>
      <c r="I3316" s="381"/>
      <c r="J3316" s="381"/>
      <c r="K3316" s="381"/>
      <c r="L3316" s="382"/>
      <c r="M3316" s="62"/>
      <c r="N3316" s="381"/>
      <c r="O3316" s="56"/>
      <c r="P3316" s="56"/>
      <c r="Q3316" s="48"/>
      <c r="R3316" s="48"/>
      <c r="S3316" s="2"/>
    </row>
    <row r="3317" spans="1:22" ht="12.75" customHeight="1" x14ac:dyDescent="0.2">
      <c r="A3317" s="155">
        <f>'6.A'!$A$175</f>
        <v>54487</v>
      </c>
      <c r="B3317" s="138" t="str">
        <f>IF(A3317="","",VLOOKUP(A3317,'6.A'!$A$11:$G$180,2,FALSE))</f>
        <v>DISJUNTOR CX. MOLD. TRIP. C/ DISPARADOR TÉRMICO AJUSTÁVEL E MAGNÉTICO FIXO - 150A</v>
      </c>
      <c r="C3317" s="156">
        <v>1</v>
      </c>
      <c r="D3317" s="381" t="str">
        <f>IF(A3317="","",VLOOKUP(A3317,'6.A'!$A$11:$G$180,4,FALSE))</f>
        <v>UN</v>
      </c>
      <c r="E3317" s="100">
        <f>IF(A3317="","",VLOOKUP(A3317,'6.A'!$A$11:$G$180,5,FALSE))</f>
        <v>0</v>
      </c>
      <c r="F3317" s="24">
        <f t="shared" ref="F3317:F3336" si="1427">IF(A3317="","0,00",ROUND(C3317*E3317,2))</f>
        <v>0</v>
      </c>
      <c r="G3317" s="382"/>
      <c r="H3317" s="382">
        <f>IF(A3317="","",VLOOKUP(A3317,'6.A'!$A$11:$E$7984,5,FALSE))</f>
        <v>0</v>
      </c>
      <c r="I3317" s="382" t="str">
        <f t="shared" ref="I3317:I3336" si="1428">IF(H3317="","",IF(E3317=H3317,"SIM","NÃO"))</f>
        <v>SIM</v>
      </c>
      <c r="J3317" s="382" t="str">
        <f>IF(H3317="","",VLOOKUP(A3317,'6.A'!$A$11:$E$564,4,FALSE))</f>
        <v>UN</v>
      </c>
      <c r="K3317" s="382" t="str">
        <f t="shared" ref="K3317:K3336" si="1429">IF(H3317="","",IF(J3317=D3317,"SIM","NÃO"))</f>
        <v>SIM</v>
      </c>
      <c r="L3317" s="382">
        <f>IF(H3317="","",IF(C3317="","",G3288*C3317))</f>
        <v>1</v>
      </c>
      <c r="M3317" s="117" t="str">
        <f>IF(A3317="","",VLOOKUP(A3317,'6.A'!$A$11:$C$564,2,FALSE))</f>
        <v>DISJUNTOR CX. MOLD. TRIP. C/ DISPARADOR TÉRMICO AJUSTÁVEL E MAGNÉTICO FIXO - 150A</v>
      </c>
      <c r="N3317" s="381" t="str">
        <f t="shared" ref="N3317:N3336" si="1430">IF(A3317="","",IF(M3317=B3317,"si","no"))</f>
        <v>si</v>
      </c>
      <c r="O3317" s="56"/>
      <c r="P3317" s="56"/>
      <c r="Q3317" s="48"/>
      <c r="R3317" s="48"/>
      <c r="S3317" s="2"/>
    </row>
    <row r="3318" spans="1:22" ht="12.75" customHeight="1" x14ac:dyDescent="0.2">
      <c r="A3318" s="155"/>
      <c r="B3318" s="138" t="str">
        <f>IF(A3318="","",VLOOKUP(A3318,'6.A'!$A$11:$G$180,2,FALSE))</f>
        <v/>
      </c>
      <c r="C3318" s="156"/>
      <c r="D3318" s="381" t="str">
        <f>IF(A3318="","",VLOOKUP(A3318,'6.A'!$A$11:$G$180,4,FALSE))</f>
        <v/>
      </c>
      <c r="E3318" s="100" t="str">
        <f>IF(A3318="","",VLOOKUP(A3318,'6.A'!$A$11:$G$180,5,FALSE))</f>
        <v/>
      </c>
      <c r="F3318" s="24" t="str">
        <f t="shared" si="1427"/>
        <v>0,00</v>
      </c>
      <c r="G3318" s="382"/>
      <c r="H3318" s="382" t="str">
        <f>IF(A3318="","",VLOOKUP(A3318,'6.A'!$A$11:$E$7984,5,FALSE))</f>
        <v/>
      </c>
      <c r="I3318" s="382" t="str">
        <f t="shared" si="1428"/>
        <v/>
      </c>
      <c r="J3318" s="382" t="str">
        <f>IF(H3318="","",VLOOKUP(A3318,'6.A'!$A$11:$E$564,4,FALSE))</f>
        <v/>
      </c>
      <c r="K3318" s="382" t="str">
        <f t="shared" si="1429"/>
        <v/>
      </c>
      <c r="L3318" s="382" t="str">
        <f>IF(H3318="","",IF(C3318="","",G3288*C3318))</f>
        <v/>
      </c>
      <c r="M3318" s="117" t="str">
        <f>IF(A3318="","",VLOOKUP(A3318,'6.A'!$A$11:$C$564,2,FALSE))</f>
        <v/>
      </c>
      <c r="N3318" s="381" t="str">
        <f t="shared" si="1430"/>
        <v/>
      </c>
      <c r="O3318" s="56"/>
      <c r="P3318" s="56"/>
      <c r="Q3318" s="48"/>
      <c r="R3318" s="48"/>
      <c r="S3318" s="2"/>
    </row>
    <row r="3319" spans="1:22" ht="12.75" customHeight="1" x14ac:dyDescent="0.2">
      <c r="A3319" s="155"/>
      <c r="B3319" s="138" t="str">
        <f>IF(A3319="","",VLOOKUP(A3319,'6.A'!$A$11:$G$180,2,FALSE))</f>
        <v/>
      </c>
      <c r="C3319" s="156"/>
      <c r="D3319" s="381" t="str">
        <f>IF(A3319="","",VLOOKUP(A3319,'6.A'!$A$11:$G$180,4,FALSE))</f>
        <v/>
      </c>
      <c r="E3319" s="100" t="str">
        <f>IF(A3319="","",VLOOKUP(A3319,'6.A'!$A$11:$G$180,5,FALSE))</f>
        <v/>
      </c>
      <c r="F3319" s="24" t="str">
        <f t="shared" si="1427"/>
        <v>0,00</v>
      </c>
      <c r="G3319" s="382"/>
      <c r="H3319" s="382" t="str">
        <f>IF(A3319="","",VLOOKUP(A3319,'6.A'!$A$11:$E$7984,5,FALSE))</f>
        <v/>
      </c>
      <c r="I3319" s="382" t="str">
        <f t="shared" si="1428"/>
        <v/>
      </c>
      <c r="J3319" s="382" t="str">
        <f>IF(H3319="","",VLOOKUP(A3319,'6.A'!$A$11:$E$564,4,FALSE))</f>
        <v/>
      </c>
      <c r="K3319" s="382" t="str">
        <f t="shared" si="1429"/>
        <v/>
      </c>
      <c r="L3319" s="382" t="str">
        <f>IF(H3319="","",IF(C3319="","",G3288*C3319))</f>
        <v/>
      </c>
      <c r="M3319" s="117" t="str">
        <f>IF(A3319="","",VLOOKUP(A3319,'6.A'!$A$11:$C$564,2,FALSE))</f>
        <v/>
      </c>
      <c r="N3319" s="381" t="str">
        <f t="shared" si="1430"/>
        <v/>
      </c>
      <c r="O3319" s="56"/>
      <c r="P3319" s="56"/>
      <c r="Q3319" s="48"/>
      <c r="R3319" s="48"/>
      <c r="S3319" s="2"/>
    </row>
    <row r="3320" spans="1:22" ht="12.75" customHeight="1" x14ac:dyDescent="0.2">
      <c r="A3320" s="155"/>
      <c r="B3320" s="138" t="str">
        <f>IF(A3320="","",VLOOKUP(A3320,'6.A'!$A$11:$G$180,2,FALSE))</f>
        <v/>
      </c>
      <c r="C3320" s="156"/>
      <c r="D3320" s="381" t="str">
        <f>IF(A3320="","",VLOOKUP(A3320,'6.A'!$A$11:$G$180,4,FALSE))</f>
        <v/>
      </c>
      <c r="E3320" s="100" t="str">
        <f>IF(A3320="","",VLOOKUP(A3320,'6.A'!$A$11:$G$180,5,FALSE))</f>
        <v/>
      </c>
      <c r="F3320" s="24" t="str">
        <f t="shared" si="1427"/>
        <v>0,00</v>
      </c>
      <c r="G3320" s="382"/>
      <c r="H3320" s="382" t="str">
        <f>IF(A3320="","",VLOOKUP(A3320,'6.A'!$A$11:$E$7984,5,FALSE))</f>
        <v/>
      </c>
      <c r="I3320" s="382" t="str">
        <f t="shared" si="1428"/>
        <v/>
      </c>
      <c r="J3320" s="382" t="str">
        <f>IF(H3320="","",VLOOKUP(A3320,'6.A'!$A$11:$E$564,4,FALSE))</f>
        <v/>
      </c>
      <c r="K3320" s="382" t="str">
        <f t="shared" si="1429"/>
        <v/>
      </c>
      <c r="L3320" s="382" t="str">
        <f>IF(H3320="","",IF(C3320="","",G3288*C3320))</f>
        <v/>
      </c>
      <c r="M3320" s="117" t="str">
        <f>IF(A3320="","",VLOOKUP(A3320,'6.A'!$A$11:$C$564,2,FALSE))</f>
        <v/>
      </c>
      <c r="N3320" s="381" t="str">
        <f t="shared" si="1430"/>
        <v/>
      </c>
      <c r="O3320" s="56"/>
      <c r="P3320" s="56"/>
      <c r="Q3320" s="48"/>
      <c r="R3320" s="48"/>
      <c r="S3320" s="2"/>
    </row>
    <row r="3321" spans="1:22" ht="12.75" customHeight="1" x14ac:dyDescent="0.2">
      <c r="A3321" s="155"/>
      <c r="B3321" s="138" t="str">
        <f>IF(A3321="","",VLOOKUP(A3321,'6.A'!$A$11:$G$180,2,FALSE))</f>
        <v/>
      </c>
      <c r="C3321" s="156"/>
      <c r="D3321" s="381" t="str">
        <f>IF(A3321="","",VLOOKUP(A3321,'6.A'!$A$11:$G$180,4,FALSE))</f>
        <v/>
      </c>
      <c r="E3321" s="100" t="str">
        <f>IF(A3321="","",VLOOKUP(A3321,'6.A'!$A$11:$G$180,5,FALSE))</f>
        <v/>
      </c>
      <c r="F3321" s="24" t="str">
        <f t="shared" si="1427"/>
        <v>0,00</v>
      </c>
      <c r="G3321" s="382"/>
      <c r="H3321" s="382" t="str">
        <f>IF(A3321="","",VLOOKUP(A3321,'6.A'!$A$11:$E$7984,5,FALSE))</f>
        <v/>
      </c>
      <c r="I3321" s="382" t="str">
        <f t="shared" si="1428"/>
        <v/>
      </c>
      <c r="J3321" s="382" t="str">
        <f>IF(H3321="","",VLOOKUP(A3321,'6.A'!$A$11:$E$564,4,FALSE))</f>
        <v/>
      </c>
      <c r="K3321" s="382" t="str">
        <f t="shared" si="1429"/>
        <v/>
      </c>
      <c r="L3321" s="382" t="str">
        <f>IF(H3321="","",IF(C3321="","",G3288*C3321))</f>
        <v/>
      </c>
      <c r="M3321" s="117" t="str">
        <f>IF(A3321="","",VLOOKUP(A3321,'6.A'!$A$11:$C$564,2,FALSE))</f>
        <v/>
      </c>
      <c r="N3321" s="381" t="str">
        <f t="shared" si="1430"/>
        <v/>
      </c>
      <c r="O3321" s="56"/>
      <c r="P3321" s="56"/>
      <c r="Q3321" s="48"/>
      <c r="R3321" s="48"/>
      <c r="S3321" s="2"/>
    </row>
    <row r="3322" spans="1:22" ht="12.75" customHeight="1" x14ac:dyDescent="0.2">
      <c r="A3322" s="155"/>
      <c r="B3322" s="138" t="str">
        <f>IF(A3322="","",VLOOKUP(A3322,'6.A'!$A$11:$G$180,2,FALSE))</f>
        <v/>
      </c>
      <c r="C3322" s="156"/>
      <c r="D3322" s="381" t="str">
        <f>IF(A3322="","",VLOOKUP(A3322,'6.A'!$A$11:$G$180,4,FALSE))</f>
        <v/>
      </c>
      <c r="E3322" s="100" t="str">
        <f>IF(A3322="","",VLOOKUP(A3322,'6.A'!$A$11:$G$180,5,FALSE))</f>
        <v/>
      </c>
      <c r="F3322" s="24" t="str">
        <f t="shared" si="1427"/>
        <v>0,00</v>
      </c>
      <c r="G3322" s="382"/>
      <c r="H3322" s="382" t="str">
        <f>IF(A3322="","",VLOOKUP(A3322,'6.A'!$A$11:$E$7984,5,FALSE))</f>
        <v/>
      </c>
      <c r="I3322" s="382" t="str">
        <f t="shared" si="1428"/>
        <v/>
      </c>
      <c r="J3322" s="382" t="str">
        <f>IF(H3322="","",VLOOKUP(A3322,'6.A'!$A$11:$E$564,4,FALSE))</f>
        <v/>
      </c>
      <c r="K3322" s="382" t="str">
        <f t="shared" si="1429"/>
        <v/>
      </c>
      <c r="L3322" s="382" t="str">
        <f>IF(H3322="","",IF(C3322="","",G3288*C3322))</f>
        <v/>
      </c>
      <c r="M3322" s="117" t="str">
        <f>IF(A3322="","",VLOOKUP(A3322,'6.A'!$A$11:$C$564,2,FALSE))</f>
        <v/>
      </c>
      <c r="N3322" s="381" t="str">
        <f t="shared" si="1430"/>
        <v/>
      </c>
      <c r="O3322" s="56"/>
      <c r="P3322" s="56"/>
      <c r="Q3322" s="48"/>
      <c r="R3322" s="48"/>
      <c r="S3322" s="2"/>
    </row>
    <row r="3323" spans="1:22" ht="12.75" customHeight="1" x14ac:dyDescent="0.2">
      <c r="A3323" s="155"/>
      <c r="B3323" s="138" t="str">
        <f>IF(A3323="","",VLOOKUP(A3323,'6.A'!$A$11:$G$180,2,FALSE))</f>
        <v/>
      </c>
      <c r="C3323" s="156"/>
      <c r="D3323" s="381" t="str">
        <f>IF(A3323="","",VLOOKUP(A3323,'6.A'!$A$11:$G$180,4,FALSE))</f>
        <v/>
      </c>
      <c r="E3323" s="100" t="str">
        <f>IF(A3323="","",VLOOKUP(A3323,'6.A'!$A$11:$G$180,5,FALSE))</f>
        <v/>
      </c>
      <c r="F3323" s="24" t="str">
        <f t="shared" si="1427"/>
        <v>0,00</v>
      </c>
      <c r="G3323" s="382"/>
      <c r="H3323" s="382" t="str">
        <f>IF(A3323="","",VLOOKUP(A3323,'6.A'!$A$11:$E$7984,5,FALSE))</f>
        <v/>
      </c>
      <c r="I3323" s="382" t="str">
        <f t="shared" si="1428"/>
        <v/>
      </c>
      <c r="J3323" s="382" t="str">
        <f>IF(H3323="","",VLOOKUP(A3323,'6.A'!$A$11:$E$564,4,FALSE))</f>
        <v/>
      </c>
      <c r="K3323" s="382" t="str">
        <f t="shared" si="1429"/>
        <v/>
      </c>
      <c r="L3323" s="382" t="str">
        <f>IF(H3323="","",IF(C3323="","",G3288*C3323))</f>
        <v/>
      </c>
      <c r="M3323" s="117" t="str">
        <f>IF(A3323="","",VLOOKUP(A3323,'6.A'!$A$11:$C$564,2,FALSE))</f>
        <v/>
      </c>
      <c r="N3323" s="381" t="str">
        <f t="shared" si="1430"/>
        <v/>
      </c>
      <c r="O3323" s="56"/>
      <c r="P3323" s="56"/>
      <c r="Q3323" s="48"/>
      <c r="R3323" s="48"/>
      <c r="S3323" s="2"/>
    </row>
    <row r="3324" spans="1:22" s="65" customFormat="1" ht="12.75" customHeight="1" x14ac:dyDescent="0.2">
      <c r="A3324" s="155"/>
      <c r="B3324" s="138" t="str">
        <f>IF(A3324="","",VLOOKUP(A3324,'6.A'!$A$11:$G$180,2,FALSE))</f>
        <v/>
      </c>
      <c r="C3324" s="156"/>
      <c r="D3324" s="381" t="str">
        <f>IF(A3324="","",VLOOKUP(A3324,'6.A'!$A$11:$G$180,4,FALSE))</f>
        <v/>
      </c>
      <c r="E3324" s="100" t="str">
        <f>IF(A3324="","",VLOOKUP(A3324,'6.A'!$A$11:$G$180,5,FALSE))</f>
        <v/>
      </c>
      <c r="F3324" s="24" t="str">
        <f t="shared" si="1427"/>
        <v>0,00</v>
      </c>
      <c r="G3324" s="382"/>
      <c r="H3324" s="382" t="str">
        <f>IF(A3324="","",VLOOKUP(A3324,'6.A'!$A$11:$E$7984,5,FALSE))</f>
        <v/>
      </c>
      <c r="I3324" s="382" t="str">
        <f t="shared" si="1428"/>
        <v/>
      </c>
      <c r="J3324" s="382" t="str">
        <f>IF(H3324="","",VLOOKUP(A3324,'6.A'!$A$11:$E$564,4,FALSE))</f>
        <v/>
      </c>
      <c r="K3324" s="382" t="str">
        <f t="shared" si="1429"/>
        <v/>
      </c>
      <c r="L3324" s="382" t="str">
        <f>IF(H3324="","",IF(C3324="","",G3288*C3324))</f>
        <v/>
      </c>
      <c r="M3324" s="117" t="str">
        <f>IF(A3324="","",VLOOKUP(A3324,'6.A'!$A$11:$C$564,2,FALSE))</f>
        <v/>
      </c>
      <c r="N3324" s="381" t="str">
        <f t="shared" si="1430"/>
        <v/>
      </c>
      <c r="O3324" s="56"/>
      <c r="P3324" s="56"/>
      <c r="Q3324" s="48"/>
      <c r="R3324" s="48"/>
      <c r="T3324" s="2"/>
      <c r="U3324" s="2"/>
      <c r="V3324" s="2"/>
    </row>
    <row r="3325" spans="1:22" s="65" customFormat="1" ht="12.75" customHeight="1" x14ac:dyDescent="0.2">
      <c r="A3325" s="155"/>
      <c r="B3325" s="138" t="str">
        <f>IF(A3325="","",VLOOKUP(A3325,'6.A'!$A$11:$G$180,2,FALSE))</f>
        <v/>
      </c>
      <c r="C3325" s="156"/>
      <c r="D3325" s="381" t="str">
        <f>IF(A3325="","",VLOOKUP(A3325,'6.A'!$A$11:$G$180,4,FALSE))</f>
        <v/>
      </c>
      <c r="E3325" s="100" t="str">
        <f>IF(A3325="","",VLOOKUP(A3325,'6.A'!$A$11:$G$180,5,FALSE))</f>
        <v/>
      </c>
      <c r="F3325" s="24" t="str">
        <f t="shared" si="1427"/>
        <v>0,00</v>
      </c>
      <c r="G3325" s="382"/>
      <c r="H3325" s="382" t="str">
        <f>IF(A3325="","",VLOOKUP(A3325,'6.A'!$A$11:$E$7984,5,FALSE))</f>
        <v/>
      </c>
      <c r="I3325" s="382" t="str">
        <f t="shared" si="1428"/>
        <v/>
      </c>
      <c r="J3325" s="382" t="str">
        <f>IF(H3325="","",VLOOKUP(A3325,'6.A'!$A$11:$E$564,4,FALSE))</f>
        <v/>
      </c>
      <c r="K3325" s="382" t="str">
        <f t="shared" si="1429"/>
        <v/>
      </c>
      <c r="L3325" s="382" t="str">
        <f>IF(H3325="","",IF(C3325="","",G3288*C3325))</f>
        <v/>
      </c>
      <c r="M3325" s="117" t="str">
        <f>IF(A3325="","",VLOOKUP(A3325,'6.A'!$A$11:$C$564,2,FALSE))</f>
        <v/>
      </c>
      <c r="N3325" s="381" t="str">
        <f t="shared" si="1430"/>
        <v/>
      </c>
      <c r="O3325" s="56"/>
      <c r="P3325" s="56"/>
      <c r="Q3325" s="48"/>
      <c r="R3325" s="48"/>
      <c r="T3325" s="2"/>
      <c r="U3325" s="2"/>
      <c r="V3325" s="2"/>
    </row>
    <row r="3326" spans="1:22" s="65" customFormat="1" ht="12.75" customHeight="1" x14ac:dyDescent="0.2">
      <c r="A3326" s="155"/>
      <c r="B3326" s="138" t="str">
        <f>IF(A3326="","",VLOOKUP(A3326,'6.A'!$A$11:$G$180,2,FALSE))</f>
        <v/>
      </c>
      <c r="C3326" s="156"/>
      <c r="D3326" s="381" t="str">
        <f>IF(A3326="","",VLOOKUP(A3326,'6.A'!$A$11:$G$180,4,FALSE))</f>
        <v/>
      </c>
      <c r="E3326" s="100" t="str">
        <f>IF(A3326="","",VLOOKUP(A3326,'6.A'!$A$11:$G$180,5,FALSE))</f>
        <v/>
      </c>
      <c r="F3326" s="24" t="str">
        <f t="shared" si="1427"/>
        <v>0,00</v>
      </c>
      <c r="G3326" s="382"/>
      <c r="H3326" s="382" t="str">
        <f>IF(A3326="","",VLOOKUP(A3326,'6.A'!$A$11:$E$7984,5,FALSE))</f>
        <v/>
      </c>
      <c r="I3326" s="382" t="str">
        <f t="shared" si="1428"/>
        <v/>
      </c>
      <c r="J3326" s="382" t="str">
        <f>IF(H3326="","",VLOOKUP(A3326,'6.A'!$A$11:$E$564,4,FALSE))</f>
        <v/>
      </c>
      <c r="K3326" s="382" t="str">
        <f t="shared" si="1429"/>
        <v/>
      </c>
      <c r="L3326" s="382" t="str">
        <f>IF(H3326="","",IF(C3326="","",G3288*C3326))</f>
        <v/>
      </c>
      <c r="M3326" s="117" t="str">
        <f>IF(A3326="","",VLOOKUP(A3326,'6.A'!$A$11:$C$564,2,FALSE))</f>
        <v/>
      </c>
      <c r="N3326" s="381" t="str">
        <f t="shared" si="1430"/>
        <v/>
      </c>
      <c r="O3326" s="56"/>
      <c r="P3326" s="56"/>
      <c r="Q3326" s="48"/>
      <c r="R3326" s="48"/>
      <c r="T3326" s="2"/>
      <c r="U3326" s="2"/>
      <c r="V3326" s="2"/>
    </row>
    <row r="3327" spans="1:22" s="65" customFormat="1" ht="12.75" customHeight="1" x14ac:dyDescent="0.2">
      <c r="A3327" s="155"/>
      <c r="B3327" s="138" t="str">
        <f>IF(A3327="","",VLOOKUP(A3327,'6.A'!$A$11:$G$180,2,FALSE))</f>
        <v/>
      </c>
      <c r="C3327" s="156"/>
      <c r="D3327" s="381" t="str">
        <f>IF(A3327="","",VLOOKUP(A3327,'6.A'!$A$11:$G$180,4,FALSE))</f>
        <v/>
      </c>
      <c r="E3327" s="100" t="str">
        <f>IF(A3327="","",VLOOKUP(A3327,'6.A'!$A$11:$G$180,5,FALSE))</f>
        <v/>
      </c>
      <c r="F3327" s="24" t="str">
        <f t="shared" si="1427"/>
        <v>0,00</v>
      </c>
      <c r="G3327" s="382"/>
      <c r="H3327" s="382" t="str">
        <f>IF(A3327="","",VLOOKUP(A3327,'6.A'!$A$11:$E$7984,5,FALSE))</f>
        <v/>
      </c>
      <c r="I3327" s="382" t="str">
        <f t="shared" si="1428"/>
        <v/>
      </c>
      <c r="J3327" s="382" t="str">
        <f>IF(H3327="","",VLOOKUP(A3327,'6.A'!$A$11:$E$564,4,FALSE))</f>
        <v/>
      </c>
      <c r="K3327" s="382" t="str">
        <f t="shared" si="1429"/>
        <v/>
      </c>
      <c r="L3327" s="382" t="str">
        <f>IF(H3327="","",IF(C3327="","",G3288*C3327))</f>
        <v/>
      </c>
      <c r="M3327" s="117" t="str">
        <f>IF(A3327="","",VLOOKUP(A3327,'6.A'!$A$11:$C$564,2,FALSE))</f>
        <v/>
      </c>
      <c r="N3327" s="381" t="str">
        <f t="shared" si="1430"/>
        <v/>
      </c>
      <c r="O3327" s="56"/>
      <c r="P3327" s="56"/>
      <c r="Q3327" s="48"/>
      <c r="R3327" s="48"/>
      <c r="T3327" s="2"/>
      <c r="U3327" s="2"/>
      <c r="V3327" s="2"/>
    </row>
    <row r="3328" spans="1:22" ht="12.75" customHeight="1" x14ac:dyDescent="0.2">
      <c r="A3328" s="22"/>
      <c r="B3328" s="23" t="str">
        <f>IF(A3328="","",VLOOKUP(A3328,'6.A'!$A$11:$G$180,2,FALSE))</f>
        <v/>
      </c>
      <c r="C3328" s="99"/>
      <c r="D3328" s="381" t="str">
        <f>IF(A3328="","",VLOOKUP(A3328,'6.A'!$A$11:$G$180,4,FALSE))</f>
        <v/>
      </c>
      <c r="E3328" s="100" t="str">
        <f>IF(A3328="","",VLOOKUP(A3328,'6.A'!$A$11:$G$180,5,FALSE))</f>
        <v/>
      </c>
      <c r="F3328" s="24" t="str">
        <f t="shared" si="1427"/>
        <v>0,00</v>
      </c>
      <c r="G3328" s="382"/>
      <c r="H3328" s="382" t="str">
        <f>IF(A3328="","",VLOOKUP(A3328,'6.A'!$A$11:$E$7984,5,FALSE))</f>
        <v/>
      </c>
      <c r="I3328" s="382" t="str">
        <f t="shared" si="1428"/>
        <v/>
      </c>
      <c r="J3328" s="382" t="str">
        <f>IF(H3328="","",VLOOKUP(A3328,'6.A'!$A$11:$E$564,4,FALSE))</f>
        <v/>
      </c>
      <c r="K3328" s="382" t="str">
        <f t="shared" si="1429"/>
        <v/>
      </c>
      <c r="L3328" s="382" t="str">
        <f>IF(H3328="","",IF(C3328="","",G3288*C3328))</f>
        <v/>
      </c>
      <c r="M3328" s="117" t="str">
        <f>IF(A3328="","",VLOOKUP(A3328,'6.A'!$A$11:$C$564,2,FALSE))</f>
        <v/>
      </c>
      <c r="N3328" s="381" t="str">
        <f t="shared" si="1430"/>
        <v/>
      </c>
      <c r="O3328" s="56"/>
      <c r="P3328" s="56"/>
      <c r="Q3328" s="48"/>
      <c r="R3328" s="48"/>
    </row>
    <row r="3329" spans="1:22" ht="12.75" customHeight="1" x14ac:dyDescent="0.2">
      <c r="A3329" s="22"/>
      <c r="B3329" s="23" t="str">
        <f>IF(A3329="","",VLOOKUP(A3329,'6.A'!$A$11:$G$180,2,FALSE))</f>
        <v/>
      </c>
      <c r="C3329" s="99"/>
      <c r="D3329" s="381" t="str">
        <f>IF(A3329="","",VLOOKUP(A3329,'6.A'!$A$11:$G$180,4,FALSE))</f>
        <v/>
      </c>
      <c r="E3329" s="100" t="str">
        <f>IF(A3329="","",VLOOKUP(A3329,'6.A'!$A$11:$G$180,5,FALSE))</f>
        <v/>
      </c>
      <c r="F3329" s="24" t="str">
        <f t="shared" si="1427"/>
        <v>0,00</v>
      </c>
      <c r="G3329" s="382"/>
      <c r="H3329" s="382" t="str">
        <f>IF(A3329="","",VLOOKUP(A3329,'6.A'!$A$11:$E$7984,5,FALSE))</f>
        <v/>
      </c>
      <c r="I3329" s="382" t="str">
        <f t="shared" si="1428"/>
        <v/>
      </c>
      <c r="J3329" s="382" t="str">
        <f>IF(H3329="","",VLOOKUP(A3329,'6.A'!$A$11:$E$564,4,FALSE))</f>
        <v/>
      </c>
      <c r="K3329" s="382" t="str">
        <f t="shared" si="1429"/>
        <v/>
      </c>
      <c r="L3329" s="382" t="str">
        <f>IF(H3329="","",IF(C3329="","",G3288*C3329))</f>
        <v/>
      </c>
      <c r="M3329" s="117" t="str">
        <f>IF(A3329="","",VLOOKUP(A3329,'6.A'!$A$11:$C$564,2,FALSE))</f>
        <v/>
      </c>
      <c r="N3329" s="381" t="str">
        <f t="shared" si="1430"/>
        <v/>
      </c>
      <c r="O3329" s="56"/>
      <c r="P3329" s="56"/>
      <c r="Q3329" s="48"/>
      <c r="R3329" s="48"/>
    </row>
    <row r="3330" spans="1:22" ht="12.75" customHeight="1" x14ac:dyDescent="0.2">
      <c r="A3330" s="22"/>
      <c r="B3330" s="23" t="str">
        <f>IF(A3330="","",VLOOKUP(A3330,'6.A'!$A$11:$G$180,2,FALSE))</f>
        <v/>
      </c>
      <c r="C3330" s="99"/>
      <c r="D3330" s="381" t="str">
        <f>IF(A3330="","",VLOOKUP(A3330,'6.A'!$A$11:$G$180,4,FALSE))</f>
        <v/>
      </c>
      <c r="E3330" s="100" t="str">
        <f>IF(A3330="","",VLOOKUP(A3330,'6.A'!$A$11:$G$180,5,FALSE))</f>
        <v/>
      </c>
      <c r="F3330" s="24" t="str">
        <f t="shared" si="1427"/>
        <v>0,00</v>
      </c>
      <c r="G3330" s="382"/>
      <c r="H3330" s="382" t="str">
        <f>IF(A3330="","",VLOOKUP(A3330,'6.A'!$A$11:$E$7984,5,FALSE))</f>
        <v/>
      </c>
      <c r="I3330" s="382" t="str">
        <f t="shared" si="1428"/>
        <v/>
      </c>
      <c r="J3330" s="382" t="str">
        <f>IF(H3330="","",VLOOKUP(A3330,'6.A'!$A$11:$E$564,4,FALSE))</f>
        <v/>
      </c>
      <c r="K3330" s="382" t="str">
        <f t="shared" si="1429"/>
        <v/>
      </c>
      <c r="L3330" s="382" t="str">
        <f>IF(H3330="","",IF(C3330="","",G3288*C3330))</f>
        <v/>
      </c>
      <c r="M3330" s="117" t="str">
        <f>IF(A3330="","",VLOOKUP(A3330,'6.A'!$A$11:$C$564,2,FALSE))</f>
        <v/>
      </c>
      <c r="N3330" s="381" t="str">
        <f t="shared" si="1430"/>
        <v/>
      </c>
      <c r="O3330" s="56"/>
      <c r="P3330" s="56"/>
      <c r="Q3330" s="48"/>
      <c r="R3330" s="48"/>
    </row>
    <row r="3331" spans="1:22" ht="12.75" customHeight="1" x14ac:dyDescent="0.2">
      <c r="A3331" s="22"/>
      <c r="B3331" s="23" t="str">
        <f>IF(A3331="","",VLOOKUP(A3331,'6.A'!$A$11:$G$180,2,FALSE))</f>
        <v/>
      </c>
      <c r="C3331" s="99"/>
      <c r="D3331" s="381" t="str">
        <f>IF(A3331="","",VLOOKUP(A3331,'6.A'!$A$11:$G$180,4,FALSE))</f>
        <v/>
      </c>
      <c r="E3331" s="100" t="str">
        <f>IF(A3331="","",VLOOKUP(A3331,'6.A'!$A$11:$G$180,5,FALSE))</f>
        <v/>
      </c>
      <c r="F3331" s="24" t="str">
        <f t="shared" si="1427"/>
        <v>0,00</v>
      </c>
      <c r="G3331" s="382"/>
      <c r="H3331" s="382" t="str">
        <f>IF(A3331="","",VLOOKUP(A3331,'6.A'!$A$11:$E$7984,5,FALSE))</f>
        <v/>
      </c>
      <c r="I3331" s="382" t="str">
        <f t="shared" si="1428"/>
        <v/>
      </c>
      <c r="J3331" s="382" t="str">
        <f>IF(H3331="","",VLOOKUP(A3331,'6.A'!$A$11:$E$564,4,FALSE))</f>
        <v/>
      </c>
      <c r="K3331" s="382" t="str">
        <f t="shared" si="1429"/>
        <v/>
      </c>
      <c r="L3331" s="382" t="str">
        <f>IF(H3331="","",IF(C3331="","",G3288*C3331))</f>
        <v/>
      </c>
      <c r="M3331" s="117" t="str">
        <f>IF(A3331="","",VLOOKUP(A3331,'6.A'!$A$11:$C$564,2,FALSE))</f>
        <v/>
      </c>
      <c r="N3331" s="381" t="str">
        <f t="shared" si="1430"/>
        <v/>
      </c>
      <c r="O3331" s="56"/>
      <c r="P3331" s="56"/>
      <c r="Q3331" s="48"/>
      <c r="R3331" s="48"/>
    </row>
    <row r="3332" spans="1:22" ht="12.75" customHeight="1" x14ac:dyDescent="0.2">
      <c r="A3332" s="22"/>
      <c r="B3332" s="23" t="str">
        <f>IF(A3332="","",VLOOKUP(A3332,'6.A'!$A$11:$G$180,2,FALSE))</f>
        <v/>
      </c>
      <c r="C3332" s="99"/>
      <c r="D3332" s="381" t="str">
        <f>IF(A3332="","",VLOOKUP(A3332,'6.A'!$A$11:$G$180,4,FALSE))</f>
        <v/>
      </c>
      <c r="E3332" s="100" t="str">
        <f>IF(A3332="","",VLOOKUP(A3332,'6.A'!$A$11:$G$180,5,FALSE))</f>
        <v/>
      </c>
      <c r="F3332" s="24" t="str">
        <f t="shared" si="1427"/>
        <v>0,00</v>
      </c>
      <c r="G3332" s="382"/>
      <c r="H3332" s="382" t="str">
        <f>IF(A3332="","",VLOOKUP(A3332,'6.A'!$A$11:$E$7984,5,FALSE))</f>
        <v/>
      </c>
      <c r="I3332" s="382" t="str">
        <f t="shared" si="1428"/>
        <v/>
      </c>
      <c r="J3332" s="382" t="str">
        <f>IF(H3332="","",VLOOKUP(A3332,'6.A'!$A$11:$E$564,4,FALSE))</f>
        <v/>
      </c>
      <c r="K3332" s="382" t="str">
        <f t="shared" si="1429"/>
        <v/>
      </c>
      <c r="L3332" s="382" t="str">
        <f>IF(H3332="","",IF(C3332="","",G3288*C3332))</f>
        <v/>
      </c>
      <c r="M3332" s="117" t="str">
        <f>IF(A3332="","",VLOOKUP(A3332,'6.A'!$A$11:$C$564,2,FALSE))</f>
        <v/>
      </c>
      <c r="N3332" s="381" t="str">
        <f t="shared" si="1430"/>
        <v/>
      </c>
      <c r="O3332" s="56"/>
      <c r="P3332" s="56"/>
      <c r="Q3332" s="48"/>
      <c r="R3332" s="48"/>
    </row>
    <row r="3333" spans="1:22" ht="12.75" customHeight="1" x14ac:dyDescent="0.2">
      <c r="A3333" s="22"/>
      <c r="B3333" s="23" t="str">
        <f>IF(A3333="","",VLOOKUP(A3333,'6.A'!$A$11:$G$180,2,FALSE))</f>
        <v/>
      </c>
      <c r="C3333" s="99"/>
      <c r="D3333" s="381" t="str">
        <f>IF(A3333="","",VLOOKUP(A3333,'6.A'!$A$11:$G$180,4,FALSE))</f>
        <v/>
      </c>
      <c r="E3333" s="100" t="str">
        <f>IF(A3333="","",VLOOKUP(A3333,'6.A'!$A$11:$G$180,5,FALSE))</f>
        <v/>
      </c>
      <c r="F3333" s="24" t="str">
        <f t="shared" si="1427"/>
        <v>0,00</v>
      </c>
      <c r="G3333" s="382"/>
      <c r="H3333" s="382" t="str">
        <f>IF(A3333="","",VLOOKUP(A3333,'6.A'!$A$11:$E$7984,5,FALSE))</f>
        <v/>
      </c>
      <c r="I3333" s="382" t="str">
        <f t="shared" si="1428"/>
        <v/>
      </c>
      <c r="J3333" s="382" t="str">
        <f>IF(H3333="","",VLOOKUP(A3333,'6.A'!$A$11:$E$564,4,FALSE))</f>
        <v/>
      </c>
      <c r="K3333" s="382" t="str">
        <f t="shared" si="1429"/>
        <v/>
      </c>
      <c r="L3333" s="382" t="str">
        <f>IF(H3333="","",IF(C3333="","",G3288*C3333))</f>
        <v/>
      </c>
      <c r="M3333" s="117" t="str">
        <f>IF(A3333="","",VLOOKUP(A3333,'6.A'!$A$11:$C$564,2,FALSE))</f>
        <v/>
      </c>
      <c r="N3333" s="381" t="str">
        <f t="shared" si="1430"/>
        <v/>
      </c>
      <c r="O3333" s="56"/>
      <c r="P3333" s="56"/>
      <c r="Q3333" s="48"/>
      <c r="R3333" s="48"/>
    </row>
    <row r="3334" spans="1:22" ht="12.75" customHeight="1" x14ac:dyDescent="0.2">
      <c r="A3334" s="22"/>
      <c r="B3334" s="39" t="str">
        <f>IF(A3334="","",VLOOKUP(A3334,'6.A'!$A$11:$G$180,2,FALSE))</f>
        <v/>
      </c>
      <c r="C3334" s="99"/>
      <c r="D3334" s="381" t="str">
        <f>IF(A3334="","",VLOOKUP(A3334,'6.A'!$A$11:$G$180,4,FALSE))</f>
        <v/>
      </c>
      <c r="E3334" s="100" t="str">
        <f>IF(A3334="","",VLOOKUP(A3334,'6.A'!$A$11:$G$180,5,FALSE))</f>
        <v/>
      </c>
      <c r="F3334" s="24" t="str">
        <f t="shared" si="1427"/>
        <v>0,00</v>
      </c>
      <c r="G3334" s="382"/>
      <c r="H3334" s="382" t="str">
        <f>IF(A3334="","",VLOOKUP(A3334,'6.A'!$A$11:$E$7984,5,FALSE))</f>
        <v/>
      </c>
      <c r="I3334" s="382" t="str">
        <f t="shared" si="1428"/>
        <v/>
      </c>
      <c r="J3334" s="382" t="str">
        <f>IF(H3334="","",VLOOKUP(A3334,'6.A'!$A$11:$E$564,4,FALSE))</f>
        <v/>
      </c>
      <c r="K3334" s="382" t="str">
        <f t="shared" si="1429"/>
        <v/>
      </c>
      <c r="L3334" s="382" t="str">
        <f>IF(H3334="","",IF(C3334="","",G3288*C3334))</f>
        <v/>
      </c>
      <c r="M3334" s="117" t="str">
        <f>IF(A3334="","",VLOOKUP(A3334,'6.A'!$A$11:$C$564,2,FALSE))</f>
        <v/>
      </c>
      <c r="N3334" s="381" t="str">
        <f t="shared" si="1430"/>
        <v/>
      </c>
      <c r="O3334" s="56"/>
      <c r="P3334" s="56"/>
      <c r="Q3334" s="48"/>
      <c r="R3334" s="48"/>
    </row>
    <row r="3335" spans="1:22" ht="12.75" customHeight="1" x14ac:dyDescent="0.2">
      <c r="A3335" s="22"/>
      <c r="B3335" s="39" t="str">
        <f>IF(A3335="","",VLOOKUP(A3335,'6.A'!$A$11:$G$180,2,FALSE))</f>
        <v/>
      </c>
      <c r="C3335" s="99"/>
      <c r="D3335" s="381" t="str">
        <f>IF(A3335="","",VLOOKUP(A3335,'6.A'!$A$11:$G$180,4,FALSE))</f>
        <v/>
      </c>
      <c r="E3335" s="100" t="str">
        <f>IF(A3335="","",VLOOKUP(A3335,'6.A'!$A$11:$G$180,5,FALSE))</f>
        <v/>
      </c>
      <c r="F3335" s="24" t="str">
        <f t="shared" si="1427"/>
        <v>0,00</v>
      </c>
      <c r="G3335" s="382"/>
      <c r="H3335" s="382" t="str">
        <f>IF(A3335="","",VLOOKUP(A3335,'6.A'!$A$11:$E$7984,5,FALSE))</f>
        <v/>
      </c>
      <c r="I3335" s="382" t="str">
        <f t="shared" si="1428"/>
        <v/>
      </c>
      <c r="J3335" s="382" t="str">
        <f>IF(H3335="","",VLOOKUP(A3335,'6.A'!$A$11:$E$564,4,FALSE))</f>
        <v/>
      </c>
      <c r="K3335" s="382" t="str">
        <f t="shared" si="1429"/>
        <v/>
      </c>
      <c r="L3335" s="382" t="str">
        <f>IF(H3335="","",IF(C3335="","",G3288*C3335))</f>
        <v/>
      </c>
      <c r="M3335" s="117" t="str">
        <f>IF(A3335="","",VLOOKUP(A3335,'6.A'!$A$11:$C$564,2,FALSE))</f>
        <v/>
      </c>
      <c r="N3335" s="381" t="str">
        <f t="shared" si="1430"/>
        <v/>
      </c>
      <c r="O3335" s="56"/>
      <c r="P3335" s="56"/>
      <c r="Q3335" s="48"/>
      <c r="R3335" s="48"/>
    </row>
    <row r="3336" spans="1:22" ht="12.75" customHeight="1" x14ac:dyDescent="0.2">
      <c r="A3336" s="22"/>
      <c r="B3336" s="39" t="str">
        <f>IF(A3336="","",VLOOKUP(A3336,'6.A'!$A$11:$G$180,2,FALSE))</f>
        <v/>
      </c>
      <c r="C3336" s="99"/>
      <c r="D3336" s="381" t="str">
        <f>IF(A3336="","",VLOOKUP(A3336,'6.A'!$A$11:$G$180,4,FALSE))</f>
        <v/>
      </c>
      <c r="E3336" s="100" t="str">
        <f>IF(A3336="","",VLOOKUP(A3336,'6.A'!$A$11:$G$180,5,FALSE))</f>
        <v/>
      </c>
      <c r="F3336" s="24" t="str">
        <f t="shared" si="1427"/>
        <v>0,00</v>
      </c>
      <c r="G3336" s="382"/>
      <c r="H3336" s="382" t="str">
        <f>IF(A3336="","",VLOOKUP(A3336,'6.A'!$A$11:$E$7984,5,FALSE))</f>
        <v/>
      </c>
      <c r="I3336" s="382" t="str">
        <f t="shared" si="1428"/>
        <v/>
      </c>
      <c r="J3336" s="382" t="str">
        <f>IF(H3336="","",VLOOKUP(A3336,'6.A'!$A$11:$E$564,4,FALSE))</f>
        <v/>
      </c>
      <c r="K3336" s="382" t="str">
        <f t="shared" si="1429"/>
        <v/>
      </c>
      <c r="L3336" s="382" t="str">
        <f>IF(H3336="","",IF(C3336="","",G3288*C3336))</f>
        <v/>
      </c>
      <c r="M3336" s="117" t="str">
        <f>IF(A3336="","",VLOOKUP(A3336,'6.A'!$A$11:$C$564,2,FALSE))</f>
        <v/>
      </c>
      <c r="N3336" s="381" t="str">
        <f t="shared" si="1430"/>
        <v/>
      </c>
      <c r="O3336" s="56"/>
      <c r="P3336" s="56"/>
      <c r="Q3336" s="48"/>
      <c r="R3336" s="48"/>
    </row>
    <row r="3337" spans="1:22" ht="12.75" customHeight="1" x14ac:dyDescent="0.2">
      <c r="A3337" s="22"/>
      <c r="B3337" s="26" t="str">
        <f>$A$9</f>
        <v>BDI</v>
      </c>
      <c r="C3337" s="40">
        <f>$C$9</f>
        <v>0</v>
      </c>
      <c r="D3337" s="381"/>
      <c r="F3337" s="28">
        <f>ROUND(SUM(F3317:F3336)*C3337,2)</f>
        <v>0</v>
      </c>
      <c r="G3337" s="63"/>
      <c r="H3337" s="382"/>
      <c r="I3337" s="381"/>
      <c r="J3337" s="381"/>
      <c r="K3337" s="381"/>
      <c r="L3337" s="382"/>
      <c r="M3337" s="381"/>
      <c r="N3337" s="381"/>
      <c r="O3337" s="56"/>
      <c r="P3337" s="56"/>
      <c r="Q3337" s="48"/>
      <c r="R3337" s="48"/>
    </row>
    <row r="3338" spans="1:22" ht="12.75" customHeight="1" thickBot="1" x14ac:dyDescent="0.25">
      <c r="A3338" s="41"/>
      <c r="B3338" s="42" t="s">
        <v>57</v>
      </c>
      <c r="C3338" s="43"/>
      <c r="D3338" s="44"/>
      <c r="E3338" s="45"/>
      <c r="F3338" s="46">
        <f>ROUND(SUM(F3317:F3337),2)</f>
        <v>0</v>
      </c>
      <c r="G3338" s="63"/>
      <c r="H3338" s="382"/>
      <c r="I3338" s="381"/>
      <c r="J3338" s="381"/>
      <c r="K3338" s="381"/>
      <c r="L3338" s="382"/>
      <c r="M3338" s="381"/>
      <c r="N3338" s="381"/>
      <c r="O3338" s="56"/>
      <c r="P3338" s="56"/>
      <c r="Q3338" s="48"/>
      <c r="R3338" s="48"/>
    </row>
    <row r="3339" spans="1:22" s="149" customFormat="1" ht="12" customHeight="1" thickBot="1" x14ac:dyDescent="0.25">
      <c r="A3339" s="150"/>
      <c r="B3339" s="145"/>
      <c r="C3339" s="146"/>
      <c r="D3339" s="141"/>
      <c r="E3339" s="147"/>
      <c r="F3339" s="142"/>
      <c r="G3339" s="142"/>
      <c r="H3339" s="139"/>
      <c r="I3339" s="141"/>
      <c r="J3339" s="141"/>
      <c r="K3339" s="141"/>
      <c r="L3339" s="139"/>
      <c r="M3339" s="143"/>
      <c r="N3339" s="143"/>
      <c r="O3339" s="144"/>
      <c r="P3339" s="144"/>
      <c r="Q3339" s="135"/>
      <c r="R3339" s="135"/>
      <c r="T3339" s="137"/>
      <c r="U3339" s="137"/>
      <c r="V3339" s="137"/>
    </row>
    <row r="3340" spans="1:22" s="137" customFormat="1" ht="50.1" customHeight="1" x14ac:dyDescent="0.2">
      <c r="A3340" s="151" t="str">
        <f>'3.A'!$A$73</f>
        <v>3.4.5</v>
      </c>
      <c r="B3340" s="14" t="str">
        <f>IF(A3340="","",VLOOKUP(A3340,'3.A'!$A$17:$M$279,2,FALSE))</f>
        <v>CHAVE DE AFERIÇÃO, DE SOBREPOR, VN= 600V, IN=20A, 10 POLOS</v>
      </c>
      <c r="C3340" s="413" t="s">
        <v>62</v>
      </c>
      <c r="D3340" s="413"/>
      <c r="E3340" s="15" t="str">
        <f>IF(A3340="","",VLOOKUP(A3340,'3.A'!$A$17:$M$279,3,FALSE))</f>
        <v>UN</v>
      </c>
      <c r="F3340" s="16">
        <f>ROUND(F3354+F3367+F3390,2)</f>
        <v>0</v>
      </c>
      <c r="G3340" s="118">
        <f>VLOOKUP(A3340,'3.A'!$A$19:$I$279,4,FALSE)</f>
        <v>1</v>
      </c>
      <c r="H3340" s="47">
        <f>SUM(F3342:F3353)</f>
        <v>0</v>
      </c>
      <c r="I3340" s="47">
        <f>SUM(F3356:F3366)</f>
        <v>0</v>
      </c>
      <c r="J3340" s="47">
        <f>SUM(F3369:F3389)</f>
        <v>0</v>
      </c>
      <c r="K3340" s="47">
        <f>SUM(H3340:J3340)</f>
        <v>0</v>
      </c>
      <c r="L3340" s="47" t="str">
        <f>IF(K3340=F3340,"SIM","NÃO")</f>
        <v>SIM</v>
      </c>
      <c r="M3340" s="58">
        <f>ROUND(SUM(F3342:F3351)*C3352,2)+ROUND(SUM(F3342:F3352)*C3353,2)+ROUND(SUM(F3342:F3351),2)+ROUND(SUM(F3356:F3365)*C3366,2)+ROUND(SUM(F3356:F3365),2)+ROUND(SUM(F3369:F3388)*C3389,2)+ROUND(SUM(F3369:F3388),2)</f>
        <v>0</v>
      </c>
      <c r="N3340" s="50" t="str">
        <f>IF(M3340=F3340,"SIM","NÃO")</f>
        <v>SIM</v>
      </c>
      <c r="O3340" s="51" t="str">
        <f>VLOOKUP(A3340,'3.A'!$A$8:$E$279,3,FALSE)</f>
        <v>UN</v>
      </c>
      <c r="P3340" s="51" t="str">
        <f>IF(O3340=E3340,"SIM","NÃO")</f>
        <v>SIM</v>
      </c>
      <c r="Q3340" s="53">
        <f>ROUND(G3340*F3354,2)+ROUND(G3340*F3367,2)+ROUND(G3340*F3390,2)</f>
        <v>0</v>
      </c>
      <c r="R3340" s="59">
        <f>VLOOKUP(A3340,'3.A'!$A$17:$L$279,12,FALSE)</f>
        <v>0</v>
      </c>
      <c r="S3340" s="60" t="str">
        <f>IF(Q3340=R3340,"si","no")</f>
        <v>si</v>
      </c>
      <c r="T3340" s="61">
        <f>SUM(L3342:L3351)+SUM(L3356:L3365)+SUM(L3369:L3388)</f>
        <v>1.4</v>
      </c>
      <c r="U3340" s="382">
        <f>G3340*C3348+G3340*C3350+G3340*C3343+G3340*C3344+G3340*C3346+G3340*C3349+G3340*C3347+G3340*C3342+G3340*C3345+G3340*C3351+G3340*C3362+G3340*C3356+G3340*C3364+G3340*C3363+G3340*C3361+G3340*C3358+G3340*C3357+G3340*C3359+G3340*C3365+G3340*C3360+G3340*C3369+G3340*C3370+G3340*C3371+G3340*C3379+G3340*C3380+G3340*C3381+G3340*C3382+G3340*C3383+G3340*C3384+G3340*C3385+G3340*C3386+G3340*C3387+G3340*C3388+G3340*C3377+G3340*C3378+G3340*C3372+G3340*C3373+G3340*C3374+G3340*C3375+G3340*C3376</f>
        <v>1.4</v>
      </c>
      <c r="V3340" s="54" t="str">
        <f>IF(T3340=U3340,"si","no")</f>
        <v>si</v>
      </c>
    </row>
    <row r="3341" spans="1:22" s="137" customFormat="1" ht="12.75" customHeight="1" x14ac:dyDescent="0.2">
      <c r="A3341" s="152" t="s">
        <v>3</v>
      </c>
      <c r="B3341" s="153" t="s">
        <v>58</v>
      </c>
      <c r="C3341" s="140" t="s">
        <v>59</v>
      </c>
      <c r="D3341" s="140" t="s">
        <v>16</v>
      </c>
      <c r="E3341" s="154" t="s">
        <v>60</v>
      </c>
      <c r="F3341" s="148" t="s">
        <v>61</v>
      </c>
      <c r="G3341" s="21"/>
      <c r="H3341" s="382"/>
      <c r="I3341" s="381"/>
      <c r="J3341" s="381"/>
      <c r="K3341" s="381"/>
      <c r="L3341" s="382"/>
      <c r="M3341" s="381"/>
      <c r="N3341" s="381"/>
      <c r="O3341" s="56"/>
      <c r="P3341" s="56"/>
      <c r="Q3341" s="48"/>
      <c r="R3341" s="48"/>
      <c r="S3341" s="65"/>
      <c r="T3341" s="2"/>
      <c r="U3341" s="2"/>
      <c r="V3341" s="2"/>
    </row>
    <row r="3342" spans="1:22" s="137" customFormat="1" ht="12.75" customHeight="1" x14ac:dyDescent="0.2">
      <c r="A3342" s="155">
        <f>'6.A'!$A$18</f>
        <v>88264</v>
      </c>
      <c r="B3342" s="138" t="str">
        <f>IF(A3342="","",VLOOKUP(A3342,'6.A'!$A$11:$G$180,2,FALSE))</f>
        <v>ELETRICISTA COM ENCARGOS COMPLEMENTARES</v>
      </c>
      <c r="C3342" s="156">
        <v>0.2</v>
      </c>
      <c r="D3342" s="157" t="str">
        <f>IF(A3342="","",VLOOKUP(A3342,'6.A'!$A$11:$G$180,4,FALSE))</f>
        <v>H</v>
      </c>
      <c r="E3342" s="158">
        <f>IF(A3342="","",VLOOKUP(A3342,'6.A'!$A$11:$G$180,5,FALSE))</f>
        <v>0</v>
      </c>
      <c r="F3342" s="159">
        <f t="shared" ref="F3342" si="1431">IF(A3342="","0,00",ROUND(C3342*E3342,2))</f>
        <v>0</v>
      </c>
      <c r="G3342" s="382"/>
      <c r="H3342" s="382">
        <f>IF(A3342="","",VLOOKUP(A3342,'6.A'!$A$11:$E$7984,5,FALSE))</f>
        <v>0</v>
      </c>
      <c r="I3342" s="382" t="str">
        <f>IF(H3342="","",IF(E3342=H3342,"SIM","NÃO"))</f>
        <v>SIM</v>
      </c>
      <c r="J3342" s="382" t="str">
        <f>IF(H3342="","",VLOOKUP(A3342,'6.A'!$A$11:$E$564,4,FALSE))</f>
        <v>H</v>
      </c>
      <c r="K3342" s="382" t="str">
        <f>IF(H3342="","",IF(J3342=D3342,"SIM","NÃO"))</f>
        <v>SIM</v>
      </c>
      <c r="L3342" s="382">
        <f>IF(H3342="","",IF(C3342="","",G3340*C3342))</f>
        <v>0.2</v>
      </c>
      <c r="M3342" s="117" t="str">
        <f>IF(A3342="","",VLOOKUP(A3342,'6.A'!$A$11:$C$564,2,FALSE))</f>
        <v>ELETRICISTA COM ENCARGOS COMPLEMENTARES</v>
      </c>
      <c r="N3342" s="381" t="str">
        <f>IF(A3342="","",IF(M3342=B3342,"si","no"))</f>
        <v>si</v>
      </c>
      <c r="O3342" s="56"/>
      <c r="P3342" s="56"/>
      <c r="Q3342" s="48"/>
      <c r="R3342" s="48"/>
      <c r="S3342" s="65"/>
      <c r="T3342" s="2"/>
      <c r="U3342" s="2"/>
      <c r="V3342" s="2"/>
    </row>
    <row r="3343" spans="1:22" s="137" customFormat="1" ht="12.75" customHeight="1" x14ac:dyDescent="0.2">
      <c r="A3343" s="155">
        <f>'6.A'!$A$15</f>
        <v>88247</v>
      </c>
      <c r="B3343" s="138" t="str">
        <f>IF(A3343="","",VLOOKUP(A3343,'6.A'!$A$11:$G$180,2,FALSE))</f>
        <v>AUXILIAR DE ELETRICISTA COM ENCARGOS COMPLEMENTARES</v>
      </c>
      <c r="C3343" s="156">
        <v>0.2</v>
      </c>
      <c r="D3343" s="157" t="str">
        <f>IF(A3343="","",VLOOKUP(A3343,'6.A'!$A$11:$G$180,4,FALSE))</f>
        <v>H</v>
      </c>
      <c r="E3343" s="158">
        <f>IF(A3343="","",VLOOKUP(A3343,'6.A'!$A$11:$G$180,5,FALSE))</f>
        <v>0</v>
      </c>
      <c r="F3343" s="159">
        <f>IF(A3343="","0,00",ROUND(C3343*E3343,2))</f>
        <v>0</v>
      </c>
      <c r="G3343" s="382"/>
      <c r="H3343" s="382">
        <f>IF(A3343="","",VLOOKUP(A3343,'6.A'!$A$11:$E$7984,5,FALSE))</f>
        <v>0</v>
      </c>
      <c r="I3343" s="382" t="str">
        <f>IF(H3343="","",IF(E3343=H3343,"SIM","NÃO"))</f>
        <v>SIM</v>
      </c>
      <c r="J3343" s="382" t="str">
        <f>IF(H3343="","",VLOOKUP(A3343,'6.A'!$A$11:$E$564,4,FALSE))</f>
        <v>H</v>
      </c>
      <c r="K3343" s="382" t="str">
        <f>IF(H3343="","",IF(J3343=D3343,"SIM","NÃO"))</f>
        <v>SIM</v>
      </c>
      <c r="L3343" s="382">
        <f>IF(H3343="","",IF(C3343="","",G3340*C3343))</f>
        <v>0.2</v>
      </c>
      <c r="M3343" s="117" t="str">
        <f>IF(A3343="","",VLOOKUP(A3343,'6.A'!$A$11:$C$564,2,FALSE))</f>
        <v>AUXILIAR DE ELETRICISTA COM ENCARGOS COMPLEMENTARES</v>
      </c>
      <c r="N3343" s="381" t="str">
        <f>IF(A3343="","",IF(M3343=B3343,"si","no"))</f>
        <v>si</v>
      </c>
      <c r="O3343" s="56"/>
      <c r="P3343" s="56"/>
      <c r="Q3343" s="48"/>
      <c r="R3343" s="48"/>
      <c r="S3343" s="65"/>
      <c r="T3343" s="2"/>
      <c r="U3343" s="2"/>
      <c r="V3343" s="2"/>
    </row>
    <row r="3344" spans="1:22" s="137" customFormat="1" ht="12.75" customHeight="1" x14ac:dyDescent="0.2">
      <c r="A3344" s="155"/>
      <c r="B3344" s="138" t="str">
        <f>IF(A3344="","",VLOOKUP(A3344,'6.A'!$A$11:$G$180,2,FALSE))</f>
        <v/>
      </c>
      <c r="C3344" s="156"/>
      <c r="D3344" s="157" t="str">
        <f>IF(A3344="","",VLOOKUP(A3344,'6.A'!$A$11:$G$180,4,FALSE))</f>
        <v/>
      </c>
      <c r="E3344" s="158" t="str">
        <f>IF(A3344="","",VLOOKUP(A3344,'6.A'!$A$11:$G$180,5,FALSE))</f>
        <v/>
      </c>
      <c r="F3344" s="159" t="str">
        <f t="shared" ref="F3344:F3351" si="1432">IF(A3344="","0,00",ROUND(C3344*E3344,2))</f>
        <v>0,00</v>
      </c>
      <c r="G3344" s="382"/>
      <c r="H3344" s="382" t="str">
        <f>IF(A3344="","",VLOOKUP(A3344,'6.A'!$A$11:$E$7984,5,FALSE))</f>
        <v/>
      </c>
      <c r="I3344" s="382" t="str">
        <f>IF(H3344="","",IF(E3344=H3344,"SIM","NÃO"))</f>
        <v/>
      </c>
      <c r="J3344" s="382" t="str">
        <f>IF(H3344="","",VLOOKUP(A3344,'6.A'!$A$11:$E$564,4,FALSE))</f>
        <v/>
      </c>
      <c r="K3344" s="382" t="str">
        <f t="shared" ref="K3344" si="1433">IF(H3344="","",IF(J3344=D3344,"SIM","NÃO"))</f>
        <v/>
      </c>
      <c r="L3344" s="382" t="str">
        <f>IF(H3344="","",IF(C3344="","",G3340*C3344))</f>
        <v/>
      </c>
      <c r="M3344" s="117" t="str">
        <f>IF(A3344="","",VLOOKUP(A3344,'6.A'!$A$11:$C$564,2,FALSE))</f>
        <v/>
      </c>
      <c r="N3344" s="381" t="str">
        <f t="shared" ref="N3344" si="1434">IF(A3344="","",IF(M3344=B3344,"si","no"))</f>
        <v/>
      </c>
      <c r="O3344" s="56"/>
      <c r="P3344" s="56"/>
      <c r="Q3344" s="48"/>
      <c r="R3344" s="48"/>
      <c r="S3344" s="65"/>
      <c r="T3344" s="2"/>
      <c r="U3344" s="2"/>
      <c r="V3344" s="2"/>
    </row>
    <row r="3345" spans="1:22" s="137" customFormat="1" ht="12.75" customHeight="1" x14ac:dyDescent="0.2">
      <c r="A3345" s="155"/>
      <c r="B3345" s="138" t="str">
        <f>IF(A3345="","",VLOOKUP(A3345,'6.A'!$A$11:$G$180,2,FALSE))</f>
        <v/>
      </c>
      <c r="C3345" s="156"/>
      <c r="D3345" s="157" t="str">
        <f>IF(A3345="","",VLOOKUP(A3345,'6.A'!$A$11:$G$180,4,FALSE))</f>
        <v/>
      </c>
      <c r="E3345" s="158" t="str">
        <f>IF(A3345="","",VLOOKUP(A3345,'6.A'!$A$11:$G$180,5,FALSE))</f>
        <v/>
      </c>
      <c r="F3345" s="159" t="str">
        <f t="shared" si="1432"/>
        <v>0,00</v>
      </c>
      <c r="G3345" s="382"/>
      <c r="H3345" s="382" t="str">
        <f>IF(A3345="","",VLOOKUP(A3345,'6.A'!$A$11:$E$7984,5,FALSE))</f>
        <v/>
      </c>
      <c r="I3345" s="382" t="str">
        <f>IF(H3345="","",IF(E3345=H3345,"SIM","NÃO"))</f>
        <v/>
      </c>
      <c r="J3345" s="382" t="str">
        <f>IF(H3345="","",VLOOKUP(A3345,'6.A'!$A$11:$E$564,4,FALSE))</f>
        <v/>
      </c>
      <c r="K3345" s="382" t="str">
        <f>IF(H3345="","",IF(J3345=D3345,"SIM","NÃO"))</f>
        <v/>
      </c>
      <c r="L3345" s="382" t="str">
        <f>IF(H3345="","",IF(C3345="","",G3340*C3345))</f>
        <v/>
      </c>
      <c r="M3345" s="117" t="str">
        <f>IF(A3345="","",VLOOKUP(A3345,'6.A'!$A$11:$C$564,2,FALSE))</f>
        <v/>
      </c>
      <c r="N3345" s="381" t="str">
        <f>IF(A3345="","",IF(M3345=B3345,"si","no"))</f>
        <v/>
      </c>
      <c r="O3345" s="56"/>
      <c r="P3345" s="56"/>
      <c r="Q3345" s="48"/>
      <c r="R3345" s="48"/>
      <c r="S3345" s="65"/>
      <c r="T3345" s="2"/>
      <c r="U3345" s="2"/>
      <c r="V3345" s="2"/>
    </row>
    <row r="3346" spans="1:22" s="137" customFormat="1" ht="12.75" customHeight="1" x14ac:dyDescent="0.2">
      <c r="A3346" s="155"/>
      <c r="B3346" s="138" t="str">
        <f>IF(A3346="","",VLOOKUP(A3346,'6.A'!$A$11:$G$180,2,FALSE))</f>
        <v/>
      </c>
      <c r="C3346" s="156"/>
      <c r="D3346" s="157" t="str">
        <f>IF(A3346="","",VLOOKUP(A3346,'6.A'!$A$11:$G$180,4,FALSE))</f>
        <v/>
      </c>
      <c r="E3346" s="158" t="str">
        <f>IF(A3346="","",VLOOKUP(A3346,'6.A'!$A$11:$G$180,5,FALSE))</f>
        <v/>
      </c>
      <c r="F3346" s="159" t="str">
        <f t="shared" si="1432"/>
        <v>0,00</v>
      </c>
      <c r="G3346" s="382"/>
      <c r="H3346" s="382" t="str">
        <f>IF(A3346="","",VLOOKUP(A3346,'6.A'!$A$11:$E$7984,5,FALSE))</f>
        <v/>
      </c>
      <c r="I3346" s="382" t="str">
        <f t="shared" ref="I3346" si="1435">IF(H3346="","",IF(E3346=H3346,"SIM","NÃO"))</f>
        <v/>
      </c>
      <c r="J3346" s="382" t="str">
        <f>IF(H3346="","",VLOOKUP(A3346,'6.A'!$A$11:$E$564,4,FALSE))</f>
        <v/>
      </c>
      <c r="K3346" s="382" t="str">
        <f t="shared" ref="K3346" si="1436">IF(H3346="","",IF(J3346=D3346,"SIM","NÃO"))</f>
        <v/>
      </c>
      <c r="L3346" s="382" t="str">
        <f>IF(H3346="","",IF(C3346="","",G3340*C3346))</f>
        <v/>
      </c>
      <c r="M3346" s="117" t="str">
        <f>IF(A3346="","",VLOOKUP(A3346,'6.A'!$A$11:$C$564,2,FALSE))</f>
        <v/>
      </c>
      <c r="N3346" s="381" t="str">
        <f t="shared" ref="N3346" si="1437">IF(A3346="","",IF(M3346=B3346,"si","no"))</f>
        <v/>
      </c>
      <c r="O3346" s="56"/>
      <c r="P3346" s="56"/>
      <c r="Q3346" s="48"/>
      <c r="R3346" s="48"/>
      <c r="S3346" s="65"/>
      <c r="T3346" s="2"/>
      <c r="U3346" s="2"/>
      <c r="V3346" s="2"/>
    </row>
    <row r="3347" spans="1:22" s="137" customFormat="1" ht="12.75" customHeight="1" x14ac:dyDescent="0.2">
      <c r="A3347" s="155"/>
      <c r="B3347" s="138" t="str">
        <f>IF(A3347="","",VLOOKUP(A3347,'6.A'!$A$11:$G$180,2,FALSE))</f>
        <v/>
      </c>
      <c r="C3347" s="156"/>
      <c r="D3347" s="157" t="str">
        <f>IF(A3347="","",VLOOKUP(A3347,'6.A'!$A$11:$G$180,4,FALSE))</f>
        <v/>
      </c>
      <c r="E3347" s="158" t="str">
        <f>IF(A3347="","",VLOOKUP(A3347,'6.A'!$A$11:$G$180,5,FALSE))</f>
        <v/>
      </c>
      <c r="F3347" s="159" t="str">
        <f t="shared" si="1432"/>
        <v>0,00</v>
      </c>
      <c r="G3347" s="382"/>
      <c r="H3347" s="382" t="str">
        <f>IF(A3347="","",VLOOKUP(A3347,'6.A'!$A$11:$E$7984,5,FALSE))</f>
        <v/>
      </c>
      <c r="I3347" s="382" t="str">
        <f>IF(H3347="","",IF(E3347=H3347,"SIM","NÃO"))</f>
        <v/>
      </c>
      <c r="J3347" s="382" t="str">
        <f>IF(H3347="","",VLOOKUP(A3347,'6.A'!$A$11:$E$564,4,FALSE))</f>
        <v/>
      </c>
      <c r="K3347" s="382" t="str">
        <f>IF(H3347="","",IF(J3347=D3347,"SIM","NÃO"))</f>
        <v/>
      </c>
      <c r="L3347" s="382" t="str">
        <f>IF(H3347="","",IF(C3347="","",G3340*C3347))</f>
        <v/>
      </c>
      <c r="M3347" s="117" t="str">
        <f>IF(A3347="","",VLOOKUP(A3347,'6.A'!$A$11:$C$564,2,FALSE))</f>
        <v/>
      </c>
      <c r="N3347" s="381" t="str">
        <f>IF(A3347="","",IF(M3347=B3347,"si","no"))</f>
        <v/>
      </c>
      <c r="O3347" s="56"/>
      <c r="P3347" s="56"/>
      <c r="Q3347" s="48"/>
      <c r="R3347" s="48"/>
      <c r="S3347" s="65"/>
      <c r="T3347" s="2"/>
      <c r="U3347" s="2"/>
      <c r="V3347" s="2"/>
    </row>
    <row r="3348" spans="1:22" s="137" customFormat="1" ht="12.75" customHeight="1" x14ac:dyDescent="0.2">
      <c r="A3348" s="155"/>
      <c r="B3348" s="138" t="str">
        <f>IF(A3348="","",VLOOKUP(A3348,'6.A'!$A$11:$G$180,2,FALSE))</f>
        <v/>
      </c>
      <c r="C3348" s="156"/>
      <c r="D3348" s="141" t="str">
        <f>IF(A3348="","",VLOOKUP(A3348,'6.A'!$A$11:$G$180,4,FALSE))</f>
        <v/>
      </c>
      <c r="E3348" s="160" t="str">
        <f>IF(A3348="","",VLOOKUP(A3348,'6.A'!$A$11:$G$180,5,FALSE))</f>
        <v/>
      </c>
      <c r="F3348" s="159" t="str">
        <f t="shared" si="1432"/>
        <v>0,00</v>
      </c>
      <c r="G3348" s="382"/>
      <c r="H3348" s="382" t="str">
        <f>IF(A3348="","",VLOOKUP(A3348,'6.A'!$A$11:$E$7984,5,FALSE))</f>
        <v/>
      </c>
      <c r="I3348" s="382" t="str">
        <f>IF(H3348="","",IF(E3348=H3348,"SIM","NÃO"))</f>
        <v/>
      </c>
      <c r="J3348" s="382" t="str">
        <f>IF(H3348="","",VLOOKUP(A3348,'6.A'!$A$11:$E$564,4,FALSE))</f>
        <v/>
      </c>
      <c r="K3348" s="382" t="str">
        <f>IF(H3348="","",IF(J3348=D3348,"SIM","NÃO"))</f>
        <v/>
      </c>
      <c r="L3348" s="382" t="str">
        <f>IF(H3348="","",IF(C3348="","",G3340*C3348))</f>
        <v/>
      </c>
      <c r="M3348" s="117" t="str">
        <f>IF(A3348="","",VLOOKUP(A3348,'6.A'!$A$11:$C$564,2,FALSE))</f>
        <v/>
      </c>
      <c r="N3348" s="381" t="str">
        <f>IF(A3348="","",IF(M3348=B3348,"si","no"))</f>
        <v/>
      </c>
      <c r="O3348" s="56"/>
      <c r="P3348" s="56"/>
      <c r="Q3348" s="48"/>
      <c r="R3348" s="48"/>
      <c r="S3348" s="65"/>
      <c r="T3348" s="2"/>
      <c r="U3348" s="2"/>
      <c r="V3348" s="2"/>
    </row>
    <row r="3349" spans="1:22" s="137" customFormat="1" ht="12.75" customHeight="1" x14ac:dyDescent="0.2">
      <c r="A3349" s="155"/>
      <c r="B3349" s="138" t="str">
        <f>IF(A3349="","",VLOOKUP(A3349,'6.A'!$A$11:$G$180,2,FALSE))</f>
        <v/>
      </c>
      <c r="C3349" s="156"/>
      <c r="D3349" s="141" t="str">
        <f>IF(A3349="","",VLOOKUP(A3349,'6.A'!$A$11:$G$180,4,FALSE))</f>
        <v/>
      </c>
      <c r="E3349" s="158" t="str">
        <f>IF(A3349="","",VLOOKUP(A3349,'6.A'!$A$11:$G$180,5,FALSE))</f>
        <v/>
      </c>
      <c r="F3349" s="159" t="str">
        <f t="shared" si="1432"/>
        <v>0,00</v>
      </c>
      <c r="G3349" s="382"/>
      <c r="H3349" s="382" t="str">
        <f>IF(A3349="","",VLOOKUP(A3349,'6.A'!$A$11:$E$7984,5,FALSE))</f>
        <v/>
      </c>
      <c r="I3349" s="382" t="str">
        <f t="shared" ref="I3349" si="1438">IF(H3349="","",IF(E3349=H3349,"SIM","NÃO"))</f>
        <v/>
      </c>
      <c r="J3349" s="382" t="str">
        <f>IF(H3349="","",VLOOKUP(A3349,'6.A'!$A$11:$E$564,4,FALSE))</f>
        <v/>
      </c>
      <c r="K3349" s="382" t="str">
        <f t="shared" ref="K3349" si="1439">IF(H3349="","",IF(J3349=D3349,"SIM","NÃO"))</f>
        <v/>
      </c>
      <c r="L3349" s="382" t="str">
        <f>IF(H3349="","",IF(C3349="","",G3340*C3349))</f>
        <v/>
      </c>
      <c r="M3349" s="117" t="str">
        <f>IF(A3349="","",VLOOKUP(A3349,'6.A'!$A$11:$C$564,2,FALSE))</f>
        <v/>
      </c>
      <c r="N3349" s="381" t="str">
        <f t="shared" ref="N3349" si="1440">IF(A3349="","",IF(M3349=B3349,"si","no"))</f>
        <v/>
      </c>
      <c r="O3349" s="56"/>
      <c r="P3349" s="56"/>
      <c r="Q3349" s="48"/>
      <c r="R3349" s="48"/>
      <c r="S3349" s="65"/>
      <c r="T3349" s="2"/>
      <c r="U3349" s="2"/>
      <c r="V3349" s="2"/>
    </row>
    <row r="3350" spans="1:22" s="137" customFormat="1" ht="12.75" customHeight="1" x14ac:dyDescent="0.2">
      <c r="A3350" s="155"/>
      <c r="B3350" s="138" t="str">
        <f>IF(A3350="","",VLOOKUP(A3350,'6.A'!$A$11:$G$180,2,FALSE))</f>
        <v/>
      </c>
      <c r="C3350" s="156"/>
      <c r="D3350" s="141" t="str">
        <f>IF(A3350="","",VLOOKUP(A3350,'6.A'!$A$11:$G$180,4,FALSE))</f>
        <v/>
      </c>
      <c r="E3350" s="158" t="str">
        <f>IF(A3350="","",VLOOKUP(A3350,'6.A'!$A$11:$G$180,5,FALSE))</f>
        <v/>
      </c>
      <c r="F3350" s="159" t="str">
        <f t="shared" si="1432"/>
        <v>0,00</v>
      </c>
      <c r="G3350" s="382"/>
      <c r="H3350" s="382" t="str">
        <f>IF(A3350="","",VLOOKUP(A3350,'6.A'!$A$11:$E$7984,5,FALSE))</f>
        <v/>
      </c>
      <c r="I3350" s="382" t="str">
        <f>IF(H3350="","",IF(E3350=H3350,"SIM","NÃO"))</f>
        <v/>
      </c>
      <c r="J3350" s="382" t="str">
        <f>IF(H3350="","",VLOOKUP(A3350,'6.A'!$A$11:$E$564,4,FALSE))</f>
        <v/>
      </c>
      <c r="K3350" s="382" t="str">
        <f>IF(H3350="","",IF(J3350=D3350,"SIM","NÃO"))</f>
        <v/>
      </c>
      <c r="L3350" s="382" t="str">
        <f>IF(H3350="","",IF(C3350="","",G3340*C3350))</f>
        <v/>
      </c>
      <c r="M3350" s="117" t="str">
        <f>IF(A3350="","",VLOOKUP(A3350,'6.A'!$A$11:$C$564,2,FALSE))</f>
        <v/>
      </c>
      <c r="N3350" s="381" t="str">
        <f>IF(A3350="","",IF(M3350=B3350,"si","no"))</f>
        <v/>
      </c>
      <c r="O3350" s="56"/>
      <c r="P3350" s="56"/>
      <c r="Q3350" s="48"/>
      <c r="R3350" s="48"/>
      <c r="S3350" s="65"/>
      <c r="T3350" s="2"/>
      <c r="U3350" s="2"/>
      <c r="V3350" s="2"/>
    </row>
    <row r="3351" spans="1:22" s="137" customFormat="1" ht="12.75" customHeight="1" x14ac:dyDescent="0.2">
      <c r="A3351" s="155"/>
      <c r="B3351" s="138" t="str">
        <f>IF(A3351="","",VLOOKUP(A3351,'6.A'!$A$11:$G$180,2,FALSE))</f>
        <v/>
      </c>
      <c r="C3351" s="156"/>
      <c r="D3351" s="161" t="str">
        <f>IF(A3351="","",VLOOKUP(A3351,'6.A'!$A$11:$G$180,4,FALSE))</f>
        <v/>
      </c>
      <c r="E3351" s="158" t="str">
        <f>IF(A3351="","",VLOOKUP(A3351,'6.A'!$A$11:$G$180,5,FALSE))</f>
        <v/>
      </c>
      <c r="F3351" s="159" t="str">
        <f t="shared" si="1432"/>
        <v>0,00</v>
      </c>
      <c r="G3351" s="382"/>
      <c r="H3351" s="382" t="str">
        <f>IF(A3351="","",VLOOKUP(A3351,'6.A'!$A$11:$E$7984,5,FALSE))</f>
        <v/>
      </c>
      <c r="I3351" s="382" t="str">
        <f t="shared" ref="I3351" si="1441">IF(H3351="","",IF(E3351=H3351,"SIM","NÃO"))</f>
        <v/>
      </c>
      <c r="J3351" s="382" t="str">
        <f>IF(H3351="","",VLOOKUP(A3351,'6.A'!$A$11:$E$564,4,FALSE))</f>
        <v/>
      </c>
      <c r="K3351" s="382" t="str">
        <f t="shared" ref="K3351" si="1442">IF(H3351="","",IF(J3351=D3351,"SIM","NÃO"))</f>
        <v/>
      </c>
      <c r="L3351" s="382" t="str">
        <f>IF(H3351="","",IF(C3351="","",G3340*C3351))</f>
        <v/>
      </c>
      <c r="M3351" s="117" t="str">
        <f>IF(A3351="","",VLOOKUP(A3351,'6.A'!$A$11:$C$564,2,FALSE))</f>
        <v/>
      </c>
      <c r="N3351" s="381" t="str">
        <f t="shared" ref="N3351" si="1443">IF(A3351="","",IF(M3351=B3351,"si","no"))</f>
        <v/>
      </c>
      <c r="O3351" s="56"/>
      <c r="P3351" s="56"/>
      <c r="Q3351" s="48"/>
      <c r="R3351" s="48"/>
      <c r="S3351" s="65"/>
      <c r="T3351" s="2"/>
      <c r="U3351" s="2"/>
      <c r="V3351" s="2"/>
    </row>
    <row r="3352" spans="1:22" s="137" customFormat="1" ht="12.75" customHeight="1" x14ac:dyDescent="0.2">
      <c r="A3352" s="152"/>
      <c r="B3352" s="26" t="str">
        <f>$A$8</f>
        <v>LEIS SOCIAIS HORISTA - JORNADA NORMAL</v>
      </c>
      <c r="C3352" s="27">
        <f>$C$8</f>
        <v>0</v>
      </c>
      <c r="D3352" s="141"/>
      <c r="E3352" s="147"/>
      <c r="F3352" s="162">
        <f>ROUND(SUM(F3342:F3351)*C3352,2)</f>
        <v>0</v>
      </c>
      <c r="G3352" s="63"/>
      <c r="H3352" s="382"/>
      <c r="I3352" s="381"/>
      <c r="J3352" s="381"/>
      <c r="K3352" s="381"/>
      <c r="L3352" s="382"/>
      <c r="M3352" s="62"/>
      <c r="N3352" s="381"/>
      <c r="O3352" s="56"/>
      <c r="P3352" s="56"/>
      <c r="Q3352" s="48"/>
      <c r="R3352" s="48"/>
      <c r="S3352" s="65"/>
      <c r="T3352" s="2"/>
      <c r="U3352" s="2"/>
      <c r="V3352" s="2"/>
    </row>
    <row r="3353" spans="1:22" s="137" customFormat="1" ht="12.75" customHeight="1" x14ac:dyDescent="0.2">
      <c r="A3353" s="155"/>
      <c r="B3353" s="26" t="str">
        <f>$A$9</f>
        <v>BDI</v>
      </c>
      <c r="C3353" s="27">
        <f>$C$9</f>
        <v>0</v>
      </c>
      <c r="D3353" s="136"/>
      <c r="E3353" s="147"/>
      <c r="F3353" s="162">
        <f>ROUND(SUM(F3342:F3352)*C3353,2)</f>
        <v>0</v>
      </c>
      <c r="G3353" s="63"/>
      <c r="H3353" s="382"/>
      <c r="I3353" s="381"/>
      <c r="J3353" s="381"/>
      <c r="K3353" s="381"/>
      <c r="L3353" s="382"/>
      <c r="M3353" s="62"/>
      <c r="N3353" s="381"/>
      <c r="O3353" s="56"/>
      <c r="P3353" s="56"/>
      <c r="Q3353" s="48"/>
      <c r="R3353" s="48"/>
      <c r="S3353" s="65"/>
      <c r="T3353" s="2"/>
      <c r="U3353" s="2"/>
      <c r="V3353" s="2"/>
    </row>
    <row r="3354" spans="1:22" s="149" customFormat="1" ht="12.75" customHeight="1" x14ac:dyDescent="0.2">
      <c r="A3354" s="163"/>
      <c r="B3354" s="164" t="s">
        <v>56</v>
      </c>
      <c r="C3354" s="165"/>
      <c r="D3354" s="166"/>
      <c r="E3354" s="167"/>
      <c r="F3354" s="168">
        <f>ROUND(SUM(F3342:F3353),2)</f>
        <v>0</v>
      </c>
      <c r="G3354" s="63"/>
      <c r="H3354" s="382"/>
      <c r="I3354" s="381"/>
      <c r="J3354" s="381"/>
      <c r="K3354" s="381"/>
      <c r="L3354" s="382"/>
      <c r="M3354" s="62"/>
      <c r="N3354" s="381"/>
      <c r="O3354" s="56"/>
      <c r="P3354" s="56"/>
      <c r="Q3354" s="48"/>
      <c r="R3354" s="48"/>
      <c r="S3354" s="65"/>
      <c r="T3354" s="2"/>
      <c r="U3354" s="2"/>
      <c r="V3354" s="2"/>
    </row>
    <row r="3355" spans="1:22" s="149" customFormat="1" ht="12.75" customHeight="1" x14ac:dyDescent="0.2">
      <c r="A3355" s="152" t="s">
        <v>5</v>
      </c>
      <c r="B3355" s="153" t="s">
        <v>130</v>
      </c>
      <c r="C3355" s="140" t="s">
        <v>59</v>
      </c>
      <c r="D3355" s="140" t="s">
        <v>16</v>
      </c>
      <c r="E3355" s="154" t="s">
        <v>60</v>
      </c>
      <c r="F3355" s="148" t="s">
        <v>61</v>
      </c>
      <c r="G3355" s="21"/>
      <c r="H3355" s="382"/>
      <c r="I3355" s="381"/>
      <c r="J3355" s="381"/>
      <c r="K3355" s="381"/>
      <c r="L3355" s="382"/>
      <c r="M3355" s="62"/>
      <c r="N3355" s="381"/>
      <c r="O3355" s="56"/>
      <c r="P3355" s="56"/>
      <c r="Q3355" s="48"/>
      <c r="R3355" s="48"/>
      <c r="S3355" s="65"/>
      <c r="T3355" s="2"/>
      <c r="U3355" s="2"/>
      <c r="V3355" s="2"/>
    </row>
    <row r="3356" spans="1:22" s="149" customFormat="1" ht="12.75" customHeight="1" x14ac:dyDescent="0.2">
      <c r="A3356" s="155"/>
      <c r="B3356" s="138" t="str">
        <f>IF(A3356="","",VLOOKUP(A3356,'6.A'!$A$11:$G$180,2,FALSE))</f>
        <v/>
      </c>
      <c r="C3356" s="156"/>
      <c r="D3356" s="157" t="str">
        <f>IF(A3356="","",VLOOKUP(A3356,'6.A'!$A$11:$G$180,4,FALSE))</f>
        <v/>
      </c>
      <c r="E3356" s="158" t="str">
        <f>IF(A3356="","",VLOOKUP(A3356,'6.A'!$A$11:$G$180,5,FALSE))</f>
        <v/>
      </c>
      <c r="F3356" s="159" t="str">
        <f t="shared" ref="F3356:F3357" si="1444">IF(A3356="","0,00",ROUND(C3356*E3356,2))</f>
        <v>0,00</v>
      </c>
      <c r="G3356" s="382"/>
      <c r="H3356" s="382" t="str">
        <f>IF(A3356="","",VLOOKUP(A3356,'6.A'!$A$11:$E$7984,5,FALSE))</f>
        <v/>
      </c>
      <c r="I3356" s="382" t="str">
        <f t="shared" ref="I3356:I3357" si="1445">IF(H3356="","",IF(E3356=H3356,"SIM","NÃO"))</f>
        <v/>
      </c>
      <c r="J3356" s="382" t="str">
        <f>IF(H3356="","",VLOOKUP(A3356,'6.A'!$A$11:$E$564,4,FALSE))</f>
        <v/>
      </c>
      <c r="K3356" s="382" t="str">
        <f t="shared" ref="K3356:K3357" si="1446">IF(H3356="","",IF(J3356=D3356,"SIM","NÃO"))</f>
        <v/>
      </c>
      <c r="L3356" s="382" t="str">
        <f>IF(H3356="","",IF(C3356="","",G3340*C3356))</f>
        <v/>
      </c>
      <c r="M3356" s="117" t="str">
        <f>IF(A3356="","",VLOOKUP(A3356,'6.A'!$A$11:$C$564,2,FALSE))</f>
        <v/>
      </c>
      <c r="N3356" s="381" t="str">
        <f t="shared" ref="N3356:N3357" si="1447">IF(A3356="","",IF(M3356=B3356,"si","no"))</f>
        <v/>
      </c>
      <c r="O3356" s="56"/>
      <c r="P3356" s="56"/>
      <c r="Q3356" s="48"/>
      <c r="R3356" s="48"/>
      <c r="S3356" s="65"/>
      <c r="T3356" s="2"/>
      <c r="U3356" s="2"/>
      <c r="V3356" s="2"/>
    </row>
    <row r="3357" spans="1:22" s="149" customFormat="1" ht="12.75" customHeight="1" x14ac:dyDescent="0.2">
      <c r="A3357" s="155"/>
      <c r="B3357" s="138" t="str">
        <f>IF(A3357="","",VLOOKUP(A3357,'6.A'!$A$11:$G$180,2,FALSE))</f>
        <v/>
      </c>
      <c r="C3357" s="156"/>
      <c r="D3357" s="157" t="str">
        <f>IF(A3357="","",VLOOKUP(A3357,'6.A'!$A$11:$G$180,4,FALSE))</f>
        <v/>
      </c>
      <c r="E3357" s="158" t="str">
        <f>IF(A3357="","",VLOOKUP(A3357,'6.A'!$A$11:$G$180,5,FALSE))</f>
        <v/>
      </c>
      <c r="F3357" s="159" t="str">
        <f t="shared" si="1444"/>
        <v>0,00</v>
      </c>
      <c r="G3357" s="382"/>
      <c r="H3357" s="382" t="str">
        <f>IF(A3357="","",VLOOKUP(A3357,'6.A'!$A$11:$E$7984,5,FALSE))</f>
        <v/>
      </c>
      <c r="I3357" s="382" t="str">
        <f t="shared" si="1445"/>
        <v/>
      </c>
      <c r="J3357" s="382" t="str">
        <f>IF(H3357="","",VLOOKUP(A3357,'6.A'!$A$11:$E$564,4,FALSE))</f>
        <v/>
      </c>
      <c r="K3357" s="382" t="str">
        <f t="shared" si="1446"/>
        <v/>
      </c>
      <c r="L3357" s="382" t="str">
        <f>IF(H3357="","",IF(C3357="","",G3340*C3357))</f>
        <v/>
      </c>
      <c r="M3357" s="117" t="str">
        <f>IF(A3357="","",VLOOKUP(A3357,'6.A'!$A$11:$C$564,2,FALSE))</f>
        <v/>
      </c>
      <c r="N3357" s="381" t="str">
        <f t="shared" si="1447"/>
        <v/>
      </c>
      <c r="O3357" s="56"/>
      <c r="P3357" s="56"/>
      <c r="Q3357" s="48"/>
      <c r="R3357" s="48"/>
      <c r="S3357" s="65"/>
      <c r="T3357" s="2"/>
      <c r="U3357" s="2"/>
      <c r="V3357" s="2"/>
    </row>
    <row r="3358" spans="1:22" s="149" customFormat="1" ht="12.75" customHeight="1" x14ac:dyDescent="0.2">
      <c r="A3358" s="155"/>
      <c r="B3358" s="138" t="str">
        <f>IF(A3358="","",VLOOKUP(A3358,'6.A'!$A$11:$G$180,2,FALSE))</f>
        <v/>
      </c>
      <c r="C3358" s="156"/>
      <c r="D3358" s="157" t="str">
        <f>IF(A3358="","",VLOOKUP(A3358,'6.A'!$A$11:$G$180,4,FALSE))</f>
        <v/>
      </c>
      <c r="E3358" s="158" t="str">
        <f>IF(A3358="","",VLOOKUP(A3358,'6.A'!$A$11:$G$180,5,FALSE))</f>
        <v/>
      </c>
      <c r="F3358" s="159" t="str">
        <f>IF(A3358="","0,00",ROUND(C3358*E3358,2))</f>
        <v>0,00</v>
      </c>
      <c r="G3358" s="382"/>
      <c r="H3358" s="382" t="str">
        <f>IF(A3358="","",VLOOKUP(A3358,'6.A'!$A$11:$E$7984,5,FALSE))</f>
        <v/>
      </c>
      <c r="I3358" s="382" t="str">
        <f>IF(H3358="","",IF(E3358=H3358,"SIM","NÃO"))</f>
        <v/>
      </c>
      <c r="J3358" s="382" t="str">
        <f>IF(H3358="","",VLOOKUP(A3358,'6.A'!$A$11:$E$564,4,FALSE))</f>
        <v/>
      </c>
      <c r="K3358" s="382" t="str">
        <f>IF(H3358="","",IF(J3358=D3358,"SIM","NÃO"))</f>
        <v/>
      </c>
      <c r="L3358" s="382" t="str">
        <f>IF(H3358="","",IF(C3358="","",G3340*C3358))</f>
        <v/>
      </c>
      <c r="M3358" s="117" t="str">
        <f>IF(A3358="","",VLOOKUP(A3358,'6.A'!$A$11:$C$564,2,FALSE))</f>
        <v/>
      </c>
      <c r="N3358" s="381" t="str">
        <f>IF(A3358="","",IF(M3358=B3358,"si","no"))</f>
        <v/>
      </c>
      <c r="O3358" s="56"/>
      <c r="P3358" s="56"/>
      <c r="Q3358" s="48"/>
      <c r="R3358" s="48"/>
      <c r="S3358" s="65"/>
      <c r="T3358" s="2"/>
      <c r="U3358" s="2"/>
      <c r="V3358" s="2"/>
    </row>
    <row r="3359" spans="1:22" s="149" customFormat="1" ht="12.75" customHeight="1" x14ac:dyDescent="0.2">
      <c r="A3359" s="155"/>
      <c r="B3359" s="176" t="str">
        <f>IF(A3359="","",VLOOKUP(A3359,'6.A'!$A$11:$G$180,2,FALSE))</f>
        <v/>
      </c>
      <c r="C3359" s="156"/>
      <c r="D3359" s="141" t="str">
        <f>IF(A3359="","",VLOOKUP(A3359,'6.A'!$A$11:$G$180,4,FALSE))</f>
        <v/>
      </c>
      <c r="E3359" s="160" t="str">
        <f>IF(A3359="","",VLOOKUP(A3359,'6.A'!$A$11:$G$180,5,FALSE))</f>
        <v/>
      </c>
      <c r="F3359" s="159" t="str">
        <f t="shared" ref="F3359:F3365" si="1448">IF(A3359="","0,00",ROUND(C3359*E3359,2))</f>
        <v>0,00</v>
      </c>
      <c r="G3359" s="382"/>
      <c r="H3359" s="382" t="str">
        <f>IF(A3359="","",VLOOKUP(A3359,'6.A'!$A$11:$E$7984,5,FALSE))</f>
        <v/>
      </c>
      <c r="I3359" s="382" t="str">
        <f t="shared" ref="I3359:I3365" si="1449">IF(H3359="","",IF(E3359=H3359,"SIM","NÃO"))</f>
        <v/>
      </c>
      <c r="J3359" s="382" t="str">
        <f>IF(H3359="","",VLOOKUP(A3359,'6.A'!$A$11:$E$564,4,FALSE))</f>
        <v/>
      </c>
      <c r="K3359" s="382" t="str">
        <f t="shared" ref="K3359:K3365" si="1450">IF(H3359="","",IF(J3359=D3359,"SIM","NÃO"))</f>
        <v/>
      </c>
      <c r="L3359" s="382" t="str">
        <f>IF(H3359="","",IF(C3359="","",G3340*C3359))</f>
        <v/>
      </c>
      <c r="M3359" s="117" t="str">
        <f>IF(A3359="","",VLOOKUP(A3359,'6.A'!$A$11:$C$564,2,FALSE))</f>
        <v/>
      </c>
      <c r="N3359" s="381" t="str">
        <f t="shared" ref="N3359:N3361" si="1451">IF(A3359="","",IF(M3359=B3359,"si","no"))</f>
        <v/>
      </c>
      <c r="O3359" s="56"/>
      <c r="P3359" s="56"/>
      <c r="Q3359" s="48"/>
      <c r="R3359" s="48"/>
      <c r="S3359" s="65"/>
      <c r="T3359" s="2"/>
      <c r="U3359" s="2"/>
      <c r="V3359" s="2"/>
    </row>
    <row r="3360" spans="1:22" s="149" customFormat="1" ht="12.75" customHeight="1" x14ac:dyDescent="0.2">
      <c r="A3360" s="155"/>
      <c r="B3360" s="176" t="str">
        <f>IF(A3360="","",VLOOKUP(A3360,'6.A'!$A$11:$G$180,2,FALSE))</f>
        <v/>
      </c>
      <c r="C3360" s="156"/>
      <c r="D3360" s="141" t="str">
        <f>IF(A3360="","",VLOOKUP(A3360,'6.A'!$A$11:$G$180,4,FALSE))</f>
        <v/>
      </c>
      <c r="E3360" s="160" t="str">
        <f>IF(A3360="","",VLOOKUP(A3360,'6.A'!$A$11:$G$180,5,FALSE))</f>
        <v/>
      </c>
      <c r="F3360" s="159" t="str">
        <f t="shared" si="1448"/>
        <v>0,00</v>
      </c>
      <c r="G3360" s="382"/>
      <c r="H3360" s="382" t="str">
        <f>IF(A3360="","",VLOOKUP(A3360,'6.A'!$A$11:$E$7984,5,FALSE))</f>
        <v/>
      </c>
      <c r="I3360" s="382" t="str">
        <f t="shared" si="1449"/>
        <v/>
      </c>
      <c r="J3360" s="382" t="str">
        <f>IF(H3360="","",VLOOKUP(A3360,'6.A'!$A$11:$E$564,4,FALSE))</f>
        <v/>
      </c>
      <c r="K3360" s="382" t="str">
        <f t="shared" si="1450"/>
        <v/>
      </c>
      <c r="L3360" s="382" t="str">
        <f>IF(H3360="","",IF(C3360="","",G3340*C3360))</f>
        <v/>
      </c>
      <c r="M3360" s="117" t="str">
        <f>IF(A3360="","",VLOOKUP(A3360,'6.A'!$A$11:$C$564,2,FALSE))</f>
        <v/>
      </c>
      <c r="N3360" s="381" t="str">
        <f t="shared" si="1451"/>
        <v/>
      </c>
      <c r="O3360" s="56"/>
      <c r="P3360" s="56"/>
      <c r="Q3360" s="48"/>
      <c r="R3360" s="48"/>
      <c r="S3360" s="65"/>
      <c r="T3360" s="2"/>
      <c r="U3360" s="2"/>
      <c r="V3360" s="2"/>
    </row>
    <row r="3361" spans="1:22" s="149" customFormat="1" ht="12.75" customHeight="1" x14ac:dyDescent="0.2">
      <c r="A3361" s="155"/>
      <c r="B3361" s="176" t="str">
        <f>IF(A3361="","",VLOOKUP(A3361,'6.A'!$A$11:$G$180,2,FALSE))</f>
        <v/>
      </c>
      <c r="C3361" s="156"/>
      <c r="D3361" s="141" t="str">
        <f>IF(A3361="","",VLOOKUP(A3361,'6.A'!$A$11:$G$180,4,FALSE))</f>
        <v/>
      </c>
      <c r="E3361" s="160" t="str">
        <f>IF(A3361="","",VLOOKUP(A3361,'6.A'!$A$11:$G$180,5,FALSE))</f>
        <v/>
      </c>
      <c r="F3361" s="159" t="str">
        <f t="shared" si="1448"/>
        <v>0,00</v>
      </c>
      <c r="G3361" s="382"/>
      <c r="H3361" s="382" t="str">
        <f>IF(A3361="","",VLOOKUP(A3361,'6.A'!$A$11:$E$7984,5,FALSE))</f>
        <v/>
      </c>
      <c r="I3361" s="382" t="str">
        <f t="shared" si="1449"/>
        <v/>
      </c>
      <c r="J3361" s="382" t="str">
        <f>IF(H3361="","",VLOOKUP(A3361,'6.A'!$A$11:$E$564,4,FALSE))</f>
        <v/>
      </c>
      <c r="K3361" s="382" t="str">
        <f t="shared" si="1450"/>
        <v/>
      </c>
      <c r="L3361" s="382" t="str">
        <f>IF(H3361="","",IF(C3361="","",G3340*C3361))</f>
        <v/>
      </c>
      <c r="M3361" s="117" t="str">
        <f>IF(A3361="","",VLOOKUP(A3361,'6.A'!$A$11:$C$564,2,FALSE))</f>
        <v/>
      </c>
      <c r="N3361" s="381" t="str">
        <f t="shared" si="1451"/>
        <v/>
      </c>
      <c r="O3361" s="56"/>
      <c r="P3361" s="56"/>
      <c r="Q3361" s="48"/>
      <c r="R3361" s="48"/>
      <c r="S3361" s="65"/>
      <c r="T3361" s="2"/>
      <c r="U3361" s="2"/>
      <c r="V3361" s="2"/>
    </row>
    <row r="3362" spans="1:22" s="149" customFormat="1" ht="12.75" customHeight="1" x14ac:dyDescent="0.2">
      <c r="A3362" s="155"/>
      <c r="B3362" s="176" t="str">
        <f>IF(A3362="","",VLOOKUP(A3362,'6.A'!$A$11:$G$180,2,FALSE))</f>
        <v/>
      </c>
      <c r="C3362" s="156"/>
      <c r="D3362" s="141" t="str">
        <f>IF(A3362="","",VLOOKUP(A3362,'6.A'!$A$11:$G$180,4,FALSE))</f>
        <v/>
      </c>
      <c r="E3362" s="160" t="str">
        <f>IF(A3362="","",VLOOKUP(A3362,'6.A'!$A$11:$G$180,5,FALSE))</f>
        <v/>
      </c>
      <c r="F3362" s="159" t="str">
        <f t="shared" si="1448"/>
        <v>0,00</v>
      </c>
      <c r="G3362" s="382"/>
      <c r="H3362" s="382" t="str">
        <f>IF(A3362="","",VLOOKUP(A3362,'6.A'!$A$11:$E$7984,5,FALSE))</f>
        <v/>
      </c>
      <c r="I3362" s="382" t="str">
        <f t="shared" si="1449"/>
        <v/>
      </c>
      <c r="J3362" s="382" t="str">
        <f>IF(H3362="","",VLOOKUP(A3362,'6.A'!$A$11:$E$564,4,FALSE))</f>
        <v/>
      </c>
      <c r="K3362" s="382" t="str">
        <f t="shared" si="1450"/>
        <v/>
      </c>
      <c r="L3362" s="382" t="str">
        <f>IF(H3362="","",IF(C3362="","",G3340*C3362))</f>
        <v/>
      </c>
      <c r="M3362" s="117" t="str">
        <f>IF(A3362="","",VLOOKUP(A3362,'6.A'!$A$11:$C$564,2,FALSE))</f>
        <v/>
      </c>
      <c r="N3362" s="381" t="str">
        <f>IF(A3362="","",IF(M3362=B3362,"si","no"))</f>
        <v/>
      </c>
      <c r="O3362" s="56"/>
      <c r="P3362" s="56"/>
      <c r="Q3362" s="48"/>
      <c r="R3362" s="48"/>
      <c r="S3362" s="65"/>
      <c r="T3362" s="2"/>
      <c r="U3362" s="2"/>
      <c r="V3362" s="2"/>
    </row>
    <row r="3363" spans="1:22" s="149" customFormat="1" ht="12.75" customHeight="1" x14ac:dyDescent="0.2">
      <c r="A3363" s="155"/>
      <c r="B3363" s="138" t="str">
        <f>IF(A3363="","",VLOOKUP(A3363,'6.A'!$A$11:$G$180,2,FALSE))</f>
        <v/>
      </c>
      <c r="C3363" s="156"/>
      <c r="D3363" s="141" t="str">
        <f>IF(A3363="","",VLOOKUP(A3363,'6.A'!$A$11:$G$180,4,FALSE))</f>
        <v/>
      </c>
      <c r="E3363" s="160" t="str">
        <f>IF(A3363="","",VLOOKUP(A3363,'6.A'!$A$11:$G$180,5,FALSE))</f>
        <v/>
      </c>
      <c r="F3363" s="159" t="str">
        <f t="shared" si="1448"/>
        <v>0,00</v>
      </c>
      <c r="G3363" s="382"/>
      <c r="H3363" s="382" t="str">
        <f>IF(A3363="","",VLOOKUP(A3363,'6.A'!$A$11:$E$7984,5,FALSE))</f>
        <v/>
      </c>
      <c r="I3363" s="382" t="str">
        <f t="shared" si="1449"/>
        <v/>
      </c>
      <c r="J3363" s="382" t="str">
        <f>IF(H3363="","",VLOOKUP(A3363,'6.A'!$A$11:$E$564,4,FALSE))</f>
        <v/>
      </c>
      <c r="K3363" s="382" t="str">
        <f t="shared" si="1450"/>
        <v/>
      </c>
      <c r="L3363" s="382" t="str">
        <f>IF(H3363="","",IF(C3363="","",G3340*C3363))</f>
        <v/>
      </c>
      <c r="M3363" s="117" t="str">
        <f>IF(A3363="","",VLOOKUP(A3363,'6.A'!$A$11:$C$564,2,FALSE))</f>
        <v/>
      </c>
      <c r="N3363" s="381" t="str">
        <f>IF(A3363="","",IF(M3363=B3363,"si","no"))</f>
        <v/>
      </c>
      <c r="O3363" s="56"/>
      <c r="P3363" s="56"/>
      <c r="Q3363" s="48"/>
      <c r="R3363" s="48"/>
      <c r="S3363" s="65"/>
      <c r="T3363" s="2"/>
      <c r="U3363" s="2"/>
      <c r="V3363" s="2"/>
    </row>
    <row r="3364" spans="1:22" s="149" customFormat="1" ht="12.75" customHeight="1" x14ac:dyDescent="0.2">
      <c r="A3364" s="155"/>
      <c r="B3364" s="138" t="str">
        <f>IF(A3364="","",VLOOKUP(A3364,'6.A'!$A$11:$G$180,2,FALSE))</f>
        <v/>
      </c>
      <c r="C3364" s="156"/>
      <c r="D3364" s="141" t="str">
        <f>IF(A3364="","",VLOOKUP(A3364,'6.A'!$A$11:$G$180,4,FALSE))</f>
        <v/>
      </c>
      <c r="E3364" s="160" t="str">
        <f>IF(A3364="","",VLOOKUP(A3364,'6.A'!$A$11:$G$180,5,FALSE))</f>
        <v/>
      </c>
      <c r="F3364" s="159" t="str">
        <f t="shared" si="1448"/>
        <v>0,00</v>
      </c>
      <c r="G3364" s="382"/>
      <c r="H3364" s="382" t="str">
        <f>IF(A3364="","",VLOOKUP(A3364,'6.A'!$A$11:$E$7984,5,FALSE))</f>
        <v/>
      </c>
      <c r="I3364" s="382" t="str">
        <f t="shared" si="1449"/>
        <v/>
      </c>
      <c r="J3364" s="382" t="str">
        <f>IF(H3364="","",VLOOKUP(A3364,'6.A'!$A$11:$E$564,4,FALSE))</f>
        <v/>
      </c>
      <c r="K3364" s="382" t="str">
        <f t="shared" si="1450"/>
        <v/>
      </c>
      <c r="L3364" s="382" t="str">
        <f>IF(H3364="","",IF(C3364="","",G3340*C3364))</f>
        <v/>
      </c>
      <c r="M3364" s="117" t="str">
        <f>IF(A3364="","",VLOOKUP(A3364,'6.A'!$A$11:$C$564,2,FALSE))</f>
        <v/>
      </c>
      <c r="N3364" s="381" t="str">
        <f t="shared" ref="N3364:N3365" si="1452">IF(A3364="","",IF(M3364=B3364,"si","no"))</f>
        <v/>
      </c>
      <c r="O3364" s="56"/>
      <c r="P3364" s="56"/>
      <c r="Q3364" s="48"/>
      <c r="R3364" s="48"/>
      <c r="S3364" s="65"/>
      <c r="T3364" s="2"/>
      <c r="U3364" s="2"/>
      <c r="V3364" s="2"/>
    </row>
    <row r="3365" spans="1:22" s="149" customFormat="1" ht="12.75" customHeight="1" x14ac:dyDescent="0.2">
      <c r="A3365" s="155"/>
      <c r="B3365" s="138" t="str">
        <f>IF(A3365="","",VLOOKUP(A3365,'6.A'!$A$11:$G$180,2,FALSE))</f>
        <v/>
      </c>
      <c r="C3365" s="156"/>
      <c r="D3365" s="141" t="str">
        <f>IF(A3365="","",VLOOKUP(A3365,'6.A'!$A$11:$G$180,4,FALSE))</f>
        <v/>
      </c>
      <c r="E3365" s="160" t="str">
        <f>IF(A3365="","",VLOOKUP(A3365,'6.A'!$A$11:$G$180,5,FALSE))</f>
        <v/>
      </c>
      <c r="F3365" s="159" t="str">
        <f t="shared" si="1448"/>
        <v>0,00</v>
      </c>
      <c r="G3365" s="382"/>
      <c r="H3365" s="382" t="str">
        <f>IF(A3365="","",VLOOKUP(A3365,'6.A'!$A$11:$E$7984,5,FALSE))</f>
        <v/>
      </c>
      <c r="I3365" s="382" t="str">
        <f t="shared" si="1449"/>
        <v/>
      </c>
      <c r="J3365" s="382" t="str">
        <f>IF(H3365="","",VLOOKUP(A3365,'6.A'!$A$11:$E$564,4,FALSE))</f>
        <v/>
      </c>
      <c r="K3365" s="382" t="str">
        <f t="shared" si="1450"/>
        <v/>
      </c>
      <c r="L3365" s="382" t="str">
        <f>IF(H3365="","",IF(C3365="","",G3340*C3365))</f>
        <v/>
      </c>
      <c r="M3365" s="117" t="str">
        <f>IF(A3365="","",VLOOKUP(A3365,'6.A'!$A$11:$C$564,2,FALSE))</f>
        <v/>
      </c>
      <c r="N3365" s="381" t="str">
        <f t="shared" si="1452"/>
        <v/>
      </c>
      <c r="O3365" s="56"/>
      <c r="P3365" s="56"/>
      <c r="Q3365" s="48"/>
      <c r="R3365" s="48"/>
      <c r="S3365" s="65"/>
      <c r="T3365" s="2"/>
      <c r="U3365" s="2"/>
      <c r="V3365" s="2"/>
    </row>
    <row r="3366" spans="1:22" s="149" customFormat="1" ht="12.75" customHeight="1" x14ac:dyDescent="0.2">
      <c r="A3366" s="155"/>
      <c r="B3366" s="26" t="str">
        <f>$A$9</f>
        <v>BDI</v>
      </c>
      <c r="C3366" s="27">
        <f>$C$9</f>
        <v>0</v>
      </c>
      <c r="D3366" s="141"/>
      <c r="E3366" s="147"/>
      <c r="F3366" s="162">
        <f>ROUND(SUM(F3356:F3365)*C3366,2)</f>
        <v>0</v>
      </c>
      <c r="G3366" s="63"/>
      <c r="H3366" s="382"/>
      <c r="I3366" s="381"/>
      <c r="J3366" s="381"/>
      <c r="K3366" s="381"/>
      <c r="L3366" s="382"/>
      <c r="M3366" s="62"/>
      <c r="N3366" s="381"/>
      <c r="O3366" s="56"/>
      <c r="P3366" s="56"/>
      <c r="Q3366" s="48"/>
      <c r="R3366" s="48"/>
      <c r="S3366" s="65"/>
      <c r="T3366" s="2"/>
      <c r="U3366" s="2"/>
      <c r="V3366" s="2"/>
    </row>
    <row r="3367" spans="1:22" s="149" customFormat="1" ht="12.75" customHeight="1" x14ac:dyDescent="0.2">
      <c r="A3367" s="163"/>
      <c r="B3367" s="31" t="s">
        <v>117</v>
      </c>
      <c r="C3367" s="36"/>
      <c r="D3367" s="169"/>
      <c r="E3367" s="170"/>
      <c r="F3367" s="168">
        <f>ROUND(SUM(F3356:F3366),2)</f>
        <v>0</v>
      </c>
      <c r="G3367" s="63"/>
      <c r="H3367" s="382"/>
      <c r="I3367" s="381"/>
      <c r="J3367" s="381"/>
      <c r="K3367" s="381"/>
      <c r="L3367" s="382"/>
      <c r="M3367" s="62"/>
      <c r="N3367" s="381"/>
      <c r="O3367" s="56"/>
      <c r="P3367" s="56"/>
      <c r="Q3367" s="48"/>
      <c r="R3367" s="48"/>
      <c r="S3367" s="65"/>
      <c r="T3367" s="2"/>
      <c r="U3367" s="2"/>
      <c r="V3367" s="2"/>
    </row>
    <row r="3368" spans="1:22" s="149" customFormat="1" ht="12.75" customHeight="1" x14ac:dyDescent="0.2">
      <c r="A3368" s="152" t="s">
        <v>6</v>
      </c>
      <c r="B3368" s="153" t="s">
        <v>17</v>
      </c>
      <c r="C3368" s="140" t="s">
        <v>59</v>
      </c>
      <c r="D3368" s="140" t="s">
        <v>16</v>
      </c>
      <c r="E3368" s="154" t="s">
        <v>60</v>
      </c>
      <c r="F3368" s="148" t="s">
        <v>61</v>
      </c>
      <c r="G3368" s="21"/>
      <c r="H3368" s="382"/>
      <c r="I3368" s="381"/>
      <c r="J3368" s="381"/>
      <c r="K3368" s="381"/>
      <c r="L3368" s="382"/>
      <c r="M3368" s="62"/>
      <c r="N3368" s="381"/>
      <c r="O3368" s="56"/>
      <c r="P3368" s="56"/>
      <c r="Q3368" s="48"/>
      <c r="R3368" s="48"/>
      <c r="S3368" s="65"/>
      <c r="T3368" s="2"/>
      <c r="U3368" s="2"/>
      <c r="V3368" s="2"/>
    </row>
    <row r="3369" spans="1:22" s="149" customFormat="1" ht="12.75" customHeight="1" x14ac:dyDescent="0.2">
      <c r="A3369" s="155" t="str">
        <f>'6.A'!$A$44</f>
        <v>CHAVE.001</v>
      </c>
      <c r="B3369" s="138" t="str">
        <f>IF(A3369="","",VLOOKUP(A3369,'6.A'!$A$11:$G$180,2,FALSE))</f>
        <v>CHAVE DE AFERIÇÃO, DE SOBREPOR, VN= 600V, IN=20A, 10 POLOS</v>
      </c>
      <c r="C3369" s="156">
        <v>1</v>
      </c>
      <c r="D3369" s="157" t="str">
        <f>IF(A3369="","",VLOOKUP(A3369,'6.A'!$A$11:$G$180,4,FALSE))</f>
        <v>CJ</v>
      </c>
      <c r="E3369" s="158">
        <f>IF(A3369="","",VLOOKUP(A3369,'6.A'!$A$11:$G$180,5,FALSE))</f>
        <v>0</v>
      </c>
      <c r="F3369" s="159">
        <f t="shared" ref="F3369:F3388" si="1453">IF(A3369="","0,00",ROUND(C3369*E3369,2))</f>
        <v>0</v>
      </c>
      <c r="G3369" s="382"/>
      <c r="H3369" s="382">
        <f>IF(A3369="","",VLOOKUP(A3369,'6.A'!$A$11:$E$7984,5,FALSE))</f>
        <v>0</v>
      </c>
      <c r="I3369" s="382" t="str">
        <f t="shared" ref="I3369:I3388" si="1454">IF(H3369="","",IF(E3369=H3369,"SIM","NÃO"))</f>
        <v>SIM</v>
      </c>
      <c r="J3369" s="382" t="str">
        <f>IF(H3369="","",VLOOKUP(A3369,'6.A'!$A$11:$E$564,4,FALSE))</f>
        <v>CJ</v>
      </c>
      <c r="K3369" s="382" t="str">
        <f t="shared" ref="K3369:K3388" si="1455">IF(H3369="","",IF(J3369=D3369,"SIM","NÃO"))</f>
        <v>SIM</v>
      </c>
      <c r="L3369" s="382">
        <f>IF(H3369="","",IF(C3369="","",G3340*C3369))</f>
        <v>1</v>
      </c>
      <c r="M3369" s="117" t="str">
        <f>IF(A3369="","",VLOOKUP(A3369,'6.A'!$A$11:$C$564,2,FALSE))</f>
        <v>CHAVE DE AFERIÇÃO, DE SOBREPOR, VN= 600V, IN=20A, 10 POLOS</v>
      </c>
      <c r="N3369" s="381" t="str">
        <f t="shared" ref="N3369:N3388" si="1456">IF(A3369="","",IF(M3369=B3369,"si","no"))</f>
        <v>si</v>
      </c>
      <c r="O3369" s="56"/>
      <c r="P3369" s="56"/>
      <c r="Q3369" s="48"/>
      <c r="R3369" s="48"/>
      <c r="S3369" s="65"/>
      <c r="T3369" s="2"/>
      <c r="U3369" s="2"/>
      <c r="V3369" s="2"/>
    </row>
    <row r="3370" spans="1:22" s="149" customFormat="1" ht="12.75" customHeight="1" x14ac:dyDescent="0.2">
      <c r="A3370" s="155"/>
      <c r="B3370" s="138" t="str">
        <f>IF(A3370="","",VLOOKUP(A3370,'6.A'!$A$11:$G$180,2,FALSE))</f>
        <v/>
      </c>
      <c r="C3370" s="156"/>
      <c r="D3370" s="157" t="str">
        <f>IF(A3370="","",VLOOKUP(A3370,'6.A'!$A$11:$G$180,4,FALSE))</f>
        <v/>
      </c>
      <c r="E3370" s="158" t="str">
        <f>IF(A3370="","",VLOOKUP(A3370,'6.A'!$A$11:$G$180,5,FALSE))</f>
        <v/>
      </c>
      <c r="F3370" s="159" t="str">
        <f t="shared" si="1453"/>
        <v>0,00</v>
      </c>
      <c r="G3370" s="382"/>
      <c r="H3370" s="382" t="str">
        <f>IF(A3370="","",VLOOKUP(A3370,'6.A'!$A$11:$E$7984,5,FALSE))</f>
        <v/>
      </c>
      <c r="I3370" s="382" t="str">
        <f t="shared" si="1454"/>
        <v/>
      </c>
      <c r="J3370" s="382" t="str">
        <f>IF(H3370="","",VLOOKUP(A3370,'6.A'!$A$11:$E$564,4,FALSE))</f>
        <v/>
      </c>
      <c r="K3370" s="382" t="str">
        <f t="shared" si="1455"/>
        <v/>
      </c>
      <c r="L3370" s="382" t="str">
        <f>IF(H3370="","",IF(C3370="","",G3340*C3370))</f>
        <v/>
      </c>
      <c r="M3370" s="117" t="str">
        <f>IF(A3370="","",VLOOKUP(A3370,'6.A'!$A$11:$C$564,2,FALSE))</f>
        <v/>
      </c>
      <c r="N3370" s="381" t="str">
        <f t="shared" si="1456"/>
        <v/>
      </c>
      <c r="O3370" s="56"/>
      <c r="P3370" s="56"/>
      <c r="Q3370" s="48"/>
      <c r="R3370" s="48"/>
      <c r="S3370" s="65"/>
      <c r="T3370" s="2"/>
      <c r="U3370" s="2"/>
      <c r="V3370" s="2"/>
    </row>
    <row r="3371" spans="1:22" s="149" customFormat="1" ht="12.75" customHeight="1" x14ac:dyDescent="0.2">
      <c r="A3371" s="155"/>
      <c r="B3371" s="138" t="str">
        <f>IF(A3371="","",VLOOKUP(A3371,'6.A'!$A$11:$G$180,2,FALSE))</f>
        <v/>
      </c>
      <c r="C3371" s="156"/>
      <c r="D3371" s="157" t="str">
        <f>IF(A3371="","",VLOOKUP(A3371,'6.A'!$A$11:$G$180,4,FALSE))</f>
        <v/>
      </c>
      <c r="E3371" s="158" t="str">
        <f>IF(A3371="","",VLOOKUP(A3371,'6.A'!$A$11:$G$180,5,FALSE))</f>
        <v/>
      </c>
      <c r="F3371" s="159" t="str">
        <f t="shared" si="1453"/>
        <v>0,00</v>
      </c>
      <c r="G3371" s="382"/>
      <c r="H3371" s="382" t="str">
        <f>IF(A3371="","",VLOOKUP(A3371,'6.A'!$A$11:$E$7984,5,FALSE))</f>
        <v/>
      </c>
      <c r="I3371" s="382" t="str">
        <f t="shared" si="1454"/>
        <v/>
      </c>
      <c r="J3371" s="382" t="str">
        <f>IF(H3371="","",VLOOKUP(A3371,'6.A'!$A$11:$E$564,4,FALSE))</f>
        <v/>
      </c>
      <c r="K3371" s="382" t="str">
        <f t="shared" si="1455"/>
        <v/>
      </c>
      <c r="L3371" s="382" t="str">
        <f>IF(H3371="","",IF(C3371="","",G3340*C3371))</f>
        <v/>
      </c>
      <c r="M3371" s="117" t="str">
        <f>IF(A3371="","",VLOOKUP(A3371,'6.A'!$A$11:$C$564,2,FALSE))</f>
        <v/>
      </c>
      <c r="N3371" s="381" t="str">
        <f t="shared" si="1456"/>
        <v/>
      </c>
      <c r="O3371" s="56"/>
      <c r="P3371" s="56"/>
      <c r="Q3371" s="48"/>
      <c r="R3371" s="48"/>
      <c r="S3371" s="65"/>
      <c r="T3371" s="2"/>
      <c r="U3371" s="2"/>
      <c r="V3371" s="2"/>
    </row>
    <row r="3372" spans="1:22" s="149" customFormat="1" ht="12.75" customHeight="1" x14ac:dyDescent="0.2">
      <c r="A3372" s="155"/>
      <c r="B3372" s="138" t="str">
        <f>IF(A3372="","",VLOOKUP(A3372,'6.A'!$A$11:$G$180,2,FALSE))</f>
        <v/>
      </c>
      <c r="C3372" s="156"/>
      <c r="D3372" s="157" t="str">
        <f>IF(A3372="","",VLOOKUP(A3372,'6.A'!$A$11:$G$180,4,FALSE))</f>
        <v/>
      </c>
      <c r="E3372" s="158" t="str">
        <f>IF(A3372="","",VLOOKUP(A3372,'6.A'!$A$11:$G$180,5,FALSE))</f>
        <v/>
      </c>
      <c r="F3372" s="159" t="str">
        <f t="shared" si="1453"/>
        <v>0,00</v>
      </c>
      <c r="G3372" s="382"/>
      <c r="H3372" s="382" t="str">
        <f>IF(A3372="","",VLOOKUP(A3372,'6.A'!$A$11:$E$7984,5,FALSE))</f>
        <v/>
      </c>
      <c r="I3372" s="382" t="str">
        <f t="shared" si="1454"/>
        <v/>
      </c>
      <c r="J3372" s="382" t="str">
        <f>IF(H3372="","",VLOOKUP(A3372,'6.A'!$A$11:$E$564,4,FALSE))</f>
        <v/>
      </c>
      <c r="K3372" s="382" t="str">
        <f t="shared" si="1455"/>
        <v/>
      </c>
      <c r="L3372" s="382" t="str">
        <f>IF(H3372="","",IF(C3372="","",G3340*C3372))</f>
        <v/>
      </c>
      <c r="M3372" s="117" t="str">
        <f>IF(A3372="","",VLOOKUP(A3372,'6.A'!$A$11:$C$564,2,FALSE))</f>
        <v/>
      </c>
      <c r="N3372" s="381" t="str">
        <f t="shared" si="1456"/>
        <v/>
      </c>
      <c r="O3372" s="56"/>
      <c r="P3372" s="56"/>
      <c r="Q3372" s="48"/>
      <c r="R3372" s="48"/>
      <c r="S3372" s="65"/>
      <c r="T3372" s="2"/>
      <c r="U3372" s="2"/>
      <c r="V3372" s="2"/>
    </row>
    <row r="3373" spans="1:22" s="149" customFormat="1" ht="12.75" customHeight="1" x14ac:dyDescent="0.2">
      <c r="A3373" s="155"/>
      <c r="B3373" s="138" t="str">
        <f>IF(A3373="","",VLOOKUP(A3373,'6.A'!$A$11:$G$180,2,FALSE))</f>
        <v/>
      </c>
      <c r="C3373" s="156"/>
      <c r="D3373" s="141" t="str">
        <f>IF(A3373="","",VLOOKUP(A3373,'6.A'!$A$11:$G$180,4,FALSE))</f>
        <v/>
      </c>
      <c r="E3373" s="160" t="str">
        <f>IF(A3373="","",VLOOKUP(A3373,'6.A'!$A$11:$G$180,5,FALSE))</f>
        <v/>
      </c>
      <c r="F3373" s="159" t="str">
        <f t="shared" si="1453"/>
        <v>0,00</v>
      </c>
      <c r="G3373" s="382"/>
      <c r="H3373" s="382" t="str">
        <f>IF(A3373="","",VLOOKUP(A3373,'6.A'!$A$11:$E$7984,5,FALSE))</f>
        <v/>
      </c>
      <c r="I3373" s="382" t="str">
        <f t="shared" si="1454"/>
        <v/>
      </c>
      <c r="J3373" s="382" t="str">
        <f>IF(H3373="","",VLOOKUP(A3373,'6.A'!$A$11:$E$564,4,FALSE))</f>
        <v/>
      </c>
      <c r="K3373" s="382" t="str">
        <f t="shared" si="1455"/>
        <v/>
      </c>
      <c r="L3373" s="382" t="str">
        <f>IF(H3373="","",IF(C3373="","",G3340*C3373))</f>
        <v/>
      </c>
      <c r="M3373" s="117" t="str">
        <f>IF(A3373="","",VLOOKUP(A3373,'6.A'!$A$11:$C$564,2,FALSE))</f>
        <v/>
      </c>
      <c r="N3373" s="381" t="str">
        <f t="shared" si="1456"/>
        <v/>
      </c>
      <c r="O3373" s="56"/>
      <c r="P3373" s="56"/>
      <c r="Q3373" s="48"/>
      <c r="R3373" s="48"/>
      <c r="S3373" s="65"/>
      <c r="T3373" s="2"/>
      <c r="U3373" s="2"/>
      <c r="V3373" s="2"/>
    </row>
    <row r="3374" spans="1:22" s="149" customFormat="1" ht="12.75" customHeight="1" x14ac:dyDescent="0.2">
      <c r="A3374" s="155"/>
      <c r="B3374" s="138" t="str">
        <f>IF(A3374="","",VLOOKUP(A3374,'6.A'!$A$11:$G$180,2,FALSE))</f>
        <v/>
      </c>
      <c r="C3374" s="156"/>
      <c r="D3374" s="141" t="str">
        <f>IF(A3374="","",VLOOKUP(A3374,'6.A'!$A$11:$G$180,4,FALSE))</f>
        <v/>
      </c>
      <c r="E3374" s="160" t="str">
        <f>IF(A3374="","",VLOOKUP(A3374,'6.A'!$A$11:$G$180,5,FALSE))</f>
        <v/>
      </c>
      <c r="F3374" s="159" t="str">
        <f t="shared" si="1453"/>
        <v>0,00</v>
      </c>
      <c r="G3374" s="382"/>
      <c r="H3374" s="382" t="str">
        <f>IF(A3374="","",VLOOKUP(A3374,'6.A'!$A$11:$E$7984,5,FALSE))</f>
        <v/>
      </c>
      <c r="I3374" s="382" t="str">
        <f t="shared" si="1454"/>
        <v/>
      </c>
      <c r="J3374" s="382" t="str">
        <f>IF(H3374="","",VLOOKUP(A3374,'6.A'!$A$11:$E$564,4,FALSE))</f>
        <v/>
      </c>
      <c r="K3374" s="382" t="str">
        <f t="shared" si="1455"/>
        <v/>
      </c>
      <c r="L3374" s="382" t="str">
        <f>IF(H3374="","",IF(C3374="","",G3340*C3374))</f>
        <v/>
      </c>
      <c r="M3374" s="117" t="str">
        <f>IF(A3374="","",VLOOKUP(A3374,'6.A'!$A$11:$C$564,2,FALSE))</f>
        <v/>
      </c>
      <c r="N3374" s="381" t="str">
        <f t="shared" si="1456"/>
        <v/>
      </c>
      <c r="O3374" s="56"/>
      <c r="P3374" s="56"/>
      <c r="Q3374" s="48"/>
      <c r="R3374" s="48"/>
      <c r="S3374" s="65"/>
      <c r="T3374" s="2"/>
      <c r="U3374" s="2"/>
      <c r="V3374" s="2"/>
    </row>
    <row r="3375" spans="1:22" s="149" customFormat="1" ht="12.75" customHeight="1" x14ac:dyDescent="0.2">
      <c r="A3375" s="155"/>
      <c r="B3375" s="138" t="str">
        <f>IF(A3375="","",VLOOKUP(A3375,'6.A'!$A$11:$G$180,2,FALSE))</f>
        <v/>
      </c>
      <c r="C3375" s="156"/>
      <c r="D3375" s="157" t="str">
        <f>IF(A3375="","",VLOOKUP(A3375,'6.A'!$A$11:$G$180,4,FALSE))</f>
        <v/>
      </c>
      <c r="E3375" s="158" t="str">
        <f>IF(A3375="","",VLOOKUP(A3375,'6.A'!$A$11:$G$180,5,FALSE))</f>
        <v/>
      </c>
      <c r="F3375" s="159" t="str">
        <f t="shared" si="1453"/>
        <v>0,00</v>
      </c>
      <c r="G3375" s="382"/>
      <c r="H3375" s="382" t="str">
        <f>IF(A3375="","",VLOOKUP(A3375,'6.A'!$A$11:$E$7984,5,FALSE))</f>
        <v/>
      </c>
      <c r="I3375" s="382" t="str">
        <f t="shared" si="1454"/>
        <v/>
      </c>
      <c r="J3375" s="382" t="str">
        <f>IF(H3375="","",VLOOKUP(A3375,'6.A'!$A$11:$E$564,4,FALSE))</f>
        <v/>
      </c>
      <c r="K3375" s="382" t="str">
        <f t="shared" si="1455"/>
        <v/>
      </c>
      <c r="L3375" s="382" t="str">
        <f>IF(H3375="","",IF(C3375="","",G3340*C3375))</f>
        <v/>
      </c>
      <c r="M3375" s="117" t="str">
        <f>IF(A3375="","",VLOOKUP(A3375,'6.A'!$A$11:$C$564,2,FALSE))</f>
        <v/>
      </c>
      <c r="N3375" s="381" t="str">
        <f t="shared" si="1456"/>
        <v/>
      </c>
      <c r="O3375" s="56"/>
      <c r="P3375" s="56"/>
      <c r="Q3375" s="48"/>
      <c r="R3375" s="48"/>
      <c r="S3375" s="65"/>
      <c r="T3375" s="2"/>
      <c r="U3375" s="2"/>
      <c r="V3375" s="2"/>
    </row>
    <row r="3376" spans="1:22" s="149" customFormat="1" ht="12.75" customHeight="1" x14ac:dyDescent="0.2">
      <c r="A3376" s="155"/>
      <c r="B3376" s="138" t="str">
        <f>IF(A3376="","",VLOOKUP(A3376,'6.A'!$A$11:$G$180,2,FALSE))</f>
        <v/>
      </c>
      <c r="C3376" s="156"/>
      <c r="D3376" s="157" t="str">
        <f>IF(A3376="","",VLOOKUP(A3376,'6.A'!$A$11:$G$180,4,FALSE))</f>
        <v/>
      </c>
      <c r="E3376" s="158" t="str">
        <f>IF(A3376="","",VLOOKUP(A3376,'6.A'!$A$11:$G$180,5,FALSE))</f>
        <v/>
      </c>
      <c r="F3376" s="159" t="str">
        <f t="shared" si="1453"/>
        <v>0,00</v>
      </c>
      <c r="G3376" s="382"/>
      <c r="H3376" s="382" t="str">
        <f>IF(A3376="","",VLOOKUP(A3376,'6.A'!$A$11:$E$7984,5,FALSE))</f>
        <v/>
      </c>
      <c r="I3376" s="382" t="str">
        <f t="shared" si="1454"/>
        <v/>
      </c>
      <c r="J3376" s="382" t="str">
        <f>IF(H3376="","",VLOOKUP(A3376,'6.A'!$A$11:$E$564,4,FALSE))</f>
        <v/>
      </c>
      <c r="K3376" s="382" t="str">
        <f t="shared" si="1455"/>
        <v/>
      </c>
      <c r="L3376" s="382" t="str">
        <f>IF(H3376="","",IF(C3376="","",G3340*C3376))</f>
        <v/>
      </c>
      <c r="M3376" s="117" t="str">
        <f>IF(A3376="","",VLOOKUP(A3376,'6.A'!$A$11:$C$564,2,FALSE))</f>
        <v/>
      </c>
      <c r="N3376" s="381" t="str">
        <f t="shared" si="1456"/>
        <v/>
      </c>
      <c r="O3376" s="56"/>
      <c r="P3376" s="56"/>
      <c r="Q3376" s="48"/>
      <c r="R3376" s="48"/>
      <c r="S3376" s="65"/>
      <c r="T3376" s="2"/>
      <c r="U3376" s="2"/>
      <c r="V3376" s="2"/>
    </row>
    <row r="3377" spans="1:23" s="149" customFormat="1" ht="12.75" customHeight="1" x14ac:dyDescent="0.2">
      <c r="A3377" s="155"/>
      <c r="B3377" s="138" t="str">
        <f>IF(A3377="","",VLOOKUP(A3377,'6.A'!$A$11:$G$180,2,FALSE))</f>
        <v/>
      </c>
      <c r="C3377" s="156"/>
      <c r="D3377" s="141" t="str">
        <f>IF(A3377="","",VLOOKUP(A3377,'6.A'!$A$11:$G$180,4,FALSE))</f>
        <v/>
      </c>
      <c r="E3377" s="160" t="str">
        <f>IF(A3377="","",VLOOKUP(A3377,'6.A'!$A$11:$G$180,5,FALSE))</f>
        <v/>
      </c>
      <c r="F3377" s="159" t="str">
        <f t="shared" si="1453"/>
        <v>0,00</v>
      </c>
      <c r="G3377" s="382"/>
      <c r="H3377" s="382" t="str">
        <f>IF(A3377="","",VLOOKUP(A3377,'6.A'!$A$11:$E$7984,5,FALSE))</f>
        <v/>
      </c>
      <c r="I3377" s="382" t="str">
        <f t="shared" si="1454"/>
        <v/>
      </c>
      <c r="J3377" s="382" t="str">
        <f>IF(H3377="","",VLOOKUP(A3377,'6.A'!$A$11:$E$564,4,FALSE))</f>
        <v/>
      </c>
      <c r="K3377" s="382" t="str">
        <f t="shared" si="1455"/>
        <v/>
      </c>
      <c r="L3377" s="382" t="str">
        <f>IF(H3377="","",IF(C3377="","",G3340*C3377))</f>
        <v/>
      </c>
      <c r="M3377" s="117" t="str">
        <f>IF(A3377="","",VLOOKUP(A3377,'6.A'!$A$11:$C$564,2,FALSE))</f>
        <v/>
      </c>
      <c r="N3377" s="381" t="str">
        <f t="shared" si="1456"/>
        <v/>
      </c>
      <c r="O3377" s="56"/>
      <c r="P3377" s="56"/>
      <c r="Q3377" s="48"/>
      <c r="R3377" s="48"/>
      <c r="S3377" s="65"/>
      <c r="T3377" s="2"/>
      <c r="U3377" s="2"/>
      <c r="V3377" s="2"/>
    </row>
    <row r="3378" spans="1:23" s="149" customFormat="1" ht="12.75" customHeight="1" x14ac:dyDescent="0.2">
      <c r="A3378" s="155"/>
      <c r="B3378" s="138" t="str">
        <f>IF(A3378="","",VLOOKUP(A3378,'6.A'!$A$11:$G$180,2,FALSE))</f>
        <v/>
      </c>
      <c r="C3378" s="156"/>
      <c r="D3378" s="141" t="str">
        <f>IF(A3378="","",VLOOKUP(A3378,'6.A'!$A$11:$G$180,4,FALSE))</f>
        <v/>
      </c>
      <c r="E3378" s="160" t="str">
        <f>IF(A3378="","",VLOOKUP(A3378,'6.A'!$A$11:$G$180,5,FALSE))</f>
        <v/>
      </c>
      <c r="F3378" s="159" t="str">
        <f t="shared" si="1453"/>
        <v>0,00</v>
      </c>
      <c r="G3378" s="382"/>
      <c r="H3378" s="382" t="str">
        <f>IF(A3378="","",VLOOKUP(A3378,'6.A'!$A$11:$E$7984,5,FALSE))</f>
        <v/>
      </c>
      <c r="I3378" s="382" t="str">
        <f t="shared" si="1454"/>
        <v/>
      </c>
      <c r="J3378" s="382" t="str">
        <f>IF(H3378="","",VLOOKUP(A3378,'6.A'!$A$11:$E$564,4,FALSE))</f>
        <v/>
      </c>
      <c r="K3378" s="382" t="str">
        <f t="shared" si="1455"/>
        <v/>
      </c>
      <c r="L3378" s="382" t="str">
        <f>IF(H3378="","",IF(C3378="","",G3340*C3378))</f>
        <v/>
      </c>
      <c r="M3378" s="117" t="str">
        <f>IF(A3378="","",VLOOKUP(A3378,'6.A'!$A$11:$C$564,2,FALSE))</f>
        <v/>
      </c>
      <c r="N3378" s="381" t="str">
        <f t="shared" si="1456"/>
        <v/>
      </c>
      <c r="O3378" s="56"/>
      <c r="P3378" s="56"/>
      <c r="Q3378" s="48"/>
      <c r="R3378" s="48"/>
      <c r="S3378" s="65"/>
      <c r="T3378" s="2"/>
      <c r="U3378" s="2"/>
      <c r="V3378" s="2"/>
    </row>
    <row r="3379" spans="1:23" s="149" customFormat="1" ht="12.75" customHeight="1" x14ac:dyDescent="0.2">
      <c r="A3379" s="155"/>
      <c r="B3379" s="138" t="str">
        <f>IF(A3379="","",VLOOKUP(A3379,'6.A'!$A$11:$G$180,2,FALSE))</f>
        <v/>
      </c>
      <c r="C3379" s="156"/>
      <c r="D3379" s="141" t="str">
        <f>IF(A3379="","",VLOOKUP(A3379,'6.A'!$A$11:$G$180,4,FALSE))</f>
        <v/>
      </c>
      <c r="E3379" s="160" t="str">
        <f>IF(A3379="","",VLOOKUP(A3379,'6.A'!$A$11:$G$180,5,FALSE))</f>
        <v/>
      </c>
      <c r="F3379" s="159" t="str">
        <f t="shared" si="1453"/>
        <v>0,00</v>
      </c>
      <c r="G3379" s="382"/>
      <c r="H3379" s="382" t="str">
        <f>IF(A3379="","",VLOOKUP(A3379,'6.A'!$A$11:$E$7984,5,FALSE))</f>
        <v/>
      </c>
      <c r="I3379" s="382" t="str">
        <f t="shared" si="1454"/>
        <v/>
      </c>
      <c r="J3379" s="382" t="str">
        <f>IF(H3379="","",VLOOKUP(A3379,'6.A'!$A$11:$E$564,4,FALSE))</f>
        <v/>
      </c>
      <c r="K3379" s="382" t="str">
        <f t="shared" si="1455"/>
        <v/>
      </c>
      <c r="L3379" s="382" t="str">
        <f>IF(H3379="","",IF(C3379="","",G3340*C3379))</f>
        <v/>
      </c>
      <c r="M3379" s="117" t="str">
        <f>IF(A3379="","",VLOOKUP(A3379,'6.A'!$A$11:$C$564,2,FALSE))</f>
        <v/>
      </c>
      <c r="N3379" s="381" t="str">
        <f t="shared" si="1456"/>
        <v/>
      </c>
      <c r="O3379" s="56"/>
      <c r="P3379" s="56"/>
      <c r="Q3379" s="48"/>
      <c r="R3379" s="48"/>
      <c r="S3379" s="65"/>
      <c r="T3379" s="2"/>
      <c r="U3379" s="2"/>
      <c r="V3379" s="2"/>
    </row>
    <row r="3380" spans="1:23" s="149" customFormat="1" ht="12.75" customHeight="1" x14ac:dyDescent="0.2">
      <c r="A3380" s="155"/>
      <c r="B3380" s="138" t="str">
        <f>IF(A3380="","",VLOOKUP(A3380,'6.A'!$A$11:$G$180,2,FALSE))</f>
        <v/>
      </c>
      <c r="C3380" s="156"/>
      <c r="D3380" s="141" t="str">
        <f>IF(A3380="","",VLOOKUP(A3380,'6.A'!$A$11:$G$180,4,FALSE))</f>
        <v/>
      </c>
      <c r="E3380" s="160" t="str">
        <f>IF(A3380="","",VLOOKUP(A3380,'6.A'!$A$11:$G$180,5,FALSE))</f>
        <v/>
      </c>
      <c r="F3380" s="159" t="str">
        <f t="shared" si="1453"/>
        <v>0,00</v>
      </c>
      <c r="G3380" s="382"/>
      <c r="H3380" s="382" t="str">
        <f>IF(A3380="","",VLOOKUP(A3380,'6.A'!$A$11:$E$7984,5,FALSE))</f>
        <v/>
      </c>
      <c r="I3380" s="382" t="str">
        <f t="shared" si="1454"/>
        <v/>
      </c>
      <c r="J3380" s="382" t="str">
        <f>IF(H3380="","",VLOOKUP(A3380,'6.A'!$A$11:$E$564,4,FALSE))</f>
        <v/>
      </c>
      <c r="K3380" s="382" t="str">
        <f t="shared" si="1455"/>
        <v/>
      </c>
      <c r="L3380" s="382" t="str">
        <f>IF(H3380="","",IF(C3380="","",G3340*C3380))</f>
        <v/>
      </c>
      <c r="M3380" s="117" t="str">
        <f>IF(A3380="","",VLOOKUP(A3380,'6.A'!$A$11:$C$564,2,FALSE))</f>
        <v/>
      </c>
      <c r="N3380" s="381" t="str">
        <f t="shared" si="1456"/>
        <v/>
      </c>
      <c r="O3380" s="56"/>
      <c r="P3380" s="56"/>
      <c r="Q3380" s="48"/>
      <c r="R3380" s="48"/>
      <c r="S3380" s="65"/>
      <c r="T3380" s="2"/>
      <c r="U3380" s="2"/>
      <c r="V3380" s="2"/>
    </row>
    <row r="3381" spans="1:23" s="149" customFormat="1" ht="12.75" customHeight="1" x14ac:dyDescent="0.2">
      <c r="A3381" s="155"/>
      <c r="B3381" s="138" t="str">
        <f>IF(A3381="","",VLOOKUP(A3381,'6.A'!$A$11:$G$180,2,FALSE))</f>
        <v/>
      </c>
      <c r="C3381" s="156"/>
      <c r="D3381" s="141" t="str">
        <f>IF(A3381="","",VLOOKUP(A3381,'6.A'!$A$11:$G$180,4,FALSE))</f>
        <v/>
      </c>
      <c r="E3381" s="160" t="str">
        <f>IF(A3381="","",VLOOKUP(A3381,'6.A'!$A$11:$G$180,5,FALSE))</f>
        <v/>
      </c>
      <c r="F3381" s="159" t="str">
        <f t="shared" si="1453"/>
        <v>0,00</v>
      </c>
      <c r="G3381" s="382"/>
      <c r="H3381" s="382" t="str">
        <f>IF(A3381="","",VLOOKUP(A3381,'6.A'!$A$11:$E$7984,5,FALSE))</f>
        <v/>
      </c>
      <c r="I3381" s="382" t="str">
        <f t="shared" si="1454"/>
        <v/>
      </c>
      <c r="J3381" s="382" t="str">
        <f>IF(H3381="","",VLOOKUP(A3381,'6.A'!$A$11:$E$564,4,FALSE))</f>
        <v/>
      </c>
      <c r="K3381" s="382" t="str">
        <f t="shared" si="1455"/>
        <v/>
      </c>
      <c r="L3381" s="382" t="str">
        <f>IF(H3381="","",IF(C3381="","",G3340*C3381))</f>
        <v/>
      </c>
      <c r="M3381" s="117" t="str">
        <f>IF(A3381="","",VLOOKUP(A3381,'6.A'!$A$11:$C$564,2,FALSE))</f>
        <v/>
      </c>
      <c r="N3381" s="381" t="str">
        <f t="shared" si="1456"/>
        <v/>
      </c>
      <c r="O3381" s="56"/>
      <c r="P3381" s="56"/>
      <c r="Q3381" s="48"/>
      <c r="R3381" s="48"/>
      <c r="S3381" s="65"/>
      <c r="T3381" s="2"/>
      <c r="U3381" s="2"/>
      <c r="V3381" s="2"/>
    </row>
    <row r="3382" spans="1:23" s="149" customFormat="1" ht="12.75" customHeight="1" x14ac:dyDescent="0.2">
      <c r="A3382" s="155"/>
      <c r="B3382" s="138" t="str">
        <f>IF(A3382="","",VLOOKUP(A3382,'6.A'!$A$11:$G$180,2,FALSE))</f>
        <v/>
      </c>
      <c r="C3382" s="156"/>
      <c r="D3382" s="141" t="str">
        <f>IF(A3382="","",VLOOKUP(A3382,'6.A'!$A$11:$G$180,4,FALSE))</f>
        <v/>
      </c>
      <c r="E3382" s="160" t="str">
        <f>IF(A3382="","",VLOOKUP(A3382,'6.A'!$A$11:$G$180,5,FALSE))</f>
        <v/>
      </c>
      <c r="F3382" s="159" t="str">
        <f t="shared" si="1453"/>
        <v>0,00</v>
      </c>
      <c r="G3382" s="382"/>
      <c r="H3382" s="382" t="str">
        <f>IF(A3382="","",VLOOKUP(A3382,'6.A'!$A$11:$E$7984,5,FALSE))</f>
        <v/>
      </c>
      <c r="I3382" s="382" t="str">
        <f t="shared" si="1454"/>
        <v/>
      </c>
      <c r="J3382" s="382" t="str">
        <f>IF(H3382="","",VLOOKUP(A3382,'6.A'!$A$11:$E$564,4,FALSE))</f>
        <v/>
      </c>
      <c r="K3382" s="382" t="str">
        <f t="shared" si="1455"/>
        <v/>
      </c>
      <c r="L3382" s="382" t="str">
        <f>IF(H3382="","",IF(C3382="","",G3340*C3382))</f>
        <v/>
      </c>
      <c r="M3382" s="117" t="str">
        <f>IF(A3382="","",VLOOKUP(A3382,'6.A'!$A$11:$C$564,2,FALSE))</f>
        <v/>
      </c>
      <c r="N3382" s="381" t="str">
        <f t="shared" si="1456"/>
        <v/>
      </c>
      <c r="O3382" s="56"/>
      <c r="P3382" s="56"/>
      <c r="Q3382" s="48"/>
      <c r="R3382" s="48"/>
      <c r="S3382" s="65"/>
      <c r="T3382" s="2"/>
      <c r="U3382" s="2"/>
      <c r="V3382" s="2"/>
    </row>
    <row r="3383" spans="1:23" s="149" customFormat="1" ht="12.75" customHeight="1" x14ac:dyDescent="0.2">
      <c r="A3383" s="155"/>
      <c r="B3383" s="138" t="str">
        <f>IF(A3383="","",VLOOKUP(A3383,'6.A'!$A$11:$G$180,2,FALSE))</f>
        <v/>
      </c>
      <c r="C3383" s="156"/>
      <c r="D3383" s="141" t="str">
        <f>IF(A3383="","",VLOOKUP(A3383,'6.A'!$A$11:$G$180,4,FALSE))</f>
        <v/>
      </c>
      <c r="E3383" s="160" t="str">
        <f>IF(A3383="","",VLOOKUP(A3383,'6.A'!$A$11:$G$180,5,FALSE))</f>
        <v/>
      </c>
      <c r="F3383" s="159" t="str">
        <f t="shared" si="1453"/>
        <v>0,00</v>
      </c>
      <c r="G3383" s="382"/>
      <c r="H3383" s="382" t="str">
        <f>IF(A3383="","",VLOOKUP(A3383,'6.A'!$A$11:$E$7984,5,FALSE))</f>
        <v/>
      </c>
      <c r="I3383" s="382" t="str">
        <f t="shared" si="1454"/>
        <v/>
      </c>
      <c r="J3383" s="382" t="str">
        <f>IF(H3383="","",VLOOKUP(A3383,'6.A'!$A$11:$E$564,4,FALSE))</f>
        <v/>
      </c>
      <c r="K3383" s="382" t="str">
        <f t="shared" si="1455"/>
        <v/>
      </c>
      <c r="L3383" s="382" t="str">
        <f>IF(H3383="","",IF(C3383="","",G3340*C3383))</f>
        <v/>
      </c>
      <c r="M3383" s="117" t="str">
        <f>IF(A3383="","",VLOOKUP(A3383,'6.A'!$A$11:$C$564,2,FALSE))</f>
        <v/>
      </c>
      <c r="N3383" s="381" t="str">
        <f t="shared" si="1456"/>
        <v/>
      </c>
      <c r="O3383" s="56"/>
      <c r="P3383" s="56"/>
      <c r="Q3383" s="48"/>
      <c r="R3383" s="48"/>
      <c r="S3383" s="65"/>
      <c r="T3383" s="2"/>
      <c r="U3383" s="2"/>
      <c r="V3383" s="2"/>
    </row>
    <row r="3384" spans="1:23" s="149" customFormat="1" ht="12.75" customHeight="1" x14ac:dyDescent="0.2">
      <c r="A3384" s="155"/>
      <c r="B3384" s="138" t="str">
        <f>IF(A3384="","",VLOOKUP(A3384,'6.A'!$A$11:$G$180,2,FALSE))</f>
        <v/>
      </c>
      <c r="C3384" s="156"/>
      <c r="D3384" s="141" t="str">
        <f>IF(A3384="","",VLOOKUP(A3384,'6.A'!$A$11:$G$180,4,FALSE))</f>
        <v/>
      </c>
      <c r="E3384" s="160" t="str">
        <f>IF(A3384="","",VLOOKUP(A3384,'6.A'!$A$11:$G$180,5,FALSE))</f>
        <v/>
      </c>
      <c r="F3384" s="159" t="str">
        <f t="shared" si="1453"/>
        <v>0,00</v>
      </c>
      <c r="G3384" s="382"/>
      <c r="H3384" s="382" t="str">
        <f>IF(A3384="","",VLOOKUP(A3384,'6.A'!$A$11:$E$7984,5,FALSE))</f>
        <v/>
      </c>
      <c r="I3384" s="382" t="str">
        <f t="shared" si="1454"/>
        <v/>
      </c>
      <c r="J3384" s="382" t="str">
        <f>IF(H3384="","",VLOOKUP(A3384,'6.A'!$A$11:$E$564,4,FALSE))</f>
        <v/>
      </c>
      <c r="K3384" s="382" t="str">
        <f t="shared" si="1455"/>
        <v/>
      </c>
      <c r="L3384" s="382" t="str">
        <f>IF(H3384="","",IF(C3384="","",G3340*C3384))</f>
        <v/>
      </c>
      <c r="M3384" s="117" t="str">
        <f>IF(A3384="","",VLOOKUP(A3384,'6.A'!$A$11:$C$564,2,FALSE))</f>
        <v/>
      </c>
      <c r="N3384" s="381" t="str">
        <f t="shared" si="1456"/>
        <v/>
      </c>
      <c r="O3384" s="56"/>
      <c r="P3384" s="56"/>
      <c r="Q3384" s="48"/>
      <c r="R3384" s="48"/>
      <c r="S3384" s="65"/>
      <c r="T3384" s="2"/>
      <c r="U3384" s="2"/>
      <c r="V3384" s="2"/>
    </row>
    <row r="3385" spans="1:23" s="137" customFormat="1" ht="12.75" customHeight="1" x14ac:dyDescent="0.2">
      <c r="A3385" s="155"/>
      <c r="B3385" s="171" t="str">
        <f>IF(A3385="","",VLOOKUP(A3385,'6.A'!$A$11:$G$180,2,FALSE))</f>
        <v/>
      </c>
      <c r="C3385" s="156"/>
      <c r="D3385" s="141" t="str">
        <f>IF(A3385="","",VLOOKUP(A3385,'6.A'!$A$11:$G$180,4,FALSE))</f>
        <v/>
      </c>
      <c r="E3385" s="160" t="str">
        <f>IF(A3385="","",VLOOKUP(A3385,'6.A'!$A$11:$G$180,5,FALSE))</f>
        <v/>
      </c>
      <c r="F3385" s="159" t="str">
        <f t="shared" si="1453"/>
        <v>0,00</v>
      </c>
      <c r="G3385" s="382"/>
      <c r="H3385" s="382" t="str">
        <f>IF(A3385="","",VLOOKUP(A3385,'6.A'!$A$11:$E$7984,5,FALSE))</f>
        <v/>
      </c>
      <c r="I3385" s="382" t="str">
        <f t="shared" si="1454"/>
        <v/>
      </c>
      <c r="J3385" s="382" t="str">
        <f>IF(H3385="","",VLOOKUP(A3385,'6.A'!$A$11:$E$564,4,FALSE))</f>
        <v/>
      </c>
      <c r="K3385" s="382" t="str">
        <f t="shared" si="1455"/>
        <v/>
      </c>
      <c r="L3385" s="382" t="str">
        <f>IF(H3385="","",IF(C3385="","",G3340*C3385))</f>
        <v/>
      </c>
      <c r="M3385" s="117" t="str">
        <f>IF(A3385="","",VLOOKUP(A3385,'6.A'!$A$11:$C$564,2,FALSE))</f>
        <v/>
      </c>
      <c r="N3385" s="381" t="str">
        <f t="shared" si="1456"/>
        <v/>
      </c>
      <c r="O3385" s="56"/>
      <c r="P3385" s="56"/>
      <c r="Q3385" s="48"/>
      <c r="R3385" s="48"/>
      <c r="S3385" s="65"/>
      <c r="T3385" s="2"/>
      <c r="U3385" s="2"/>
      <c r="V3385" s="2"/>
    </row>
    <row r="3386" spans="1:23" s="137" customFormat="1" ht="12.75" customHeight="1" x14ac:dyDescent="0.2">
      <c r="A3386" s="155"/>
      <c r="B3386" s="171" t="str">
        <f>IF(A3386="","",VLOOKUP(A3386,'6.A'!$A$11:$G$180,2,FALSE))</f>
        <v/>
      </c>
      <c r="C3386" s="156"/>
      <c r="D3386" s="141" t="str">
        <f>IF(A3386="","",VLOOKUP(A3386,'6.A'!$A$11:$G$180,4,FALSE))</f>
        <v/>
      </c>
      <c r="E3386" s="160" t="str">
        <f>IF(A3386="","",VLOOKUP(A3386,'6.A'!$A$11:$G$180,5,FALSE))</f>
        <v/>
      </c>
      <c r="F3386" s="159" t="str">
        <f t="shared" si="1453"/>
        <v>0,00</v>
      </c>
      <c r="G3386" s="382"/>
      <c r="H3386" s="382" t="str">
        <f>IF(A3386="","",VLOOKUP(A3386,'6.A'!$A$11:$E$7984,5,FALSE))</f>
        <v/>
      </c>
      <c r="I3386" s="382" t="str">
        <f t="shared" si="1454"/>
        <v/>
      </c>
      <c r="J3386" s="382" t="str">
        <f>IF(H3386="","",VLOOKUP(A3386,'6.A'!$A$11:$E$564,4,FALSE))</f>
        <v/>
      </c>
      <c r="K3386" s="382" t="str">
        <f t="shared" si="1455"/>
        <v/>
      </c>
      <c r="L3386" s="382" t="str">
        <f>IF(H3386="","",IF(C3386="","",G3340*C3386))</f>
        <v/>
      </c>
      <c r="M3386" s="117" t="str">
        <f>IF(A3386="","",VLOOKUP(A3386,'6.A'!$A$11:$C$564,2,FALSE))</f>
        <v/>
      </c>
      <c r="N3386" s="381" t="str">
        <f t="shared" si="1456"/>
        <v/>
      </c>
      <c r="O3386" s="56"/>
      <c r="P3386" s="56"/>
      <c r="Q3386" s="48"/>
      <c r="R3386" s="48"/>
      <c r="S3386" s="65"/>
      <c r="T3386" s="2"/>
      <c r="U3386" s="2"/>
      <c r="V3386" s="2"/>
    </row>
    <row r="3387" spans="1:23" s="137" customFormat="1" ht="12.75" customHeight="1" x14ac:dyDescent="0.2">
      <c r="A3387" s="155"/>
      <c r="B3387" s="171" t="str">
        <f>IF(A3387="","",VLOOKUP(A3387,'6.A'!$A$11:$G$180,2,FALSE))</f>
        <v/>
      </c>
      <c r="C3387" s="156"/>
      <c r="D3387" s="141" t="str">
        <f>IF(A3387="","",VLOOKUP(A3387,'6.A'!$A$11:$G$180,4,FALSE))</f>
        <v/>
      </c>
      <c r="E3387" s="160" t="str">
        <f>IF(A3387="","",VLOOKUP(A3387,'6.A'!$A$11:$G$180,5,FALSE))</f>
        <v/>
      </c>
      <c r="F3387" s="159" t="str">
        <f t="shared" si="1453"/>
        <v>0,00</v>
      </c>
      <c r="G3387" s="382"/>
      <c r="H3387" s="382" t="str">
        <f>IF(A3387="","",VLOOKUP(A3387,'6.A'!$A$11:$E$7984,5,FALSE))</f>
        <v/>
      </c>
      <c r="I3387" s="382" t="str">
        <f t="shared" si="1454"/>
        <v/>
      </c>
      <c r="J3387" s="382" t="str">
        <f>IF(H3387="","",VLOOKUP(A3387,'6.A'!$A$11:$E$564,4,FALSE))</f>
        <v/>
      </c>
      <c r="K3387" s="382" t="str">
        <f t="shared" si="1455"/>
        <v/>
      </c>
      <c r="L3387" s="382" t="str">
        <f>IF(H3387="","",IF(C3387="","",G3340*C3387))</f>
        <v/>
      </c>
      <c r="M3387" s="117" t="str">
        <f>IF(A3387="","",VLOOKUP(A3387,'6.A'!$A$11:$C$564,2,FALSE))</f>
        <v/>
      </c>
      <c r="N3387" s="381" t="str">
        <f t="shared" si="1456"/>
        <v/>
      </c>
      <c r="O3387" s="56"/>
      <c r="P3387" s="56"/>
      <c r="Q3387" s="48"/>
      <c r="R3387" s="48"/>
      <c r="S3387" s="65"/>
      <c r="T3387" s="2"/>
      <c r="U3387" s="2"/>
      <c r="V3387" s="2"/>
    </row>
    <row r="3388" spans="1:23" s="137" customFormat="1" ht="12.75" customHeight="1" x14ac:dyDescent="0.2">
      <c r="A3388" s="155"/>
      <c r="B3388" s="171" t="str">
        <f>IF(A3388="","",VLOOKUP(A3388,'6.A'!$A$11:$G$180,2,FALSE))</f>
        <v/>
      </c>
      <c r="C3388" s="156"/>
      <c r="D3388" s="141" t="str">
        <f>IF(A3388="","",VLOOKUP(A3388,'6.A'!$A$11:$G$180,4,FALSE))</f>
        <v/>
      </c>
      <c r="E3388" s="160" t="str">
        <f>IF(A3388="","",VLOOKUP(A3388,'6.A'!$A$11:$G$180,5,FALSE))</f>
        <v/>
      </c>
      <c r="F3388" s="159" t="str">
        <f t="shared" si="1453"/>
        <v>0,00</v>
      </c>
      <c r="G3388" s="382"/>
      <c r="H3388" s="382" t="str">
        <f>IF(A3388="","",VLOOKUP(A3388,'6.A'!$A$11:$E$7984,5,FALSE))</f>
        <v/>
      </c>
      <c r="I3388" s="382" t="str">
        <f t="shared" si="1454"/>
        <v/>
      </c>
      <c r="J3388" s="382" t="str">
        <f>IF(H3388="","",VLOOKUP(A3388,'6.A'!$A$11:$E$564,4,FALSE))</f>
        <v/>
      </c>
      <c r="K3388" s="382" t="str">
        <f t="shared" si="1455"/>
        <v/>
      </c>
      <c r="L3388" s="382" t="str">
        <f>IF(H3388="","",IF(C3388="","",G3340*C3388))</f>
        <v/>
      </c>
      <c r="M3388" s="117" t="str">
        <f>IF(A3388="","",VLOOKUP(A3388,'6.A'!$A$11:$C$564,2,FALSE))</f>
        <v/>
      </c>
      <c r="N3388" s="381" t="str">
        <f t="shared" si="1456"/>
        <v/>
      </c>
      <c r="O3388" s="56"/>
      <c r="P3388" s="56"/>
      <c r="Q3388" s="48"/>
      <c r="R3388" s="48"/>
      <c r="S3388" s="65"/>
      <c r="T3388" s="2"/>
      <c r="U3388" s="2"/>
      <c r="V3388" s="2"/>
    </row>
    <row r="3389" spans="1:23" s="137" customFormat="1" ht="12.75" customHeight="1" x14ac:dyDescent="0.2">
      <c r="A3389" s="155"/>
      <c r="B3389" s="26" t="str">
        <f>$A$9</f>
        <v>BDI</v>
      </c>
      <c r="C3389" s="40">
        <f>$C$9</f>
        <v>0</v>
      </c>
      <c r="D3389" s="141"/>
      <c r="E3389" s="147"/>
      <c r="F3389" s="162">
        <f>ROUND(SUM(F3369:F3388)*C3389,2)</f>
        <v>0</v>
      </c>
      <c r="G3389" s="63"/>
      <c r="H3389" s="382"/>
      <c r="I3389" s="381"/>
      <c r="J3389" s="381"/>
      <c r="K3389" s="381"/>
      <c r="L3389" s="382"/>
      <c r="M3389" s="381"/>
      <c r="N3389" s="381"/>
      <c r="O3389" s="56"/>
      <c r="P3389" s="56"/>
      <c r="Q3389" s="48"/>
      <c r="R3389" s="48"/>
      <c r="S3389" s="65"/>
      <c r="T3389" s="2"/>
      <c r="U3389" s="2"/>
      <c r="V3389" s="2"/>
    </row>
    <row r="3390" spans="1:23" s="137" customFormat="1" ht="12.75" customHeight="1" thickBot="1" x14ac:dyDescent="0.25">
      <c r="A3390" s="172"/>
      <c r="B3390" s="42" t="s">
        <v>57</v>
      </c>
      <c r="C3390" s="43"/>
      <c r="D3390" s="173"/>
      <c r="E3390" s="174"/>
      <c r="F3390" s="175">
        <f>ROUND(SUM(F3369:F3389),2)</f>
        <v>0</v>
      </c>
      <c r="G3390" s="63"/>
      <c r="H3390" s="382"/>
      <c r="I3390" s="381"/>
      <c r="J3390" s="381"/>
      <c r="K3390" s="381"/>
      <c r="L3390" s="382"/>
      <c r="M3390" s="381"/>
      <c r="N3390" s="381"/>
      <c r="O3390" s="56"/>
      <c r="P3390" s="56"/>
      <c r="Q3390" s="48"/>
      <c r="R3390" s="48"/>
      <c r="S3390" s="65"/>
      <c r="T3390" s="2"/>
      <c r="U3390" s="2"/>
      <c r="V3390" s="2"/>
    </row>
    <row r="3391" spans="1:23" ht="12" customHeight="1" thickBot="1" x14ac:dyDescent="0.25">
      <c r="A3391" s="8"/>
      <c r="B3391" s="9"/>
      <c r="C3391" s="10"/>
      <c r="D3391" s="57"/>
      <c r="F3391" s="12"/>
      <c r="M3391" s="57"/>
      <c r="N3391" s="57"/>
      <c r="O3391" s="56"/>
      <c r="P3391" s="56"/>
    </row>
    <row r="3392" spans="1:23" ht="50.1" customHeight="1" x14ac:dyDescent="0.2">
      <c r="A3392" s="13" t="str">
        <f>'3.A'!$A$160</f>
        <v>3.4.6</v>
      </c>
      <c r="B3392" s="14" t="str">
        <f>IF(A3392="","",VLOOKUP(A3392,'3.A'!$A$17:$M$279,2,FALSE))</f>
        <v>DISJUNTOR TRIPOLAR TIPO DIN, CORRENTE NOMINAL DE 20A</v>
      </c>
      <c r="C3392" s="413" t="s">
        <v>62</v>
      </c>
      <c r="D3392" s="413"/>
      <c r="E3392" s="15" t="str">
        <f>IF(A3392="","",VLOOKUP(A3392,'3.A'!$A$17:$M$279,3,FALSE))</f>
        <v>UN</v>
      </c>
      <c r="F3392" s="16">
        <f>ROUND(F3406+F3419+F3442,2)</f>
        <v>0</v>
      </c>
      <c r="G3392" s="118">
        <f>VLOOKUP(A3392,'3.A'!$A$19:$I$279,4,FALSE)</f>
        <v>6</v>
      </c>
      <c r="H3392" s="47">
        <f>SUM(F3394:F3405)</f>
        <v>0</v>
      </c>
      <c r="I3392" s="47">
        <f>SUM(F3408:F3418)</f>
        <v>0</v>
      </c>
      <c r="J3392" s="47">
        <f>SUM(F3421:F3441)</f>
        <v>0</v>
      </c>
      <c r="K3392" s="47">
        <f>SUM(H3392:J3392)</f>
        <v>0</v>
      </c>
      <c r="L3392" s="47" t="str">
        <f>IF(K3392=F3392,"SIM","NÃO")</f>
        <v>SIM</v>
      </c>
      <c r="M3392" s="58">
        <f>ROUND(SUM(F3394:F3403)*C3404,2)+ROUND(SUM(F3394:F3404)*C3405,2)+ROUND(SUM(F3394:F3403),2)+ROUND(SUM(F3408:F3417)*C3418,2)+ROUND(SUM(F3408:F3417),2)+ROUND(SUM(F3421:F3440)*C3441,2)+ROUND(SUM(F3421:F3440),2)</f>
        <v>0</v>
      </c>
      <c r="N3392" s="50" t="str">
        <f>IF(M3392=F3392,"SIM","NÃO")</f>
        <v>SIM</v>
      </c>
      <c r="O3392" s="51" t="str">
        <f>VLOOKUP(A3392,'3.A'!$A$8:$E$279,3,FALSE)</f>
        <v>UN</v>
      </c>
      <c r="P3392" s="51" t="str">
        <f>IF(O3392=E3392,"SIM","NÃO")</f>
        <v>SIM</v>
      </c>
      <c r="Q3392" s="53">
        <f>ROUND(G3392*F3406,2)+ROUND(G3392*F3419,2)+ROUND(G3392*F3442,2)</f>
        <v>0</v>
      </c>
      <c r="R3392" s="59">
        <f>VLOOKUP(A3392,'3.A'!$A$17:$L$279,12,FALSE)</f>
        <v>0</v>
      </c>
      <c r="S3392" s="60" t="str">
        <f>IF(Q3392=R3392,"si","no")</f>
        <v>si</v>
      </c>
      <c r="T3392" s="61">
        <f>SUM(L3394:L3403)+SUM(L3408:L3417)+SUM(L3421:L3440)</f>
        <v>25.686336000000001</v>
      </c>
      <c r="U3392" s="52">
        <f>G3392*C3400+G3392*C3402+G3392*C3395+G3392*C3396+G3392*C3398+G3392*C3401+G3392*C3399+G3392*C3394+G3392*C3397+G3392*C3403+G3392*C3414+G3392*C3408+G3392*C3416+G3392*C3415+G3392*C3413+G3392*C3410+G3392*C3409+G3392*C3411+G3392*C3417+G3392*C3412+G3392*C3421+G3392*C3422+G3392*C3423+G3392*C3431+G3392*C3432+G3392*C3433+G3392*C3434+G3392*C3435+G3392*C3436+G3392*C3437+G3392*C3438+G3392*C3439+G3392*C3440+G3392*C3429+G3392*C3430+G3392*C3424+G3392*C3425+G3392*C3426+G3392*C3427+G3392*C3428</f>
        <v>25.686336000000001</v>
      </c>
      <c r="V3392" s="54" t="str">
        <f>IF(T3392=U3392,"si","no")</f>
        <v>si</v>
      </c>
      <c r="W3392" s="137"/>
    </row>
    <row r="3393" spans="1:19" ht="12.75" customHeight="1" x14ac:dyDescent="0.2">
      <c r="A3393" s="17" t="s">
        <v>3</v>
      </c>
      <c r="B3393" s="18" t="s">
        <v>58</v>
      </c>
      <c r="C3393" s="56" t="s">
        <v>59</v>
      </c>
      <c r="D3393" s="56" t="s">
        <v>16</v>
      </c>
      <c r="E3393" s="19" t="s">
        <v>60</v>
      </c>
      <c r="F3393" s="20" t="s">
        <v>61</v>
      </c>
      <c r="G3393" s="21"/>
      <c r="M3393" s="57"/>
      <c r="N3393" s="57"/>
      <c r="O3393" s="56"/>
      <c r="P3393" s="56"/>
      <c r="Q3393" s="48"/>
      <c r="R3393" s="48"/>
    </row>
    <row r="3394" spans="1:19" ht="12.75" customHeight="1" x14ac:dyDescent="0.2">
      <c r="A3394" s="155">
        <f>'6.A'!$A$18</f>
        <v>88264</v>
      </c>
      <c r="B3394" s="138" t="str">
        <f>IF(A3394="","",VLOOKUP(A3394,'6.A'!$A$11:$G$180,2,FALSE))</f>
        <v>ELETRICISTA COM ENCARGOS COMPLEMENTARES</v>
      </c>
      <c r="C3394" s="156">
        <v>0.14052799999999999</v>
      </c>
      <c r="D3394" s="57" t="str">
        <f>IF(A3394="","",VLOOKUP(A3394,'6.A'!$A$11:$G$180,4,FALSE))</f>
        <v>H</v>
      </c>
      <c r="E3394" s="100">
        <f>IF(A3394="","",VLOOKUP(A3394,'6.A'!$A$11:$G$180,5,FALSE))</f>
        <v>0</v>
      </c>
      <c r="F3394" s="24">
        <f t="shared" ref="F3394:F3403" si="1457">IF(A3394="","0,00",ROUND(C3394*E3394,2))</f>
        <v>0</v>
      </c>
      <c r="G3394" s="52"/>
      <c r="H3394" s="52">
        <f>IF(A3394="","",VLOOKUP(A3394,'6.A'!$A$11:$E$7984,5,FALSE))</f>
        <v>0</v>
      </c>
      <c r="I3394" s="52" t="str">
        <f>IF(H3394="","",IF(E3394=H3394,"SIM","NÃO"))</f>
        <v>SIM</v>
      </c>
      <c r="J3394" s="52" t="str">
        <f>IF(H3394="","",VLOOKUP(A3394,'6.A'!$A$11:$E$564,4,FALSE))</f>
        <v>H</v>
      </c>
      <c r="K3394" s="52" t="str">
        <f>IF(H3394="","",IF(J3394=D3394,"SIM","NÃO"))</f>
        <v>SIM</v>
      </c>
      <c r="L3394" s="52">
        <f>IF(H3394="","",IF(C3394="","",G3392*C3394))</f>
        <v>0.84316799999999992</v>
      </c>
      <c r="M3394" s="117" t="str">
        <f>IF(A3394="","",VLOOKUP(A3394,'6.A'!$A$11:$C$564,2,FALSE))</f>
        <v>ELETRICISTA COM ENCARGOS COMPLEMENTARES</v>
      </c>
      <c r="N3394" s="57" t="str">
        <f>IF(A3394="","",IF(M3394=B3394,"si","no"))</f>
        <v>si</v>
      </c>
      <c r="O3394" s="56"/>
      <c r="P3394" s="56"/>
      <c r="Q3394" s="48"/>
      <c r="R3394" s="48"/>
    </row>
    <row r="3395" spans="1:19" ht="12.75" customHeight="1" x14ac:dyDescent="0.2">
      <c r="A3395" s="155">
        <f>'6.A'!$A$15</f>
        <v>88247</v>
      </c>
      <c r="B3395" s="138" t="str">
        <f>IF(A3395="","",VLOOKUP(A3395,'6.A'!$A$11:$G$180,2,FALSE))</f>
        <v>AUXILIAR DE ELETRICISTA COM ENCARGOS COMPLEMENTARES</v>
      </c>
      <c r="C3395" s="156">
        <v>0.14052799999999999</v>
      </c>
      <c r="D3395" s="57" t="str">
        <f>IF(A3395="","",VLOOKUP(A3395,'6.A'!$A$11:$G$180,4,FALSE))</f>
        <v>H</v>
      </c>
      <c r="E3395" s="100">
        <f>IF(A3395="","",VLOOKUP(A3395,'6.A'!$A$11:$G$180,5,FALSE))</f>
        <v>0</v>
      </c>
      <c r="F3395" s="24">
        <f t="shared" si="1457"/>
        <v>0</v>
      </c>
      <c r="G3395" s="52"/>
      <c r="H3395" s="52">
        <f>IF(A3395="","",VLOOKUP(A3395,'6.A'!$A$11:$E$7984,5,FALSE))</f>
        <v>0</v>
      </c>
      <c r="I3395" s="52" t="str">
        <f>IF(H3395="","",IF(E3395=H3395,"SIM","NÃO"))</f>
        <v>SIM</v>
      </c>
      <c r="J3395" s="52" t="str">
        <f>IF(H3395="","",VLOOKUP(A3395,'6.A'!$A$11:$E$564,4,FALSE))</f>
        <v>H</v>
      </c>
      <c r="K3395" s="52" t="str">
        <f>IF(H3395="","",IF(J3395=D3395,"SIM","NÃO"))</f>
        <v>SIM</v>
      </c>
      <c r="L3395" s="52">
        <f>IF(H3395="","",IF(C3395="","",G3392*C3395))</f>
        <v>0.84316799999999992</v>
      </c>
      <c r="M3395" s="117" t="str">
        <f>IF(A3395="","",VLOOKUP(A3395,'6.A'!$A$11:$C$564,2,FALSE))</f>
        <v>AUXILIAR DE ELETRICISTA COM ENCARGOS COMPLEMENTARES</v>
      </c>
      <c r="N3395" s="57" t="str">
        <f>IF(A3395="","",IF(M3395=B3395,"si","no"))</f>
        <v>si</v>
      </c>
      <c r="O3395" s="56"/>
      <c r="P3395" s="56"/>
      <c r="Q3395" s="48"/>
      <c r="R3395" s="48"/>
    </row>
    <row r="3396" spans="1:19" ht="12.75" customHeight="1" x14ac:dyDescent="0.2">
      <c r="A3396" s="155"/>
      <c r="B3396" s="138" t="str">
        <f>IF(A3396="","",VLOOKUP(A3396,'6.A'!$A$11:$G$180,2,FALSE))</f>
        <v/>
      </c>
      <c r="C3396" s="156"/>
      <c r="D3396" s="57" t="str">
        <f>IF(A3396="","",VLOOKUP(A3396,'6.A'!$A$11:$G$180,4,FALSE))</f>
        <v/>
      </c>
      <c r="E3396" s="100" t="str">
        <f>IF(A3396="","",VLOOKUP(A3396,'6.A'!$A$11:$G$180,5,FALSE))</f>
        <v/>
      </c>
      <c r="F3396" s="24" t="str">
        <f t="shared" si="1457"/>
        <v>0,00</v>
      </c>
      <c r="G3396" s="52"/>
      <c r="H3396" s="52" t="str">
        <f>IF(A3396="","",VLOOKUP(A3396,'6.A'!$A$11:$E$7984,5,FALSE))</f>
        <v/>
      </c>
      <c r="I3396" s="52" t="str">
        <f>IF(H3396="","",IF(E3396=H3396,"SIM","NÃO"))</f>
        <v/>
      </c>
      <c r="J3396" s="52" t="str">
        <f>IF(H3396="","",VLOOKUP(A3396,'6.A'!$A$11:$E$564,4,FALSE))</f>
        <v/>
      </c>
      <c r="K3396" s="52" t="str">
        <f t="shared" ref="K3396" si="1458">IF(H3396="","",IF(J3396=D3396,"SIM","NÃO"))</f>
        <v/>
      </c>
      <c r="L3396" s="52" t="str">
        <f>IF(H3396="","",IF(C3396="","",G3392*C3396))</f>
        <v/>
      </c>
      <c r="M3396" s="117" t="str">
        <f>IF(A3396="","",VLOOKUP(A3396,'6.A'!$A$11:$C$564,2,FALSE))</f>
        <v/>
      </c>
      <c r="N3396" s="57" t="str">
        <f t="shared" ref="N3396" si="1459">IF(A3396="","",IF(M3396=B3396,"si","no"))</f>
        <v/>
      </c>
      <c r="O3396" s="56"/>
      <c r="P3396" s="56"/>
      <c r="Q3396" s="48"/>
      <c r="R3396" s="48"/>
      <c r="S3396" s="2"/>
    </row>
    <row r="3397" spans="1:19" ht="12.75" customHeight="1" x14ac:dyDescent="0.2">
      <c r="A3397" s="155"/>
      <c r="B3397" s="138" t="str">
        <f>IF(A3397="","",VLOOKUP(A3397,'6.A'!$A$11:$G$180,2,FALSE))</f>
        <v/>
      </c>
      <c r="C3397" s="156"/>
      <c r="D3397" s="57" t="str">
        <f>IF(A3397="","",VLOOKUP(A3397,'6.A'!$A$11:$G$180,4,FALSE))</f>
        <v/>
      </c>
      <c r="E3397" s="100" t="str">
        <f>IF(A3397="","",VLOOKUP(A3397,'6.A'!$A$11:$G$180,5,FALSE))</f>
        <v/>
      </c>
      <c r="F3397" s="24" t="str">
        <f t="shared" si="1457"/>
        <v>0,00</v>
      </c>
      <c r="G3397" s="52"/>
      <c r="H3397" s="52" t="str">
        <f>IF(A3397="","",VLOOKUP(A3397,'6.A'!$A$11:$E$7984,5,FALSE))</f>
        <v/>
      </c>
      <c r="I3397" s="52" t="str">
        <f>IF(H3397="","",IF(E3397=H3397,"SIM","NÃO"))</f>
        <v/>
      </c>
      <c r="J3397" s="52" t="str">
        <f>IF(H3397="","",VLOOKUP(A3397,'6.A'!$A$11:$E$564,4,FALSE))</f>
        <v/>
      </c>
      <c r="K3397" s="52" t="str">
        <f>IF(H3397="","",IF(J3397=D3397,"SIM","NÃO"))</f>
        <v/>
      </c>
      <c r="L3397" s="52" t="str">
        <f>IF(H3397="","",IF(C3397="","",G3392*C3397))</f>
        <v/>
      </c>
      <c r="M3397" s="117" t="str">
        <f>IF(A3397="","",VLOOKUP(A3397,'6.A'!$A$11:$C$564,2,FALSE))</f>
        <v/>
      </c>
      <c r="N3397" s="57" t="str">
        <f>IF(A3397="","",IF(M3397=B3397,"si","no"))</f>
        <v/>
      </c>
      <c r="O3397" s="56"/>
      <c r="P3397" s="56"/>
      <c r="Q3397" s="48"/>
      <c r="R3397" s="48"/>
      <c r="S3397" s="2"/>
    </row>
    <row r="3398" spans="1:19" ht="12.75" customHeight="1" x14ac:dyDescent="0.2">
      <c r="A3398" s="155"/>
      <c r="B3398" s="138" t="str">
        <f>IF(A3398="","",VLOOKUP(A3398,'6.A'!$A$11:$G$180,2,FALSE))</f>
        <v/>
      </c>
      <c r="C3398" s="156"/>
      <c r="D3398" s="57" t="str">
        <f>IF(A3398="","",VLOOKUP(A3398,'6.A'!$A$11:$G$180,4,FALSE))</f>
        <v/>
      </c>
      <c r="E3398" s="101" t="str">
        <f>IF(A3398="","",VLOOKUP(A3398,'6.A'!$A$11:$G$180,5,FALSE))</f>
        <v/>
      </c>
      <c r="F3398" s="24" t="str">
        <f t="shared" si="1457"/>
        <v>0,00</v>
      </c>
      <c r="G3398" s="52"/>
      <c r="H3398" s="52" t="str">
        <f>IF(A3398="","",VLOOKUP(A3398,'6.A'!$A$11:$E$7984,5,FALSE))</f>
        <v/>
      </c>
      <c r="I3398" s="52" t="str">
        <f t="shared" ref="I3398" si="1460">IF(H3398="","",IF(E3398=H3398,"SIM","NÃO"))</f>
        <v/>
      </c>
      <c r="J3398" s="52" t="str">
        <f>IF(H3398="","",VLOOKUP(A3398,'6.A'!$A$11:$E$564,4,FALSE))</f>
        <v/>
      </c>
      <c r="K3398" s="52" t="str">
        <f t="shared" ref="K3398" si="1461">IF(H3398="","",IF(J3398=D3398,"SIM","NÃO"))</f>
        <v/>
      </c>
      <c r="L3398" s="52" t="str">
        <f>IF(H3398="","",IF(C3398="","",G3392*C3398))</f>
        <v/>
      </c>
      <c r="M3398" s="117" t="str">
        <f>IF(A3398="","",VLOOKUP(A3398,'6.A'!$A$11:$C$564,2,FALSE))</f>
        <v/>
      </c>
      <c r="N3398" s="57" t="str">
        <f t="shared" ref="N3398" si="1462">IF(A3398="","",IF(M3398=B3398,"si","no"))</f>
        <v/>
      </c>
      <c r="O3398" s="56"/>
      <c r="P3398" s="56"/>
      <c r="Q3398" s="48"/>
      <c r="R3398" s="48"/>
      <c r="S3398" s="2"/>
    </row>
    <row r="3399" spans="1:19" ht="12.75" customHeight="1" x14ac:dyDescent="0.2">
      <c r="A3399" s="155"/>
      <c r="B3399" s="138" t="str">
        <f>IF(A3399="","",VLOOKUP(A3399,'6.A'!$A$11:$G$180,2,FALSE))</f>
        <v/>
      </c>
      <c r="C3399" s="156"/>
      <c r="D3399" s="57" t="str">
        <f>IF(A3399="","",VLOOKUP(A3399,'6.A'!$A$11:$G$180,4,FALSE))</f>
        <v/>
      </c>
      <c r="E3399" s="101" t="str">
        <f>IF(A3399="","",VLOOKUP(A3399,'6.A'!$A$11:$G$180,5,FALSE))</f>
        <v/>
      </c>
      <c r="F3399" s="24" t="str">
        <f t="shared" si="1457"/>
        <v>0,00</v>
      </c>
      <c r="G3399" s="52"/>
      <c r="H3399" s="52" t="str">
        <f>IF(A3399="","",VLOOKUP(A3399,'6.A'!$A$11:$E$7984,5,FALSE))</f>
        <v/>
      </c>
      <c r="I3399" s="52" t="str">
        <f>IF(H3399="","",IF(E3399=H3399,"SIM","NÃO"))</f>
        <v/>
      </c>
      <c r="J3399" s="52" t="str">
        <f>IF(H3399="","",VLOOKUP(A3399,'6.A'!$A$11:$E$564,4,FALSE))</f>
        <v/>
      </c>
      <c r="K3399" s="52" t="str">
        <f>IF(H3399="","",IF(J3399=D3399,"SIM","NÃO"))</f>
        <v/>
      </c>
      <c r="L3399" s="52" t="str">
        <f>IF(H3399="","",IF(C3399="","",G3392*C3399))</f>
        <v/>
      </c>
      <c r="M3399" s="117" t="str">
        <f>IF(A3399="","",VLOOKUP(A3399,'6.A'!$A$11:$C$564,2,FALSE))</f>
        <v/>
      </c>
      <c r="N3399" s="57" t="str">
        <f>IF(A3399="","",IF(M3399=B3399,"si","no"))</f>
        <v/>
      </c>
      <c r="O3399" s="56"/>
      <c r="P3399" s="56"/>
      <c r="Q3399" s="48"/>
      <c r="R3399" s="48"/>
      <c r="S3399" s="2"/>
    </row>
    <row r="3400" spans="1:19" ht="12.75" customHeight="1" x14ac:dyDescent="0.2">
      <c r="A3400" s="155"/>
      <c r="B3400" s="138" t="str">
        <f>IF(A3400="","",VLOOKUP(A3400,'6.A'!$A$11:$G$180,2,FALSE))</f>
        <v/>
      </c>
      <c r="C3400" s="156"/>
      <c r="D3400" s="57" t="str">
        <f>IF(A3400="","",VLOOKUP(A3400,'6.A'!$A$11:$G$180,4,FALSE))</f>
        <v/>
      </c>
      <c r="E3400" s="100" t="str">
        <f>IF(A3400="","",VLOOKUP(A3400,'6.A'!$A$11:$G$180,5,FALSE))</f>
        <v/>
      </c>
      <c r="F3400" s="24" t="str">
        <f t="shared" si="1457"/>
        <v>0,00</v>
      </c>
      <c r="G3400" s="52"/>
      <c r="H3400" s="52" t="str">
        <f>IF(A3400="","",VLOOKUP(A3400,'6.A'!$A$11:$E$7984,5,FALSE))</f>
        <v/>
      </c>
      <c r="I3400" s="52" t="str">
        <f>IF(H3400="","",IF(E3400=H3400,"SIM","NÃO"))</f>
        <v/>
      </c>
      <c r="J3400" s="52" t="str">
        <f>IF(H3400="","",VLOOKUP(A3400,'6.A'!$A$11:$E$564,4,FALSE))</f>
        <v/>
      </c>
      <c r="K3400" s="52" t="str">
        <f>IF(H3400="","",IF(J3400=D3400,"SIM","NÃO"))</f>
        <v/>
      </c>
      <c r="L3400" s="52" t="str">
        <f>IF(H3400="","",IF(C3400="","",G3392*C3400))</f>
        <v/>
      </c>
      <c r="M3400" s="117" t="str">
        <f>IF(A3400="","",VLOOKUP(A3400,'6.A'!$A$11:$C$564,2,FALSE))</f>
        <v/>
      </c>
      <c r="N3400" s="57" t="str">
        <f>IF(A3400="","",IF(M3400=B3400,"si","no"))</f>
        <v/>
      </c>
      <c r="O3400" s="56"/>
      <c r="P3400" s="56"/>
      <c r="Q3400" s="48"/>
      <c r="R3400" s="48"/>
      <c r="S3400" s="2"/>
    </row>
    <row r="3401" spans="1:19" ht="12.75" customHeight="1" x14ac:dyDescent="0.2">
      <c r="A3401" s="155"/>
      <c r="B3401" s="138" t="str">
        <f>IF(A3401="","",VLOOKUP(A3401,'6.A'!$A$11:$G$180,2,FALSE))</f>
        <v/>
      </c>
      <c r="C3401" s="156"/>
      <c r="D3401" s="57" t="str">
        <f>IF(A3401="","",VLOOKUP(A3401,'6.A'!$A$11:$G$180,4,FALSE))</f>
        <v/>
      </c>
      <c r="E3401" s="100" t="str">
        <f>IF(A3401="","",VLOOKUP(A3401,'6.A'!$A$11:$G$180,5,FALSE))</f>
        <v/>
      </c>
      <c r="F3401" s="24" t="str">
        <f t="shared" si="1457"/>
        <v>0,00</v>
      </c>
      <c r="G3401" s="52"/>
      <c r="H3401" s="52" t="str">
        <f>IF(A3401="","",VLOOKUP(A3401,'6.A'!$A$11:$E$7984,5,FALSE))</f>
        <v/>
      </c>
      <c r="I3401" s="52" t="str">
        <f t="shared" ref="I3401" si="1463">IF(H3401="","",IF(E3401=H3401,"SIM","NÃO"))</f>
        <v/>
      </c>
      <c r="J3401" s="52" t="str">
        <f>IF(H3401="","",VLOOKUP(A3401,'6.A'!$A$11:$E$564,4,FALSE))</f>
        <v/>
      </c>
      <c r="K3401" s="52" t="str">
        <f t="shared" ref="K3401" si="1464">IF(H3401="","",IF(J3401=D3401,"SIM","NÃO"))</f>
        <v/>
      </c>
      <c r="L3401" s="52" t="str">
        <f>IF(H3401="","",IF(C3401="","",G3392*C3401))</f>
        <v/>
      </c>
      <c r="M3401" s="117" t="str">
        <f>IF(A3401="","",VLOOKUP(A3401,'6.A'!$A$11:$C$564,2,FALSE))</f>
        <v/>
      </c>
      <c r="N3401" s="57" t="str">
        <f t="shared" ref="N3401" si="1465">IF(A3401="","",IF(M3401=B3401,"si","no"))</f>
        <v/>
      </c>
      <c r="O3401" s="56"/>
      <c r="P3401" s="56"/>
      <c r="Q3401" s="48"/>
      <c r="R3401" s="48"/>
      <c r="S3401" s="2"/>
    </row>
    <row r="3402" spans="1:19" ht="12.75" customHeight="1" x14ac:dyDescent="0.2">
      <c r="A3402" s="155"/>
      <c r="B3402" s="138" t="str">
        <f>IF(A3402="","",VLOOKUP(A3402,'6.A'!$A$11:$G$180,2,FALSE))</f>
        <v/>
      </c>
      <c r="C3402" s="156"/>
      <c r="D3402" s="73" t="str">
        <f>IF(A3402="","",VLOOKUP(A3402,'6.A'!$A$11:$G$180,4,FALSE))</f>
        <v/>
      </c>
      <c r="E3402" s="101" t="str">
        <f>IF(A3402="","",VLOOKUP(A3402,'6.A'!$A$11:$G$180,5,FALSE))</f>
        <v/>
      </c>
      <c r="F3402" s="24" t="str">
        <f t="shared" si="1457"/>
        <v>0,00</v>
      </c>
      <c r="G3402" s="52"/>
      <c r="H3402" s="52" t="str">
        <f>IF(A3402="","",VLOOKUP(A3402,'6.A'!$A$11:$E$7984,5,FALSE))</f>
        <v/>
      </c>
      <c r="I3402" s="52" t="str">
        <f>IF(H3402="","",IF(E3402=H3402,"SIM","NÃO"))</f>
        <v/>
      </c>
      <c r="J3402" s="52" t="str">
        <f>IF(H3402="","",VLOOKUP(A3402,'6.A'!$A$11:$E$564,4,FALSE))</f>
        <v/>
      </c>
      <c r="K3402" s="52" t="str">
        <f>IF(H3402="","",IF(J3402=D3402,"SIM","NÃO"))</f>
        <v/>
      </c>
      <c r="L3402" s="52" t="str">
        <f>IF(H3402="","",IF(C3402="","",G3392*C3402))</f>
        <v/>
      </c>
      <c r="M3402" s="117" t="str">
        <f>IF(A3402="","",VLOOKUP(A3402,'6.A'!$A$11:$C$564,2,FALSE))</f>
        <v/>
      </c>
      <c r="N3402" s="57" t="str">
        <f>IF(A3402="","",IF(M3402=B3402,"si","no"))</f>
        <v/>
      </c>
      <c r="O3402" s="56"/>
      <c r="P3402" s="56"/>
      <c r="Q3402" s="48"/>
      <c r="R3402" s="48"/>
      <c r="S3402" s="2"/>
    </row>
    <row r="3403" spans="1:19" ht="12.75" customHeight="1" x14ac:dyDescent="0.2">
      <c r="A3403" s="155"/>
      <c r="B3403" s="138" t="str">
        <f>IF(A3403="","",VLOOKUP(A3403,'6.A'!$A$11:$G$180,2,FALSE))</f>
        <v/>
      </c>
      <c r="C3403" s="156"/>
      <c r="D3403" s="25" t="str">
        <f>IF(A3403="","",VLOOKUP(A3403,'6.A'!$A$11:$G$180,4,FALSE))</f>
        <v/>
      </c>
      <c r="E3403" s="101" t="str">
        <f>IF(A3403="","",VLOOKUP(A3403,'6.A'!$A$11:$G$180,5,FALSE))</f>
        <v/>
      </c>
      <c r="F3403" s="24" t="str">
        <f t="shared" si="1457"/>
        <v>0,00</v>
      </c>
      <c r="G3403" s="52"/>
      <c r="H3403" s="52" t="str">
        <f>IF(A3403="","",VLOOKUP(A3403,'6.A'!$A$11:$E$7984,5,FALSE))</f>
        <v/>
      </c>
      <c r="I3403" s="52" t="str">
        <f t="shared" ref="I3403" si="1466">IF(H3403="","",IF(E3403=H3403,"SIM","NÃO"))</f>
        <v/>
      </c>
      <c r="J3403" s="52" t="str">
        <f>IF(H3403="","",VLOOKUP(A3403,'6.A'!$A$11:$E$564,4,FALSE))</f>
        <v/>
      </c>
      <c r="K3403" s="52" t="str">
        <f t="shared" ref="K3403" si="1467">IF(H3403="","",IF(J3403=D3403,"SIM","NÃO"))</f>
        <v/>
      </c>
      <c r="L3403" s="52" t="str">
        <f>IF(H3403="","",IF(C3403="","",G3392*C3403))</f>
        <v/>
      </c>
      <c r="M3403" s="117" t="str">
        <f>IF(A3403="","",VLOOKUP(A3403,'6.A'!$A$11:$C$564,2,FALSE))</f>
        <v/>
      </c>
      <c r="N3403" s="57" t="str">
        <f t="shared" ref="N3403" si="1468">IF(A3403="","",IF(M3403=B3403,"si","no"))</f>
        <v/>
      </c>
      <c r="O3403" s="56"/>
      <c r="P3403" s="56"/>
      <c r="Q3403" s="48"/>
      <c r="R3403" s="48"/>
      <c r="S3403" s="2"/>
    </row>
    <row r="3404" spans="1:19" ht="12.75" customHeight="1" x14ac:dyDescent="0.2">
      <c r="A3404" s="152"/>
      <c r="B3404" s="26" t="str">
        <f>$A$8</f>
        <v>LEIS SOCIAIS HORISTA - JORNADA NORMAL</v>
      </c>
      <c r="C3404" s="27">
        <f>$C$8</f>
        <v>0</v>
      </c>
      <c r="D3404" s="57"/>
      <c r="F3404" s="28">
        <f>ROUND(SUM(F3394:F3403)*C3404,2)</f>
        <v>0</v>
      </c>
      <c r="G3404" s="63"/>
      <c r="M3404" s="62"/>
      <c r="N3404" s="57"/>
      <c r="O3404" s="56"/>
      <c r="P3404" s="56"/>
      <c r="Q3404" s="48"/>
      <c r="R3404" s="48"/>
      <c r="S3404" s="2"/>
    </row>
    <row r="3405" spans="1:19" ht="12.75" customHeight="1" x14ac:dyDescent="0.2">
      <c r="A3405" s="155"/>
      <c r="B3405" s="26" t="str">
        <f>$A$9</f>
        <v>BDI</v>
      </c>
      <c r="C3405" s="27">
        <f>$C$9</f>
        <v>0</v>
      </c>
      <c r="D3405" s="29"/>
      <c r="F3405" s="28">
        <f>ROUND(SUM(F3394:F3404)*C3405,2)</f>
        <v>0</v>
      </c>
      <c r="G3405" s="63"/>
      <c r="M3405" s="62"/>
      <c r="N3405" s="57"/>
      <c r="O3405" s="56"/>
      <c r="P3405" s="56"/>
      <c r="Q3405" s="48"/>
      <c r="R3405" s="48"/>
      <c r="S3405" s="2"/>
    </row>
    <row r="3406" spans="1:19" ht="12.75" customHeight="1" x14ac:dyDescent="0.2">
      <c r="A3406" s="163"/>
      <c r="B3406" s="164" t="s">
        <v>56</v>
      </c>
      <c r="C3406" s="165"/>
      <c r="D3406" s="33"/>
      <c r="E3406" s="34"/>
      <c r="F3406" s="35">
        <f>ROUND(SUM(F3394:F3405),2)</f>
        <v>0</v>
      </c>
      <c r="G3406" s="63"/>
      <c r="M3406" s="62"/>
      <c r="N3406" s="57"/>
      <c r="O3406" s="56"/>
      <c r="P3406" s="56"/>
      <c r="Q3406" s="48"/>
      <c r="R3406" s="48"/>
      <c r="S3406" s="2"/>
    </row>
    <row r="3407" spans="1:19" ht="12.75" customHeight="1" x14ac:dyDescent="0.2">
      <c r="A3407" s="152" t="s">
        <v>5</v>
      </c>
      <c r="B3407" s="153" t="s">
        <v>130</v>
      </c>
      <c r="C3407" s="140" t="s">
        <v>59</v>
      </c>
      <c r="D3407" s="56" t="s">
        <v>16</v>
      </c>
      <c r="E3407" s="19" t="s">
        <v>60</v>
      </c>
      <c r="F3407" s="20" t="s">
        <v>61</v>
      </c>
      <c r="G3407" s="21"/>
      <c r="M3407" s="62"/>
      <c r="N3407" s="57"/>
      <c r="O3407" s="56"/>
      <c r="P3407" s="56"/>
      <c r="Q3407" s="48"/>
      <c r="R3407" s="48"/>
      <c r="S3407" s="2"/>
    </row>
    <row r="3408" spans="1:19" ht="12.75" customHeight="1" x14ac:dyDescent="0.2">
      <c r="A3408" s="155"/>
      <c r="B3408" s="138" t="str">
        <f>IF(A3408="","",VLOOKUP(A3408,'6.A'!$A$11:$G$180,2,FALSE))</f>
        <v/>
      </c>
      <c r="C3408" s="156"/>
      <c r="D3408" s="57" t="str">
        <f>IF(A3408="","",VLOOKUP(A3408,'6.A'!$A$11:$G$180,4,FALSE))</f>
        <v/>
      </c>
      <c r="E3408" s="100" t="str">
        <f>IF(A3408="","",VLOOKUP(A3408,'6.A'!$A$11:$G$180,5,FALSE))</f>
        <v/>
      </c>
      <c r="F3408" s="24" t="str">
        <f t="shared" ref="F3408:F3417" si="1469">IF(A3408="","0,00",ROUND(C3408*E3408,2))</f>
        <v>0,00</v>
      </c>
      <c r="G3408" s="52"/>
      <c r="H3408" s="52" t="str">
        <f>IF(A3408="","",VLOOKUP(A3408,'6.A'!$A$11:$E$7984,5,FALSE))</f>
        <v/>
      </c>
      <c r="I3408" s="52" t="str">
        <f t="shared" ref="I3408:I3417" si="1470">IF(H3408="","",IF(E3408=H3408,"SIM","NÃO"))</f>
        <v/>
      </c>
      <c r="J3408" s="52" t="str">
        <f>IF(H3408="","",VLOOKUP(A3408,'6.A'!$A$11:$E$564,4,FALSE))</f>
        <v/>
      </c>
      <c r="K3408" s="52" t="str">
        <f t="shared" ref="K3408:K3417" si="1471">IF(H3408="","",IF(J3408=D3408,"SIM","NÃO"))</f>
        <v/>
      </c>
      <c r="L3408" s="52" t="str">
        <f>IF(H3408="","",IF(C3408="","",G3392*C3408))</f>
        <v/>
      </c>
      <c r="M3408" s="117" t="str">
        <f>IF(A3408="","",VLOOKUP(A3408,'6.A'!$A$11:$C$564,2,FALSE))</f>
        <v/>
      </c>
      <c r="N3408" s="57" t="str">
        <f t="shared" ref="N3408:N3413" si="1472">IF(A3408="","",IF(M3408=B3408,"si","no"))</f>
        <v/>
      </c>
      <c r="O3408" s="56"/>
      <c r="P3408" s="56"/>
      <c r="Q3408" s="48"/>
      <c r="R3408" s="48"/>
      <c r="S3408" s="2"/>
    </row>
    <row r="3409" spans="1:19" ht="12.75" customHeight="1" x14ac:dyDescent="0.2">
      <c r="A3409" s="155"/>
      <c r="B3409" s="138" t="str">
        <f>IF(A3409="","",VLOOKUP(A3409,'6.A'!$A$11:$G$180,2,FALSE))</f>
        <v/>
      </c>
      <c r="C3409" s="156"/>
      <c r="D3409" s="57" t="str">
        <f>IF(A3409="","",VLOOKUP(A3409,'6.A'!$A$11:$G$180,4,FALSE))</f>
        <v/>
      </c>
      <c r="E3409" s="100" t="str">
        <f>IF(A3409="","",VLOOKUP(A3409,'6.A'!$A$11:$G$180,5,FALSE))</f>
        <v/>
      </c>
      <c r="F3409" s="24" t="str">
        <f t="shared" si="1469"/>
        <v>0,00</v>
      </c>
      <c r="G3409" s="52"/>
      <c r="H3409" s="52" t="str">
        <f>IF(A3409="","",VLOOKUP(A3409,'6.A'!$A$11:$E$7984,5,FALSE))</f>
        <v/>
      </c>
      <c r="I3409" s="52" t="str">
        <f t="shared" si="1470"/>
        <v/>
      </c>
      <c r="J3409" s="52" t="str">
        <f>IF(H3409="","",VLOOKUP(A3409,'6.A'!$A$11:$E$564,4,FALSE))</f>
        <v/>
      </c>
      <c r="K3409" s="52" t="str">
        <f t="shared" si="1471"/>
        <v/>
      </c>
      <c r="L3409" s="52" t="str">
        <f>IF(H3409="","",IF(C3409="","",G3392*C3409))</f>
        <v/>
      </c>
      <c r="M3409" s="117" t="str">
        <f>IF(A3409="","",VLOOKUP(A3409,'6.A'!$A$11:$C$564,2,FALSE))</f>
        <v/>
      </c>
      <c r="N3409" s="57" t="str">
        <f t="shared" si="1472"/>
        <v/>
      </c>
      <c r="O3409" s="56"/>
      <c r="P3409" s="56"/>
      <c r="Q3409" s="48"/>
      <c r="R3409" s="48"/>
      <c r="S3409" s="2"/>
    </row>
    <row r="3410" spans="1:19" ht="12.75" customHeight="1" x14ac:dyDescent="0.2">
      <c r="A3410" s="155"/>
      <c r="B3410" s="138" t="str">
        <f>IF(A3410="","",VLOOKUP(A3410,'6.A'!$A$11:$G$180,2,FALSE))</f>
        <v/>
      </c>
      <c r="C3410" s="156"/>
      <c r="D3410" s="57" t="str">
        <f>IF(A3410="","",VLOOKUP(A3410,'6.A'!$A$11:$G$180,4,FALSE))</f>
        <v/>
      </c>
      <c r="E3410" s="100" t="str">
        <f>IF(A3410="","",VLOOKUP(A3410,'6.A'!$A$11:$G$180,5,FALSE))</f>
        <v/>
      </c>
      <c r="F3410" s="24" t="str">
        <f t="shared" si="1469"/>
        <v>0,00</v>
      </c>
      <c r="G3410" s="52"/>
      <c r="H3410" s="52" t="str">
        <f>IF(A3410="","",VLOOKUP(A3410,'6.A'!$A$11:$E$7984,5,FALSE))</f>
        <v/>
      </c>
      <c r="I3410" s="52" t="str">
        <f t="shared" si="1470"/>
        <v/>
      </c>
      <c r="J3410" s="52" t="str">
        <f>IF(H3410="","",VLOOKUP(A3410,'6.A'!$A$11:$E$564,4,FALSE))</f>
        <v/>
      </c>
      <c r="K3410" s="52" t="str">
        <f t="shared" si="1471"/>
        <v/>
      </c>
      <c r="L3410" s="52" t="str">
        <f>IF(H3410="","",IF(C3410="","",G3392*C3410))</f>
        <v/>
      </c>
      <c r="M3410" s="117" t="str">
        <f>IF(A3410="","",VLOOKUP(A3410,'6.A'!$A$11:$C$564,2,FALSE))</f>
        <v/>
      </c>
      <c r="N3410" s="57" t="str">
        <f t="shared" si="1472"/>
        <v/>
      </c>
      <c r="O3410" s="56"/>
      <c r="P3410" s="56"/>
      <c r="Q3410" s="48"/>
      <c r="R3410" s="48"/>
      <c r="S3410" s="2"/>
    </row>
    <row r="3411" spans="1:19" ht="12.75" customHeight="1" x14ac:dyDescent="0.2">
      <c r="A3411" s="155"/>
      <c r="B3411" s="176" t="str">
        <f>IF(A3411="","",VLOOKUP(A3411,'6.A'!$A$11:$G$180,2,FALSE))</f>
        <v/>
      </c>
      <c r="C3411" s="156"/>
      <c r="D3411" s="57" t="str">
        <f>IF(A3411="","",VLOOKUP(A3411,'6.A'!$A$11:$G$180,4,FALSE))</f>
        <v/>
      </c>
      <c r="E3411" s="100" t="str">
        <f>IF(A3411="","",VLOOKUP(A3411,'6.A'!$A$11:$G$180,5,FALSE))</f>
        <v/>
      </c>
      <c r="F3411" s="24" t="str">
        <f t="shared" si="1469"/>
        <v>0,00</v>
      </c>
      <c r="G3411" s="52"/>
      <c r="H3411" s="52" t="str">
        <f>IF(A3411="","",VLOOKUP(A3411,'6.A'!$A$11:$E$7984,5,FALSE))</f>
        <v/>
      </c>
      <c r="I3411" s="52" t="str">
        <f t="shared" si="1470"/>
        <v/>
      </c>
      <c r="J3411" s="52" t="str">
        <f>IF(H3411="","",VLOOKUP(A3411,'6.A'!$A$11:$E$564,4,FALSE))</f>
        <v/>
      </c>
      <c r="K3411" s="52" t="str">
        <f t="shared" si="1471"/>
        <v/>
      </c>
      <c r="L3411" s="52" t="str">
        <f>IF(H3411="","",IF(C3411="","",G3392*C3411))</f>
        <v/>
      </c>
      <c r="M3411" s="117" t="str">
        <f>IF(A3411="","",VLOOKUP(A3411,'6.A'!$A$11:$C$564,2,FALSE))</f>
        <v/>
      </c>
      <c r="N3411" s="57" t="str">
        <f t="shared" si="1472"/>
        <v/>
      </c>
      <c r="O3411" s="56"/>
      <c r="P3411" s="56"/>
      <c r="Q3411" s="48"/>
      <c r="R3411" s="48"/>
      <c r="S3411" s="2"/>
    </row>
    <row r="3412" spans="1:19" ht="12.75" customHeight="1" x14ac:dyDescent="0.2">
      <c r="A3412" s="155"/>
      <c r="B3412" s="176" t="str">
        <f>IF(A3412="","",VLOOKUP(A3412,'6.A'!$A$11:$G$180,2,FALSE))</f>
        <v/>
      </c>
      <c r="C3412" s="156"/>
      <c r="D3412" s="57" t="str">
        <f>IF(A3412="","",VLOOKUP(A3412,'6.A'!$A$11:$G$180,4,FALSE))</f>
        <v/>
      </c>
      <c r="E3412" s="100" t="str">
        <f>IF(A3412="","",VLOOKUP(A3412,'6.A'!$A$11:$G$180,5,FALSE))</f>
        <v/>
      </c>
      <c r="F3412" s="24" t="str">
        <f t="shared" si="1469"/>
        <v>0,00</v>
      </c>
      <c r="G3412" s="52"/>
      <c r="H3412" s="52" t="str">
        <f>IF(A3412="","",VLOOKUP(A3412,'6.A'!$A$11:$E$7984,5,FALSE))</f>
        <v/>
      </c>
      <c r="I3412" s="52" t="str">
        <f t="shared" si="1470"/>
        <v/>
      </c>
      <c r="J3412" s="52" t="str">
        <f>IF(H3412="","",VLOOKUP(A3412,'6.A'!$A$11:$E$564,4,FALSE))</f>
        <v/>
      </c>
      <c r="K3412" s="52" t="str">
        <f t="shared" si="1471"/>
        <v/>
      </c>
      <c r="L3412" s="52" t="str">
        <f>IF(H3412="","",IF(C3412="","",G3392*C3412))</f>
        <v/>
      </c>
      <c r="M3412" s="117" t="str">
        <f>IF(A3412="","",VLOOKUP(A3412,'6.A'!$A$11:$C$564,2,FALSE))</f>
        <v/>
      </c>
      <c r="N3412" s="57" t="str">
        <f t="shared" si="1472"/>
        <v/>
      </c>
      <c r="O3412" s="56"/>
      <c r="P3412" s="56"/>
      <c r="Q3412" s="48"/>
      <c r="R3412" s="48"/>
      <c r="S3412" s="2"/>
    </row>
    <row r="3413" spans="1:19" ht="12.75" customHeight="1" x14ac:dyDescent="0.2">
      <c r="A3413" s="155"/>
      <c r="B3413" s="176" t="str">
        <f>IF(A3413="","",VLOOKUP(A3413,'6.A'!$A$11:$G$180,2,FALSE))</f>
        <v/>
      </c>
      <c r="C3413" s="156"/>
      <c r="D3413" s="57" t="str">
        <f>IF(A3413="","",VLOOKUP(A3413,'6.A'!$A$11:$G$180,4,FALSE))</f>
        <v/>
      </c>
      <c r="E3413" s="100" t="str">
        <f>IF(A3413="","",VLOOKUP(A3413,'6.A'!$A$11:$G$180,5,FALSE))</f>
        <v/>
      </c>
      <c r="F3413" s="24" t="str">
        <f t="shared" si="1469"/>
        <v>0,00</v>
      </c>
      <c r="G3413" s="52"/>
      <c r="H3413" s="52" t="str">
        <f>IF(A3413="","",VLOOKUP(A3413,'6.A'!$A$11:$E$7984,5,FALSE))</f>
        <v/>
      </c>
      <c r="I3413" s="52" t="str">
        <f t="shared" si="1470"/>
        <v/>
      </c>
      <c r="J3413" s="52" t="str">
        <f>IF(H3413="","",VLOOKUP(A3413,'6.A'!$A$11:$E$564,4,FALSE))</f>
        <v/>
      </c>
      <c r="K3413" s="52" t="str">
        <f t="shared" si="1471"/>
        <v/>
      </c>
      <c r="L3413" s="52" t="str">
        <f>IF(H3413="","",IF(C3413="","",G3392*C3413))</f>
        <v/>
      </c>
      <c r="M3413" s="117" t="str">
        <f>IF(A3413="","",VLOOKUP(A3413,'6.A'!$A$11:$C$564,2,FALSE))</f>
        <v/>
      </c>
      <c r="N3413" s="57" t="str">
        <f t="shared" si="1472"/>
        <v/>
      </c>
      <c r="O3413" s="56"/>
      <c r="P3413" s="56"/>
      <c r="Q3413" s="48"/>
      <c r="R3413" s="48"/>
      <c r="S3413" s="2"/>
    </row>
    <row r="3414" spans="1:19" ht="12.75" customHeight="1" x14ac:dyDescent="0.2">
      <c r="A3414" s="155"/>
      <c r="B3414" s="176" t="str">
        <f>IF(A3414="","",VLOOKUP(A3414,'6.A'!$A$11:$G$180,2,FALSE))</f>
        <v/>
      </c>
      <c r="C3414" s="156"/>
      <c r="D3414" s="57" t="str">
        <f>IF(A3414="","",VLOOKUP(A3414,'6.A'!$A$11:$G$180,4,FALSE))</f>
        <v/>
      </c>
      <c r="E3414" s="100" t="str">
        <f>IF(A3414="","",VLOOKUP(A3414,'6.A'!$A$11:$G$180,5,FALSE))</f>
        <v/>
      </c>
      <c r="F3414" s="24" t="str">
        <f t="shared" si="1469"/>
        <v>0,00</v>
      </c>
      <c r="G3414" s="52"/>
      <c r="H3414" s="52" t="str">
        <f>IF(A3414="","",VLOOKUP(A3414,'6.A'!$A$11:$E$7984,5,FALSE))</f>
        <v/>
      </c>
      <c r="I3414" s="52" t="str">
        <f t="shared" si="1470"/>
        <v/>
      </c>
      <c r="J3414" s="52" t="str">
        <f>IF(H3414="","",VLOOKUP(A3414,'6.A'!$A$11:$E$564,4,FALSE))</f>
        <v/>
      </c>
      <c r="K3414" s="52" t="str">
        <f t="shared" si="1471"/>
        <v/>
      </c>
      <c r="L3414" s="52" t="str">
        <f>IF(H3414="","",IF(C3414="","",G3392*C3414))</f>
        <v/>
      </c>
      <c r="M3414" s="117" t="str">
        <f>IF(A3414="","",VLOOKUP(A3414,'6.A'!$A$11:$C$564,2,FALSE))</f>
        <v/>
      </c>
      <c r="N3414" s="57" t="str">
        <f>IF(A3414="","",IF(M3414=B3414,"si","no"))</f>
        <v/>
      </c>
      <c r="O3414" s="56"/>
      <c r="P3414" s="56"/>
      <c r="Q3414" s="48"/>
      <c r="R3414" s="48"/>
      <c r="S3414" s="2"/>
    </row>
    <row r="3415" spans="1:19" ht="12.75" customHeight="1" x14ac:dyDescent="0.2">
      <c r="A3415" s="155"/>
      <c r="B3415" s="138" t="str">
        <f>IF(A3415="","",VLOOKUP(A3415,'6.A'!$A$11:$G$180,2,FALSE))</f>
        <v/>
      </c>
      <c r="C3415" s="156"/>
      <c r="D3415" s="57" t="str">
        <f>IF(A3415="","",VLOOKUP(A3415,'6.A'!$A$11:$G$180,4,FALSE))</f>
        <v/>
      </c>
      <c r="E3415" s="100" t="str">
        <f>IF(A3415="","",VLOOKUP(A3415,'6.A'!$A$11:$G$180,5,FALSE))</f>
        <v/>
      </c>
      <c r="F3415" s="24" t="str">
        <f t="shared" si="1469"/>
        <v>0,00</v>
      </c>
      <c r="G3415" s="52"/>
      <c r="H3415" s="52" t="str">
        <f>IF(A3415="","",VLOOKUP(A3415,'6.A'!$A$11:$E$7984,5,FALSE))</f>
        <v/>
      </c>
      <c r="I3415" s="52" t="str">
        <f t="shared" si="1470"/>
        <v/>
      </c>
      <c r="J3415" s="52" t="str">
        <f>IF(H3415="","",VLOOKUP(A3415,'6.A'!$A$11:$E$564,4,FALSE))</f>
        <v/>
      </c>
      <c r="K3415" s="52" t="str">
        <f t="shared" si="1471"/>
        <v/>
      </c>
      <c r="L3415" s="52" t="str">
        <f>IF(H3415="","",IF(C3415="","",G3392*C3415))</f>
        <v/>
      </c>
      <c r="M3415" s="117" t="str">
        <f>IF(A3415="","",VLOOKUP(A3415,'6.A'!$A$11:$C$564,2,FALSE))</f>
        <v/>
      </c>
      <c r="N3415" s="57" t="str">
        <f>IF(A3415="","",IF(M3415=B3415,"si","no"))</f>
        <v/>
      </c>
      <c r="O3415" s="56"/>
      <c r="P3415" s="56"/>
      <c r="Q3415" s="48"/>
      <c r="R3415" s="48"/>
      <c r="S3415" s="2"/>
    </row>
    <row r="3416" spans="1:19" ht="12.75" customHeight="1" x14ac:dyDescent="0.2">
      <c r="A3416" s="155"/>
      <c r="B3416" s="138" t="str">
        <f>IF(A3416="","",VLOOKUP(A3416,'6.A'!$A$11:$G$180,2,FALSE))</f>
        <v/>
      </c>
      <c r="C3416" s="156"/>
      <c r="D3416" s="57" t="str">
        <f>IF(A3416="","",VLOOKUP(A3416,'6.A'!$A$11:$G$180,4,FALSE))</f>
        <v/>
      </c>
      <c r="E3416" s="100" t="str">
        <f>IF(A3416="","",VLOOKUP(A3416,'6.A'!$A$11:$G$180,5,FALSE))</f>
        <v/>
      </c>
      <c r="F3416" s="24" t="str">
        <f t="shared" si="1469"/>
        <v>0,00</v>
      </c>
      <c r="G3416" s="52"/>
      <c r="H3416" s="52" t="str">
        <f>IF(A3416="","",VLOOKUP(A3416,'6.A'!$A$11:$E$7984,5,FALSE))</f>
        <v/>
      </c>
      <c r="I3416" s="52" t="str">
        <f t="shared" si="1470"/>
        <v/>
      </c>
      <c r="J3416" s="52" t="str">
        <f>IF(H3416="","",VLOOKUP(A3416,'6.A'!$A$11:$E$564,4,FALSE))</f>
        <v/>
      </c>
      <c r="K3416" s="52" t="str">
        <f t="shared" si="1471"/>
        <v/>
      </c>
      <c r="L3416" s="52" t="str">
        <f>IF(H3416="","",IF(C3416="","",G3392*C3416))</f>
        <v/>
      </c>
      <c r="M3416" s="117" t="str">
        <f>IF(A3416="","",VLOOKUP(A3416,'6.A'!$A$11:$C$564,2,FALSE))</f>
        <v/>
      </c>
      <c r="N3416" s="57" t="str">
        <f t="shared" ref="N3416:N3417" si="1473">IF(A3416="","",IF(M3416=B3416,"si","no"))</f>
        <v/>
      </c>
      <c r="O3416" s="56"/>
      <c r="P3416" s="56"/>
      <c r="Q3416" s="48"/>
      <c r="R3416" s="48"/>
      <c r="S3416" s="2"/>
    </row>
    <row r="3417" spans="1:19" ht="12.75" customHeight="1" x14ac:dyDescent="0.2">
      <c r="A3417" s="155"/>
      <c r="B3417" s="138" t="str">
        <f>IF(A3417="","",VLOOKUP(A3417,'6.A'!$A$11:$G$180,2,FALSE))</f>
        <v/>
      </c>
      <c r="C3417" s="156"/>
      <c r="D3417" s="57" t="str">
        <f>IF(A3417="","",VLOOKUP(A3417,'6.A'!$A$11:$G$180,4,FALSE))</f>
        <v/>
      </c>
      <c r="E3417" s="100" t="str">
        <f>IF(A3417="","",VLOOKUP(A3417,'6.A'!$A$11:$G$180,5,FALSE))</f>
        <v/>
      </c>
      <c r="F3417" s="24" t="str">
        <f t="shared" si="1469"/>
        <v>0,00</v>
      </c>
      <c r="G3417" s="52"/>
      <c r="H3417" s="52" t="str">
        <f>IF(A3417="","",VLOOKUP(A3417,'6.A'!$A$11:$E$7984,5,FALSE))</f>
        <v/>
      </c>
      <c r="I3417" s="52" t="str">
        <f t="shared" si="1470"/>
        <v/>
      </c>
      <c r="J3417" s="52" t="str">
        <f>IF(H3417="","",VLOOKUP(A3417,'6.A'!$A$11:$E$564,4,FALSE))</f>
        <v/>
      </c>
      <c r="K3417" s="52" t="str">
        <f t="shared" si="1471"/>
        <v/>
      </c>
      <c r="L3417" s="52" t="str">
        <f>IF(H3417="","",IF(C3417="","",G3392*C3417))</f>
        <v/>
      </c>
      <c r="M3417" s="117" t="str">
        <f>IF(A3417="","",VLOOKUP(A3417,'6.A'!$A$11:$C$564,2,FALSE))</f>
        <v/>
      </c>
      <c r="N3417" s="57" t="str">
        <f t="shared" si="1473"/>
        <v/>
      </c>
      <c r="O3417" s="56"/>
      <c r="P3417" s="56"/>
      <c r="Q3417" s="48"/>
      <c r="R3417" s="48"/>
      <c r="S3417" s="2"/>
    </row>
    <row r="3418" spans="1:19" ht="12.75" customHeight="1" x14ac:dyDescent="0.2">
      <c r="A3418" s="155"/>
      <c r="B3418" s="26" t="str">
        <f>$A$9</f>
        <v>BDI</v>
      </c>
      <c r="C3418" s="27">
        <f>$C$9</f>
        <v>0</v>
      </c>
      <c r="D3418" s="57"/>
      <c r="F3418" s="28">
        <f>ROUND(SUM(F3408:F3417)*C3418,2)</f>
        <v>0</v>
      </c>
      <c r="G3418" s="63"/>
      <c r="M3418" s="62"/>
      <c r="N3418" s="57"/>
      <c r="O3418" s="56"/>
      <c r="P3418" s="56"/>
      <c r="Q3418" s="48"/>
      <c r="R3418" s="48"/>
      <c r="S3418" s="2"/>
    </row>
    <row r="3419" spans="1:19" ht="12.75" customHeight="1" x14ac:dyDescent="0.2">
      <c r="A3419" s="163"/>
      <c r="B3419" s="31" t="s">
        <v>117</v>
      </c>
      <c r="C3419" s="36"/>
      <c r="D3419" s="37"/>
      <c r="E3419" s="38"/>
      <c r="F3419" s="35">
        <f>ROUND(SUM(F3408:F3418),2)</f>
        <v>0</v>
      </c>
      <c r="G3419" s="63"/>
      <c r="M3419" s="62"/>
      <c r="N3419" s="57"/>
      <c r="O3419" s="56"/>
      <c r="P3419" s="56"/>
      <c r="Q3419" s="48"/>
      <c r="R3419" s="48"/>
      <c r="S3419" s="2"/>
    </row>
    <row r="3420" spans="1:19" ht="12.75" customHeight="1" x14ac:dyDescent="0.2">
      <c r="A3420" s="152" t="s">
        <v>6</v>
      </c>
      <c r="B3420" s="153" t="s">
        <v>17</v>
      </c>
      <c r="C3420" s="140" t="s">
        <v>59</v>
      </c>
      <c r="D3420" s="56" t="s">
        <v>16</v>
      </c>
      <c r="E3420" s="19" t="s">
        <v>60</v>
      </c>
      <c r="F3420" s="20" t="s">
        <v>61</v>
      </c>
      <c r="G3420" s="21"/>
      <c r="M3420" s="62"/>
      <c r="N3420" s="57"/>
      <c r="O3420" s="56"/>
      <c r="P3420" s="56"/>
      <c r="Q3420" s="48"/>
      <c r="R3420" s="48"/>
      <c r="S3420" s="2"/>
    </row>
    <row r="3421" spans="1:19" ht="12.75" customHeight="1" x14ac:dyDescent="0.2">
      <c r="A3421" s="155">
        <f>'6.A'!$A$87</f>
        <v>1571</v>
      </c>
      <c r="B3421" s="138" t="str">
        <f>IF(A3421="","",VLOOKUP(A3421,'6.A'!$A$11:$G$180,2,FALSE))</f>
        <v>TERMINAL A COMPRESSAO EM COBRE ESTANHADO PARA CABO 4 MM2, 1 FURO E 1 COMPRESSAO, PARA PARAFUSO DE FIXACAO M5</v>
      </c>
      <c r="C3421" s="156">
        <v>3</v>
      </c>
      <c r="D3421" s="57" t="str">
        <f>IF(A3421="","",VLOOKUP(A3421,'6.A'!$A$11:$G$180,4,FALSE))</f>
        <v>UN</v>
      </c>
      <c r="E3421" s="100">
        <f>IF(A3421="","",VLOOKUP(A3421,'6.A'!$A$11:$G$180,5,FALSE))</f>
        <v>0</v>
      </c>
      <c r="F3421" s="24">
        <f t="shared" ref="F3421:F3422" si="1474">IF(A3421="","0,00",ROUND(C3421*E3421,2))</f>
        <v>0</v>
      </c>
      <c r="G3421" s="52"/>
      <c r="H3421" s="52">
        <f>IF(A3421="","",VLOOKUP(A3421,'6.A'!$A$11:$E$7984,5,FALSE))</f>
        <v>0</v>
      </c>
      <c r="I3421" s="52" t="str">
        <f t="shared" ref="I3421:I3422" si="1475">IF(H3421="","",IF(E3421=H3421,"SIM","NÃO"))</f>
        <v>SIM</v>
      </c>
      <c r="J3421" s="52" t="str">
        <f>IF(H3421="","",VLOOKUP(A3421,'6.A'!$A$11:$E$564,4,FALSE))</f>
        <v>UN</v>
      </c>
      <c r="K3421" s="52" t="str">
        <f t="shared" ref="K3421:K3422" si="1476">IF(H3421="","",IF(J3421=D3421,"SIM","NÃO"))</f>
        <v>SIM</v>
      </c>
      <c r="L3421" s="52">
        <f>IF(H3421="","",IF(C3421="","",G3392*C3421))</f>
        <v>18</v>
      </c>
      <c r="M3421" s="117" t="str">
        <f>IF(A3421="","",VLOOKUP(A3421,'6.A'!$A$11:$C$564,2,FALSE))</f>
        <v>TERMINAL A COMPRESSAO EM COBRE ESTANHADO PARA CABO 4 MM2, 1 FURO E 1 COMPRESSAO, PARA PARAFUSO DE FIXACAO M5</v>
      </c>
      <c r="N3421" s="57" t="str">
        <f t="shared" ref="N3421:N3422" si="1477">IF(A3421="","",IF(M3421=B3421,"si","no"))</f>
        <v>si</v>
      </c>
      <c r="O3421" s="56"/>
      <c r="P3421" s="56"/>
      <c r="Q3421" s="48"/>
      <c r="R3421" s="48"/>
      <c r="S3421" s="2"/>
    </row>
    <row r="3422" spans="1:19" ht="12.75" customHeight="1" x14ac:dyDescent="0.2">
      <c r="A3422" s="155">
        <f>'6.A'!$A$130</f>
        <v>34709</v>
      </c>
      <c r="B3422" s="138" t="str">
        <f>IF(A3422="","",VLOOKUP(A3422,'6.A'!$A$11:$G$180,2,FALSE))</f>
        <v>DISJUNTOR TERMOMAGNETICO PARA TRILHO DIN (IEC), TRIPOLAR, 10 - 50 A</v>
      </c>
      <c r="C3422" s="156">
        <v>1</v>
      </c>
      <c r="D3422" s="57" t="str">
        <f>IF(A3422="","",VLOOKUP(A3422,'6.A'!$A$11:$G$180,4,FALSE))</f>
        <v>UN</v>
      </c>
      <c r="E3422" s="100">
        <f>IF(A3422="","",VLOOKUP(A3422,'6.A'!$A$11:$G$180,5,FALSE))</f>
        <v>0</v>
      </c>
      <c r="F3422" s="24">
        <f t="shared" si="1474"/>
        <v>0</v>
      </c>
      <c r="G3422" s="52"/>
      <c r="H3422" s="52">
        <f>IF(A3422="","",VLOOKUP(A3422,'6.A'!$A$11:$E$7984,5,FALSE))</f>
        <v>0</v>
      </c>
      <c r="I3422" s="52" t="str">
        <f t="shared" si="1475"/>
        <v>SIM</v>
      </c>
      <c r="J3422" s="52" t="str">
        <f>IF(H3422="","",VLOOKUP(A3422,'6.A'!$A$11:$E$564,4,FALSE))</f>
        <v>UN</v>
      </c>
      <c r="K3422" s="52" t="str">
        <f t="shared" si="1476"/>
        <v>SIM</v>
      </c>
      <c r="L3422" s="52">
        <f>IF(H3422="","",IF(C3422="","",G3392*C3422))</f>
        <v>6</v>
      </c>
      <c r="M3422" s="117" t="str">
        <f>IF(A3422="","",VLOOKUP(A3422,'6.A'!$A$11:$C$564,2,FALSE))</f>
        <v>DISJUNTOR TERMOMAGNETICO PARA TRILHO DIN (IEC), TRIPOLAR, 10 - 50 A</v>
      </c>
      <c r="N3422" s="57" t="str">
        <f t="shared" si="1477"/>
        <v>si</v>
      </c>
      <c r="O3422" s="56"/>
      <c r="P3422" s="56"/>
      <c r="Q3422" s="48"/>
      <c r="R3422" s="48"/>
      <c r="S3422" s="2"/>
    </row>
    <row r="3423" spans="1:19" ht="12.75" customHeight="1" x14ac:dyDescent="0.2">
      <c r="A3423" s="155"/>
      <c r="B3423" s="138" t="str">
        <f>IF(A3423="","",VLOOKUP(A3423,'6.A'!$A$11:$G$180,2,FALSE))</f>
        <v/>
      </c>
      <c r="C3423" s="156"/>
      <c r="D3423" s="57" t="str">
        <f>IF(A3423="","",VLOOKUP(A3423,'6.A'!$A$11:$G$180,4,FALSE))</f>
        <v/>
      </c>
      <c r="E3423" s="100" t="str">
        <f>IF(A3423="","",VLOOKUP(A3423,'6.A'!$A$11:$G$180,5,FALSE))</f>
        <v/>
      </c>
      <c r="F3423" s="24" t="str">
        <f>IF(A3423="","0,00",ROUND(C3423*E3423,2))</f>
        <v>0,00</v>
      </c>
      <c r="G3423" s="52"/>
      <c r="H3423" s="52" t="str">
        <f>IF(A3423="","",VLOOKUP(A3423,'6.A'!$A$11:$E$7984,5,FALSE))</f>
        <v/>
      </c>
      <c r="I3423" s="52" t="str">
        <f>IF(H3423="","",IF(E3423=H3423,"SIM","NÃO"))</f>
        <v/>
      </c>
      <c r="J3423" s="52" t="str">
        <f>IF(H3423="","",VLOOKUP(A3423,'6.A'!$A$11:$E$564,4,FALSE))</f>
        <v/>
      </c>
      <c r="K3423" s="52" t="str">
        <f>IF(H3423="","",IF(J3423=D3423,"SIM","NÃO"))</f>
        <v/>
      </c>
      <c r="L3423" s="52" t="str">
        <f>IF(H3423="","",IF(C3423="","",G3392*C3423))</f>
        <v/>
      </c>
      <c r="M3423" s="117" t="str">
        <f>IF(A3423="","",VLOOKUP(A3423,'6.A'!$A$11:$C$564,2,FALSE))</f>
        <v/>
      </c>
      <c r="N3423" s="57" t="str">
        <f>IF(A3423="","",IF(M3423=B3423,"si","no"))</f>
        <v/>
      </c>
      <c r="O3423" s="56"/>
      <c r="P3423" s="56"/>
      <c r="Q3423" s="48"/>
      <c r="R3423" s="48"/>
      <c r="S3423" s="2"/>
    </row>
    <row r="3424" spans="1:19" ht="12.75" customHeight="1" x14ac:dyDescent="0.2">
      <c r="A3424" s="155"/>
      <c r="B3424" s="138" t="str">
        <f>IF(A3424="","",VLOOKUP(A3424,'6.A'!$A$11:$G$180,2,FALSE))</f>
        <v/>
      </c>
      <c r="C3424" s="156"/>
      <c r="D3424" s="57" t="str">
        <f>IF(A3424="","",VLOOKUP(A3424,'6.A'!$A$11:$G$180,4,FALSE))</f>
        <v/>
      </c>
      <c r="E3424" s="100" t="str">
        <f>IF(A3424="","",VLOOKUP(A3424,'6.A'!$A$11:$G$180,5,FALSE))</f>
        <v/>
      </c>
      <c r="F3424" s="24" t="str">
        <f t="shared" ref="F3424:F3440" si="1478">IF(A3424="","0,00",ROUND(C3424*E3424,2))</f>
        <v>0,00</v>
      </c>
      <c r="G3424" s="52"/>
      <c r="H3424" s="52" t="str">
        <f>IF(A3424="","",VLOOKUP(A3424,'6.A'!$A$11:$E$7984,5,FALSE))</f>
        <v/>
      </c>
      <c r="I3424" s="52" t="str">
        <f t="shared" ref="I3424:I3440" si="1479">IF(H3424="","",IF(E3424=H3424,"SIM","NÃO"))</f>
        <v/>
      </c>
      <c r="J3424" s="52" t="str">
        <f>IF(H3424="","",VLOOKUP(A3424,'6.A'!$A$11:$E$564,4,FALSE))</f>
        <v/>
      </c>
      <c r="K3424" s="52" t="str">
        <f t="shared" ref="K3424:K3440" si="1480">IF(H3424="","",IF(J3424=D3424,"SIM","NÃO"))</f>
        <v/>
      </c>
      <c r="L3424" s="52" t="str">
        <f>IF(H3424="","",IF(C3424="","",G3392*C3424))</f>
        <v/>
      </c>
      <c r="M3424" s="117" t="str">
        <f>IF(A3424="","",VLOOKUP(A3424,'6.A'!$A$11:$C$564,2,FALSE))</f>
        <v/>
      </c>
      <c r="N3424" s="57" t="str">
        <f t="shared" ref="N3424:N3440" si="1481">IF(A3424="","",IF(M3424=B3424,"si","no"))</f>
        <v/>
      </c>
      <c r="O3424" s="56"/>
      <c r="P3424" s="56"/>
      <c r="Q3424" s="48"/>
      <c r="R3424" s="48"/>
      <c r="S3424" s="2"/>
    </row>
    <row r="3425" spans="1:22" ht="12.75" customHeight="1" x14ac:dyDescent="0.2">
      <c r="A3425" s="155"/>
      <c r="B3425" s="138" t="str">
        <f>IF(A3425="","",VLOOKUP(A3425,'6.A'!$A$11:$G$180,2,FALSE))</f>
        <v/>
      </c>
      <c r="C3425" s="156"/>
      <c r="D3425" s="57" t="str">
        <f>IF(A3425="","",VLOOKUP(A3425,'6.A'!$A$11:$G$180,4,FALSE))</f>
        <v/>
      </c>
      <c r="E3425" s="100" t="str">
        <f>IF(A3425="","",VLOOKUP(A3425,'6.A'!$A$11:$G$180,5,FALSE))</f>
        <v/>
      </c>
      <c r="F3425" s="24" t="str">
        <f t="shared" si="1478"/>
        <v>0,00</v>
      </c>
      <c r="G3425" s="52"/>
      <c r="H3425" s="52" t="str">
        <f>IF(A3425="","",VLOOKUP(A3425,'6.A'!$A$11:$E$7984,5,FALSE))</f>
        <v/>
      </c>
      <c r="I3425" s="52" t="str">
        <f t="shared" si="1479"/>
        <v/>
      </c>
      <c r="J3425" s="52" t="str">
        <f>IF(H3425="","",VLOOKUP(A3425,'6.A'!$A$11:$E$564,4,FALSE))</f>
        <v/>
      </c>
      <c r="K3425" s="52" t="str">
        <f t="shared" si="1480"/>
        <v/>
      </c>
      <c r="L3425" s="52" t="str">
        <f>IF(H3425="","",IF(C3425="","",G3392*C3425))</f>
        <v/>
      </c>
      <c r="M3425" s="117" t="str">
        <f>IF(A3425="","",VLOOKUP(A3425,'6.A'!$A$11:$C$564,2,FALSE))</f>
        <v/>
      </c>
      <c r="N3425" s="57" t="str">
        <f t="shared" si="1481"/>
        <v/>
      </c>
      <c r="O3425" s="56"/>
      <c r="P3425" s="56"/>
      <c r="Q3425" s="48"/>
      <c r="R3425" s="48"/>
      <c r="S3425" s="2"/>
    </row>
    <row r="3426" spans="1:22" ht="12.75" customHeight="1" x14ac:dyDescent="0.2">
      <c r="A3426" s="155"/>
      <c r="B3426" s="138" t="str">
        <f>IF(A3426="","",VLOOKUP(A3426,'6.A'!$A$11:$G$180,2,FALSE))</f>
        <v/>
      </c>
      <c r="C3426" s="156"/>
      <c r="D3426" s="57" t="str">
        <f>IF(A3426="","",VLOOKUP(A3426,'6.A'!$A$11:$G$180,4,FALSE))</f>
        <v/>
      </c>
      <c r="E3426" s="100" t="str">
        <f>IF(A3426="","",VLOOKUP(A3426,'6.A'!$A$11:$G$180,5,FALSE))</f>
        <v/>
      </c>
      <c r="F3426" s="24" t="str">
        <f t="shared" si="1478"/>
        <v>0,00</v>
      </c>
      <c r="G3426" s="52"/>
      <c r="H3426" s="52" t="str">
        <f>IF(A3426="","",VLOOKUP(A3426,'6.A'!$A$11:$E$7984,5,FALSE))</f>
        <v/>
      </c>
      <c r="I3426" s="52" t="str">
        <f t="shared" si="1479"/>
        <v/>
      </c>
      <c r="J3426" s="52" t="str">
        <f>IF(H3426="","",VLOOKUP(A3426,'6.A'!$A$11:$E$564,4,FALSE))</f>
        <v/>
      </c>
      <c r="K3426" s="52" t="str">
        <f t="shared" si="1480"/>
        <v/>
      </c>
      <c r="L3426" s="52" t="str">
        <f>IF(H3426="","",IF(C3426="","",G3392*C3426))</f>
        <v/>
      </c>
      <c r="M3426" s="117" t="str">
        <f>IF(A3426="","",VLOOKUP(A3426,'6.A'!$A$11:$C$564,2,FALSE))</f>
        <v/>
      </c>
      <c r="N3426" s="57" t="str">
        <f t="shared" si="1481"/>
        <v/>
      </c>
      <c r="O3426" s="56"/>
      <c r="P3426" s="56"/>
      <c r="Q3426" s="48"/>
      <c r="R3426" s="48"/>
      <c r="S3426" s="2"/>
    </row>
    <row r="3427" spans="1:22" ht="12.75" customHeight="1" x14ac:dyDescent="0.2">
      <c r="A3427" s="155"/>
      <c r="B3427" s="138" t="str">
        <f>IF(A3427="","",VLOOKUP(A3427,'6.A'!$A$11:$G$180,2,FALSE))</f>
        <v/>
      </c>
      <c r="C3427" s="156"/>
      <c r="D3427" s="57" t="str">
        <f>IF(A3427="","",VLOOKUP(A3427,'6.A'!$A$11:$G$180,4,FALSE))</f>
        <v/>
      </c>
      <c r="E3427" s="100" t="str">
        <f>IF(A3427="","",VLOOKUP(A3427,'6.A'!$A$11:$G$180,5,FALSE))</f>
        <v/>
      </c>
      <c r="F3427" s="24" t="str">
        <f t="shared" si="1478"/>
        <v>0,00</v>
      </c>
      <c r="G3427" s="52"/>
      <c r="H3427" s="52" t="str">
        <f>IF(A3427="","",VLOOKUP(A3427,'6.A'!$A$11:$E$7984,5,FALSE))</f>
        <v/>
      </c>
      <c r="I3427" s="52" t="str">
        <f t="shared" si="1479"/>
        <v/>
      </c>
      <c r="J3427" s="52" t="str">
        <f>IF(H3427="","",VLOOKUP(A3427,'6.A'!$A$11:$E$564,4,FALSE))</f>
        <v/>
      </c>
      <c r="K3427" s="52" t="str">
        <f t="shared" si="1480"/>
        <v/>
      </c>
      <c r="L3427" s="52" t="str">
        <f>IF(H3427="","",IF(C3427="","",G3392*C3427))</f>
        <v/>
      </c>
      <c r="M3427" s="117" t="str">
        <f>IF(A3427="","",VLOOKUP(A3427,'6.A'!$A$11:$C$564,2,FALSE))</f>
        <v/>
      </c>
      <c r="N3427" s="57" t="str">
        <f t="shared" si="1481"/>
        <v/>
      </c>
      <c r="O3427" s="56"/>
      <c r="P3427" s="56"/>
      <c r="Q3427" s="48"/>
      <c r="R3427" s="48"/>
      <c r="S3427" s="2"/>
    </row>
    <row r="3428" spans="1:22" s="65" customFormat="1" ht="12.75" customHeight="1" x14ac:dyDescent="0.2">
      <c r="A3428" s="155"/>
      <c r="B3428" s="138" t="str">
        <f>IF(A3428="","",VLOOKUP(A3428,'6.A'!$A$11:$G$180,2,FALSE))</f>
        <v/>
      </c>
      <c r="C3428" s="156"/>
      <c r="D3428" s="57" t="str">
        <f>IF(A3428="","",VLOOKUP(A3428,'6.A'!$A$11:$G$180,4,FALSE))</f>
        <v/>
      </c>
      <c r="E3428" s="100" t="str">
        <f>IF(A3428="","",VLOOKUP(A3428,'6.A'!$A$11:$G$180,5,FALSE))</f>
        <v/>
      </c>
      <c r="F3428" s="24" t="str">
        <f t="shared" si="1478"/>
        <v>0,00</v>
      </c>
      <c r="G3428" s="52"/>
      <c r="H3428" s="52" t="str">
        <f>IF(A3428="","",VLOOKUP(A3428,'6.A'!$A$11:$E$7984,5,FALSE))</f>
        <v/>
      </c>
      <c r="I3428" s="52" t="str">
        <f t="shared" si="1479"/>
        <v/>
      </c>
      <c r="J3428" s="52" t="str">
        <f>IF(H3428="","",VLOOKUP(A3428,'6.A'!$A$11:$E$564,4,FALSE))</f>
        <v/>
      </c>
      <c r="K3428" s="52" t="str">
        <f t="shared" si="1480"/>
        <v/>
      </c>
      <c r="L3428" s="52" t="str">
        <f>IF(H3428="","",IF(C3428="","",G3392*C3428))</f>
        <v/>
      </c>
      <c r="M3428" s="117" t="str">
        <f>IF(A3428="","",VLOOKUP(A3428,'6.A'!$A$11:$C$564,2,FALSE))</f>
        <v/>
      </c>
      <c r="N3428" s="57" t="str">
        <f t="shared" si="1481"/>
        <v/>
      </c>
      <c r="O3428" s="56"/>
      <c r="P3428" s="56"/>
      <c r="Q3428" s="48"/>
      <c r="R3428" s="48"/>
      <c r="T3428" s="2"/>
      <c r="U3428" s="2"/>
      <c r="V3428" s="2"/>
    </row>
    <row r="3429" spans="1:22" s="65" customFormat="1" ht="12.75" customHeight="1" x14ac:dyDescent="0.2">
      <c r="A3429" s="155"/>
      <c r="B3429" s="138" t="str">
        <f>IF(A3429="","",VLOOKUP(A3429,'6.A'!$A$11:$G$180,2,FALSE))</f>
        <v/>
      </c>
      <c r="C3429" s="156"/>
      <c r="D3429" s="57" t="str">
        <f>IF(A3429="","",VLOOKUP(A3429,'6.A'!$A$11:$G$180,4,FALSE))</f>
        <v/>
      </c>
      <c r="E3429" s="100" t="str">
        <f>IF(A3429="","",VLOOKUP(A3429,'6.A'!$A$11:$G$180,5,FALSE))</f>
        <v/>
      </c>
      <c r="F3429" s="24" t="str">
        <f t="shared" si="1478"/>
        <v>0,00</v>
      </c>
      <c r="G3429" s="52"/>
      <c r="H3429" s="52" t="str">
        <f>IF(A3429="","",VLOOKUP(A3429,'6.A'!$A$11:$E$7984,5,FALSE))</f>
        <v/>
      </c>
      <c r="I3429" s="52" t="str">
        <f t="shared" si="1479"/>
        <v/>
      </c>
      <c r="J3429" s="52" t="str">
        <f>IF(H3429="","",VLOOKUP(A3429,'6.A'!$A$11:$E$564,4,FALSE))</f>
        <v/>
      </c>
      <c r="K3429" s="52" t="str">
        <f t="shared" si="1480"/>
        <v/>
      </c>
      <c r="L3429" s="52" t="str">
        <f>IF(H3429="","",IF(C3429="","",G3392*C3429))</f>
        <v/>
      </c>
      <c r="M3429" s="117" t="str">
        <f>IF(A3429="","",VLOOKUP(A3429,'6.A'!$A$11:$C$564,2,FALSE))</f>
        <v/>
      </c>
      <c r="N3429" s="57" t="str">
        <f t="shared" si="1481"/>
        <v/>
      </c>
      <c r="O3429" s="56"/>
      <c r="P3429" s="56"/>
      <c r="Q3429" s="48"/>
      <c r="R3429" s="48"/>
      <c r="T3429" s="2"/>
      <c r="U3429" s="2"/>
      <c r="V3429" s="2"/>
    </row>
    <row r="3430" spans="1:22" s="65" customFormat="1" ht="12.75" customHeight="1" x14ac:dyDescent="0.2">
      <c r="A3430" s="155"/>
      <c r="B3430" s="138" t="str">
        <f>IF(A3430="","",VLOOKUP(A3430,'6.A'!$A$11:$G$180,2,FALSE))</f>
        <v/>
      </c>
      <c r="C3430" s="156"/>
      <c r="D3430" s="57" t="str">
        <f>IF(A3430="","",VLOOKUP(A3430,'6.A'!$A$11:$G$180,4,FALSE))</f>
        <v/>
      </c>
      <c r="E3430" s="100" t="str">
        <f>IF(A3430="","",VLOOKUP(A3430,'6.A'!$A$11:$G$180,5,FALSE))</f>
        <v/>
      </c>
      <c r="F3430" s="24" t="str">
        <f t="shared" si="1478"/>
        <v>0,00</v>
      </c>
      <c r="G3430" s="52"/>
      <c r="H3430" s="52" t="str">
        <f>IF(A3430="","",VLOOKUP(A3430,'6.A'!$A$11:$E$7984,5,FALSE))</f>
        <v/>
      </c>
      <c r="I3430" s="52" t="str">
        <f t="shared" si="1479"/>
        <v/>
      </c>
      <c r="J3430" s="52" t="str">
        <f>IF(H3430="","",VLOOKUP(A3430,'6.A'!$A$11:$E$564,4,FALSE))</f>
        <v/>
      </c>
      <c r="K3430" s="52" t="str">
        <f t="shared" si="1480"/>
        <v/>
      </c>
      <c r="L3430" s="52" t="str">
        <f>IF(H3430="","",IF(C3430="","",G3392*C3430))</f>
        <v/>
      </c>
      <c r="M3430" s="117" t="str">
        <f>IF(A3430="","",VLOOKUP(A3430,'6.A'!$A$11:$C$564,2,FALSE))</f>
        <v/>
      </c>
      <c r="N3430" s="57" t="str">
        <f t="shared" si="1481"/>
        <v/>
      </c>
      <c r="O3430" s="56"/>
      <c r="P3430" s="56"/>
      <c r="Q3430" s="48"/>
      <c r="R3430" s="48"/>
      <c r="T3430" s="2"/>
      <c r="U3430" s="2"/>
      <c r="V3430" s="2"/>
    </row>
    <row r="3431" spans="1:22" s="65" customFormat="1" ht="12.75" customHeight="1" x14ac:dyDescent="0.2">
      <c r="A3431" s="155"/>
      <c r="B3431" s="138" t="str">
        <f>IF(A3431="","",VLOOKUP(A3431,'6.A'!$A$11:$G$180,2,FALSE))</f>
        <v/>
      </c>
      <c r="C3431" s="156"/>
      <c r="D3431" s="57" t="str">
        <f>IF(A3431="","",VLOOKUP(A3431,'6.A'!$A$11:$G$180,4,FALSE))</f>
        <v/>
      </c>
      <c r="E3431" s="100" t="str">
        <f>IF(A3431="","",VLOOKUP(A3431,'6.A'!$A$11:$G$180,5,FALSE))</f>
        <v/>
      </c>
      <c r="F3431" s="24" t="str">
        <f t="shared" si="1478"/>
        <v>0,00</v>
      </c>
      <c r="G3431" s="52"/>
      <c r="H3431" s="52" t="str">
        <f>IF(A3431="","",VLOOKUP(A3431,'6.A'!$A$11:$E$7984,5,FALSE))</f>
        <v/>
      </c>
      <c r="I3431" s="52" t="str">
        <f t="shared" si="1479"/>
        <v/>
      </c>
      <c r="J3431" s="52" t="str">
        <f>IF(H3431="","",VLOOKUP(A3431,'6.A'!$A$11:$E$564,4,FALSE))</f>
        <v/>
      </c>
      <c r="K3431" s="52" t="str">
        <f t="shared" si="1480"/>
        <v/>
      </c>
      <c r="L3431" s="52" t="str">
        <f>IF(H3431="","",IF(C3431="","",G3392*C3431))</f>
        <v/>
      </c>
      <c r="M3431" s="117" t="str">
        <f>IF(A3431="","",VLOOKUP(A3431,'6.A'!$A$11:$C$564,2,FALSE))</f>
        <v/>
      </c>
      <c r="N3431" s="57" t="str">
        <f t="shared" si="1481"/>
        <v/>
      </c>
      <c r="O3431" s="56"/>
      <c r="P3431" s="56"/>
      <c r="Q3431" s="48"/>
      <c r="R3431" s="48"/>
      <c r="T3431" s="2"/>
      <c r="U3431" s="2"/>
      <c r="V3431" s="2"/>
    </row>
    <row r="3432" spans="1:22" ht="12.75" customHeight="1" x14ac:dyDescent="0.2">
      <c r="A3432" s="22"/>
      <c r="B3432" s="23" t="str">
        <f>IF(A3432="","",VLOOKUP(A3432,'6.A'!$A$11:$G$180,2,FALSE))</f>
        <v/>
      </c>
      <c r="C3432" s="99"/>
      <c r="D3432" s="57" t="str">
        <f>IF(A3432="","",VLOOKUP(A3432,'6.A'!$A$11:$G$180,4,FALSE))</f>
        <v/>
      </c>
      <c r="E3432" s="100" t="str">
        <f>IF(A3432="","",VLOOKUP(A3432,'6.A'!$A$11:$G$180,5,FALSE))</f>
        <v/>
      </c>
      <c r="F3432" s="24" t="str">
        <f t="shared" si="1478"/>
        <v>0,00</v>
      </c>
      <c r="G3432" s="52"/>
      <c r="H3432" s="52" t="str">
        <f>IF(A3432="","",VLOOKUP(A3432,'6.A'!$A$11:$E$7984,5,FALSE))</f>
        <v/>
      </c>
      <c r="I3432" s="52" t="str">
        <f t="shared" si="1479"/>
        <v/>
      </c>
      <c r="J3432" s="52" t="str">
        <f>IF(H3432="","",VLOOKUP(A3432,'6.A'!$A$11:$E$564,4,FALSE))</f>
        <v/>
      </c>
      <c r="K3432" s="52" t="str">
        <f t="shared" si="1480"/>
        <v/>
      </c>
      <c r="L3432" s="52" t="str">
        <f>IF(H3432="","",IF(C3432="","",G3392*C3432))</f>
        <v/>
      </c>
      <c r="M3432" s="117" t="str">
        <f>IF(A3432="","",VLOOKUP(A3432,'6.A'!$A$11:$C$564,2,FALSE))</f>
        <v/>
      </c>
      <c r="N3432" s="57" t="str">
        <f t="shared" si="1481"/>
        <v/>
      </c>
      <c r="O3432" s="56"/>
      <c r="P3432" s="56"/>
      <c r="Q3432" s="48"/>
      <c r="R3432" s="48"/>
    </row>
    <row r="3433" spans="1:22" ht="12.75" customHeight="1" x14ac:dyDescent="0.2">
      <c r="A3433" s="22"/>
      <c r="B3433" s="23" t="str">
        <f>IF(A3433="","",VLOOKUP(A3433,'6.A'!$A$11:$G$180,2,FALSE))</f>
        <v/>
      </c>
      <c r="C3433" s="99"/>
      <c r="D3433" s="57" t="str">
        <f>IF(A3433="","",VLOOKUP(A3433,'6.A'!$A$11:$G$180,4,FALSE))</f>
        <v/>
      </c>
      <c r="E3433" s="100" t="str">
        <f>IF(A3433="","",VLOOKUP(A3433,'6.A'!$A$11:$G$180,5,FALSE))</f>
        <v/>
      </c>
      <c r="F3433" s="24" t="str">
        <f t="shared" si="1478"/>
        <v>0,00</v>
      </c>
      <c r="G3433" s="52"/>
      <c r="H3433" s="52" t="str">
        <f>IF(A3433="","",VLOOKUP(A3433,'6.A'!$A$11:$E$7984,5,FALSE))</f>
        <v/>
      </c>
      <c r="I3433" s="52" t="str">
        <f t="shared" si="1479"/>
        <v/>
      </c>
      <c r="J3433" s="52" t="str">
        <f>IF(H3433="","",VLOOKUP(A3433,'6.A'!$A$11:$E$564,4,FALSE))</f>
        <v/>
      </c>
      <c r="K3433" s="52" t="str">
        <f t="shared" si="1480"/>
        <v/>
      </c>
      <c r="L3433" s="52" t="str">
        <f>IF(H3433="","",IF(C3433="","",G3392*C3433))</f>
        <v/>
      </c>
      <c r="M3433" s="117" t="str">
        <f>IF(A3433="","",VLOOKUP(A3433,'6.A'!$A$11:$C$564,2,FALSE))</f>
        <v/>
      </c>
      <c r="N3433" s="57" t="str">
        <f t="shared" si="1481"/>
        <v/>
      </c>
      <c r="O3433" s="56"/>
      <c r="P3433" s="56"/>
      <c r="Q3433" s="48"/>
      <c r="R3433" s="48"/>
    </row>
    <row r="3434" spans="1:22" ht="12.75" customHeight="1" x14ac:dyDescent="0.2">
      <c r="A3434" s="22"/>
      <c r="B3434" s="23" t="str">
        <f>IF(A3434="","",VLOOKUP(A3434,'6.A'!$A$11:$G$180,2,FALSE))</f>
        <v/>
      </c>
      <c r="C3434" s="99"/>
      <c r="D3434" s="57" t="str">
        <f>IF(A3434="","",VLOOKUP(A3434,'6.A'!$A$11:$G$180,4,FALSE))</f>
        <v/>
      </c>
      <c r="E3434" s="100" t="str">
        <f>IF(A3434="","",VLOOKUP(A3434,'6.A'!$A$11:$G$180,5,FALSE))</f>
        <v/>
      </c>
      <c r="F3434" s="24" t="str">
        <f t="shared" si="1478"/>
        <v>0,00</v>
      </c>
      <c r="G3434" s="52"/>
      <c r="H3434" s="52" t="str">
        <f>IF(A3434="","",VLOOKUP(A3434,'6.A'!$A$11:$E$7984,5,FALSE))</f>
        <v/>
      </c>
      <c r="I3434" s="52" t="str">
        <f t="shared" si="1479"/>
        <v/>
      </c>
      <c r="J3434" s="52" t="str">
        <f>IF(H3434="","",VLOOKUP(A3434,'6.A'!$A$11:$E$564,4,FALSE))</f>
        <v/>
      </c>
      <c r="K3434" s="52" t="str">
        <f t="shared" si="1480"/>
        <v/>
      </c>
      <c r="L3434" s="52" t="str">
        <f>IF(H3434="","",IF(C3434="","",G3392*C3434))</f>
        <v/>
      </c>
      <c r="M3434" s="117" t="str">
        <f>IF(A3434="","",VLOOKUP(A3434,'6.A'!$A$11:$C$564,2,FALSE))</f>
        <v/>
      </c>
      <c r="N3434" s="57" t="str">
        <f t="shared" si="1481"/>
        <v/>
      </c>
      <c r="O3434" s="56"/>
      <c r="P3434" s="56"/>
      <c r="Q3434" s="48"/>
      <c r="R3434" s="48"/>
    </row>
    <row r="3435" spans="1:22" ht="12.75" customHeight="1" x14ac:dyDescent="0.2">
      <c r="A3435" s="22"/>
      <c r="B3435" s="23" t="str">
        <f>IF(A3435="","",VLOOKUP(A3435,'6.A'!$A$11:$G$180,2,FALSE))</f>
        <v/>
      </c>
      <c r="C3435" s="99"/>
      <c r="D3435" s="57" t="str">
        <f>IF(A3435="","",VLOOKUP(A3435,'6.A'!$A$11:$G$180,4,FALSE))</f>
        <v/>
      </c>
      <c r="E3435" s="100" t="str">
        <f>IF(A3435="","",VLOOKUP(A3435,'6.A'!$A$11:$G$180,5,FALSE))</f>
        <v/>
      </c>
      <c r="F3435" s="24" t="str">
        <f t="shared" si="1478"/>
        <v>0,00</v>
      </c>
      <c r="G3435" s="52"/>
      <c r="H3435" s="52" t="str">
        <f>IF(A3435="","",VLOOKUP(A3435,'6.A'!$A$11:$E$7984,5,FALSE))</f>
        <v/>
      </c>
      <c r="I3435" s="52" t="str">
        <f t="shared" si="1479"/>
        <v/>
      </c>
      <c r="J3435" s="52" t="str">
        <f>IF(H3435="","",VLOOKUP(A3435,'6.A'!$A$11:$E$564,4,FALSE))</f>
        <v/>
      </c>
      <c r="K3435" s="52" t="str">
        <f t="shared" si="1480"/>
        <v/>
      </c>
      <c r="L3435" s="52" t="str">
        <f>IF(H3435="","",IF(C3435="","",G3392*C3435))</f>
        <v/>
      </c>
      <c r="M3435" s="117" t="str">
        <f>IF(A3435="","",VLOOKUP(A3435,'6.A'!$A$11:$C$564,2,FALSE))</f>
        <v/>
      </c>
      <c r="N3435" s="57" t="str">
        <f t="shared" si="1481"/>
        <v/>
      </c>
      <c r="O3435" s="56"/>
      <c r="P3435" s="56"/>
      <c r="Q3435" s="48"/>
      <c r="R3435" s="48"/>
    </row>
    <row r="3436" spans="1:22" ht="12.75" customHeight="1" x14ac:dyDescent="0.2">
      <c r="A3436" s="22"/>
      <c r="B3436" s="23" t="str">
        <f>IF(A3436="","",VLOOKUP(A3436,'6.A'!$A$11:$G$180,2,FALSE))</f>
        <v/>
      </c>
      <c r="C3436" s="99"/>
      <c r="D3436" s="57" t="str">
        <f>IF(A3436="","",VLOOKUP(A3436,'6.A'!$A$11:$G$180,4,FALSE))</f>
        <v/>
      </c>
      <c r="E3436" s="100" t="str">
        <f>IF(A3436="","",VLOOKUP(A3436,'6.A'!$A$11:$G$180,5,FALSE))</f>
        <v/>
      </c>
      <c r="F3436" s="24" t="str">
        <f t="shared" si="1478"/>
        <v>0,00</v>
      </c>
      <c r="G3436" s="52"/>
      <c r="H3436" s="52" t="str">
        <f>IF(A3436="","",VLOOKUP(A3436,'6.A'!$A$11:$E$7984,5,FALSE))</f>
        <v/>
      </c>
      <c r="I3436" s="52" t="str">
        <f t="shared" si="1479"/>
        <v/>
      </c>
      <c r="J3436" s="52" t="str">
        <f>IF(H3436="","",VLOOKUP(A3436,'6.A'!$A$11:$E$564,4,FALSE))</f>
        <v/>
      </c>
      <c r="K3436" s="52" t="str">
        <f t="shared" si="1480"/>
        <v/>
      </c>
      <c r="L3436" s="52" t="str">
        <f>IF(H3436="","",IF(C3436="","",G3392*C3436))</f>
        <v/>
      </c>
      <c r="M3436" s="117" t="str">
        <f>IF(A3436="","",VLOOKUP(A3436,'6.A'!$A$11:$C$564,2,FALSE))</f>
        <v/>
      </c>
      <c r="N3436" s="57" t="str">
        <f t="shared" si="1481"/>
        <v/>
      </c>
      <c r="O3436" s="56"/>
      <c r="P3436" s="56"/>
      <c r="Q3436" s="48"/>
      <c r="R3436" s="48"/>
    </row>
    <row r="3437" spans="1:22" ht="12.75" customHeight="1" x14ac:dyDescent="0.2">
      <c r="A3437" s="22"/>
      <c r="B3437" s="23" t="str">
        <f>IF(A3437="","",VLOOKUP(A3437,'6.A'!$A$11:$G$180,2,FALSE))</f>
        <v/>
      </c>
      <c r="C3437" s="99"/>
      <c r="D3437" s="57" t="str">
        <f>IF(A3437="","",VLOOKUP(A3437,'6.A'!$A$11:$G$180,4,FALSE))</f>
        <v/>
      </c>
      <c r="E3437" s="100" t="str">
        <f>IF(A3437="","",VLOOKUP(A3437,'6.A'!$A$11:$G$180,5,FALSE))</f>
        <v/>
      </c>
      <c r="F3437" s="24" t="str">
        <f t="shared" si="1478"/>
        <v>0,00</v>
      </c>
      <c r="G3437" s="52"/>
      <c r="H3437" s="52" t="str">
        <f>IF(A3437="","",VLOOKUP(A3437,'6.A'!$A$11:$E$7984,5,FALSE))</f>
        <v/>
      </c>
      <c r="I3437" s="52" t="str">
        <f t="shared" si="1479"/>
        <v/>
      </c>
      <c r="J3437" s="52" t="str">
        <f>IF(H3437="","",VLOOKUP(A3437,'6.A'!$A$11:$E$564,4,FALSE))</f>
        <v/>
      </c>
      <c r="K3437" s="52" t="str">
        <f t="shared" si="1480"/>
        <v/>
      </c>
      <c r="L3437" s="52" t="str">
        <f>IF(H3437="","",IF(C3437="","",G3392*C3437))</f>
        <v/>
      </c>
      <c r="M3437" s="117" t="str">
        <f>IF(A3437="","",VLOOKUP(A3437,'6.A'!$A$11:$C$564,2,FALSE))</f>
        <v/>
      </c>
      <c r="N3437" s="57" t="str">
        <f t="shared" si="1481"/>
        <v/>
      </c>
      <c r="O3437" s="56"/>
      <c r="P3437" s="56"/>
      <c r="Q3437" s="48"/>
      <c r="R3437" s="48"/>
    </row>
    <row r="3438" spans="1:22" ht="12.75" customHeight="1" x14ac:dyDescent="0.2">
      <c r="A3438" s="22"/>
      <c r="B3438" s="39" t="str">
        <f>IF(A3438="","",VLOOKUP(A3438,'6.A'!$A$11:$G$180,2,FALSE))</f>
        <v/>
      </c>
      <c r="C3438" s="99"/>
      <c r="D3438" s="57" t="str">
        <f>IF(A3438="","",VLOOKUP(A3438,'6.A'!$A$11:$G$180,4,FALSE))</f>
        <v/>
      </c>
      <c r="E3438" s="100" t="str">
        <f>IF(A3438="","",VLOOKUP(A3438,'6.A'!$A$11:$G$180,5,FALSE))</f>
        <v/>
      </c>
      <c r="F3438" s="24" t="str">
        <f t="shared" si="1478"/>
        <v>0,00</v>
      </c>
      <c r="G3438" s="52"/>
      <c r="H3438" s="52" t="str">
        <f>IF(A3438="","",VLOOKUP(A3438,'6.A'!$A$11:$E$7984,5,FALSE))</f>
        <v/>
      </c>
      <c r="I3438" s="52" t="str">
        <f t="shared" si="1479"/>
        <v/>
      </c>
      <c r="J3438" s="52" t="str">
        <f>IF(H3438="","",VLOOKUP(A3438,'6.A'!$A$11:$E$564,4,FALSE))</f>
        <v/>
      </c>
      <c r="K3438" s="52" t="str">
        <f t="shared" si="1480"/>
        <v/>
      </c>
      <c r="L3438" s="52" t="str">
        <f>IF(H3438="","",IF(C3438="","",G3392*C3438))</f>
        <v/>
      </c>
      <c r="M3438" s="117" t="str">
        <f>IF(A3438="","",VLOOKUP(A3438,'6.A'!$A$11:$C$564,2,FALSE))</f>
        <v/>
      </c>
      <c r="N3438" s="57" t="str">
        <f t="shared" si="1481"/>
        <v/>
      </c>
      <c r="O3438" s="56"/>
      <c r="P3438" s="56"/>
      <c r="Q3438" s="48"/>
      <c r="R3438" s="48"/>
    </row>
    <row r="3439" spans="1:22" ht="12.75" customHeight="1" x14ac:dyDescent="0.2">
      <c r="A3439" s="22"/>
      <c r="B3439" s="39" t="str">
        <f>IF(A3439="","",VLOOKUP(A3439,'6.A'!$A$11:$G$180,2,FALSE))</f>
        <v/>
      </c>
      <c r="C3439" s="99"/>
      <c r="D3439" s="57" t="str">
        <f>IF(A3439="","",VLOOKUP(A3439,'6.A'!$A$11:$G$180,4,FALSE))</f>
        <v/>
      </c>
      <c r="E3439" s="100" t="str">
        <f>IF(A3439="","",VLOOKUP(A3439,'6.A'!$A$11:$G$180,5,FALSE))</f>
        <v/>
      </c>
      <c r="F3439" s="24" t="str">
        <f t="shared" si="1478"/>
        <v>0,00</v>
      </c>
      <c r="G3439" s="52"/>
      <c r="H3439" s="52" t="str">
        <f>IF(A3439="","",VLOOKUP(A3439,'6.A'!$A$11:$E$7984,5,FALSE))</f>
        <v/>
      </c>
      <c r="I3439" s="52" t="str">
        <f t="shared" si="1479"/>
        <v/>
      </c>
      <c r="J3439" s="52" t="str">
        <f>IF(H3439="","",VLOOKUP(A3439,'6.A'!$A$11:$E$564,4,FALSE))</f>
        <v/>
      </c>
      <c r="K3439" s="52" t="str">
        <f t="shared" si="1480"/>
        <v/>
      </c>
      <c r="L3439" s="52" t="str">
        <f>IF(H3439="","",IF(C3439="","",G3392*C3439))</f>
        <v/>
      </c>
      <c r="M3439" s="117" t="str">
        <f>IF(A3439="","",VLOOKUP(A3439,'6.A'!$A$11:$C$564,2,FALSE))</f>
        <v/>
      </c>
      <c r="N3439" s="57" t="str">
        <f t="shared" si="1481"/>
        <v/>
      </c>
      <c r="O3439" s="56"/>
      <c r="P3439" s="56"/>
      <c r="Q3439" s="48"/>
      <c r="R3439" s="48"/>
    </row>
    <row r="3440" spans="1:22" ht="12.75" customHeight="1" x14ac:dyDescent="0.2">
      <c r="A3440" s="22"/>
      <c r="B3440" s="39" t="str">
        <f>IF(A3440="","",VLOOKUP(A3440,'6.A'!$A$11:$G$180,2,FALSE))</f>
        <v/>
      </c>
      <c r="C3440" s="99"/>
      <c r="D3440" s="57" t="str">
        <f>IF(A3440="","",VLOOKUP(A3440,'6.A'!$A$11:$G$180,4,FALSE))</f>
        <v/>
      </c>
      <c r="E3440" s="100" t="str">
        <f>IF(A3440="","",VLOOKUP(A3440,'6.A'!$A$11:$G$180,5,FALSE))</f>
        <v/>
      </c>
      <c r="F3440" s="24" t="str">
        <f t="shared" si="1478"/>
        <v>0,00</v>
      </c>
      <c r="G3440" s="52"/>
      <c r="H3440" s="52" t="str">
        <f>IF(A3440="","",VLOOKUP(A3440,'6.A'!$A$11:$E$7984,5,FALSE))</f>
        <v/>
      </c>
      <c r="I3440" s="52" t="str">
        <f t="shared" si="1479"/>
        <v/>
      </c>
      <c r="J3440" s="52" t="str">
        <f>IF(H3440="","",VLOOKUP(A3440,'6.A'!$A$11:$E$564,4,FALSE))</f>
        <v/>
      </c>
      <c r="K3440" s="52" t="str">
        <f t="shared" si="1480"/>
        <v/>
      </c>
      <c r="L3440" s="52" t="str">
        <f>IF(H3440="","",IF(C3440="","",G3392*C3440))</f>
        <v/>
      </c>
      <c r="M3440" s="117" t="str">
        <f>IF(A3440="","",VLOOKUP(A3440,'6.A'!$A$11:$C$564,2,FALSE))</f>
        <v/>
      </c>
      <c r="N3440" s="57" t="str">
        <f t="shared" si="1481"/>
        <v/>
      </c>
      <c r="O3440" s="56"/>
      <c r="P3440" s="56"/>
      <c r="Q3440" s="48"/>
      <c r="R3440" s="48"/>
    </row>
    <row r="3441" spans="1:23" ht="12.75" customHeight="1" x14ac:dyDescent="0.2">
      <c r="A3441" s="22"/>
      <c r="B3441" s="26" t="str">
        <f>$A$9</f>
        <v>BDI</v>
      </c>
      <c r="C3441" s="40">
        <f>$C$9</f>
        <v>0</v>
      </c>
      <c r="D3441" s="57"/>
      <c r="F3441" s="28">
        <f>ROUND(SUM(F3421:F3440)*C3441,2)</f>
        <v>0</v>
      </c>
      <c r="G3441" s="63"/>
      <c r="M3441" s="57"/>
      <c r="N3441" s="57"/>
      <c r="O3441" s="56"/>
      <c r="P3441" s="56"/>
      <c r="Q3441" s="48"/>
      <c r="R3441" s="48"/>
    </row>
    <row r="3442" spans="1:23" ht="12.75" customHeight="1" thickBot="1" x14ac:dyDescent="0.25">
      <c r="A3442" s="41"/>
      <c r="B3442" s="42" t="s">
        <v>57</v>
      </c>
      <c r="C3442" s="43"/>
      <c r="D3442" s="44"/>
      <c r="E3442" s="45"/>
      <c r="F3442" s="46">
        <f>ROUND(SUM(F3421:F3441),2)</f>
        <v>0</v>
      </c>
      <c r="G3442" s="63"/>
      <c r="M3442" s="57"/>
      <c r="N3442" s="57"/>
      <c r="O3442" s="56"/>
      <c r="P3442" s="56"/>
      <c r="Q3442" s="48"/>
      <c r="R3442" s="48"/>
    </row>
    <row r="3443" spans="1:23" ht="12" customHeight="1" thickBot="1" x14ac:dyDescent="0.25">
      <c r="A3443" s="8"/>
      <c r="B3443" s="9"/>
      <c r="C3443" s="10"/>
      <c r="D3443" s="57"/>
      <c r="F3443" s="12"/>
      <c r="M3443" s="57"/>
      <c r="N3443" s="57"/>
      <c r="O3443" s="56"/>
      <c r="P3443" s="56"/>
    </row>
    <row r="3444" spans="1:23" ht="50.1" customHeight="1" x14ac:dyDescent="0.2">
      <c r="A3444" s="13" t="str">
        <f>'3.A'!$A$74</f>
        <v>3.4.7</v>
      </c>
      <c r="B3444" s="14" t="str">
        <f>IF(A3444="","",VLOOKUP(A3444,'3.A'!$A$17:$M$279,2,FALSE))</f>
        <v>CONTROLADOR AUTOMÁTICO DE FATOR DE POTÊNCIA, 06 ESTÁGIOS, MEDIÇÃO TRIFÁSICA, LIGAÇÃO PARA ATÉ 3 TCS, FIXAÇÃO DE EMBUTIR, TENSÃO DE ALIMENTAÇÃO 90-270VCA</v>
      </c>
      <c r="C3444" s="413" t="s">
        <v>62</v>
      </c>
      <c r="D3444" s="413"/>
      <c r="E3444" s="15" t="str">
        <f>IF(A3444="","",VLOOKUP(A3444,'3.A'!$A$17:$M$279,3,FALSE))</f>
        <v>UN</v>
      </c>
      <c r="F3444" s="16">
        <f>ROUND(F3458+F3471+F3494,2)</f>
        <v>0</v>
      </c>
      <c r="G3444" s="118">
        <f>VLOOKUP(A3444,'3.A'!$A$19:$I$279,4,FALSE)</f>
        <v>1</v>
      </c>
      <c r="H3444" s="47">
        <f>SUM(F3446:F3457)</f>
        <v>0</v>
      </c>
      <c r="I3444" s="47">
        <f>SUM(F3460:F3470)</f>
        <v>0</v>
      </c>
      <c r="J3444" s="47">
        <f>SUM(F3473:F3493)</f>
        <v>0</v>
      </c>
      <c r="K3444" s="47">
        <f>SUM(H3444:J3444)</f>
        <v>0</v>
      </c>
      <c r="L3444" s="47" t="str">
        <f>IF(K3444=F3444,"SIM","NÃO")</f>
        <v>SIM</v>
      </c>
      <c r="M3444" s="58">
        <f>ROUND(SUM(F3446:F3455)*C3456,2)+ROUND(SUM(F3446:F3456)*C3457,2)+ROUND(SUM(F3446:F3455),2)+ROUND(SUM(F3460:F3469)*C3470,2)+ROUND(SUM(F3460:F3469),2)+ROUND(SUM(F3473:F3492)*C3493,2)+ROUND(SUM(F3473:F3492),2)</f>
        <v>0</v>
      </c>
      <c r="N3444" s="50" t="str">
        <f>IF(M3444=F3444,"SIM","NÃO")</f>
        <v>SIM</v>
      </c>
      <c r="O3444" s="51" t="str">
        <f>VLOOKUP(A3444,'3.A'!$A$8:$E$279,3,FALSE)</f>
        <v>UN</v>
      </c>
      <c r="P3444" s="51" t="str">
        <f>IF(O3444=E3444,"SIM","NÃO")</f>
        <v>SIM</v>
      </c>
      <c r="Q3444" s="53">
        <f>ROUND(G3444*F3458,2)+ROUND(G3444*F3471,2)+ROUND(G3444*F3494,2)</f>
        <v>0</v>
      </c>
      <c r="R3444" s="59">
        <f>VLOOKUP(A3444,'3.A'!$A$17:$L$279,12,FALSE)</f>
        <v>0</v>
      </c>
      <c r="S3444" s="60" t="str">
        <f>IF(Q3444=R3444,"si","no")</f>
        <v>si</v>
      </c>
      <c r="T3444" s="61">
        <f>SUM(L3446:L3455)+SUM(L3460:L3469)+SUM(L3473:L3492)</f>
        <v>1.3</v>
      </c>
      <c r="U3444" s="52">
        <f>G3444*C3452+G3444*C3454+G3444*C3447+G3444*C3448+G3444*C3450+G3444*C3453+G3444*C3451+G3444*C3446+G3444*C3449+G3444*C3455+G3444*C3466+G3444*C3460+G3444*C3468+G3444*C3467+G3444*C3465+G3444*C3462+G3444*C3461+G3444*C3463+G3444*C3469+G3444*C3464+G3444*C3473+G3444*C3474+G3444*C3475+G3444*C3483+G3444*C3484+G3444*C3485+G3444*C3486+G3444*C3487+G3444*C3488+G3444*C3489+G3444*C3490+G3444*C3491+G3444*C3492+G3444*C3481+G3444*C3482+G3444*C3476+G3444*C3477+G3444*C3478+G3444*C3479+G3444*C3480</f>
        <v>1.3</v>
      </c>
      <c r="V3444" s="54" t="str">
        <f>IF(T3444=U3444,"si","no")</f>
        <v>si</v>
      </c>
      <c r="W3444" s="137"/>
    </row>
    <row r="3445" spans="1:23" ht="12.75" customHeight="1" x14ac:dyDescent="0.2">
      <c r="A3445" s="17" t="s">
        <v>3</v>
      </c>
      <c r="B3445" s="18" t="s">
        <v>58</v>
      </c>
      <c r="C3445" s="56" t="s">
        <v>59</v>
      </c>
      <c r="D3445" s="56" t="s">
        <v>16</v>
      </c>
      <c r="E3445" s="19" t="s">
        <v>60</v>
      </c>
      <c r="F3445" s="20" t="s">
        <v>61</v>
      </c>
      <c r="G3445" s="21"/>
      <c r="M3445" s="57"/>
      <c r="N3445" s="57"/>
      <c r="O3445" s="56"/>
      <c r="P3445" s="56"/>
      <c r="Q3445" s="48"/>
      <c r="R3445" s="48"/>
    </row>
    <row r="3446" spans="1:23" ht="12.75" customHeight="1" x14ac:dyDescent="0.2">
      <c r="A3446" s="155">
        <f>'6.A'!$A$18</f>
        <v>88264</v>
      </c>
      <c r="B3446" s="138" t="str">
        <f>IF(A3446="","",VLOOKUP(A3446,'6.A'!$A$11:$G$180,2,FALSE))</f>
        <v>ELETRICISTA COM ENCARGOS COMPLEMENTARES</v>
      </c>
      <c r="C3446" s="156">
        <v>0.15</v>
      </c>
      <c r="D3446" s="57" t="str">
        <f>IF(A3446="","",VLOOKUP(A3446,'6.A'!$A$11:$G$180,4,FALSE))</f>
        <v>H</v>
      </c>
      <c r="E3446" s="100">
        <f>IF(A3446="","",VLOOKUP(A3446,'6.A'!$A$11:$G$180,5,FALSE))</f>
        <v>0</v>
      </c>
      <c r="F3446" s="24">
        <f t="shared" ref="F3446:F3455" si="1482">IF(A3446="","0,00",ROUND(C3446*E3446,2))</f>
        <v>0</v>
      </c>
      <c r="G3446" s="52"/>
      <c r="H3446" s="52">
        <f>IF(A3446="","",VLOOKUP(A3446,'6.A'!$A$11:$E$7984,5,FALSE))</f>
        <v>0</v>
      </c>
      <c r="I3446" s="52" t="str">
        <f>IF(H3446="","",IF(E3446=H3446,"SIM","NÃO"))</f>
        <v>SIM</v>
      </c>
      <c r="J3446" s="52" t="str">
        <f>IF(H3446="","",VLOOKUP(A3446,'6.A'!$A$11:$E$564,4,FALSE))</f>
        <v>H</v>
      </c>
      <c r="K3446" s="52" t="str">
        <f>IF(H3446="","",IF(J3446=D3446,"SIM","NÃO"))</f>
        <v>SIM</v>
      </c>
      <c r="L3446" s="52">
        <f>IF(H3446="","",IF(C3446="","",G3444*C3446))</f>
        <v>0.15</v>
      </c>
      <c r="M3446" s="117" t="str">
        <f>IF(A3446="","",VLOOKUP(A3446,'6.A'!$A$11:$C$564,2,FALSE))</f>
        <v>ELETRICISTA COM ENCARGOS COMPLEMENTARES</v>
      </c>
      <c r="N3446" s="57" t="str">
        <f>IF(A3446="","",IF(M3446=B3446,"si","no"))</f>
        <v>si</v>
      </c>
      <c r="O3446" s="56"/>
      <c r="P3446" s="56"/>
      <c r="Q3446" s="48"/>
      <c r="R3446" s="48"/>
    </row>
    <row r="3447" spans="1:23" ht="12.75" customHeight="1" x14ac:dyDescent="0.2">
      <c r="A3447" s="155">
        <f>'6.A'!$A$15</f>
        <v>88247</v>
      </c>
      <c r="B3447" s="138" t="str">
        <f>IF(A3447="","",VLOOKUP(A3447,'6.A'!$A$11:$G$180,2,FALSE))</f>
        <v>AUXILIAR DE ELETRICISTA COM ENCARGOS COMPLEMENTARES</v>
      </c>
      <c r="C3447" s="156">
        <v>0.15</v>
      </c>
      <c r="D3447" s="57" t="str">
        <f>IF(A3447="","",VLOOKUP(A3447,'6.A'!$A$11:$G$180,4,FALSE))</f>
        <v>H</v>
      </c>
      <c r="E3447" s="100">
        <f>IF(A3447="","",VLOOKUP(A3447,'6.A'!$A$11:$G$180,5,FALSE))</f>
        <v>0</v>
      </c>
      <c r="F3447" s="24">
        <f t="shared" si="1482"/>
        <v>0</v>
      </c>
      <c r="G3447" s="52"/>
      <c r="H3447" s="52">
        <f>IF(A3447="","",VLOOKUP(A3447,'6.A'!$A$11:$E$7984,5,FALSE))</f>
        <v>0</v>
      </c>
      <c r="I3447" s="52" t="str">
        <f>IF(H3447="","",IF(E3447=H3447,"SIM","NÃO"))</f>
        <v>SIM</v>
      </c>
      <c r="J3447" s="52" t="str">
        <f>IF(H3447="","",VLOOKUP(A3447,'6.A'!$A$11:$E$564,4,FALSE))</f>
        <v>H</v>
      </c>
      <c r="K3447" s="52" t="str">
        <f>IF(H3447="","",IF(J3447=D3447,"SIM","NÃO"))</f>
        <v>SIM</v>
      </c>
      <c r="L3447" s="52">
        <f>IF(H3447="","",IF(C3447="","",G3444*C3447))</f>
        <v>0.15</v>
      </c>
      <c r="M3447" s="117" t="str">
        <f>IF(A3447="","",VLOOKUP(A3447,'6.A'!$A$11:$C$564,2,FALSE))</f>
        <v>AUXILIAR DE ELETRICISTA COM ENCARGOS COMPLEMENTARES</v>
      </c>
      <c r="N3447" s="57" t="str">
        <f>IF(A3447="","",IF(M3447=B3447,"si","no"))</f>
        <v>si</v>
      </c>
      <c r="O3447" s="56"/>
      <c r="P3447" s="56"/>
      <c r="Q3447" s="48"/>
      <c r="R3447" s="48"/>
    </row>
    <row r="3448" spans="1:23" ht="12.75" customHeight="1" x14ac:dyDescent="0.2">
      <c r="A3448" s="155"/>
      <c r="B3448" s="138" t="str">
        <f>IF(A3448="","",VLOOKUP(A3448,'6.A'!$A$11:$G$180,2,FALSE))</f>
        <v/>
      </c>
      <c r="C3448" s="156"/>
      <c r="D3448" s="57" t="str">
        <f>IF(A3448="","",VLOOKUP(A3448,'6.A'!$A$11:$G$180,4,FALSE))</f>
        <v/>
      </c>
      <c r="E3448" s="100" t="str">
        <f>IF(A3448="","",VLOOKUP(A3448,'6.A'!$A$11:$G$180,5,FALSE))</f>
        <v/>
      </c>
      <c r="F3448" s="24" t="str">
        <f t="shared" si="1482"/>
        <v>0,00</v>
      </c>
      <c r="G3448" s="52"/>
      <c r="H3448" s="52" t="str">
        <f>IF(A3448="","",VLOOKUP(A3448,'6.A'!$A$11:$E$7984,5,FALSE))</f>
        <v/>
      </c>
      <c r="I3448" s="52" t="str">
        <f>IF(H3448="","",IF(E3448=H3448,"SIM","NÃO"))</f>
        <v/>
      </c>
      <c r="J3448" s="52" t="str">
        <f>IF(H3448="","",VLOOKUP(A3448,'6.A'!$A$11:$E$564,4,FALSE))</f>
        <v/>
      </c>
      <c r="K3448" s="52" t="str">
        <f t="shared" ref="K3448" si="1483">IF(H3448="","",IF(J3448=D3448,"SIM","NÃO"))</f>
        <v/>
      </c>
      <c r="L3448" s="52" t="str">
        <f>IF(H3448="","",IF(C3448="","",G3444*C3448))</f>
        <v/>
      </c>
      <c r="M3448" s="117" t="str">
        <f>IF(A3448="","",VLOOKUP(A3448,'6.A'!$A$11:$C$564,2,FALSE))</f>
        <v/>
      </c>
      <c r="N3448" s="57" t="str">
        <f t="shared" ref="N3448" si="1484">IF(A3448="","",IF(M3448=B3448,"si","no"))</f>
        <v/>
      </c>
      <c r="O3448" s="56"/>
      <c r="P3448" s="56"/>
      <c r="Q3448" s="48"/>
      <c r="R3448" s="48"/>
      <c r="S3448" s="2"/>
    </row>
    <row r="3449" spans="1:23" ht="12.75" customHeight="1" x14ac:dyDescent="0.2">
      <c r="A3449" s="155"/>
      <c r="B3449" s="138" t="str">
        <f>IF(A3449="","",VLOOKUP(A3449,'6.A'!$A$11:$G$180,2,FALSE))</f>
        <v/>
      </c>
      <c r="C3449" s="156"/>
      <c r="D3449" s="57" t="str">
        <f>IF(A3449="","",VLOOKUP(A3449,'6.A'!$A$11:$G$180,4,FALSE))</f>
        <v/>
      </c>
      <c r="E3449" s="100" t="str">
        <f>IF(A3449="","",VLOOKUP(A3449,'6.A'!$A$11:$G$180,5,FALSE))</f>
        <v/>
      </c>
      <c r="F3449" s="24" t="str">
        <f t="shared" si="1482"/>
        <v>0,00</v>
      </c>
      <c r="G3449" s="52"/>
      <c r="H3449" s="52" t="str">
        <f>IF(A3449="","",VLOOKUP(A3449,'6.A'!$A$11:$E$7984,5,FALSE))</f>
        <v/>
      </c>
      <c r="I3449" s="52" t="str">
        <f>IF(H3449="","",IF(E3449=H3449,"SIM","NÃO"))</f>
        <v/>
      </c>
      <c r="J3449" s="52" t="str">
        <f>IF(H3449="","",VLOOKUP(A3449,'6.A'!$A$11:$E$564,4,FALSE))</f>
        <v/>
      </c>
      <c r="K3449" s="52" t="str">
        <f>IF(H3449="","",IF(J3449=D3449,"SIM","NÃO"))</f>
        <v/>
      </c>
      <c r="L3449" s="52" t="str">
        <f>IF(H3449="","",IF(C3449="","",G3444*C3449))</f>
        <v/>
      </c>
      <c r="M3449" s="117" t="str">
        <f>IF(A3449="","",VLOOKUP(A3449,'6.A'!$A$11:$C$564,2,FALSE))</f>
        <v/>
      </c>
      <c r="N3449" s="57" t="str">
        <f>IF(A3449="","",IF(M3449=B3449,"si","no"))</f>
        <v/>
      </c>
      <c r="O3449" s="56"/>
      <c r="P3449" s="56"/>
      <c r="Q3449" s="48"/>
      <c r="R3449" s="48"/>
      <c r="S3449" s="2"/>
    </row>
    <row r="3450" spans="1:23" ht="12.75" customHeight="1" x14ac:dyDescent="0.2">
      <c r="A3450" s="155"/>
      <c r="B3450" s="138" t="str">
        <f>IF(A3450="","",VLOOKUP(A3450,'6.A'!$A$11:$G$180,2,FALSE))</f>
        <v/>
      </c>
      <c r="C3450" s="156"/>
      <c r="D3450" s="57" t="str">
        <f>IF(A3450="","",VLOOKUP(A3450,'6.A'!$A$11:$G$180,4,FALSE))</f>
        <v/>
      </c>
      <c r="E3450" s="101" t="str">
        <f>IF(A3450="","",VLOOKUP(A3450,'6.A'!$A$11:$G$180,5,FALSE))</f>
        <v/>
      </c>
      <c r="F3450" s="24" t="str">
        <f t="shared" si="1482"/>
        <v>0,00</v>
      </c>
      <c r="G3450" s="52"/>
      <c r="H3450" s="52" t="str">
        <f>IF(A3450="","",VLOOKUP(A3450,'6.A'!$A$11:$E$7984,5,FALSE))</f>
        <v/>
      </c>
      <c r="I3450" s="52" t="str">
        <f t="shared" ref="I3450" si="1485">IF(H3450="","",IF(E3450=H3450,"SIM","NÃO"))</f>
        <v/>
      </c>
      <c r="J3450" s="52" t="str">
        <f>IF(H3450="","",VLOOKUP(A3450,'6.A'!$A$11:$E$564,4,FALSE))</f>
        <v/>
      </c>
      <c r="K3450" s="52" t="str">
        <f t="shared" ref="K3450" si="1486">IF(H3450="","",IF(J3450=D3450,"SIM","NÃO"))</f>
        <v/>
      </c>
      <c r="L3450" s="52" t="str">
        <f>IF(H3450="","",IF(C3450="","",G3444*C3450))</f>
        <v/>
      </c>
      <c r="M3450" s="117" t="str">
        <f>IF(A3450="","",VLOOKUP(A3450,'6.A'!$A$11:$C$564,2,FALSE))</f>
        <v/>
      </c>
      <c r="N3450" s="57" t="str">
        <f t="shared" ref="N3450" si="1487">IF(A3450="","",IF(M3450=B3450,"si","no"))</f>
        <v/>
      </c>
      <c r="O3450" s="56"/>
      <c r="P3450" s="56"/>
      <c r="Q3450" s="48"/>
      <c r="R3450" s="48"/>
      <c r="S3450" s="2"/>
    </row>
    <row r="3451" spans="1:23" ht="12.75" customHeight="1" x14ac:dyDescent="0.2">
      <c r="A3451" s="155"/>
      <c r="B3451" s="138" t="str">
        <f>IF(A3451="","",VLOOKUP(A3451,'6.A'!$A$11:$G$180,2,FALSE))</f>
        <v/>
      </c>
      <c r="C3451" s="156"/>
      <c r="D3451" s="57" t="str">
        <f>IF(A3451="","",VLOOKUP(A3451,'6.A'!$A$11:$G$180,4,FALSE))</f>
        <v/>
      </c>
      <c r="E3451" s="101" t="str">
        <f>IF(A3451="","",VLOOKUP(A3451,'6.A'!$A$11:$G$180,5,FALSE))</f>
        <v/>
      </c>
      <c r="F3451" s="24" t="str">
        <f t="shared" si="1482"/>
        <v>0,00</v>
      </c>
      <c r="G3451" s="52"/>
      <c r="H3451" s="52" t="str">
        <f>IF(A3451="","",VLOOKUP(A3451,'6.A'!$A$11:$E$7984,5,FALSE))</f>
        <v/>
      </c>
      <c r="I3451" s="52" t="str">
        <f>IF(H3451="","",IF(E3451=H3451,"SIM","NÃO"))</f>
        <v/>
      </c>
      <c r="J3451" s="52" t="str">
        <f>IF(H3451="","",VLOOKUP(A3451,'6.A'!$A$11:$E$564,4,FALSE))</f>
        <v/>
      </c>
      <c r="K3451" s="52" t="str">
        <f>IF(H3451="","",IF(J3451=D3451,"SIM","NÃO"))</f>
        <v/>
      </c>
      <c r="L3451" s="52" t="str">
        <f>IF(H3451="","",IF(C3451="","",G3444*C3451))</f>
        <v/>
      </c>
      <c r="M3451" s="117" t="str">
        <f>IF(A3451="","",VLOOKUP(A3451,'6.A'!$A$11:$C$564,2,FALSE))</f>
        <v/>
      </c>
      <c r="N3451" s="57" t="str">
        <f>IF(A3451="","",IF(M3451=B3451,"si","no"))</f>
        <v/>
      </c>
      <c r="O3451" s="56"/>
      <c r="P3451" s="56"/>
      <c r="Q3451" s="48"/>
      <c r="R3451" s="48"/>
      <c r="S3451" s="2"/>
    </row>
    <row r="3452" spans="1:23" ht="12.75" customHeight="1" x14ac:dyDescent="0.2">
      <c r="A3452" s="155"/>
      <c r="B3452" s="138" t="str">
        <f>IF(A3452="","",VLOOKUP(A3452,'6.A'!$A$11:$G$180,2,FALSE))</f>
        <v/>
      </c>
      <c r="C3452" s="156"/>
      <c r="D3452" s="57" t="str">
        <f>IF(A3452="","",VLOOKUP(A3452,'6.A'!$A$11:$G$180,4,FALSE))</f>
        <v/>
      </c>
      <c r="E3452" s="100" t="str">
        <f>IF(A3452="","",VLOOKUP(A3452,'6.A'!$A$11:$G$180,5,FALSE))</f>
        <v/>
      </c>
      <c r="F3452" s="24" t="str">
        <f t="shared" si="1482"/>
        <v>0,00</v>
      </c>
      <c r="G3452" s="52"/>
      <c r="H3452" s="52" t="str">
        <f>IF(A3452="","",VLOOKUP(A3452,'6.A'!$A$11:$E$7984,5,FALSE))</f>
        <v/>
      </c>
      <c r="I3452" s="52" t="str">
        <f>IF(H3452="","",IF(E3452=H3452,"SIM","NÃO"))</f>
        <v/>
      </c>
      <c r="J3452" s="52" t="str">
        <f>IF(H3452="","",VLOOKUP(A3452,'6.A'!$A$11:$E$564,4,FALSE))</f>
        <v/>
      </c>
      <c r="K3452" s="52" t="str">
        <f>IF(H3452="","",IF(J3452=D3452,"SIM","NÃO"))</f>
        <v/>
      </c>
      <c r="L3452" s="52" t="str">
        <f>IF(H3452="","",IF(C3452="","",G3444*C3452))</f>
        <v/>
      </c>
      <c r="M3452" s="117" t="str">
        <f>IF(A3452="","",VLOOKUP(A3452,'6.A'!$A$11:$C$564,2,FALSE))</f>
        <v/>
      </c>
      <c r="N3452" s="57" t="str">
        <f>IF(A3452="","",IF(M3452=B3452,"si","no"))</f>
        <v/>
      </c>
      <c r="O3452" s="56"/>
      <c r="P3452" s="56"/>
      <c r="Q3452" s="48"/>
      <c r="R3452" s="48"/>
      <c r="S3452" s="2"/>
    </row>
    <row r="3453" spans="1:23" ht="12.75" customHeight="1" x14ac:dyDescent="0.2">
      <c r="A3453" s="155"/>
      <c r="B3453" s="138" t="str">
        <f>IF(A3453="","",VLOOKUP(A3453,'6.A'!$A$11:$G$180,2,FALSE))</f>
        <v/>
      </c>
      <c r="C3453" s="156"/>
      <c r="D3453" s="57" t="str">
        <f>IF(A3453="","",VLOOKUP(A3453,'6.A'!$A$11:$G$180,4,FALSE))</f>
        <v/>
      </c>
      <c r="E3453" s="100" t="str">
        <f>IF(A3453="","",VLOOKUP(A3453,'6.A'!$A$11:$G$180,5,FALSE))</f>
        <v/>
      </c>
      <c r="F3453" s="24" t="str">
        <f t="shared" si="1482"/>
        <v>0,00</v>
      </c>
      <c r="G3453" s="52"/>
      <c r="H3453" s="52" t="str">
        <f>IF(A3453="","",VLOOKUP(A3453,'6.A'!$A$11:$E$7984,5,FALSE))</f>
        <v/>
      </c>
      <c r="I3453" s="52" t="str">
        <f t="shared" ref="I3453" si="1488">IF(H3453="","",IF(E3453=H3453,"SIM","NÃO"))</f>
        <v/>
      </c>
      <c r="J3453" s="52" t="str">
        <f>IF(H3453="","",VLOOKUP(A3453,'6.A'!$A$11:$E$564,4,FALSE))</f>
        <v/>
      </c>
      <c r="K3453" s="52" t="str">
        <f t="shared" ref="K3453" si="1489">IF(H3453="","",IF(J3453=D3453,"SIM","NÃO"))</f>
        <v/>
      </c>
      <c r="L3453" s="52" t="str">
        <f>IF(H3453="","",IF(C3453="","",G3444*C3453))</f>
        <v/>
      </c>
      <c r="M3453" s="117" t="str">
        <f>IF(A3453="","",VLOOKUP(A3453,'6.A'!$A$11:$C$564,2,FALSE))</f>
        <v/>
      </c>
      <c r="N3453" s="57" t="str">
        <f t="shared" ref="N3453" si="1490">IF(A3453="","",IF(M3453=B3453,"si","no"))</f>
        <v/>
      </c>
      <c r="O3453" s="56"/>
      <c r="P3453" s="56"/>
      <c r="Q3453" s="48"/>
      <c r="R3453" s="48"/>
      <c r="S3453" s="2"/>
    </row>
    <row r="3454" spans="1:23" ht="12.75" customHeight="1" x14ac:dyDescent="0.2">
      <c r="A3454" s="155"/>
      <c r="B3454" s="138" t="str">
        <f>IF(A3454="","",VLOOKUP(A3454,'6.A'!$A$11:$G$180,2,FALSE))</f>
        <v/>
      </c>
      <c r="C3454" s="156"/>
      <c r="D3454" s="73" t="str">
        <f>IF(A3454="","",VLOOKUP(A3454,'6.A'!$A$11:$G$180,4,FALSE))</f>
        <v/>
      </c>
      <c r="E3454" s="101" t="str">
        <f>IF(A3454="","",VLOOKUP(A3454,'6.A'!$A$11:$G$180,5,FALSE))</f>
        <v/>
      </c>
      <c r="F3454" s="24" t="str">
        <f t="shared" si="1482"/>
        <v>0,00</v>
      </c>
      <c r="G3454" s="52"/>
      <c r="H3454" s="52" t="str">
        <f>IF(A3454="","",VLOOKUP(A3454,'6.A'!$A$11:$E$7984,5,FALSE))</f>
        <v/>
      </c>
      <c r="I3454" s="52" t="str">
        <f>IF(H3454="","",IF(E3454=H3454,"SIM","NÃO"))</f>
        <v/>
      </c>
      <c r="J3454" s="52" t="str">
        <f>IF(H3454="","",VLOOKUP(A3454,'6.A'!$A$11:$E$564,4,FALSE))</f>
        <v/>
      </c>
      <c r="K3454" s="52" t="str">
        <f>IF(H3454="","",IF(J3454=D3454,"SIM","NÃO"))</f>
        <v/>
      </c>
      <c r="L3454" s="52" t="str">
        <f>IF(H3454="","",IF(C3454="","",G3444*C3454))</f>
        <v/>
      </c>
      <c r="M3454" s="117" t="str">
        <f>IF(A3454="","",VLOOKUP(A3454,'6.A'!$A$11:$C$564,2,FALSE))</f>
        <v/>
      </c>
      <c r="N3454" s="57" t="str">
        <f>IF(A3454="","",IF(M3454=B3454,"si","no"))</f>
        <v/>
      </c>
      <c r="O3454" s="56"/>
      <c r="P3454" s="56"/>
      <c r="Q3454" s="48"/>
      <c r="R3454" s="48"/>
      <c r="S3454" s="2"/>
    </row>
    <row r="3455" spans="1:23" ht="12.75" customHeight="1" x14ac:dyDescent="0.2">
      <c r="A3455" s="155"/>
      <c r="B3455" s="138" t="str">
        <f>IF(A3455="","",VLOOKUP(A3455,'6.A'!$A$11:$G$180,2,FALSE))</f>
        <v/>
      </c>
      <c r="C3455" s="156"/>
      <c r="D3455" s="25" t="str">
        <f>IF(A3455="","",VLOOKUP(A3455,'6.A'!$A$11:$G$180,4,FALSE))</f>
        <v/>
      </c>
      <c r="E3455" s="101" t="str">
        <f>IF(A3455="","",VLOOKUP(A3455,'6.A'!$A$11:$G$180,5,FALSE))</f>
        <v/>
      </c>
      <c r="F3455" s="24" t="str">
        <f t="shared" si="1482"/>
        <v>0,00</v>
      </c>
      <c r="G3455" s="52"/>
      <c r="H3455" s="52" t="str">
        <f>IF(A3455="","",VLOOKUP(A3455,'6.A'!$A$11:$E$7984,5,FALSE))</f>
        <v/>
      </c>
      <c r="I3455" s="52" t="str">
        <f t="shared" ref="I3455" si="1491">IF(H3455="","",IF(E3455=H3455,"SIM","NÃO"))</f>
        <v/>
      </c>
      <c r="J3455" s="52" t="str">
        <f>IF(H3455="","",VLOOKUP(A3455,'6.A'!$A$11:$E$564,4,FALSE))</f>
        <v/>
      </c>
      <c r="K3455" s="52" t="str">
        <f t="shared" ref="K3455" si="1492">IF(H3455="","",IF(J3455=D3455,"SIM","NÃO"))</f>
        <v/>
      </c>
      <c r="L3455" s="52" t="str">
        <f>IF(H3455="","",IF(C3455="","",G3444*C3455))</f>
        <v/>
      </c>
      <c r="M3455" s="117" t="str">
        <f>IF(A3455="","",VLOOKUP(A3455,'6.A'!$A$11:$C$564,2,FALSE))</f>
        <v/>
      </c>
      <c r="N3455" s="57" t="str">
        <f t="shared" ref="N3455" si="1493">IF(A3455="","",IF(M3455=B3455,"si","no"))</f>
        <v/>
      </c>
      <c r="O3455" s="56"/>
      <c r="P3455" s="56"/>
      <c r="Q3455" s="48"/>
      <c r="R3455" s="48"/>
      <c r="S3455" s="2"/>
    </row>
    <row r="3456" spans="1:23" ht="12.75" customHeight="1" x14ac:dyDescent="0.2">
      <c r="A3456" s="152"/>
      <c r="B3456" s="26" t="str">
        <f>$A$8</f>
        <v>LEIS SOCIAIS HORISTA - JORNADA NORMAL</v>
      </c>
      <c r="C3456" s="27">
        <f>$C$8</f>
        <v>0</v>
      </c>
      <c r="D3456" s="57"/>
      <c r="F3456" s="28">
        <f>ROUND(SUM(F3446:F3455)*C3456,2)</f>
        <v>0</v>
      </c>
      <c r="G3456" s="63"/>
      <c r="M3456" s="62"/>
      <c r="N3456" s="57"/>
      <c r="O3456" s="56"/>
      <c r="P3456" s="56"/>
      <c r="Q3456" s="48"/>
      <c r="R3456" s="48"/>
      <c r="S3456" s="2"/>
    </row>
    <row r="3457" spans="1:19" ht="12.75" customHeight="1" x14ac:dyDescent="0.2">
      <c r="A3457" s="155"/>
      <c r="B3457" s="26" t="str">
        <f>$A$9</f>
        <v>BDI</v>
      </c>
      <c r="C3457" s="27">
        <f>$C$9</f>
        <v>0</v>
      </c>
      <c r="D3457" s="29"/>
      <c r="F3457" s="28">
        <f>ROUND(SUM(F3446:F3456)*C3457,2)</f>
        <v>0</v>
      </c>
      <c r="G3457" s="63"/>
      <c r="M3457" s="62"/>
      <c r="N3457" s="57"/>
      <c r="O3457" s="56"/>
      <c r="P3457" s="56"/>
      <c r="Q3457" s="48"/>
      <c r="R3457" s="48"/>
      <c r="S3457" s="2"/>
    </row>
    <row r="3458" spans="1:19" ht="12.75" customHeight="1" x14ac:dyDescent="0.2">
      <c r="A3458" s="163"/>
      <c r="B3458" s="164" t="s">
        <v>56</v>
      </c>
      <c r="C3458" s="165"/>
      <c r="D3458" s="33"/>
      <c r="E3458" s="34"/>
      <c r="F3458" s="35">
        <f>ROUND(SUM(F3446:F3457),2)</f>
        <v>0</v>
      </c>
      <c r="G3458" s="63"/>
      <c r="M3458" s="62"/>
      <c r="N3458" s="57"/>
      <c r="O3458" s="56"/>
      <c r="P3458" s="56"/>
      <c r="Q3458" s="48"/>
      <c r="R3458" s="48"/>
      <c r="S3458" s="2"/>
    </row>
    <row r="3459" spans="1:19" ht="12.75" customHeight="1" x14ac:dyDescent="0.2">
      <c r="A3459" s="152" t="s">
        <v>5</v>
      </c>
      <c r="B3459" s="153" t="s">
        <v>130</v>
      </c>
      <c r="C3459" s="140" t="s">
        <v>59</v>
      </c>
      <c r="D3459" s="56" t="s">
        <v>16</v>
      </c>
      <c r="E3459" s="19" t="s">
        <v>60</v>
      </c>
      <c r="F3459" s="20" t="s">
        <v>61</v>
      </c>
      <c r="G3459" s="21"/>
      <c r="M3459" s="62"/>
      <c r="N3459" s="57"/>
      <c r="O3459" s="56"/>
      <c r="P3459" s="56"/>
      <c r="Q3459" s="48"/>
      <c r="R3459" s="48"/>
      <c r="S3459" s="2"/>
    </row>
    <row r="3460" spans="1:19" ht="12.75" customHeight="1" x14ac:dyDescent="0.2">
      <c r="A3460" s="155"/>
      <c r="B3460" s="138" t="str">
        <f>IF(A3460="","",VLOOKUP(A3460,'6.A'!$A$11:$G$180,2,FALSE))</f>
        <v/>
      </c>
      <c r="C3460" s="156"/>
      <c r="D3460" s="57" t="str">
        <f>IF(A3460="","",VLOOKUP(A3460,'6.A'!$A$11:$G$180,4,FALSE))</f>
        <v/>
      </c>
      <c r="E3460" s="100" t="str">
        <f>IF(A3460="","",VLOOKUP(A3460,'6.A'!$A$11:$G$180,5,FALSE))</f>
        <v/>
      </c>
      <c r="F3460" s="24" t="str">
        <f t="shared" ref="F3460:F3469" si="1494">IF(A3460="","0,00",ROUND(C3460*E3460,2))</f>
        <v>0,00</v>
      </c>
      <c r="G3460" s="52"/>
      <c r="H3460" s="52" t="str">
        <f>IF(A3460="","",VLOOKUP(A3460,'6.A'!$A$11:$E$7984,5,FALSE))</f>
        <v/>
      </c>
      <c r="I3460" s="52" t="str">
        <f t="shared" ref="I3460:I3469" si="1495">IF(H3460="","",IF(E3460=H3460,"SIM","NÃO"))</f>
        <v/>
      </c>
      <c r="J3460" s="52" t="str">
        <f>IF(H3460="","",VLOOKUP(A3460,'6.A'!$A$11:$E$564,4,FALSE))</f>
        <v/>
      </c>
      <c r="K3460" s="52" t="str">
        <f t="shared" ref="K3460:K3469" si="1496">IF(H3460="","",IF(J3460=D3460,"SIM","NÃO"))</f>
        <v/>
      </c>
      <c r="L3460" s="52" t="str">
        <f>IF(H3460="","",IF(C3460="","",G3444*C3460))</f>
        <v/>
      </c>
      <c r="M3460" s="117" t="str">
        <f>IF(A3460="","",VLOOKUP(A3460,'6.A'!$A$11:$C$564,2,FALSE))</f>
        <v/>
      </c>
      <c r="N3460" s="57" t="str">
        <f t="shared" ref="N3460:N3465" si="1497">IF(A3460="","",IF(M3460=B3460,"si","no"))</f>
        <v/>
      </c>
      <c r="O3460" s="56"/>
      <c r="P3460" s="56"/>
      <c r="Q3460" s="48"/>
      <c r="R3460" s="48"/>
      <c r="S3460" s="2"/>
    </row>
    <row r="3461" spans="1:19" ht="12.75" customHeight="1" x14ac:dyDescent="0.2">
      <c r="A3461" s="155"/>
      <c r="B3461" s="138" t="str">
        <f>IF(A3461="","",VLOOKUP(A3461,'6.A'!$A$11:$G$180,2,FALSE))</f>
        <v/>
      </c>
      <c r="C3461" s="156"/>
      <c r="D3461" s="57" t="str">
        <f>IF(A3461="","",VLOOKUP(A3461,'6.A'!$A$11:$G$180,4,FALSE))</f>
        <v/>
      </c>
      <c r="E3461" s="100" t="str">
        <f>IF(A3461="","",VLOOKUP(A3461,'6.A'!$A$11:$G$180,5,FALSE))</f>
        <v/>
      </c>
      <c r="F3461" s="24" t="str">
        <f t="shared" si="1494"/>
        <v>0,00</v>
      </c>
      <c r="G3461" s="52"/>
      <c r="H3461" s="52" t="str">
        <f>IF(A3461="","",VLOOKUP(A3461,'6.A'!$A$11:$E$7984,5,FALSE))</f>
        <v/>
      </c>
      <c r="I3461" s="52" t="str">
        <f t="shared" si="1495"/>
        <v/>
      </c>
      <c r="J3461" s="52" t="str">
        <f>IF(H3461="","",VLOOKUP(A3461,'6.A'!$A$11:$E$564,4,FALSE))</f>
        <v/>
      </c>
      <c r="K3461" s="52" t="str">
        <f t="shared" si="1496"/>
        <v/>
      </c>
      <c r="L3461" s="52" t="str">
        <f>IF(H3461="","",IF(C3461="","",G3444*C3461))</f>
        <v/>
      </c>
      <c r="M3461" s="117" t="str">
        <f>IF(A3461="","",VLOOKUP(A3461,'6.A'!$A$11:$C$564,2,FALSE))</f>
        <v/>
      </c>
      <c r="N3461" s="57" t="str">
        <f t="shared" si="1497"/>
        <v/>
      </c>
      <c r="O3461" s="56"/>
      <c r="P3461" s="56"/>
      <c r="Q3461" s="48"/>
      <c r="R3461" s="48"/>
      <c r="S3461" s="2"/>
    </row>
    <row r="3462" spans="1:19" ht="12.75" customHeight="1" x14ac:dyDescent="0.2">
      <c r="A3462" s="155"/>
      <c r="B3462" s="138" t="str">
        <f>IF(A3462="","",VLOOKUP(A3462,'6.A'!$A$11:$G$180,2,FALSE))</f>
        <v/>
      </c>
      <c r="C3462" s="156"/>
      <c r="D3462" s="57" t="str">
        <f>IF(A3462="","",VLOOKUP(A3462,'6.A'!$A$11:$G$180,4,FALSE))</f>
        <v/>
      </c>
      <c r="E3462" s="100" t="str">
        <f>IF(A3462="","",VLOOKUP(A3462,'6.A'!$A$11:$G$180,5,FALSE))</f>
        <v/>
      </c>
      <c r="F3462" s="24" t="str">
        <f t="shared" si="1494"/>
        <v>0,00</v>
      </c>
      <c r="G3462" s="52"/>
      <c r="H3462" s="52" t="str">
        <f>IF(A3462="","",VLOOKUP(A3462,'6.A'!$A$11:$E$7984,5,FALSE))</f>
        <v/>
      </c>
      <c r="I3462" s="52" t="str">
        <f t="shared" si="1495"/>
        <v/>
      </c>
      <c r="J3462" s="52" t="str">
        <f>IF(H3462="","",VLOOKUP(A3462,'6.A'!$A$11:$E$564,4,FALSE))</f>
        <v/>
      </c>
      <c r="K3462" s="52" t="str">
        <f t="shared" si="1496"/>
        <v/>
      </c>
      <c r="L3462" s="52" t="str">
        <f>IF(H3462="","",IF(C3462="","",G3444*C3462))</f>
        <v/>
      </c>
      <c r="M3462" s="117" t="str">
        <f>IF(A3462="","",VLOOKUP(A3462,'6.A'!$A$11:$C$564,2,FALSE))</f>
        <v/>
      </c>
      <c r="N3462" s="57" t="str">
        <f t="shared" si="1497"/>
        <v/>
      </c>
      <c r="O3462" s="56"/>
      <c r="P3462" s="56"/>
      <c r="Q3462" s="48"/>
      <c r="R3462" s="48"/>
      <c r="S3462" s="2"/>
    </row>
    <row r="3463" spans="1:19" ht="12.75" customHeight="1" x14ac:dyDescent="0.2">
      <c r="A3463" s="155"/>
      <c r="B3463" s="176" t="str">
        <f>IF(A3463="","",VLOOKUP(A3463,'6.A'!$A$11:$G$180,2,FALSE))</f>
        <v/>
      </c>
      <c r="C3463" s="156"/>
      <c r="D3463" s="57" t="str">
        <f>IF(A3463="","",VLOOKUP(A3463,'6.A'!$A$11:$G$180,4,FALSE))</f>
        <v/>
      </c>
      <c r="E3463" s="100" t="str">
        <f>IF(A3463="","",VLOOKUP(A3463,'6.A'!$A$11:$G$180,5,FALSE))</f>
        <v/>
      </c>
      <c r="F3463" s="24" t="str">
        <f t="shared" si="1494"/>
        <v>0,00</v>
      </c>
      <c r="G3463" s="52"/>
      <c r="H3463" s="52" t="str">
        <f>IF(A3463="","",VLOOKUP(A3463,'6.A'!$A$11:$E$7984,5,FALSE))</f>
        <v/>
      </c>
      <c r="I3463" s="52" t="str">
        <f t="shared" si="1495"/>
        <v/>
      </c>
      <c r="J3463" s="52" t="str">
        <f>IF(H3463="","",VLOOKUP(A3463,'6.A'!$A$11:$E$564,4,FALSE))</f>
        <v/>
      </c>
      <c r="K3463" s="52" t="str">
        <f t="shared" si="1496"/>
        <v/>
      </c>
      <c r="L3463" s="52" t="str">
        <f>IF(H3463="","",IF(C3463="","",G3444*C3463))</f>
        <v/>
      </c>
      <c r="M3463" s="117" t="str">
        <f>IF(A3463="","",VLOOKUP(A3463,'6.A'!$A$11:$C$564,2,FALSE))</f>
        <v/>
      </c>
      <c r="N3463" s="57" t="str">
        <f t="shared" si="1497"/>
        <v/>
      </c>
      <c r="O3463" s="56"/>
      <c r="P3463" s="56"/>
      <c r="Q3463" s="48"/>
      <c r="R3463" s="48"/>
      <c r="S3463" s="2"/>
    </row>
    <row r="3464" spans="1:19" ht="12.75" customHeight="1" x14ac:dyDescent="0.2">
      <c r="A3464" s="155"/>
      <c r="B3464" s="176" t="str">
        <f>IF(A3464="","",VLOOKUP(A3464,'6.A'!$A$11:$G$180,2,FALSE))</f>
        <v/>
      </c>
      <c r="C3464" s="156"/>
      <c r="D3464" s="57" t="str">
        <f>IF(A3464="","",VLOOKUP(A3464,'6.A'!$A$11:$G$180,4,FALSE))</f>
        <v/>
      </c>
      <c r="E3464" s="100" t="str">
        <f>IF(A3464="","",VLOOKUP(A3464,'6.A'!$A$11:$G$180,5,FALSE))</f>
        <v/>
      </c>
      <c r="F3464" s="24" t="str">
        <f t="shared" si="1494"/>
        <v>0,00</v>
      </c>
      <c r="G3464" s="52"/>
      <c r="H3464" s="52" t="str">
        <f>IF(A3464="","",VLOOKUP(A3464,'6.A'!$A$11:$E$7984,5,FALSE))</f>
        <v/>
      </c>
      <c r="I3464" s="52" t="str">
        <f t="shared" si="1495"/>
        <v/>
      </c>
      <c r="J3464" s="52" t="str">
        <f>IF(H3464="","",VLOOKUP(A3464,'6.A'!$A$11:$E$564,4,FALSE))</f>
        <v/>
      </c>
      <c r="K3464" s="52" t="str">
        <f t="shared" si="1496"/>
        <v/>
      </c>
      <c r="L3464" s="52" t="str">
        <f>IF(H3464="","",IF(C3464="","",G3444*C3464))</f>
        <v/>
      </c>
      <c r="M3464" s="117" t="str">
        <f>IF(A3464="","",VLOOKUP(A3464,'6.A'!$A$11:$C$564,2,FALSE))</f>
        <v/>
      </c>
      <c r="N3464" s="57" t="str">
        <f t="shared" si="1497"/>
        <v/>
      </c>
      <c r="O3464" s="56"/>
      <c r="P3464" s="56"/>
      <c r="Q3464" s="48"/>
      <c r="R3464" s="48"/>
      <c r="S3464" s="2"/>
    </row>
    <row r="3465" spans="1:19" ht="12.75" customHeight="1" x14ac:dyDescent="0.2">
      <c r="A3465" s="155"/>
      <c r="B3465" s="176" t="str">
        <f>IF(A3465="","",VLOOKUP(A3465,'6.A'!$A$11:$G$180,2,FALSE))</f>
        <v/>
      </c>
      <c r="C3465" s="156"/>
      <c r="D3465" s="57" t="str">
        <f>IF(A3465="","",VLOOKUP(A3465,'6.A'!$A$11:$G$180,4,FALSE))</f>
        <v/>
      </c>
      <c r="E3465" s="100" t="str">
        <f>IF(A3465="","",VLOOKUP(A3465,'6.A'!$A$11:$G$180,5,FALSE))</f>
        <v/>
      </c>
      <c r="F3465" s="24" t="str">
        <f t="shared" si="1494"/>
        <v>0,00</v>
      </c>
      <c r="G3465" s="52"/>
      <c r="H3465" s="52" t="str">
        <f>IF(A3465="","",VLOOKUP(A3465,'6.A'!$A$11:$E$7984,5,FALSE))</f>
        <v/>
      </c>
      <c r="I3465" s="52" t="str">
        <f t="shared" si="1495"/>
        <v/>
      </c>
      <c r="J3465" s="52" t="str">
        <f>IF(H3465="","",VLOOKUP(A3465,'6.A'!$A$11:$E$564,4,FALSE))</f>
        <v/>
      </c>
      <c r="K3465" s="52" t="str">
        <f t="shared" si="1496"/>
        <v/>
      </c>
      <c r="L3465" s="52" t="str">
        <f>IF(H3465="","",IF(C3465="","",G3444*C3465))</f>
        <v/>
      </c>
      <c r="M3465" s="117" t="str">
        <f>IF(A3465="","",VLOOKUP(A3465,'6.A'!$A$11:$C$564,2,FALSE))</f>
        <v/>
      </c>
      <c r="N3465" s="57" t="str">
        <f t="shared" si="1497"/>
        <v/>
      </c>
      <c r="O3465" s="56"/>
      <c r="P3465" s="56"/>
      <c r="Q3465" s="48"/>
      <c r="R3465" s="48"/>
      <c r="S3465" s="2"/>
    </row>
    <row r="3466" spans="1:19" ht="12.75" customHeight="1" x14ac:dyDescent="0.2">
      <c r="A3466" s="155"/>
      <c r="B3466" s="176" t="str">
        <f>IF(A3466="","",VLOOKUP(A3466,'6.A'!$A$11:$G$180,2,FALSE))</f>
        <v/>
      </c>
      <c r="C3466" s="156"/>
      <c r="D3466" s="57" t="str">
        <f>IF(A3466="","",VLOOKUP(A3466,'6.A'!$A$11:$G$180,4,FALSE))</f>
        <v/>
      </c>
      <c r="E3466" s="100" t="str">
        <f>IF(A3466="","",VLOOKUP(A3466,'6.A'!$A$11:$G$180,5,FALSE))</f>
        <v/>
      </c>
      <c r="F3466" s="24" t="str">
        <f t="shared" si="1494"/>
        <v>0,00</v>
      </c>
      <c r="G3466" s="52"/>
      <c r="H3466" s="52" t="str">
        <f>IF(A3466="","",VLOOKUP(A3466,'6.A'!$A$11:$E$7984,5,FALSE))</f>
        <v/>
      </c>
      <c r="I3466" s="52" t="str">
        <f t="shared" si="1495"/>
        <v/>
      </c>
      <c r="J3466" s="52" t="str">
        <f>IF(H3466="","",VLOOKUP(A3466,'6.A'!$A$11:$E$564,4,FALSE))</f>
        <v/>
      </c>
      <c r="K3466" s="52" t="str">
        <f t="shared" si="1496"/>
        <v/>
      </c>
      <c r="L3466" s="52" t="str">
        <f>IF(H3466="","",IF(C3466="","",G3444*C3466))</f>
        <v/>
      </c>
      <c r="M3466" s="117" t="str">
        <f>IF(A3466="","",VLOOKUP(A3466,'6.A'!$A$11:$C$564,2,FALSE))</f>
        <v/>
      </c>
      <c r="N3466" s="57" t="str">
        <f>IF(A3466="","",IF(M3466=B3466,"si","no"))</f>
        <v/>
      </c>
      <c r="O3466" s="56"/>
      <c r="P3466" s="56"/>
      <c r="Q3466" s="48"/>
      <c r="R3466" s="48"/>
      <c r="S3466" s="2"/>
    </row>
    <row r="3467" spans="1:19" ht="12.75" customHeight="1" x14ac:dyDescent="0.2">
      <c r="A3467" s="155"/>
      <c r="B3467" s="138" t="str">
        <f>IF(A3467="","",VLOOKUP(A3467,'6.A'!$A$11:$G$180,2,FALSE))</f>
        <v/>
      </c>
      <c r="C3467" s="156"/>
      <c r="D3467" s="57" t="str">
        <f>IF(A3467="","",VLOOKUP(A3467,'6.A'!$A$11:$G$180,4,FALSE))</f>
        <v/>
      </c>
      <c r="E3467" s="100" t="str">
        <f>IF(A3467="","",VLOOKUP(A3467,'6.A'!$A$11:$G$180,5,FALSE))</f>
        <v/>
      </c>
      <c r="F3467" s="24" t="str">
        <f t="shared" si="1494"/>
        <v>0,00</v>
      </c>
      <c r="G3467" s="52"/>
      <c r="H3467" s="52" t="str">
        <f>IF(A3467="","",VLOOKUP(A3467,'6.A'!$A$11:$E$7984,5,FALSE))</f>
        <v/>
      </c>
      <c r="I3467" s="52" t="str">
        <f t="shared" si="1495"/>
        <v/>
      </c>
      <c r="J3467" s="52" t="str">
        <f>IF(H3467="","",VLOOKUP(A3467,'6.A'!$A$11:$E$564,4,FALSE))</f>
        <v/>
      </c>
      <c r="K3467" s="52" t="str">
        <f t="shared" si="1496"/>
        <v/>
      </c>
      <c r="L3467" s="52" t="str">
        <f>IF(H3467="","",IF(C3467="","",G3444*C3467))</f>
        <v/>
      </c>
      <c r="M3467" s="117" t="str">
        <f>IF(A3467="","",VLOOKUP(A3467,'6.A'!$A$11:$C$564,2,FALSE))</f>
        <v/>
      </c>
      <c r="N3467" s="57" t="str">
        <f>IF(A3467="","",IF(M3467=B3467,"si","no"))</f>
        <v/>
      </c>
      <c r="O3467" s="56"/>
      <c r="P3467" s="56"/>
      <c r="Q3467" s="48"/>
      <c r="R3467" s="48"/>
      <c r="S3467" s="2"/>
    </row>
    <row r="3468" spans="1:19" ht="12.75" customHeight="1" x14ac:dyDescent="0.2">
      <c r="A3468" s="155"/>
      <c r="B3468" s="138" t="str">
        <f>IF(A3468="","",VLOOKUP(A3468,'6.A'!$A$11:$G$180,2,FALSE))</f>
        <v/>
      </c>
      <c r="C3468" s="156"/>
      <c r="D3468" s="57" t="str">
        <f>IF(A3468="","",VLOOKUP(A3468,'6.A'!$A$11:$G$180,4,FALSE))</f>
        <v/>
      </c>
      <c r="E3468" s="100" t="str">
        <f>IF(A3468="","",VLOOKUP(A3468,'6.A'!$A$11:$G$180,5,FALSE))</f>
        <v/>
      </c>
      <c r="F3468" s="24" t="str">
        <f t="shared" si="1494"/>
        <v>0,00</v>
      </c>
      <c r="G3468" s="52"/>
      <c r="H3468" s="52" t="str">
        <f>IF(A3468="","",VLOOKUP(A3468,'6.A'!$A$11:$E$7984,5,FALSE))</f>
        <v/>
      </c>
      <c r="I3468" s="52" t="str">
        <f t="shared" si="1495"/>
        <v/>
      </c>
      <c r="J3468" s="52" t="str">
        <f>IF(H3468="","",VLOOKUP(A3468,'6.A'!$A$11:$E$564,4,FALSE))</f>
        <v/>
      </c>
      <c r="K3468" s="52" t="str">
        <f t="shared" si="1496"/>
        <v/>
      </c>
      <c r="L3468" s="52" t="str">
        <f>IF(H3468="","",IF(C3468="","",G3444*C3468))</f>
        <v/>
      </c>
      <c r="M3468" s="117" t="str">
        <f>IF(A3468="","",VLOOKUP(A3468,'6.A'!$A$11:$C$564,2,FALSE))</f>
        <v/>
      </c>
      <c r="N3468" s="57" t="str">
        <f t="shared" ref="N3468:N3469" si="1498">IF(A3468="","",IF(M3468=B3468,"si","no"))</f>
        <v/>
      </c>
      <c r="O3468" s="56"/>
      <c r="P3468" s="56"/>
      <c r="Q3468" s="48"/>
      <c r="R3468" s="48"/>
      <c r="S3468" s="2"/>
    </row>
    <row r="3469" spans="1:19" ht="12.75" customHeight="1" x14ac:dyDescent="0.2">
      <c r="A3469" s="155"/>
      <c r="B3469" s="138" t="str">
        <f>IF(A3469="","",VLOOKUP(A3469,'6.A'!$A$11:$G$180,2,FALSE))</f>
        <v/>
      </c>
      <c r="C3469" s="156"/>
      <c r="D3469" s="57" t="str">
        <f>IF(A3469="","",VLOOKUP(A3469,'6.A'!$A$11:$G$180,4,FALSE))</f>
        <v/>
      </c>
      <c r="E3469" s="100" t="str">
        <f>IF(A3469="","",VLOOKUP(A3469,'6.A'!$A$11:$G$180,5,FALSE))</f>
        <v/>
      </c>
      <c r="F3469" s="24" t="str">
        <f t="shared" si="1494"/>
        <v>0,00</v>
      </c>
      <c r="G3469" s="52"/>
      <c r="H3469" s="52" t="str">
        <f>IF(A3469="","",VLOOKUP(A3469,'6.A'!$A$11:$E$7984,5,FALSE))</f>
        <v/>
      </c>
      <c r="I3469" s="52" t="str">
        <f t="shared" si="1495"/>
        <v/>
      </c>
      <c r="J3469" s="52" t="str">
        <f>IF(H3469="","",VLOOKUP(A3469,'6.A'!$A$11:$E$564,4,FALSE))</f>
        <v/>
      </c>
      <c r="K3469" s="52" t="str">
        <f t="shared" si="1496"/>
        <v/>
      </c>
      <c r="L3469" s="52" t="str">
        <f>IF(H3469="","",IF(C3469="","",G3444*C3469))</f>
        <v/>
      </c>
      <c r="M3469" s="117" t="str">
        <f>IF(A3469="","",VLOOKUP(A3469,'6.A'!$A$11:$C$564,2,FALSE))</f>
        <v/>
      </c>
      <c r="N3469" s="57" t="str">
        <f t="shared" si="1498"/>
        <v/>
      </c>
      <c r="O3469" s="56"/>
      <c r="P3469" s="56"/>
      <c r="Q3469" s="48"/>
      <c r="R3469" s="48"/>
      <c r="S3469" s="2"/>
    </row>
    <row r="3470" spans="1:19" ht="12.75" customHeight="1" x14ac:dyDescent="0.2">
      <c r="A3470" s="155"/>
      <c r="B3470" s="26" t="str">
        <f>$A$9</f>
        <v>BDI</v>
      </c>
      <c r="C3470" s="27">
        <f>$C$9</f>
        <v>0</v>
      </c>
      <c r="D3470" s="57"/>
      <c r="F3470" s="28">
        <f>ROUND(SUM(F3460:F3469)*C3470,2)</f>
        <v>0</v>
      </c>
      <c r="G3470" s="63"/>
      <c r="M3470" s="62"/>
      <c r="N3470" s="57"/>
      <c r="O3470" s="56"/>
      <c r="P3470" s="56"/>
      <c r="Q3470" s="48"/>
      <c r="R3470" s="48"/>
      <c r="S3470" s="2"/>
    </row>
    <row r="3471" spans="1:19" ht="12.75" customHeight="1" x14ac:dyDescent="0.2">
      <c r="A3471" s="163"/>
      <c r="B3471" s="31" t="s">
        <v>117</v>
      </c>
      <c r="C3471" s="36"/>
      <c r="D3471" s="37"/>
      <c r="E3471" s="38"/>
      <c r="F3471" s="35">
        <f>ROUND(SUM(F3460:F3470),2)</f>
        <v>0</v>
      </c>
      <c r="G3471" s="63"/>
      <c r="M3471" s="62"/>
      <c r="N3471" s="57"/>
      <c r="O3471" s="56"/>
      <c r="P3471" s="56"/>
      <c r="Q3471" s="48"/>
      <c r="R3471" s="48"/>
      <c r="S3471" s="2"/>
    </row>
    <row r="3472" spans="1:19" ht="12.75" customHeight="1" x14ac:dyDescent="0.2">
      <c r="A3472" s="152" t="s">
        <v>6</v>
      </c>
      <c r="B3472" s="153" t="s">
        <v>17</v>
      </c>
      <c r="C3472" s="140" t="s">
        <v>59</v>
      </c>
      <c r="D3472" s="56" t="s">
        <v>16</v>
      </c>
      <c r="E3472" s="19" t="s">
        <v>60</v>
      </c>
      <c r="F3472" s="20" t="s">
        <v>61</v>
      </c>
      <c r="G3472" s="21"/>
      <c r="M3472" s="62"/>
      <c r="N3472" s="57"/>
      <c r="O3472" s="56"/>
      <c r="P3472" s="56"/>
      <c r="Q3472" s="48"/>
      <c r="R3472" s="48"/>
      <c r="S3472" s="2"/>
    </row>
    <row r="3473" spans="1:22" ht="12.75" customHeight="1" x14ac:dyDescent="0.2">
      <c r="A3473" s="155" t="str">
        <f>'6.A'!$A$45</f>
        <v>DIS.001</v>
      </c>
      <c r="B3473" s="138" t="str">
        <f>IF(A3473="","",VLOOKUP(A3473,'6.A'!$A$11:$G$180,2,FALSE))</f>
        <v>CONTROLADOR AUTOMÁTICO DE FATOR DE POTÊNCIA, 06 ESTÁGIOS, MEDIÇÃO TRIFÁSICA, LIGAÇÃO PARA ATÉ 3 TCS, FIXAÇÃO DE EMBUTIR, TENSÃO DE ALIMENTAÇÃO 90-270VCA</v>
      </c>
      <c r="C3473" s="156">
        <v>1</v>
      </c>
      <c r="D3473" s="57" t="str">
        <f>IF(A3473="","",VLOOKUP(A3473,'6.A'!$A$11:$G$180,4,FALSE))</f>
        <v>UN</v>
      </c>
      <c r="E3473" s="100">
        <f>IF(A3473="","",VLOOKUP(A3473,'6.A'!$A$11:$G$180,5,FALSE))</f>
        <v>0</v>
      </c>
      <c r="F3473" s="24">
        <f t="shared" ref="F3473:F3492" si="1499">IF(A3473="","0,00",ROUND(C3473*E3473,2))</f>
        <v>0</v>
      </c>
      <c r="G3473" s="52"/>
      <c r="H3473" s="52">
        <f>IF(A3473="","",VLOOKUP(A3473,'6.A'!$A$11:$E$7984,5,FALSE))</f>
        <v>0</v>
      </c>
      <c r="I3473" s="52" t="str">
        <f t="shared" ref="I3473:I3492" si="1500">IF(H3473="","",IF(E3473=H3473,"SIM","NÃO"))</f>
        <v>SIM</v>
      </c>
      <c r="J3473" s="52" t="str">
        <f>IF(H3473="","",VLOOKUP(A3473,'6.A'!$A$11:$E$564,4,FALSE))</f>
        <v>UN</v>
      </c>
      <c r="K3473" s="52" t="str">
        <f t="shared" ref="K3473:K3492" si="1501">IF(H3473="","",IF(J3473=D3473,"SIM","NÃO"))</f>
        <v>SIM</v>
      </c>
      <c r="L3473" s="52">
        <f>IF(H3473="","",IF(C3473="","",G3444*C3473))</f>
        <v>1</v>
      </c>
      <c r="M3473" s="117" t="str">
        <f>IF(A3473="","",VLOOKUP(A3473,'6.A'!$A$11:$C$564,2,FALSE))</f>
        <v>CONTROLADOR AUTOMÁTICO DE FATOR DE POTÊNCIA, 06 ESTÁGIOS, MEDIÇÃO TRIFÁSICA, LIGAÇÃO PARA ATÉ 3 TCS, FIXAÇÃO DE EMBUTIR, TENSÃO DE ALIMENTAÇÃO 90-270VCA</v>
      </c>
      <c r="N3473" s="57" t="str">
        <f t="shared" ref="N3473:N3492" si="1502">IF(A3473="","",IF(M3473=B3473,"si","no"))</f>
        <v>si</v>
      </c>
      <c r="O3473" s="56"/>
      <c r="P3473" s="56"/>
      <c r="Q3473" s="48"/>
      <c r="R3473" s="48"/>
      <c r="S3473" s="2"/>
    </row>
    <row r="3474" spans="1:22" ht="12.75" customHeight="1" x14ac:dyDescent="0.2">
      <c r="A3474" s="155"/>
      <c r="B3474" s="138" t="str">
        <f>IF(A3474="","",VLOOKUP(A3474,'6.A'!$A$11:$G$180,2,FALSE))</f>
        <v/>
      </c>
      <c r="C3474" s="156"/>
      <c r="D3474" s="57" t="str">
        <f>IF(A3474="","",VLOOKUP(A3474,'6.A'!$A$11:$G$180,4,FALSE))</f>
        <v/>
      </c>
      <c r="E3474" s="100" t="str">
        <f>IF(A3474="","",VLOOKUP(A3474,'6.A'!$A$11:$G$180,5,FALSE))</f>
        <v/>
      </c>
      <c r="F3474" s="24" t="str">
        <f t="shared" si="1499"/>
        <v>0,00</v>
      </c>
      <c r="G3474" s="52"/>
      <c r="H3474" s="52" t="str">
        <f>IF(A3474="","",VLOOKUP(A3474,'6.A'!$A$11:$E$7984,5,FALSE))</f>
        <v/>
      </c>
      <c r="I3474" s="52" t="str">
        <f t="shared" si="1500"/>
        <v/>
      </c>
      <c r="J3474" s="52" t="str">
        <f>IF(H3474="","",VLOOKUP(A3474,'6.A'!$A$11:$E$564,4,FALSE))</f>
        <v/>
      </c>
      <c r="K3474" s="52" t="str">
        <f t="shared" si="1501"/>
        <v/>
      </c>
      <c r="L3474" s="52" t="str">
        <f>IF(H3474="","",IF(C3474="","",G3444*C3474))</f>
        <v/>
      </c>
      <c r="M3474" s="117" t="str">
        <f>IF(A3474="","",VLOOKUP(A3474,'6.A'!$A$11:$C$564,2,FALSE))</f>
        <v/>
      </c>
      <c r="N3474" s="57" t="str">
        <f t="shared" si="1502"/>
        <v/>
      </c>
      <c r="O3474" s="56"/>
      <c r="P3474" s="56"/>
      <c r="Q3474" s="48"/>
      <c r="R3474" s="48"/>
      <c r="S3474" s="2"/>
    </row>
    <row r="3475" spans="1:22" ht="12.75" customHeight="1" x14ac:dyDescent="0.2">
      <c r="A3475" s="155"/>
      <c r="B3475" s="138" t="str">
        <f>IF(A3475="","",VLOOKUP(A3475,'6.A'!$A$11:$G$180,2,FALSE))</f>
        <v/>
      </c>
      <c r="C3475" s="156"/>
      <c r="D3475" s="57" t="str">
        <f>IF(A3475="","",VLOOKUP(A3475,'6.A'!$A$11:$G$180,4,FALSE))</f>
        <v/>
      </c>
      <c r="E3475" s="100" t="str">
        <f>IF(A3475="","",VLOOKUP(A3475,'6.A'!$A$11:$G$180,5,FALSE))</f>
        <v/>
      </c>
      <c r="F3475" s="24" t="str">
        <f t="shared" si="1499"/>
        <v>0,00</v>
      </c>
      <c r="G3475" s="52"/>
      <c r="H3475" s="52" t="str">
        <f>IF(A3475="","",VLOOKUP(A3475,'6.A'!$A$11:$E$7984,5,FALSE))</f>
        <v/>
      </c>
      <c r="I3475" s="52" t="str">
        <f t="shared" si="1500"/>
        <v/>
      </c>
      <c r="J3475" s="52" t="str">
        <f>IF(H3475="","",VLOOKUP(A3475,'6.A'!$A$11:$E$564,4,FALSE))</f>
        <v/>
      </c>
      <c r="K3475" s="52" t="str">
        <f t="shared" si="1501"/>
        <v/>
      </c>
      <c r="L3475" s="52" t="str">
        <f>IF(H3475="","",IF(C3475="","",G3444*C3475))</f>
        <v/>
      </c>
      <c r="M3475" s="117" t="str">
        <f>IF(A3475="","",VLOOKUP(A3475,'6.A'!$A$11:$C$564,2,FALSE))</f>
        <v/>
      </c>
      <c r="N3475" s="57" t="str">
        <f t="shared" si="1502"/>
        <v/>
      </c>
      <c r="O3475" s="56"/>
      <c r="P3475" s="56"/>
      <c r="Q3475" s="48"/>
      <c r="R3475" s="48"/>
      <c r="S3475" s="2"/>
    </row>
    <row r="3476" spans="1:22" ht="12.75" customHeight="1" x14ac:dyDescent="0.2">
      <c r="A3476" s="155"/>
      <c r="B3476" s="138" t="str">
        <f>IF(A3476="","",VLOOKUP(A3476,'6.A'!$A$11:$G$180,2,FALSE))</f>
        <v/>
      </c>
      <c r="C3476" s="156"/>
      <c r="D3476" s="57" t="str">
        <f>IF(A3476="","",VLOOKUP(A3476,'6.A'!$A$11:$G$180,4,FALSE))</f>
        <v/>
      </c>
      <c r="E3476" s="100" t="str">
        <f>IF(A3476="","",VLOOKUP(A3476,'6.A'!$A$11:$G$180,5,FALSE))</f>
        <v/>
      </c>
      <c r="F3476" s="24" t="str">
        <f t="shared" si="1499"/>
        <v>0,00</v>
      </c>
      <c r="G3476" s="52"/>
      <c r="H3476" s="52" t="str">
        <f>IF(A3476="","",VLOOKUP(A3476,'6.A'!$A$11:$E$7984,5,FALSE))</f>
        <v/>
      </c>
      <c r="I3476" s="52" t="str">
        <f t="shared" si="1500"/>
        <v/>
      </c>
      <c r="J3476" s="52" t="str">
        <f>IF(H3476="","",VLOOKUP(A3476,'6.A'!$A$11:$E$564,4,FALSE))</f>
        <v/>
      </c>
      <c r="K3476" s="52" t="str">
        <f t="shared" si="1501"/>
        <v/>
      </c>
      <c r="L3476" s="52" t="str">
        <f>IF(H3476="","",IF(C3476="","",G3444*C3476))</f>
        <v/>
      </c>
      <c r="M3476" s="117" t="str">
        <f>IF(A3476="","",VLOOKUP(A3476,'6.A'!$A$11:$C$564,2,FALSE))</f>
        <v/>
      </c>
      <c r="N3476" s="57" t="str">
        <f t="shared" si="1502"/>
        <v/>
      </c>
      <c r="O3476" s="56"/>
      <c r="P3476" s="56"/>
      <c r="Q3476" s="48"/>
      <c r="R3476" s="48"/>
      <c r="S3476" s="2"/>
    </row>
    <row r="3477" spans="1:22" ht="12.75" customHeight="1" x14ac:dyDescent="0.2">
      <c r="A3477" s="155"/>
      <c r="B3477" s="138" t="str">
        <f>IF(A3477="","",VLOOKUP(A3477,'6.A'!$A$11:$G$180,2,FALSE))</f>
        <v/>
      </c>
      <c r="C3477" s="156"/>
      <c r="D3477" s="57" t="str">
        <f>IF(A3477="","",VLOOKUP(A3477,'6.A'!$A$11:$G$180,4,FALSE))</f>
        <v/>
      </c>
      <c r="E3477" s="100" t="str">
        <f>IF(A3477="","",VLOOKUP(A3477,'6.A'!$A$11:$G$180,5,FALSE))</f>
        <v/>
      </c>
      <c r="F3477" s="24" t="str">
        <f t="shared" si="1499"/>
        <v>0,00</v>
      </c>
      <c r="G3477" s="52"/>
      <c r="H3477" s="52" t="str">
        <f>IF(A3477="","",VLOOKUP(A3477,'6.A'!$A$11:$E$7984,5,FALSE))</f>
        <v/>
      </c>
      <c r="I3477" s="52" t="str">
        <f t="shared" si="1500"/>
        <v/>
      </c>
      <c r="J3477" s="52" t="str">
        <f>IF(H3477="","",VLOOKUP(A3477,'6.A'!$A$11:$E$564,4,FALSE))</f>
        <v/>
      </c>
      <c r="K3477" s="52" t="str">
        <f t="shared" si="1501"/>
        <v/>
      </c>
      <c r="L3477" s="52" t="str">
        <f>IF(H3477="","",IF(C3477="","",G3444*C3477))</f>
        <v/>
      </c>
      <c r="M3477" s="117" t="str">
        <f>IF(A3477="","",VLOOKUP(A3477,'6.A'!$A$11:$C$564,2,FALSE))</f>
        <v/>
      </c>
      <c r="N3477" s="57" t="str">
        <f t="shared" si="1502"/>
        <v/>
      </c>
      <c r="O3477" s="56"/>
      <c r="P3477" s="56"/>
      <c r="Q3477" s="48"/>
      <c r="R3477" s="48"/>
      <c r="S3477" s="2"/>
    </row>
    <row r="3478" spans="1:22" ht="12.75" customHeight="1" x14ac:dyDescent="0.2">
      <c r="A3478" s="155"/>
      <c r="B3478" s="138" t="str">
        <f>IF(A3478="","",VLOOKUP(A3478,'6.A'!$A$11:$G$180,2,FALSE))</f>
        <v/>
      </c>
      <c r="C3478" s="156"/>
      <c r="D3478" s="57" t="str">
        <f>IF(A3478="","",VLOOKUP(A3478,'6.A'!$A$11:$G$180,4,FALSE))</f>
        <v/>
      </c>
      <c r="E3478" s="100" t="str">
        <f>IF(A3478="","",VLOOKUP(A3478,'6.A'!$A$11:$G$180,5,FALSE))</f>
        <v/>
      </c>
      <c r="F3478" s="24" t="str">
        <f t="shared" si="1499"/>
        <v>0,00</v>
      </c>
      <c r="G3478" s="52"/>
      <c r="H3478" s="52" t="str">
        <f>IF(A3478="","",VLOOKUP(A3478,'6.A'!$A$11:$E$7984,5,FALSE))</f>
        <v/>
      </c>
      <c r="I3478" s="52" t="str">
        <f t="shared" si="1500"/>
        <v/>
      </c>
      <c r="J3478" s="52" t="str">
        <f>IF(H3478="","",VLOOKUP(A3478,'6.A'!$A$11:$E$564,4,FALSE))</f>
        <v/>
      </c>
      <c r="K3478" s="52" t="str">
        <f t="shared" si="1501"/>
        <v/>
      </c>
      <c r="L3478" s="52" t="str">
        <f>IF(H3478="","",IF(C3478="","",G3444*C3478))</f>
        <v/>
      </c>
      <c r="M3478" s="117" t="str">
        <f>IF(A3478="","",VLOOKUP(A3478,'6.A'!$A$11:$C$564,2,FALSE))</f>
        <v/>
      </c>
      <c r="N3478" s="57" t="str">
        <f t="shared" si="1502"/>
        <v/>
      </c>
      <c r="O3478" s="56"/>
      <c r="P3478" s="56"/>
      <c r="Q3478" s="48"/>
      <c r="R3478" s="48"/>
      <c r="S3478" s="2"/>
    </row>
    <row r="3479" spans="1:22" ht="12.75" customHeight="1" x14ac:dyDescent="0.2">
      <c r="A3479" s="155"/>
      <c r="B3479" s="138" t="str">
        <f>IF(A3479="","",VLOOKUP(A3479,'6.A'!$A$11:$G$180,2,FALSE))</f>
        <v/>
      </c>
      <c r="C3479" s="156"/>
      <c r="D3479" s="57" t="str">
        <f>IF(A3479="","",VLOOKUP(A3479,'6.A'!$A$11:$G$180,4,FALSE))</f>
        <v/>
      </c>
      <c r="E3479" s="100" t="str">
        <f>IF(A3479="","",VLOOKUP(A3479,'6.A'!$A$11:$G$180,5,FALSE))</f>
        <v/>
      </c>
      <c r="F3479" s="24" t="str">
        <f t="shared" si="1499"/>
        <v>0,00</v>
      </c>
      <c r="G3479" s="52"/>
      <c r="H3479" s="52" t="str">
        <f>IF(A3479="","",VLOOKUP(A3479,'6.A'!$A$11:$E$7984,5,FALSE))</f>
        <v/>
      </c>
      <c r="I3479" s="52" t="str">
        <f t="shared" si="1500"/>
        <v/>
      </c>
      <c r="J3479" s="52" t="str">
        <f>IF(H3479="","",VLOOKUP(A3479,'6.A'!$A$11:$E$564,4,FALSE))</f>
        <v/>
      </c>
      <c r="K3479" s="52" t="str">
        <f t="shared" si="1501"/>
        <v/>
      </c>
      <c r="L3479" s="52" t="str">
        <f>IF(H3479="","",IF(C3479="","",G3444*C3479))</f>
        <v/>
      </c>
      <c r="M3479" s="117" t="str">
        <f>IF(A3479="","",VLOOKUP(A3479,'6.A'!$A$11:$C$564,2,FALSE))</f>
        <v/>
      </c>
      <c r="N3479" s="57" t="str">
        <f t="shared" si="1502"/>
        <v/>
      </c>
      <c r="O3479" s="56"/>
      <c r="P3479" s="56"/>
      <c r="Q3479" s="48"/>
      <c r="R3479" s="48"/>
      <c r="S3479" s="2"/>
    </row>
    <row r="3480" spans="1:22" s="65" customFormat="1" ht="12.75" customHeight="1" x14ac:dyDescent="0.2">
      <c r="A3480" s="155"/>
      <c r="B3480" s="138" t="str">
        <f>IF(A3480="","",VLOOKUP(A3480,'6.A'!$A$11:$G$180,2,FALSE))</f>
        <v/>
      </c>
      <c r="C3480" s="156"/>
      <c r="D3480" s="57" t="str">
        <f>IF(A3480="","",VLOOKUP(A3480,'6.A'!$A$11:$G$180,4,FALSE))</f>
        <v/>
      </c>
      <c r="E3480" s="100" t="str">
        <f>IF(A3480="","",VLOOKUP(A3480,'6.A'!$A$11:$G$180,5,FALSE))</f>
        <v/>
      </c>
      <c r="F3480" s="24" t="str">
        <f t="shared" si="1499"/>
        <v>0,00</v>
      </c>
      <c r="G3480" s="52"/>
      <c r="H3480" s="52" t="str">
        <f>IF(A3480="","",VLOOKUP(A3480,'6.A'!$A$11:$E$7984,5,FALSE))</f>
        <v/>
      </c>
      <c r="I3480" s="52" t="str">
        <f t="shared" si="1500"/>
        <v/>
      </c>
      <c r="J3480" s="52" t="str">
        <f>IF(H3480="","",VLOOKUP(A3480,'6.A'!$A$11:$E$564,4,FALSE))</f>
        <v/>
      </c>
      <c r="K3480" s="52" t="str">
        <f t="shared" si="1501"/>
        <v/>
      </c>
      <c r="L3480" s="52" t="str">
        <f>IF(H3480="","",IF(C3480="","",G3444*C3480))</f>
        <v/>
      </c>
      <c r="M3480" s="117" t="str">
        <f>IF(A3480="","",VLOOKUP(A3480,'6.A'!$A$11:$C$564,2,FALSE))</f>
        <v/>
      </c>
      <c r="N3480" s="57" t="str">
        <f t="shared" si="1502"/>
        <v/>
      </c>
      <c r="O3480" s="56"/>
      <c r="P3480" s="56"/>
      <c r="Q3480" s="48"/>
      <c r="R3480" s="48"/>
      <c r="T3480" s="2"/>
      <c r="U3480" s="2"/>
      <c r="V3480" s="2"/>
    </row>
    <row r="3481" spans="1:22" s="65" customFormat="1" ht="12.75" customHeight="1" x14ac:dyDescent="0.2">
      <c r="A3481" s="155"/>
      <c r="B3481" s="138" t="str">
        <f>IF(A3481="","",VLOOKUP(A3481,'6.A'!$A$11:$G$180,2,FALSE))</f>
        <v/>
      </c>
      <c r="C3481" s="156"/>
      <c r="D3481" s="57" t="str">
        <f>IF(A3481="","",VLOOKUP(A3481,'6.A'!$A$11:$G$180,4,FALSE))</f>
        <v/>
      </c>
      <c r="E3481" s="100" t="str">
        <f>IF(A3481="","",VLOOKUP(A3481,'6.A'!$A$11:$G$180,5,FALSE))</f>
        <v/>
      </c>
      <c r="F3481" s="24" t="str">
        <f t="shared" si="1499"/>
        <v>0,00</v>
      </c>
      <c r="G3481" s="52"/>
      <c r="H3481" s="52" t="str">
        <f>IF(A3481="","",VLOOKUP(A3481,'6.A'!$A$11:$E$7984,5,FALSE))</f>
        <v/>
      </c>
      <c r="I3481" s="52" t="str">
        <f t="shared" si="1500"/>
        <v/>
      </c>
      <c r="J3481" s="52" t="str">
        <f>IF(H3481="","",VLOOKUP(A3481,'6.A'!$A$11:$E$564,4,FALSE))</f>
        <v/>
      </c>
      <c r="K3481" s="52" t="str">
        <f t="shared" si="1501"/>
        <v/>
      </c>
      <c r="L3481" s="52" t="str">
        <f>IF(H3481="","",IF(C3481="","",G3444*C3481))</f>
        <v/>
      </c>
      <c r="M3481" s="117" t="str">
        <f>IF(A3481="","",VLOOKUP(A3481,'6.A'!$A$11:$C$564,2,FALSE))</f>
        <v/>
      </c>
      <c r="N3481" s="57" t="str">
        <f t="shared" si="1502"/>
        <v/>
      </c>
      <c r="O3481" s="56"/>
      <c r="P3481" s="56"/>
      <c r="Q3481" s="48"/>
      <c r="R3481" s="48"/>
      <c r="T3481" s="2"/>
      <c r="U3481" s="2"/>
      <c r="V3481" s="2"/>
    </row>
    <row r="3482" spans="1:22" s="65" customFormat="1" ht="12.75" customHeight="1" x14ac:dyDescent="0.2">
      <c r="A3482" s="155"/>
      <c r="B3482" s="138" t="str">
        <f>IF(A3482="","",VLOOKUP(A3482,'6.A'!$A$11:$G$180,2,FALSE))</f>
        <v/>
      </c>
      <c r="C3482" s="156"/>
      <c r="D3482" s="57" t="str">
        <f>IF(A3482="","",VLOOKUP(A3482,'6.A'!$A$11:$G$180,4,FALSE))</f>
        <v/>
      </c>
      <c r="E3482" s="100" t="str">
        <f>IF(A3482="","",VLOOKUP(A3482,'6.A'!$A$11:$G$180,5,FALSE))</f>
        <v/>
      </c>
      <c r="F3482" s="24" t="str">
        <f t="shared" si="1499"/>
        <v>0,00</v>
      </c>
      <c r="G3482" s="52"/>
      <c r="H3482" s="52" t="str">
        <f>IF(A3482="","",VLOOKUP(A3482,'6.A'!$A$11:$E$7984,5,FALSE))</f>
        <v/>
      </c>
      <c r="I3482" s="52" t="str">
        <f t="shared" si="1500"/>
        <v/>
      </c>
      <c r="J3482" s="52" t="str">
        <f>IF(H3482="","",VLOOKUP(A3482,'6.A'!$A$11:$E$564,4,FALSE))</f>
        <v/>
      </c>
      <c r="K3482" s="52" t="str">
        <f t="shared" si="1501"/>
        <v/>
      </c>
      <c r="L3482" s="52" t="str">
        <f>IF(H3482="","",IF(C3482="","",G3444*C3482))</f>
        <v/>
      </c>
      <c r="M3482" s="117" t="str">
        <f>IF(A3482="","",VLOOKUP(A3482,'6.A'!$A$11:$C$564,2,FALSE))</f>
        <v/>
      </c>
      <c r="N3482" s="57" t="str">
        <f t="shared" si="1502"/>
        <v/>
      </c>
      <c r="O3482" s="56"/>
      <c r="P3482" s="56"/>
      <c r="Q3482" s="48"/>
      <c r="R3482" s="48"/>
      <c r="T3482" s="2"/>
      <c r="U3482" s="2"/>
      <c r="V3482" s="2"/>
    </row>
    <row r="3483" spans="1:22" s="65" customFormat="1" ht="12.75" customHeight="1" x14ac:dyDescent="0.2">
      <c r="A3483" s="155"/>
      <c r="B3483" s="138" t="str">
        <f>IF(A3483="","",VLOOKUP(A3483,'6.A'!$A$11:$G$180,2,FALSE))</f>
        <v/>
      </c>
      <c r="C3483" s="156"/>
      <c r="D3483" s="57" t="str">
        <f>IF(A3483="","",VLOOKUP(A3483,'6.A'!$A$11:$G$180,4,FALSE))</f>
        <v/>
      </c>
      <c r="E3483" s="100" t="str">
        <f>IF(A3483="","",VLOOKUP(A3483,'6.A'!$A$11:$G$180,5,FALSE))</f>
        <v/>
      </c>
      <c r="F3483" s="24" t="str">
        <f t="shared" si="1499"/>
        <v>0,00</v>
      </c>
      <c r="G3483" s="52"/>
      <c r="H3483" s="52" t="str">
        <f>IF(A3483="","",VLOOKUP(A3483,'6.A'!$A$11:$E$7984,5,FALSE))</f>
        <v/>
      </c>
      <c r="I3483" s="52" t="str">
        <f t="shared" si="1500"/>
        <v/>
      </c>
      <c r="J3483" s="52" t="str">
        <f>IF(H3483="","",VLOOKUP(A3483,'6.A'!$A$11:$E$564,4,FALSE))</f>
        <v/>
      </c>
      <c r="K3483" s="52" t="str">
        <f t="shared" si="1501"/>
        <v/>
      </c>
      <c r="L3483" s="52" t="str">
        <f>IF(H3483="","",IF(C3483="","",G3444*C3483))</f>
        <v/>
      </c>
      <c r="M3483" s="117" t="str">
        <f>IF(A3483="","",VLOOKUP(A3483,'6.A'!$A$11:$C$564,2,FALSE))</f>
        <v/>
      </c>
      <c r="N3483" s="57" t="str">
        <f t="shared" si="1502"/>
        <v/>
      </c>
      <c r="O3483" s="56"/>
      <c r="P3483" s="56"/>
      <c r="Q3483" s="48"/>
      <c r="R3483" s="48"/>
      <c r="T3483" s="2"/>
      <c r="U3483" s="2"/>
      <c r="V3483" s="2"/>
    </row>
    <row r="3484" spans="1:22" ht="12.75" customHeight="1" x14ac:dyDescent="0.2">
      <c r="A3484" s="22"/>
      <c r="B3484" s="23" t="str">
        <f>IF(A3484="","",VLOOKUP(A3484,'6.A'!$A$11:$G$180,2,FALSE))</f>
        <v/>
      </c>
      <c r="C3484" s="99"/>
      <c r="D3484" s="57" t="str">
        <f>IF(A3484="","",VLOOKUP(A3484,'6.A'!$A$11:$G$180,4,FALSE))</f>
        <v/>
      </c>
      <c r="E3484" s="100" t="str">
        <f>IF(A3484="","",VLOOKUP(A3484,'6.A'!$A$11:$G$180,5,FALSE))</f>
        <v/>
      </c>
      <c r="F3484" s="24" t="str">
        <f t="shared" si="1499"/>
        <v>0,00</v>
      </c>
      <c r="G3484" s="52"/>
      <c r="H3484" s="52" t="str">
        <f>IF(A3484="","",VLOOKUP(A3484,'6.A'!$A$11:$E$7984,5,FALSE))</f>
        <v/>
      </c>
      <c r="I3484" s="52" t="str">
        <f t="shared" si="1500"/>
        <v/>
      </c>
      <c r="J3484" s="52" t="str">
        <f>IF(H3484="","",VLOOKUP(A3484,'6.A'!$A$11:$E$564,4,FALSE))</f>
        <v/>
      </c>
      <c r="K3484" s="52" t="str">
        <f t="shared" si="1501"/>
        <v/>
      </c>
      <c r="L3484" s="52" t="str">
        <f>IF(H3484="","",IF(C3484="","",G3444*C3484))</f>
        <v/>
      </c>
      <c r="M3484" s="117" t="str">
        <f>IF(A3484="","",VLOOKUP(A3484,'6.A'!$A$11:$C$564,2,FALSE))</f>
        <v/>
      </c>
      <c r="N3484" s="57" t="str">
        <f t="shared" si="1502"/>
        <v/>
      </c>
      <c r="O3484" s="56"/>
      <c r="P3484" s="56"/>
      <c r="Q3484" s="48"/>
      <c r="R3484" s="48"/>
    </row>
    <row r="3485" spans="1:22" ht="12.75" customHeight="1" x14ac:dyDescent="0.2">
      <c r="A3485" s="22"/>
      <c r="B3485" s="23" t="str">
        <f>IF(A3485="","",VLOOKUP(A3485,'6.A'!$A$11:$G$180,2,FALSE))</f>
        <v/>
      </c>
      <c r="C3485" s="99"/>
      <c r="D3485" s="57" t="str">
        <f>IF(A3485="","",VLOOKUP(A3485,'6.A'!$A$11:$G$180,4,FALSE))</f>
        <v/>
      </c>
      <c r="E3485" s="100" t="str">
        <f>IF(A3485="","",VLOOKUP(A3485,'6.A'!$A$11:$G$180,5,FALSE))</f>
        <v/>
      </c>
      <c r="F3485" s="24" t="str">
        <f t="shared" si="1499"/>
        <v>0,00</v>
      </c>
      <c r="G3485" s="52"/>
      <c r="H3485" s="52" t="str">
        <f>IF(A3485="","",VLOOKUP(A3485,'6.A'!$A$11:$E$7984,5,FALSE))</f>
        <v/>
      </c>
      <c r="I3485" s="52" t="str">
        <f t="shared" si="1500"/>
        <v/>
      </c>
      <c r="J3485" s="52" t="str">
        <f>IF(H3485="","",VLOOKUP(A3485,'6.A'!$A$11:$E$564,4,FALSE))</f>
        <v/>
      </c>
      <c r="K3485" s="52" t="str">
        <f t="shared" si="1501"/>
        <v/>
      </c>
      <c r="L3485" s="52" t="str">
        <f>IF(H3485="","",IF(C3485="","",G3444*C3485))</f>
        <v/>
      </c>
      <c r="M3485" s="117" t="str">
        <f>IF(A3485="","",VLOOKUP(A3485,'6.A'!$A$11:$C$564,2,FALSE))</f>
        <v/>
      </c>
      <c r="N3485" s="57" t="str">
        <f t="shared" si="1502"/>
        <v/>
      </c>
      <c r="O3485" s="56"/>
      <c r="P3485" s="56"/>
      <c r="Q3485" s="48"/>
      <c r="R3485" s="48"/>
    </row>
    <row r="3486" spans="1:22" ht="12.75" customHeight="1" x14ac:dyDescent="0.2">
      <c r="A3486" s="22"/>
      <c r="B3486" s="23" t="str">
        <f>IF(A3486="","",VLOOKUP(A3486,'6.A'!$A$11:$G$180,2,FALSE))</f>
        <v/>
      </c>
      <c r="C3486" s="99"/>
      <c r="D3486" s="57" t="str">
        <f>IF(A3486="","",VLOOKUP(A3486,'6.A'!$A$11:$G$180,4,FALSE))</f>
        <v/>
      </c>
      <c r="E3486" s="100" t="str">
        <f>IF(A3486="","",VLOOKUP(A3486,'6.A'!$A$11:$G$180,5,FALSE))</f>
        <v/>
      </c>
      <c r="F3486" s="24" t="str">
        <f t="shared" si="1499"/>
        <v>0,00</v>
      </c>
      <c r="G3486" s="52"/>
      <c r="H3486" s="52" t="str">
        <f>IF(A3486="","",VLOOKUP(A3486,'6.A'!$A$11:$E$7984,5,FALSE))</f>
        <v/>
      </c>
      <c r="I3486" s="52" t="str">
        <f t="shared" si="1500"/>
        <v/>
      </c>
      <c r="J3486" s="52" t="str">
        <f>IF(H3486="","",VLOOKUP(A3486,'6.A'!$A$11:$E$564,4,FALSE))</f>
        <v/>
      </c>
      <c r="K3486" s="52" t="str">
        <f t="shared" si="1501"/>
        <v/>
      </c>
      <c r="L3486" s="52" t="str">
        <f>IF(H3486="","",IF(C3486="","",G3444*C3486))</f>
        <v/>
      </c>
      <c r="M3486" s="117" t="str">
        <f>IF(A3486="","",VLOOKUP(A3486,'6.A'!$A$11:$C$564,2,FALSE))</f>
        <v/>
      </c>
      <c r="N3486" s="57" t="str">
        <f t="shared" si="1502"/>
        <v/>
      </c>
      <c r="O3486" s="56"/>
      <c r="P3486" s="56"/>
      <c r="Q3486" s="48"/>
      <c r="R3486" s="48"/>
    </row>
    <row r="3487" spans="1:22" ht="12.75" customHeight="1" x14ac:dyDescent="0.2">
      <c r="A3487" s="22"/>
      <c r="B3487" s="23" t="str">
        <f>IF(A3487="","",VLOOKUP(A3487,'6.A'!$A$11:$G$180,2,FALSE))</f>
        <v/>
      </c>
      <c r="C3487" s="99"/>
      <c r="D3487" s="57" t="str">
        <f>IF(A3487="","",VLOOKUP(A3487,'6.A'!$A$11:$G$180,4,FALSE))</f>
        <v/>
      </c>
      <c r="E3487" s="100" t="str">
        <f>IF(A3487="","",VLOOKUP(A3487,'6.A'!$A$11:$G$180,5,FALSE))</f>
        <v/>
      </c>
      <c r="F3487" s="24" t="str">
        <f t="shared" si="1499"/>
        <v>0,00</v>
      </c>
      <c r="G3487" s="52"/>
      <c r="H3487" s="52" t="str">
        <f>IF(A3487="","",VLOOKUP(A3487,'6.A'!$A$11:$E$7984,5,FALSE))</f>
        <v/>
      </c>
      <c r="I3487" s="52" t="str">
        <f t="shared" si="1500"/>
        <v/>
      </c>
      <c r="J3487" s="52" t="str">
        <f>IF(H3487="","",VLOOKUP(A3487,'6.A'!$A$11:$E$564,4,FALSE))</f>
        <v/>
      </c>
      <c r="K3487" s="52" t="str">
        <f t="shared" si="1501"/>
        <v/>
      </c>
      <c r="L3487" s="52" t="str">
        <f>IF(H3487="","",IF(C3487="","",G3444*C3487))</f>
        <v/>
      </c>
      <c r="M3487" s="117" t="str">
        <f>IF(A3487="","",VLOOKUP(A3487,'6.A'!$A$11:$C$564,2,FALSE))</f>
        <v/>
      </c>
      <c r="N3487" s="57" t="str">
        <f t="shared" si="1502"/>
        <v/>
      </c>
      <c r="O3487" s="56"/>
      <c r="P3487" s="56"/>
      <c r="Q3487" s="48"/>
      <c r="R3487" s="48"/>
    </row>
    <row r="3488" spans="1:22" ht="12.75" customHeight="1" x14ac:dyDescent="0.2">
      <c r="A3488" s="22"/>
      <c r="B3488" s="23" t="str">
        <f>IF(A3488="","",VLOOKUP(A3488,'6.A'!$A$11:$G$180,2,FALSE))</f>
        <v/>
      </c>
      <c r="C3488" s="99"/>
      <c r="D3488" s="57" t="str">
        <f>IF(A3488="","",VLOOKUP(A3488,'6.A'!$A$11:$G$180,4,FALSE))</f>
        <v/>
      </c>
      <c r="E3488" s="100" t="str">
        <f>IF(A3488="","",VLOOKUP(A3488,'6.A'!$A$11:$G$180,5,FALSE))</f>
        <v/>
      </c>
      <c r="F3488" s="24" t="str">
        <f t="shared" si="1499"/>
        <v>0,00</v>
      </c>
      <c r="G3488" s="52"/>
      <c r="H3488" s="52" t="str">
        <f>IF(A3488="","",VLOOKUP(A3488,'6.A'!$A$11:$E$7984,5,FALSE))</f>
        <v/>
      </c>
      <c r="I3488" s="52" t="str">
        <f t="shared" si="1500"/>
        <v/>
      </c>
      <c r="J3488" s="52" t="str">
        <f>IF(H3488="","",VLOOKUP(A3488,'6.A'!$A$11:$E$564,4,FALSE))</f>
        <v/>
      </c>
      <c r="K3488" s="52" t="str">
        <f t="shared" si="1501"/>
        <v/>
      </c>
      <c r="L3488" s="52" t="str">
        <f>IF(H3488="","",IF(C3488="","",G3444*C3488))</f>
        <v/>
      </c>
      <c r="M3488" s="117" t="str">
        <f>IF(A3488="","",VLOOKUP(A3488,'6.A'!$A$11:$C$564,2,FALSE))</f>
        <v/>
      </c>
      <c r="N3488" s="57" t="str">
        <f t="shared" si="1502"/>
        <v/>
      </c>
      <c r="O3488" s="56"/>
      <c r="P3488" s="56"/>
      <c r="Q3488" s="48"/>
      <c r="R3488" s="48"/>
    </row>
    <row r="3489" spans="1:23" ht="12.75" customHeight="1" x14ac:dyDescent="0.2">
      <c r="A3489" s="22"/>
      <c r="B3489" s="23" t="str">
        <f>IF(A3489="","",VLOOKUP(A3489,'6.A'!$A$11:$G$180,2,FALSE))</f>
        <v/>
      </c>
      <c r="C3489" s="99"/>
      <c r="D3489" s="57" t="str">
        <f>IF(A3489="","",VLOOKUP(A3489,'6.A'!$A$11:$G$180,4,FALSE))</f>
        <v/>
      </c>
      <c r="E3489" s="100" t="str">
        <f>IF(A3489="","",VLOOKUP(A3489,'6.A'!$A$11:$G$180,5,FALSE))</f>
        <v/>
      </c>
      <c r="F3489" s="24" t="str">
        <f t="shared" si="1499"/>
        <v>0,00</v>
      </c>
      <c r="G3489" s="52"/>
      <c r="H3489" s="52" t="str">
        <f>IF(A3489="","",VLOOKUP(A3489,'6.A'!$A$11:$E$7984,5,FALSE))</f>
        <v/>
      </c>
      <c r="I3489" s="52" t="str">
        <f t="shared" si="1500"/>
        <v/>
      </c>
      <c r="J3489" s="52" t="str">
        <f>IF(H3489="","",VLOOKUP(A3489,'6.A'!$A$11:$E$564,4,FALSE))</f>
        <v/>
      </c>
      <c r="K3489" s="52" t="str">
        <f t="shared" si="1501"/>
        <v/>
      </c>
      <c r="L3489" s="52" t="str">
        <f>IF(H3489="","",IF(C3489="","",G3444*C3489))</f>
        <v/>
      </c>
      <c r="M3489" s="117" t="str">
        <f>IF(A3489="","",VLOOKUP(A3489,'6.A'!$A$11:$C$564,2,FALSE))</f>
        <v/>
      </c>
      <c r="N3489" s="57" t="str">
        <f t="shared" si="1502"/>
        <v/>
      </c>
      <c r="O3489" s="56"/>
      <c r="P3489" s="56"/>
      <c r="Q3489" s="48"/>
      <c r="R3489" s="48"/>
    </row>
    <row r="3490" spans="1:23" ht="12.75" customHeight="1" x14ac:dyDescent="0.2">
      <c r="A3490" s="22"/>
      <c r="B3490" s="39" t="str">
        <f>IF(A3490="","",VLOOKUP(A3490,'6.A'!$A$11:$G$180,2,FALSE))</f>
        <v/>
      </c>
      <c r="C3490" s="99"/>
      <c r="D3490" s="57" t="str">
        <f>IF(A3490="","",VLOOKUP(A3490,'6.A'!$A$11:$G$180,4,FALSE))</f>
        <v/>
      </c>
      <c r="E3490" s="100" t="str">
        <f>IF(A3490="","",VLOOKUP(A3490,'6.A'!$A$11:$G$180,5,FALSE))</f>
        <v/>
      </c>
      <c r="F3490" s="24" t="str">
        <f t="shared" si="1499"/>
        <v>0,00</v>
      </c>
      <c r="G3490" s="52"/>
      <c r="H3490" s="52" t="str">
        <f>IF(A3490="","",VLOOKUP(A3490,'6.A'!$A$11:$E$7984,5,FALSE))</f>
        <v/>
      </c>
      <c r="I3490" s="52" t="str">
        <f t="shared" si="1500"/>
        <v/>
      </c>
      <c r="J3490" s="52" t="str">
        <f>IF(H3490="","",VLOOKUP(A3490,'6.A'!$A$11:$E$564,4,FALSE))</f>
        <v/>
      </c>
      <c r="K3490" s="52" t="str">
        <f t="shared" si="1501"/>
        <v/>
      </c>
      <c r="L3490" s="52" t="str">
        <f>IF(H3490="","",IF(C3490="","",G3444*C3490))</f>
        <v/>
      </c>
      <c r="M3490" s="117" t="str">
        <f>IF(A3490="","",VLOOKUP(A3490,'6.A'!$A$11:$C$564,2,FALSE))</f>
        <v/>
      </c>
      <c r="N3490" s="57" t="str">
        <f t="shared" si="1502"/>
        <v/>
      </c>
      <c r="O3490" s="56"/>
      <c r="P3490" s="56"/>
      <c r="Q3490" s="48"/>
      <c r="R3490" s="48"/>
    </row>
    <row r="3491" spans="1:23" ht="12.75" customHeight="1" x14ac:dyDescent="0.2">
      <c r="A3491" s="22"/>
      <c r="B3491" s="39" t="str">
        <f>IF(A3491="","",VLOOKUP(A3491,'6.A'!$A$11:$G$180,2,FALSE))</f>
        <v/>
      </c>
      <c r="C3491" s="99"/>
      <c r="D3491" s="57" t="str">
        <f>IF(A3491="","",VLOOKUP(A3491,'6.A'!$A$11:$G$180,4,FALSE))</f>
        <v/>
      </c>
      <c r="E3491" s="100" t="str">
        <f>IF(A3491="","",VLOOKUP(A3491,'6.A'!$A$11:$G$180,5,FALSE))</f>
        <v/>
      </c>
      <c r="F3491" s="24" t="str">
        <f t="shared" si="1499"/>
        <v>0,00</v>
      </c>
      <c r="G3491" s="52"/>
      <c r="H3491" s="52" t="str">
        <f>IF(A3491="","",VLOOKUP(A3491,'6.A'!$A$11:$E$7984,5,FALSE))</f>
        <v/>
      </c>
      <c r="I3491" s="52" t="str">
        <f t="shared" si="1500"/>
        <v/>
      </c>
      <c r="J3491" s="52" t="str">
        <f>IF(H3491="","",VLOOKUP(A3491,'6.A'!$A$11:$E$564,4,FALSE))</f>
        <v/>
      </c>
      <c r="K3491" s="52" t="str">
        <f t="shared" si="1501"/>
        <v/>
      </c>
      <c r="L3491" s="52" t="str">
        <f>IF(H3491="","",IF(C3491="","",G3444*C3491))</f>
        <v/>
      </c>
      <c r="M3491" s="117" t="str">
        <f>IF(A3491="","",VLOOKUP(A3491,'6.A'!$A$11:$C$564,2,FALSE))</f>
        <v/>
      </c>
      <c r="N3491" s="57" t="str">
        <f t="shared" si="1502"/>
        <v/>
      </c>
      <c r="O3491" s="56"/>
      <c r="P3491" s="56"/>
      <c r="Q3491" s="48"/>
      <c r="R3491" s="48"/>
    </row>
    <row r="3492" spans="1:23" ht="12.75" customHeight="1" x14ac:dyDescent="0.2">
      <c r="A3492" s="22"/>
      <c r="B3492" s="39" t="str">
        <f>IF(A3492="","",VLOOKUP(A3492,'6.A'!$A$11:$G$180,2,FALSE))</f>
        <v/>
      </c>
      <c r="C3492" s="99"/>
      <c r="D3492" s="57" t="str">
        <f>IF(A3492="","",VLOOKUP(A3492,'6.A'!$A$11:$G$180,4,FALSE))</f>
        <v/>
      </c>
      <c r="E3492" s="100" t="str">
        <f>IF(A3492="","",VLOOKUP(A3492,'6.A'!$A$11:$G$180,5,FALSE))</f>
        <v/>
      </c>
      <c r="F3492" s="24" t="str">
        <f t="shared" si="1499"/>
        <v>0,00</v>
      </c>
      <c r="G3492" s="52"/>
      <c r="H3492" s="52" t="str">
        <f>IF(A3492="","",VLOOKUP(A3492,'6.A'!$A$11:$E$7984,5,FALSE))</f>
        <v/>
      </c>
      <c r="I3492" s="52" t="str">
        <f t="shared" si="1500"/>
        <v/>
      </c>
      <c r="J3492" s="52" t="str">
        <f>IF(H3492="","",VLOOKUP(A3492,'6.A'!$A$11:$E$564,4,FALSE))</f>
        <v/>
      </c>
      <c r="K3492" s="52" t="str">
        <f t="shared" si="1501"/>
        <v/>
      </c>
      <c r="L3492" s="52" t="str">
        <f>IF(H3492="","",IF(C3492="","",G3444*C3492))</f>
        <v/>
      </c>
      <c r="M3492" s="117" t="str">
        <f>IF(A3492="","",VLOOKUP(A3492,'6.A'!$A$11:$C$564,2,FALSE))</f>
        <v/>
      </c>
      <c r="N3492" s="57" t="str">
        <f t="shared" si="1502"/>
        <v/>
      </c>
      <c r="O3492" s="56"/>
      <c r="P3492" s="56"/>
      <c r="Q3492" s="48"/>
      <c r="R3492" s="48"/>
    </row>
    <row r="3493" spans="1:23" ht="12.75" customHeight="1" x14ac:dyDescent="0.2">
      <c r="A3493" s="22"/>
      <c r="B3493" s="26" t="str">
        <f>$A$9</f>
        <v>BDI</v>
      </c>
      <c r="C3493" s="40">
        <f>$C$9</f>
        <v>0</v>
      </c>
      <c r="D3493" s="57"/>
      <c r="F3493" s="28">
        <f>ROUND(SUM(F3473:F3492)*C3493,2)</f>
        <v>0</v>
      </c>
      <c r="G3493" s="63"/>
      <c r="M3493" s="57"/>
      <c r="N3493" s="57"/>
      <c r="O3493" s="56"/>
      <c r="P3493" s="56"/>
      <c r="Q3493" s="48"/>
      <c r="R3493" s="48"/>
    </row>
    <row r="3494" spans="1:23" ht="12.75" customHeight="1" thickBot="1" x14ac:dyDescent="0.25">
      <c r="A3494" s="41"/>
      <c r="B3494" s="42" t="s">
        <v>57</v>
      </c>
      <c r="C3494" s="43"/>
      <c r="D3494" s="44"/>
      <c r="E3494" s="45"/>
      <c r="F3494" s="46">
        <f>ROUND(SUM(F3473:F3493),2)</f>
        <v>0</v>
      </c>
      <c r="G3494" s="63"/>
      <c r="M3494" s="57"/>
      <c r="N3494" s="57"/>
      <c r="O3494" s="56"/>
      <c r="P3494" s="56"/>
      <c r="Q3494" s="48"/>
      <c r="R3494" s="48"/>
    </row>
    <row r="3495" spans="1:23" ht="12" customHeight="1" thickBot="1" x14ac:dyDescent="0.25">
      <c r="A3495" s="8"/>
      <c r="B3495" s="9"/>
      <c r="C3495" s="10"/>
      <c r="D3495" s="57"/>
      <c r="F3495" s="12"/>
      <c r="M3495" s="57"/>
      <c r="N3495" s="57"/>
      <c r="O3495" s="56"/>
      <c r="P3495" s="56"/>
    </row>
    <row r="3496" spans="1:23" ht="50.1" customHeight="1" x14ac:dyDescent="0.2">
      <c r="A3496" s="13" t="str">
        <f>'3.A'!$A$75</f>
        <v>3.4.8</v>
      </c>
      <c r="B3496" s="14" t="str">
        <f>IF(A3496="","",VLOOKUP(A3496,'3.A'!$A$17:$M$279,2,FALSE))</f>
        <v>CONTATOR PARA MANOBRA DE CAPACITOR PARA CORREÇÃO DO FATOR DE POTÊNCIA, COM RESITORES DE PRÉ-CARGA, CONTATO AUXILAR 1NA, IN=30A, VN=220VAC, VCOMANDO=220VAC, F=60HZ</v>
      </c>
      <c r="C3496" s="413" t="s">
        <v>62</v>
      </c>
      <c r="D3496" s="413"/>
      <c r="E3496" s="15" t="str">
        <f>IF(A3496="","",VLOOKUP(A3496,'3.A'!$A$17:$M$279,3,FALSE))</f>
        <v>UN</v>
      </c>
      <c r="F3496" s="16">
        <f>ROUND(F3510+F3523+F3546,2)</f>
        <v>0</v>
      </c>
      <c r="G3496" s="118">
        <f>VLOOKUP(A3496,'3.A'!$A$19:$I$279,4,FALSE)</f>
        <v>6</v>
      </c>
      <c r="H3496" s="47">
        <f>SUM(F3498:F3509)</f>
        <v>0</v>
      </c>
      <c r="I3496" s="47">
        <f>SUM(F3512:F3522)</f>
        <v>0</v>
      </c>
      <c r="J3496" s="47">
        <f>SUM(F3525:F3545)</f>
        <v>0</v>
      </c>
      <c r="K3496" s="47">
        <f>SUM(H3496:J3496)</f>
        <v>0</v>
      </c>
      <c r="L3496" s="47" t="str">
        <f>IF(K3496=F3496,"SIM","NÃO")</f>
        <v>SIM</v>
      </c>
      <c r="M3496" s="58">
        <f>ROUND(SUM(F3498:F3507)*C3508,2)+ROUND(SUM(F3498:F3508)*C3509,2)+ROUND(SUM(F3498:F3507),2)+ROUND(SUM(F3512:F3521)*C3522,2)+ROUND(SUM(F3512:F3521),2)+ROUND(SUM(F3525:F3544)*C3545,2)+ROUND(SUM(F3525:F3544),2)</f>
        <v>0</v>
      </c>
      <c r="N3496" s="50" t="str">
        <f>IF(M3496=F3496,"SIM","NÃO")</f>
        <v>SIM</v>
      </c>
      <c r="O3496" s="51" t="str">
        <f>VLOOKUP(A3496,'3.A'!$A$8:$E$279,3,FALSE)</f>
        <v>UN</v>
      </c>
      <c r="P3496" s="51" t="str">
        <f>IF(O3496=E3496,"SIM","NÃO")</f>
        <v>SIM</v>
      </c>
      <c r="Q3496" s="53">
        <f>ROUND(G3496*F3510,2)+ROUND(G3496*F3523,2)+ROUND(G3496*F3546,2)</f>
        <v>0</v>
      </c>
      <c r="R3496" s="59">
        <f>VLOOKUP(A3496,'3.A'!$A$17:$L$279,12,FALSE)</f>
        <v>0</v>
      </c>
      <c r="S3496" s="60" t="str">
        <f>IF(Q3496=R3496,"si","no")</f>
        <v>si</v>
      </c>
      <c r="T3496" s="61">
        <f>SUM(L3498:L3507)+SUM(L3512:L3521)+SUM(L3525:L3544)</f>
        <v>7.8</v>
      </c>
      <c r="U3496" s="52">
        <f>G3496*C3504+G3496*C3506+G3496*C3499+G3496*C3500+G3496*C3502+G3496*C3505+G3496*C3503+G3496*C3498+G3496*C3501+G3496*C3507+G3496*C3518+G3496*C3512+G3496*C3520+G3496*C3519+G3496*C3517+G3496*C3514+G3496*C3513+G3496*C3515+G3496*C3521+G3496*C3516+G3496*C3525+G3496*C3526+G3496*C3527+G3496*C3535+G3496*C3536+G3496*C3537+G3496*C3538+G3496*C3539+G3496*C3540+G3496*C3541+G3496*C3542+G3496*C3543+G3496*C3544+G3496*C3533+G3496*C3534+G3496*C3528+G3496*C3529+G3496*C3530+G3496*C3531+G3496*C3532</f>
        <v>7.8</v>
      </c>
      <c r="V3496" s="54" t="str">
        <f>IF(T3496=U3496,"si","no")</f>
        <v>si</v>
      </c>
      <c r="W3496" s="137"/>
    </row>
    <row r="3497" spans="1:23" ht="12.75" customHeight="1" x14ac:dyDescent="0.2">
      <c r="A3497" s="17" t="s">
        <v>3</v>
      </c>
      <c r="B3497" s="18" t="s">
        <v>58</v>
      </c>
      <c r="C3497" s="56" t="s">
        <v>59</v>
      </c>
      <c r="D3497" s="56" t="s">
        <v>16</v>
      </c>
      <c r="E3497" s="19" t="s">
        <v>60</v>
      </c>
      <c r="F3497" s="20" t="s">
        <v>61</v>
      </c>
      <c r="G3497" s="21"/>
      <c r="M3497" s="57"/>
      <c r="N3497" s="57"/>
      <c r="O3497" s="56"/>
      <c r="P3497" s="56"/>
      <c r="Q3497" s="48"/>
      <c r="R3497" s="48"/>
    </row>
    <row r="3498" spans="1:23" ht="12.75" customHeight="1" x14ac:dyDescent="0.2">
      <c r="A3498" s="155">
        <f>'6.A'!$A$18</f>
        <v>88264</v>
      </c>
      <c r="B3498" s="138" t="str">
        <f>IF(A3498="","",VLOOKUP(A3498,'6.A'!$A$11:$G$180,2,FALSE))</f>
        <v>ELETRICISTA COM ENCARGOS COMPLEMENTARES</v>
      </c>
      <c r="C3498" s="156">
        <v>0.15</v>
      </c>
      <c r="D3498" s="57" t="str">
        <f>IF(A3498="","",VLOOKUP(A3498,'6.A'!$A$11:$G$180,4,FALSE))</f>
        <v>H</v>
      </c>
      <c r="E3498" s="100">
        <f>IF(A3498="","",VLOOKUP(A3498,'6.A'!$A$11:$G$180,5,FALSE))</f>
        <v>0</v>
      </c>
      <c r="F3498" s="24">
        <f t="shared" ref="F3498" si="1503">IF(A3498="","0,00",ROUND(C3498*E3498,2))</f>
        <v>0</v>
      </c>
      <c r="G3498" s="52"/>
      <c r="H3498" s="52">
        <f>IF(A3498="","",VLOOKUP(A3498,'6.A'!$A$11:$E$7984,5,FALSE))</f>
        <v>0</v>
      </c>
      <c r="I3498" s="52" t="str">
        <f>IF(H3498="","",IF(E3498=H3498,"SIM","NÃO"))</f>
        <v>SIM</v>
      </c>
      <c r="J3498" s="52" t="str">
        <f>IF(H3498="","",VLOOKUP(A3498,'6.A'!$A$11:$E$564,4,FALSE))</f>
        <v>H</v>
      </c>
      <c r="K3498" s="52" t="str">
        <f>IF(H3498="","",IF(J3498=D3498,"SIM","NÃO"))</f>
        <v>SIM</v>
      </c>
      <c r="L3498" s="52">
        <f>IF(H3498="","",IF(C3498="","",G3496*C3498))</f>
        <v>0.89999999999999991</v>
      </c>
      <c r="M3498" s="117" t="str">
        <f>IF(A3498="","",VLOOKUP(A3498,'6.A'!$A$11:$C$564,2,FALSE))</f>
        <v>ELETRICISTA COM ENCARGOS COMPLEMENTARES</v>
      </c>
      <c r="N3498" s="57" t="str">
        <f>IF(A3498="","",IF(M3498=B3498,"si","no"))</f>
        <v>si</v>
      </c>
      <c r="O3498" s="56"/>
      <c r="P3498" s="56"/>
      <c r="Q3498" s="48"/>
      <c r="R3498" s="48"/>
    </row>
    <row r="3499" spans="1:23" ht="12.75" customHeight="1" x14ac:dyDescent="0.2">
      <c r="A3499" s="155">
        <f>'6.A'!$A$15</f>
        <v>88247</v>
      </c>
      <c r="B3499" s="138" t="str">
        <f>IF(A3499="","",VLOOKUP(A3499,'6.A'!$A$11:$G$180,2,FALSE))</f>
        <v>AUXILIAR DE ELETRICISTA COM ENCARGOS COMPLEMENTARES</v>
      </c>
      <c r="C3499" s="156">
        <v>0.15</v>
      </c>
      <c r="D3499" s="57" t="str">
        <f>IF(A3499="","",VLOOKUP(A3499,'6.A'!$A$11:$G$180,4,FALSE))</f>
        <v>H</v>
      </c>
      <c r="E3499" s="100">
        <f>IF(A3499="","",VLOOKUP(A3499,'6.A'!$A$11:$G$180,5,FALSE))</f>
        <v>0</v>
      </c>
      <c r="F3499" s="24">
        <f>IF(A3499="","0,00",ROUND(C3499*E3499,2))</f>
        <v>0</v>
      </c>
      <c r="G3499" s="52"/>
      <c r="H3499" s="52">
        <f>IF(A3499="","",VLOOKUP(A3499,'6.A'!$A$11:$E$7984,5,FALSE))</f>
        <v>0</v>
      </c>
      <c r="I3499" s="52" t="str">
        <f>IF(H3499="","",IF(E3499=H3499,"SIM","NÃO"))</f>
        <v>SIM</v>
      </c>
      <c r="J3499" s="52" t="str">
        <f>IF(H3499="","",VLOOKUP(A3499,'6.A'!$A$11:$E$564,4,FALSE))</f>
        <v>H</v>
      </c>
      <c r="K3499" s="52" t="str">
        <f>IF(H3499="","",IF(J3499=D3499,"SIM","NÃO"))</f>
        <v>SIM</v>
      </c>
      <c r="L3499" s="52">
        <f>IF(H3499="","",IF(C3499="","",G3496*C3499))</f>
        <v>0.89999999999999991</v>
      </c>
      <c r="M3499" s="117" t="str">
        <f>IF(A3499="","",VLOOKUP(A3499,'6.A'!$A$11:$C$564,2,FALSE))</f>
        <v>AUXILIAR DE ELETRICISTA COM ENCARGOS COMPLEMENTARES</v>
      </c>
      <c r="N3499" s="57" t="str">
        <f>IF(A3499="","",IF(M3499=B3499,"si","no"))</f>
        <v>si</v>
      </c>
      <c r="O3499" s="56"/>
      <c r="P3499" s="56"/>
      <c r="Q3499" s="48"/>
      <c r="R3499" s="48"/>
    </row>
    <row r="3500" spans="1:23" ht="12.75" customHeight="1" x14ac:dyDescent="0.2">
      <c r="A3500" s="155"/>
      <c r="B3500" s="138" t="str">
        <f>IF(A3500="","",VLOOKUP(A3500,'6.A'!$A$11:$G$180,2,FALSE))</f>
        <v/>
      </c>
      <c r="C3500" s="156"/>
      <c r="D3500" s="57" t="str">
        <f>IF(A3500="","",VLOOKUP(A3500,'6.A'!$A$11:$G$180,4,FALSE))</f>
        <v/>
      </c>
      <c r="E3500" s="100" t="str">
        <f>IF(A3500="","",VLOOKUP(A3500,'6.A'!$A$11:$G$180,5,FALSE))</f>
        <v/>
      </c>
      <c r="F3500" s="24" t="str">
        <f t="shared" ref="F3500:F3507" si="1504">IF(A3500="","0,00",ROUND(C3500*E3500,2))</f>
        <v>0,00</v>
      </c>
      <c r="G3500" s="52"/>
      <c r="H3500" s="52" t="str">
        <f>IF(A3500="","",VLOOKUP(A3500,'6.A'!$A$11:$E$7984,5,FALSE))</f>
        <v/>
      </c>
      <c r="I3500" s="52" t="str">
        <f>IF(H3500="","",IF(E3500=H3500,"SIM","NÃO"))</f>
        <v/>
      </c>
      <c r="J3500" s="52" t="str">
        <f>IF(H3500="","",VLOOKUP(A3500,'6.A'!$A$11:$E$564,4,FALSE))</f>
        <v/>
      </c>
      <c r="K3500" s="52" t="str">
        <f t="shared" ref="K3500" si="1505">IF(H3500="","",IF(J3500=D3500,"SIM","NÃO"))</f>
        <v/>
      </c>
      <c r="L3500" s="52" t="str">
        <f>IF(H3500="","",IF(C3500="","",G3496*C3500))</f>
        <v/>
      </c>
      <c r="M3500" s="117" t="str">
        <f>IF(A3500="","",VLOOKUP(A3500,'6.A'!$A$11:$C$564,2,FALSE))</f>
        <v/>
      </c>
      <c r="N3500" s="57" t="str">
        <f t="shared" ref="N3500" si="1506">IF(A3500="","",IF(M3500=B3500,"si","no"))</f>
        <v/>
      </c>
      <c r="O3500" s="56"/>
      <c r="P3500" s="56"/>
      <c r="Q3500" s="48"/>
      <c r="R3500" s="48"/>
      <c r="S3500" s="2"/>
    </row>
    <row r="3501" spans="1:23" ht="12.75" customHeight="1" x14ac:dyDescent="0.2">
      <c r="A3501" s="155"/>
      <c r="B3501" s="138" t="str">
        <f>IF(A3501="","",VLOOKUP(A3501,'6.A'!$A$11:$G$180,2,FALSE))</f>
        <v/>
      </c>
      <c r="C3501" s="156"/>
      <c r="D3501" s="57" t="str">
        <f>IF(A3501="","",VLOOKUP(A3501,'6.A'!$A$11:$G$180,4,FALSE))</f>
        <v/>
      </c>
      <c r="E3501" s="100" t="str">
        <f>IF(A3501="","",VLOOKUP(A3501,'6.A'!$A$11:$G$180,5,FALSE))</f>
        <v/>
      </c>
      <c r="F3501" s="24" t="str">
        <f t="shared" si="1504"/>
        <v>0,00</v>
      </c>
      <c r="G3501" s="52"/>
      <c r="H3501" s="52" t="str">
        <f>IF(A3501="","",VLOOKUP(A3501,'6.A'!$A$11:$E$7984,5,FALSE))</f>
        <v/>
      </c>
      <c r="I3501" s="52" t="str">
        <f>IF(H3501="","",IF(E3501=H3501,"SIM","NÃO"))</f>
        <v/>
      </c>
      <c r="J3501" s="52" t="str">
        <f>IF(H3501="","",VLOOKUP(A3501,'6.A'!$A$11:$E$564,4,FALSE))</f>
        <v/>
      </c>
      <c r="K3501" s="52" t="str">
        <f>IF(H3501="","",IF(J3501=D3501,"SIM","NÃO"))</f>
        <v/>
      </c>
      <c r="L3501" s="52" t="str">
        <f>IF(H3501="","",IF(C3501="","",G3496*C3501))</f>
        <v/>
      </c>
      <c r="M3501" s="117" t="str">
        <f>IF(A3501="","",VLOOKUP(A3501,'6.A'!$A$11:$C$564,2,FALSE))</f>
        <v/>
      </c>
      <c r="N3501" s="57" t="str">
        <f>IF(A3501="","",IF(M3501=B3501,"si","no"))</f>
        <v/>
      </c>
      <c r="O3501" s="56"/>
      <c r="P3501" s="56"/>
      <c r="Q3501" s="48"/>
      <c r="R3501" s="48"/>
      <c r="S3501" s="2"/>
    </row>
    <row r="3502" spans="1:23" ht="12.75" customHeight="1" x14ac:dyDescent="0.2">
      <c r="A3502" s="155"/>
      <c r="B3502" s="138" t="str">
        <f>IF(A3502="","",VLOOKUP(A3502,'6.A'!$A$11:$G$180,2,FALSE))</f>
        <v/>
      </c>
      <c r="C3502" s="156"/>
      <c r="D3502" s="57" t="str">
        <f>IF(A3502="","",VLOOKUP(A3502,'6.A'!$A$11:$G$180,4,FALSE))</f>
        <v/>
      </c>
      <c r="E3502" s="101" t="str">
        <f>IF(A3502="","",VLOOKUP(A3502,'6.A'!$A$11:$G$180,5,FALSE))</f>
        <v/>
      </c>
      <c r="F3502" s="24" t="str">
        <f t="shared" si="1504"/>
        <v>0,00</v>
      </c>
      <c r="G3502" s="52"/>
      <c r="H3502" s="52" t="str">
        <f>IF(A3502="","",VLOOKUP(A3502,'6.A'!$A$11:$E$7984,5,FALSE))</f>
        <v/>
      </c>
      <c r="I3502" s="52" t="str">
        <f t="shared" ref="I3502" si="1507">IF(H3502="","",IF(E3502=H3502,"SIM","NÃO"))</f>
        <v/>
      </c>
      <c r="J3502" s="52" t="str">
        <f>IF(H3502="","",VLOOKUP(A3502,'6.A'!$A$11:$E$564,4,FALSE))</f>
        <v/>
      </c>
      <c r="K3502" s="52" t="str">
        <f t="shared" ref="K3502" si="1508">IF(H3502="","",IF(J3502=D3502,"SIM","NÃO"))</f>
        <v/>
      </c>
      <c r="L3502" s="52" t="str">
        <f>IF(H3502="","",IF(C3502="","",G3496*C3502))</f>
        <v/>
      </c>
      <c r="M3502" s="117" t="str">
        <f>IF(A3502="","",VLOOKUP(A3502,'6.A'!$A$11:$C$564,2,FALSE))</f>
        <v/>
      </c>
      <c r="N3502" s="57" t="str">
        <f t="shared" ref="N3502" si="1509">IF(A3502="","",IF(M3502=B3502,"si","no"))</f>
        <v/>
      </c>
      <c r="O3502" s="56"/>
      <c r="P3502" s="56"/>
      <c r="Q3502" s="48"/>
      <c r="R3502" s="48"/>
      <c r="S3502" s="2"/>
    </row>
    <row r="3503" spans="1:23" ht="12.75" customHeight="1" x14ac:dyDescent="0.2">
      <c r="A3503" s="155"/>
      <c r="B3503" s="138" t="str">
        <f>IF(A3503="","",VLOOKUP(A3503,'6.A'!$A$11:$G$180,2,FALSE))</f>
        <v/>
      </c>
      <c r="C3503" s="156"/>
      <c r="D3503" s="57" t="str">
        <f>IF(A3503="","",VLOOKUP(A3503,'6.A'!$A$11:$G$180,4,FALSE))</f>
        <v/>
      </c>
      <c r="E3503" s="101" t="str">
        <f>IF(A3503="","",VLOOKUP(A3503,'6.A'!$A$11:$G$180,5,FALSE))</f>
        <v/>
      </c>
      <c r="F3503" s="24" t="str">
        <f t="shared" si="1504"/>
        <v>0,00</v>
      </c>
      <c r="G3503" s="52"/>
      <c r="H3503" s="52" t="str">
        <f>IF(A3503="","",VLOOKUP(A3503,'6.A'!$A$11:$E$7984,5,FALSE))</f>
        <v/>
      </c>
      <c r="I3503" s="52" t="str">
        <f>IF(H3503="","",IF(E3503=H3503,"SIM","NÃO"))</f>
        <v/>
      </c>
      <c r="J3503" s="52" t="str">
        <f>IF(H3503="","",VLOOKUP(A3503,'6.A'!$A$11:$E$564,4,FALSE))</f>
        <v/>
      </c>
      <c r="K3503" s="52" t="str">
        <f>IF(H3503="","",IF(J3503=D3503,"SIM","NÃO"))</f>
        <v/>
      </c>
      <c r="L3503" s="52" t="str">
        <f>IF(H3503="","",IF(C3503="","",G3496*C3503))</f>
        <v/>
      </c>
      <c r="M3503" s="117" t="str">
        <f>IF(A3503="","",VLOOKUP(A3503,'6.A'!$A$11:$C$564,2,FALSE))</f>
        <v/>
      </c>
      <c r="N3503" s="57" t="str">
        <f>IF(A3503="","",IF(M3503=B3503,"si","no"))</f>
        <v/>
      </c>
      <c r="O3503" s="56"/>
      <c r="P3503" s="56"/>
      <c r="Q3503" s="48"/>
      <c r="R3503" s="48"/>
      <c r="S3503" s="2"/>
    </row>
    <row r="3504" spans="1:23" ht="12.75" customHeight="1" x14ac:dyDescent="0.2">
      <c r="A3504" s="155"/>
      <c r="B3504" s="138" t="str">
        <f>IF(A3504="","",VLOOKUP(A3504,'6.A'!$A$11:$G$180,2,FALSE))</f>
        <v/>
      </c>
      <c r="C3504" s="156"/>
      <c r="D3504" s="57" t="str">
        <f>IF(A3504="","",VLOOKUP(A3504,'6.A'!$A$11:$G$180,4,FALSE))</f>
        <v/>
      </c>
      <c r="E3504" s="100" t="str">
        <f>IF(A3504="","",VLOOKUP(A3504,'6.A'!$A$11:$G$180,5,FALSE))</f>
        <v/>
      </c>
      <c r="F3504" s="24" t="str">
        <f t="shared" si="1504"/>
        <v>0,00</v>
      </c>
      <c r="G3504" s="52"/>
      <c r="H3504" s="52" t="str">
        <f>IF(A3504="","",VLOOKUP(A3504,'6.A'!$A$11:$E$7984,5,FALSE))</f>
        <v/>
      </c>
      <c r="I3504" s="52" t="str">
        <f>IF(H3504="","",IF(E3504=H3504,"SIM","NÃO"))</f>
        <v/>
      </c>
      <c r="J3504" s="52" t="str">
        <f>IF(H3504="","",VLOOKUP(A3504,'6.A'!$A$11:$E$564,4,FALSE))</f>
        <v/>
      </c>
      <c r="K3504" s="52" t="str">
        <f>IF(H3504="","",IF(J3504=D3504,"SIM","NÃO"))</f>
        <v/>
      </c>
      <c r="L3504" s="52" t="str">
        <f>IF(H3504="","",IF(C3504="","",G3496*C3504))</f>
        <v/>
      </c>
      <c r="M3504" s="117" t="str">
        <f>IF(A3504="","",VLOOKUP(A3504,'6.A'!$A$11:$C$564,2,FALSE))</f>
        <v/>
      </c>
      <c r="N3504" s="57" t="str">
        <f>IF(A3504="","",IF(M3504=B3504,"si","no"))</f>
        <v/>
      </c>
      <c r="O3504" s="56"/>
      <c r="P3504" s="56"/>
      <c r="Q3504" s="48"/>
      <c r="R3504" s="48"/>
      <c r="S3504" s="2"/>
    </row>
    <row r="3505" spans="1:19" ht="12.75" customHeight="1" x14ac:dyDescent="0.2">
      <c r="A3505" s="155"/>
      <c r="B3505" s="138" t="str">
        <f>IF(A3505="","",VLOOKUP(A3505,'6.A'!$A$11:$G$180,2,FALSE))</f>
        <v/>
      </c>
      <c r="C3505" s="156"/>
      <c r="D3505" s="57" t="str">
        <f>IF(A3505="","",VLOOKUP(A3505,'6.A'!$A$11:$G$180,4,FALSE))</f>
        <v/>
      </c>
      <c r="E3505" s="100" t="str">
        <f>IF(A3505="","",VLOOKUP(A3505,'6.A'!$A$11:$G$180,5,FALSE))</f>
        <v/>
      </c>
      <c r="F3505" s="24" t="str">
        <f t="shared" si="1504"/>
        <v>0,00</v>
      </c>
      <c r="G3505" s="52"/>
      <c r="H3505" s="52" t="str">
        <f>IF(A3505="","",VLOOKUP(A3505,'6.A'!$A$11:$E$7984,5,FALSE))</f>
        <v/>
      </c>
      <c r="I3505" s="52" t="str">
        <f t="shared" ref="I3505" si="1510">IF(H3505="","",IF(E3505=H3505,"SIM","NÃO"))</f>
        <v/>
      </c>
      <c r="J3505" s="52" t="str">
        <f>IF(H3505="","",VLOOKUP(A3505,'6.A'!$A$11:$E$564,4,FALSE))</f>
        <v/>
      </c>
      <c r="K3505" s="52" t="str">
        <f t="shared" ref="K3505" si="1511">IF(H3505="","",IF(J3505=D3505,"SIM","NÃO"))</f>
        <v/>
      </c>
      <c r="L3505" s="52" t="str">
        <f>IF(H3505="","",IF(C3505="","",G3496*C3505))</f>
        <v/>
      </c>
      <c r="M3505" s="117" t="str">
        <f>IF(A3505="","",VLOOKUP(A3505,'6.A'!$A$11:$C$564,2,FALSE))</f>
        <v/>
      </c>
      <c r="N3505" s="57" t="str">
        <f t="shared" ref="N3505" si="1512">IF(A3505="","",IF(M3505=B3505,"si","no"))</f>
        <v/>
      </c>
      <c r="O3505" s="56"/>
      <c r="P3505" s="56"/>
      <c r="Q3505" s="48"/>
      <c r="R3505" s="48"/>
      <c r="S3505" s="2"/>
    </row>
    <row r="3506" spans="1:19" ht="12.75" customHeight="1" x14ac:dyDescent="0.2">
      <c r="A3506" s="155"/>
      <c r="B3506" s="138" t="str">
        <f>IF(A3506="","",VLOOKUP(A3506,'6.A'!$A$11:$G$180,2,FALSE))</f>
        <v/>
      </c>
      <c r="C3506" s="156"/>
      <c r="D3506" s="73" t="str">
        <f>IF(A3506="","",VLOOKUP(A3506,'6.A'!$A$11:$G$180,4,FALSE))</f>
        <v/>
      </c>
      <c r="E3506" s="101" t="str">
        <f>IF(A3506="","",VLOOKUP(A3506,'6.A'!$A$11:$G$180,5,FALSE))</f>
        <v/>
      </c>
      <c r="F3506" s="24" t="str">
        <f t="shared" si="1504"/>
        <v>0,00</v>
      </c>
      <c r="G3506" s="52"/>
      <c r="H3506" s="52" t="str">
        <f>IF(A3506="","",VLOOKUP(A3506,'6.A'!$A$11:$E$7984,5,FALSE))</f>
        <v/>
      </c>
      <c r="I3506" s="52" t="str">
        <f>IF(H3506="","",IF(E3506=H3506,"SIM","NÃO"))</f>
        <v/>
      </c>
      <c r="J3506" s="52" t="str">
        <f>IF(H3506="","",VLOOKUP(A3506,'6.A'!$A$11:$E$564,4,FALSE))</f>
        <v/>
      </c>
      <c r="K3506" s="52" t="str">
        <f>IF(H3506="","",IF(J3506=D3506,"SIM","NÃO"))</f>
        <v/>
      </c>
      <c r="L3506" s="52" t="str">
        <f>IF(H3506="","",IF(C3506="","",G3496*C3506))</f>
        <v/>
      </c>
      <c r="M3506" s="117" t="str">
        <f>IF(A3506="","",VLOOKUP(A3506,'6.A'!$A$11:$C$564,2,FALSE))</f>
        <v/>
      </c>
      <c r="N3506" s="57" t="str">
        <f>IF(A3506="","",IF(M3506=B3506,"si","no"))</f>
        <v/>
      </c>
      <c r="O3506" s="56"/>
      <c r="P3506" s="56"/>
      <c r="Q3506" s="48"/>
      <c r="R3506" s="48"/>
      <c r="S3506" s="2"/>
    </row>
    <row r="3507" spans="1:19" ht="12.75" customHeight="1" x14ac:dyDescent="0.2">
      <c r="A3507" s="155"/>
      <c r="B3507" s="138" t="str">
        <f>IF(A3507="","",VLOOKUP(A3507,'6.A'!$A$11:$G$180,2,FALSE))</f>
        <v/>
      </c>
      <c r="C3507" s="156"/>
      <c r="D3507" s="25" t="str">
        <f>IF(A3507="","",VLOOKUP(A3507,'6.A'!$A$11:$G$180,4,FALSE))</f>
        <v/>
      </c>
      <c r="E3507" s="101" t="str">
        <f>IF(A3507="","",VLOOKUP(A3507,'6.A'!$A$11:$G$180,5,FALSE))</f>
        <v/>
      </c>
      <c r="F3507" s="24" t="str">
        <f t="shared" si="1504"/>
        <v>0,00</v>
      </c>
      <c r="G3507" s="52"/>
      <c r="H3507" s="52" t="str">
        <f>IF(A3507="","",VLOOKUP(A3507,'6.A'!$A$11:$E$7984,5,FALSE))</f>
        <v/>
      </c>
      <c r="I3507" s="52" t="str">
        <f t="shared" ref="I3507" si="1513">IF(H3507="","",IF(E3507=H3507,"SIM","NÃO"))</f>
        <v/>
      </c>
      <c r="J3507" s="52" t="str">
        <f>IF(H3507="","",VLOOKUP(A3507,'6.A'!$A$11:$E$564,4,FALSE))</f>
        <v/>
      </c>
      <c r="K3507" s="52" t="str">
        <f t="shared" ref="K3507" si="1514">IF(H3507="","",IF(J3507=D3507,"SIM","NÃO"))</f>
        <v/>
      </c>
      <c r="L3507" s="52" t="str">
        <f>IF(H3507="","",IF(C3507="","",G3496*C3507))</f>
        <v/>
      </c>
      <c r="M3507" s="117" t="str">
        <f>IF(A3507="","",VLOOKUP(A3507,'6.A'!$A$11:$C$564,2,FALSE))</f>
        <v/>
      </c>
      <c r="N3507" s="57" t="str">
        <f t="shared" ref="N3507" si="1515">IF(A3507="","",IF(M3507=B3507,"si","no"))</f>
        <v/>
      </c>
      <c r="O3507" s="56"/>
      <c r="P3507" s="56"/>
      <c r="Q3507" s="48"/>
      <c r="R3507" s="48"/>
      <c r="S3507" s="2"/>
    </row>
    <row r="3508" spans="1:19" ht="12.75" customHeight="1" x14ac:dyDescent="0.2">
      <c r="A3508" s="152"/>
      <c r="B3508" s="26" t="str">
        <f>$A$8</f>
        <v>LEIS SOCIAIS HORISTA - JORNADA NORMAL</v>
      </c>
      <c r="C3508" s="27">
        <f>$C$8</f>
        <v>0</v>
      </c>
      <c r="D3508" s="57"/>
      <c r="F3508" s="28">
        <f>ROUND(SUM(F3498:F3507)*C3508,2)</f>
        <v>0</v>
      </c>
      <c r="G3508" s="63"/>
      <c r="M3508" s="62"/>
      <c r="N3508" s="57"/>
      <c r="O3508" s="56"/>
      <c r="P3508" s="56"/>
      <c r="Q3508" s="48"/>
      <c r="R3508" s="48"/>
      <c r="S3508" s="2"/>
    </row>
    <row r="3509" spans="1:19" ht="12.75" customHeight="1" x14ac:dyDescent="0.2">
      <c r="A3509" s="155"/>
      <c r="B3509" s="26" t="str">
        <f>$A$9</f>
        <v>BDI</v>
      </c>
      <c r="C3509" s="27">
        <f>$C$9</f>
        <v>0</v>
      </c>
      <c r="D3509" s="29"/>
      <c r="F3509" s="28">
        <f>ROUND(SUM(F3498:F3508)*C3509,2)</f>
        <v>0</v>
      </c>
      <c r="G3509" s="63"/>
      <c r="M3509" s="62"/>
      <c r="N3509" s="57"/>
      <c r="O3509" s="56"/>
      <c r="P3509" s="56"/>
      <c r="Q3509" s="48"/>
      <c r="R3509" s="48"/>
      <c r="S3509" s="2"/>
    </row>
    <row r="3510" spans="1:19" ht="12.75" customHeight="1" x14ac:dyDescent="0.2">
      <c r="A3510" s="163"/>
      <c r="B3510" s="164" t="s">
        <v>56</v>
      </c>
      <c r="C3510" s="165"/>
      <c r="D3510" s="33"/>
      <c r="E3510" s="34"/>
      <c r="F3510" s="35">
        <f>ROUND(SUM(F3498:F3509),2)</f>
        <v>0</v>
      </c>
      <c r="G3510" s="63"/>
      <c r="M3510" s="62"/>
      <c r="N3510" s="57"/>
      <c r="O3510" s="56"/>
      <c r="P3510" s="56"/>
      <c r="Q3510" s="48"/>
      <c r="R3510" s="48"/>
      <c r="S3510" s="2"/>
    </row>
    <row r="3511" spans="1:19" ht="12.75" customHeight="1" x14ac:dyDescent="0.2">
      <c r="A3511" s="152" t="s">
        <v>5</v>
      </c>
      <c r="B3511" s="153" t="s">
        <v>130</v>
      </c>
      <c r="C3511" s="140" t="s">
        <v>59</v>
      </c>
      <c r="D3511" s="56" t="s">
        <v>16</v>
      </c>
      <c r="E3511" s="19" t="s">
        <v>60</v>
      </c>
      <c r="F3511" s="20" t="s">
        <v>61</v>
      </c>
      <c r="G3511" s="21"/>
      <c r="M3511" s="62"/>
      <c r="N3511" s="57"/>
      <c r="O3511" s="56"/>
      <c r="P3511" s="56"/>
      <c r="Q3511" s="48"/>
      <c r="R3511" s="48"/>
      <c r="S3511" s="2"/>
    </row>
    <row r="3512" spans="1:19" ht="12.75" customHeight="1" x14ac:dyDescent="0.2">
      <c r="A3512" s="155"/>
      <c r="B3512" s="138" t="str">
        <f>IF(A3512="","",VLOOKUP(A3512,'6.A'!$A$11:$G$180,2,FALSE))</f>
        <v/>
      </c>
      <c r="C3512" s="156"/>
      <c r="D3512" s="57" t="str">
        <f>IF(A3512="","",VLOOKUP(A3512,'6.A'!$A$11:$G$180,4,FALSE))</f>
        <v/>
      </c>
      <c r="E3512" s="100" t="str">
        <f>IF(A3512="","",VLOOKUP(A3512,'6.A'!$A$11:$G$180,5,FALSE))</f>
        <v/>
      </c>
      <c r="F3512" s="24" t="str">
        <f t="shared" ref="F3512:F3521" si="1516">IF(A3512="","0,00",ROUND(C3512*E3512,2))</f>
        <v>0,00</v>
      </c>
      <c r="G3512" s="52"/>
      <c r="H3512" s="52" t="str">
        <f>IF(A3512="","",VLOOKUP(A3512,'6.A'!$A$11:$E$7984,5,FALSE))</f>
        <v/>
      </c>
      <c r="I3512" s="52" t="str">
        <f t="shared" ref="I3512:I3521" si="1517">IF(H3512="","",IF(E3512=H3512,"SIM","NÃO"))</f>
        <v/>
      </c>
      <c r="J3512" s="52" t="str">
        <f>IF(H3512="","",VLOOKUP(A3512,'6.A'!$A$11:$E$564,4,FALSE))</f>
        <v/>
      </c>
      <c r="K3512" s="52" t="str">
        <f t="shared" ref="K3512:K3521" si="1518">IF(H3512="","",IF(J3512=D3512,"SIM","NÃO"))</f>
        <v/>
      </c>
      <c r="L3512" s="52" t="str">
        <f>IF(H3512="","",IF(C3512="","",G3496*C3512))</f>
        <v/>
      </c>
      <c r="M3512" s="117" t="str">
        <f>IF(A3512="","",VLOOKUP(A3512,'6.A'!$A$11:$C$564,2,FALSE))</f>
        <v/>
      </c>
      <c r="N3512" s="57" t="str">
        <f t="shared" ref="N3512:N3517" si="1519">IF(A3512="","",IF(M3512=B3512,"si","no"))</f>
        <v/>
      </c>
      <c r="O3512" s="56"/>
      <c r="P3512" s="56"/>
      <c r="Q3512" s="48"/>
      <c r="R3512" s="48"/>
      <c r="S3512" s="2"/>
    </row>
    <row r="3513" spans="1:19" ht="12.75" customHeight="1" x14ac:dyDescent="0.2">
      <c r="A3513" s="155"/>
      <c r="B3513" s="138" t="str">
        <f>IF(A3513="","",VLOOKUP(A3513,'6.A'!$A$11:$G$180,2,FALSE))</f>
        <v/>
      </c>
      <c r="C3513" s="156"/>
      <c r="D3513" s="57" t="str">
        <f>IF(A3513="","",VLOOKUP(A3513,'6.A'!$A$11:$G$180,4,FALSE))</f>
        <v/>
      </c>
      <c r="E3513" s="100" t="str">
        <f>IF(A3513="","",VLOOKUP(A3513,'6.A'!$A$11:$G$180,5,FALSE))</f>
        <v/>
      </c>
      <c r="F3513" s="24" t="str">
        <f t="shared" si="1516"/>
        <v>0,00</v>
      </c>
      <c r="G3513" s="52"/>
      <c r="H3513" s="52" t="str">
        <f>IF(A3513="","",VLOOKUP(A3513,'6.A'!$A$11:$E$7984,5,FALSE))</f>
        <v/>
      </c>
      <c r="I3513" s="52" t="str">
        <f t="shared" si="1517"/>
        <v/>
      </c>
      <c r="J3513" s="52" t="str">
        <f>IF(H3513="","",VLOOKUP(A3513,'6.A'!$A$11:$E$564,4,FALSE))</f>
        <v/>
      </c>
      <c r="K3513" s="52" t="str">
        <f t="shared" si="1518"/>
        <v/>
      </c>
      <c r="L3513" s="52" t="str">
        <f>IF(H3513="","",IF(C3513="","",G3496*C3513))</f>
        <v/>
      </c>
      <c r="M3513" s="117" t="str">
        <f>IF(A3513="","",VLOOKUP(A3513,'6.A'!$A$11:$C$564,2,FALSE))</f>
        <v/>
      </c>
      <c r="N3513" s="57" t="str">
        <f t="shared" si="1519"/>
        <v/>
      </c>
      <c r="O3513" s="56"/>
      <c r="P3513" s="56"/>
      <c r="Q3513" s="48"/>
      <c r="R3513" s="48"/>
      <c r="S3513" s="2"/>
    </row>
    <row r="3514" spans="1:19" ht="12.75" customHeight="1" x14ac:dyDescent="0.2">
      <c r="A3514" s="155"/>
      <c r="B3514" s="138" t="str">
        <f>IF(A3514="","",VLOOKUP(A3514,'6.A'!$A$11:$G$180,2,FALSE))</f>
        <v/>
      </c>
      <c r="C3514" s="156"/>
      <c r="D3514" s="57" t="str">
        <f>IF(A3514="","",VLOOKUP(A3514,'6.A'!$A$11:$G$180,4,FALSE))</f>
        <v/>
      </c>
      <c r="E3514" s="100" t="str">
        <f>IF(A3514="","",VLOOKUP(A3514,'6.A'!$A$11:$G$180,5,FALSE))</f>
        <v/>
      </c>
      <c r="F3514" s="24" t="str">
        <f t="shared" si="1516"/>
        <v>0,00</v>
      </c>
      <c r="G3514" s="52"/>
      <c r="H3514" s="52" t="str">
        <f>IF(A3514="","",VLOOKUP(A3514,'6.A'!$A$11:$E$7984,5,FALSE))</f>
        <v/>
      </c>
      <c r="I3514" s="52" t="str">
        <f t="shared" si="1517"/>
        <v/>
      </c>
      <c r="J3514" s="52" t="str">
        <f>IF(H3514="","",VLOOKUP(A3514,'6.A'!$A$11:$E$564,4,FALSE))</f>
        <v/>
      </c>
      <c r="K3514" s="52" t="str">
        <f t="shared" si="1518"/>
        <v/>
      </c>
      <c r="L3514" s="52" t="str">
        <f>IF(H3514="","",IF(C3514="","",G3496*C3514))</f>
        <v/>
      </c>
      <c r="M3514" s="117" t="str">
        <f>IF(A3514="","",VLOOKUP(A3514,'6.A'!$A$11:$C$564,2,FALSE))</f>
        <v/>
      </c>
      <c r="N3514" s="57" t="str">
        <f t="shared" si="1519"/>
        <v/>
      </c>
      <c r="O3514" s="56"/>
      <c r="P3514" s="56"/>
      <c r="Q3514" s="48"/>
      <c r="R3514" s="48"/>
      <c r="S3514" s="2"/>
    </row>
    <row r="3515" spans="1:19" ht="12.75" customHeight="1" x14ac:dyDescent="0.2">
      <c r="A3515" s="155"/>
      <c r="B3515" s="176" t="str">
        <f>IF(A3515="","",VLOOKUP(A3515,'6.A'!$A$11:$G$180,2,FALSE))</f>
        <v/>
      </c>
      <c r="C3515" s="156"/>
      <c r="D3515" s="57" t="str">
        <f>IF(A3515="","",VLOOKUP(A3515,'6.A'!$A$11:$G$180,4,FALSE))</f>
        <v/>
      </c>
      <c r="E3515" s="100" t="str">
        <f>IF(A3515="","",VLOOKUP(A3515,'6.A'!$A$11:$G$180,5,FALSE))</f>
        <v/>
      </c>
      <c r="F3515" s="24" t="str">
        <f t="shared" si="1516"/>
        <v>0,00</v>
      </c>
      <c r="G3515" s="52"/>
      <c r="H3515" s="52" t="str">
        <f>IF(A3515="","",VLOOKUP(A3515,'6.A'!$A$11:$E$7984,5,FALSE))</f>
        <v/>
      </c>
      <c r="I3515" s="52" t="str">
        <f t="shared" si="1517"/>
        <v/>
      </c>
      <c r="J3515" s="52" t="str">
        <f>IF(H3515="","",VLOOKUP(A3515,'6.A'!$A$11:$E$564,4,FALSE))</f>
        <v/>
      </c>
      <c r="K3515" s="52" t="str">
        <f t="shared" si="1518"/>
        <v/>
      </c>
      <c r="L3515" s="52" t="str">
        <f>IF(H3515="","",IF(C3515="","",G3496*C3515))</f>
        <v/>
      </c>
      <c r="M3515" s="117" t="str">
        <f>IF(A3515="","",VLOOKUP(A3515,'6.A'!$A$11:$C$564,2,FALSE))</f>
        <v/>
      </c>
      <c r="N3515" s="57" t="str">
        <f t="shared" si="1519"/>
        <v/>
      </c>
      <c r="O3515" s="56"/>
      <c r="P3515" s="56"/>
      <c r="Q3515" s="48"/>
      <c r="R3515" s="48"/>
      <c r="S3515" s="2"/>
    </row>
    <row r="3516" spans="1:19" ht="12.75" customHeight="1" x14ac:dyDescent="0.2">
      <c r="A3516" s="155"/>
      <c r="B3516" s="176" t="str">
        <f>IF(A3516="","",VLOOKUP(A3516,'6.A'!$A$11:$G$180,2,FALSE))</f>
        <v/>
      </c>
      <c r="C3516" s="156"/>
      <c r="D3516" s="57" t="str">
        <f>IF(A3516="","",VLOOKUP(A3516,'6.A'!$A$11:$G$180,4,FALSE))</f>
        <v/>
      </c>
      <c r="E3516" s="100" t="str">
        <f>IF(A3516="","",VLOOKUP(A3516,'6.A'!$A$11:$G$180,5,FALSE))</f>
        <v/>
      </c>
      <c r="F3516" s="24" t="str">
        <f t="shared" si="1516"/>
        <v>0,00</v>
      </c>
      <c r="G3516" s="52"/>
      <c r="H3516" s="52" t="str">
        <f>IF(A3516="","",VLOOKUP(A3516,'6.A'!$A$11:$E$7984,5,FALSE))</f>
        <v/>
      </c>
      <c r="I3516" s="52" t="str">
        <f t="shared" si="1517"/>
        <v/>
      </c>
      <c r="J3516" s="52" t="str">
        <f>IF(H3516="","",VLOOKUP(A3516,'6.A'!$A$11:$E$564,4,FALSE))</f>
        <v/>
      </c>
      <c r="K3516" s="52" t="str">
        <f t="shared" si="1518"/>
        <v/>
      </c>
      <c r="L3516" s="52" t="str">
        <f>IF(H3516="","",IF(C3516="","",G3496*C3516))</f>
        <v/>
      </c>
      <c r="M3516" s="117" t="str">
        <f>IF(A3516="","",VLOOKUP(A3516,'6.A'!$A$11:$C$564,2,FALSE))</f>
        <v/>
      </c>
      <c r="N3516" s="57" t="str">
        <f t="shared" si="1519"/>
        <v/>
      </c>
      <c r="O3516" s="56"/>
      <c r="P3516" s="56"/>
      <c r="Q3516" s="48"/>
      <c r="R3516" s="48"/>
      <c r="S3516" s="2"/>
    </row>
    <row r="3517" spans="1:19" ht="12.75" customHeight="1" x14ac:dyDescent="0.2">
      <c r="A3517" s="155"/>
      <c r="B3517" s="176" t="str">
        <f>IF(A3517="","",VLOOKUP(A3517,'6.A'!$A$11:$G$180,2,FALSE))</f>
        <v/>
      </c>
      <c r="C3517" s="156"/>
      <c r="D3517" s="57" t="str">
        <f>IF(A3517="","",VLOOKUP(A3517,'6.A'!$A$11:$G$180,4,FALSE))</f>
        <v/>
      </c>
      <c r="E3517" s="100" t="str">
        <f>IF(A3517="","",VLOOKUP(A3517,'6.A'!$A$11:$G$180,5,FALSE))</f>
        <v/>
      </c>
      <c r="F3517" s="24" t="str">
        <f t="shared" si="1516"/>
        <v>0,00</v>
      </c>
      <c r="G3517" s="52"/>
      <c r="H3517" s="52" t="str">
        <f>IF(A3517="","",VLOOKUP(A3517,'6.A'!$A$11:$E$7984,5,FALSE))</f>
        <v/>
      </c>
      <c r="I3517" s="52" t="str">
        <f t="shared" si="1517"/>
        <v/>
      </c>
      <c r="J3517" s="52" t="str">
        <f>IF(H3517="","",VLOOKUP(A3517,'6.A'!$A$11:$E$564,4,FALSE))</f>
        <v/>
      </c>
      <c r="K3517" s="52" t="str">
        <f t="shared" si="1518"/>
        <v/>
      </c>
      <c r="L3517" s="52" t="str">
        <f>IF(H3517="","",IF(C3517="","",G3496*C3517))</f>
        <v/>
      </c>
      <c r="M3517" s="117" t="str">
        <f>IF(A3517="","",VLOOKUP(A3517,'6.A'!$A$11:$C$564,2,FALSE))</f>
        <v/>
      </c>
      <c r="N3517" s="57" t="str">
        <f t="shared" si="1519"/>
        <v/>
      </c>
      <c r="O3517" s="56"/>
      <c r="P3517" s="56"/>
      <c r="Q3517" s="48"/>
      <c r="R3517" s="48"/>
      <c r="S3517" s="2"/>
    </row>
    <row r="3518" spans="1:19" ht="12.75" customHeight="1" x14ac:dyDescent="0.2">
      <c r="A3518" s="155"/>
      <c r="B3518" s="176" t="str">
        <f>IF(A3518="","",VLOOKUP(A3518,'6.A'!$A$11:$G$180,2,FALSE))</f>
        <v/>
      </c>
      <c r="C3518" s="156"/>
      <c r="D3518" s="57" t="str">
        <f>IF(A3518="","",VLOOKUP(A3518,'6.A'!$A$11:$G$180,4,FALSE))</f>
        <v/>
      </c>
      <c r="E3518" s="100" t="str">
        <f>IF(A3518="","",VLOOKUP(A3518,'6.A'!$A$11:$G$180,5,FALSE))</f>
        <v/>
      </c>
      <c r="F3518" s="24" t="str">
        <f t="shared" si="1516"/>
        <v>0,00</v>
      </c>
      <c r="G3518" s="52"/>
      <c r="H3518" s="52" t="str">
        <f>IF(A3518="","",VLOOKUP(A3518,'6.A'!$A$11:$E$7984,5,FALSE))</f>
        <v/>
      </c>
      <c r="I3518" s="52" t="str">
        <f t="shared" si="1517"/>
        <v/>
      </c>
      <c r="J3518" s="52" t="str">
        <f>IF(H3518="","",VLOOKUP(A3518,'6.A'!$A$11:$E$564,4,FALSE))</f>
        <v/>
      </c>
      <c r="K3518" s="52" t="str">
        <f t="shared" si="1518"/>
        <v/>
      </c>
      <c r="L3518" s="52" t="str">
        <f>IF(H3518="","",IF(C3518="","",G3496*C3518))</f>
        <v/>
      </c>
      <c r="M3518" s="117" t="str">
        <f>IF(A3518="","",VLOOKUP(A3518,'6.A'!$A$11:$C$564,2,FALSE))</f>
        <v/>
      </c>
      <c r="N3518" s="57" t="str">
        <f>IF(A3518="","",IF(M3518=B3518,"si","no"))</f>
        <v/>
      </c>
      <c r="O3518" s="56"/>
      <c r="P3518" s="56"/>
      <c r="Q3518" s="48"/>
      <c r="R3518" s="48"/>
      <c r="S3518" s="2"/>
    </row>
    <row r="3519" spans="1:19" ht="12.75" customHeight="1" x14ac:dyDescent="0.2">
      <c r="A3519" s="155"/>
      <c r="B3519" s="138" t="str">
        <f>IF(A3519="","",VLOOKUP(A3519,'6.A'!$A$11:$G$180,2,FALSE))</f>
        <v/>
      </c>
      <c r="C3519" s="156"/>
      <c r="D3519" s="57" t="str">
        <f>IF(A3519="","",VLOOKUP(A3519,'6.A'!$A$11:$G$180,4,FALSE))</f>
        <v/>
      </c>
      <c r="E3519" s="100" t="str">
        <f>IF(A3519="","",VLOOKUP(A3519,'6.A'!$A$11:$G$180,5,FALSE))</f>
        <v/>
      </c>
      <c r="F3519" s="24" t="str">
        <f t="shared" si="1516"/>
        <v>0,00</v>
      </c>
      <c r="G3519" s="52"/>
      <c r="H3519" s="52" t="str">
        <f>IF(A3519="","",VLOOKUP(A3519,'6.A'!$A$11:$E$7984,5,FALSE))</f>
        <v/>
      </c>
      <c r="I3519" s="52" t="str">
        <f t="shared" si="1517"/>
        <v/>
      </c>
      <c r="J3519" s="52" t="str">
        <f>IF(H3519="","",VLOOKUP(A3519,'6.A'!$A$11:$E$564,4,FALSE))</f>
        <v/>
      </c>
      <c r="K3519" s="52" t="str">
        <f t="shared" si="1518"/>
        <v/>
      </c>
      <c r="L3519" s="52" t="str">
        <f>IF(H3519="","",IF(C3519="","",G3496*C3519))</f>
        <v/>
      </c>
      <c r="M3519" s="117" t="str">
        <f>IF(A3519="","",VLOOKUP(A3519,'6.A'!$A$11:$C$564,2,FALSE))</f>
        <v/>
      </c>
      <c r="N3519" s="57" t="str">
        <f>IF(A3519="","",IF(M3519=B3519,"si","no"))</f>
        <v/>
      </c>
      <c r="O3519" s="56"/>
      <c r="P3519" s="56"/>
      <c r="Q3519" s="48"/>
      <c r="R3519" s="48"/>
      <c r="S3519" s="2"/>
    </row>
    <row r="3520" spans="1:19" ht="12.75" customHeight="1" x14ac:dyDescent="0.2">
      <c r="A3520" s="155"/>
      <c r="B3520" s="138" t="str">
        <f>IF(A3520="","",VLOOKUP(A3520,'6.A'!$A$11:$G$180,2,FALSE))</f>
        <v/>
      </c>
      <c r="C3520" s="156"/>
      <c r="D3520" s="57" t="str">
        <f>IF(A3520="","",VLOOKUP(A3520,'6.A'!$A$11:$G$180,4,FALSE))</f>
        <v/>
      </c>
      <c r="E3520" s="100" t="str">
        <f>IF(A3520="","",VLOOKUP(A3520,'6.A'!$A$11:$G$180,5,FALSE))</f>
        <v/>
      </c>
      <c r="F3520" s="24" t="str">
        <f t="shared" si="1516"/>
        <v>0,00</v>
      </c>
      <c r="G3520" s="52"/>
      <c r="H3520" s="52" t="str">
        <f>IF(A3520="","",VLOOKUP(A3520,'6.A'!$A$11:$E$7984,5,FALSE))</f>
        <v/>
      </c>
      <c r="I3520" s="52" t="str">
        <f t="shared" si="1517"/>
        <v/>
      </c>
      <c r="J3520" s="52" t="str">
        <f>IF(H3520="","",VLOOKUP(A3520,'6.A'!$A$11:$E$564,4,FALSE))</f>
        <v/>
      </c>
      <c r="K3520" s="52" t="str">
        <f t="shared" si="1518"/>
        <v/>
      </c>
      <c r="L3520" s="52" t="str">
        <f>IF(H3520="","",IF(C3520="","",G3496*C3520))</f>
        <v/>
      </c>
      <c r="M3520" s="117" t="str">
        <f>IF(A3520="","",VLOOKUP(A3520,'6.A'!$A$11:$C$564,2,FALSE))</f>
        <v/>
      </c>
      <c r="N3520" s="57" t="str">
        <f t="shared" ref="N3520:N3521" si="1520">IF(A3520="","",IF(M3520=B3520,"si","no"))</f>
        <v/>
      </c>
      <c r="O3520" s="56"/>
      <c r="P3520" s="56"/>
      <c r="Q3520" s="48"/>
      <c r="R3520" s="48"/>
      <c r="S3520" s="2"/>
    </row>
    <row r="3521" spans="1:22" ht="12.75" customHeight="1" x14ac:dyDescent="0.2">
      <c r="A3521" s="155"/>
      <c r="B3521" s="138" t="str">
        <f>IF(A3521="","",VLOOKUP(A3521,'6.A'!$A$11:$G$180,2,FALSE))</f>
        <v/>
      </c>
      <c r="C3521" s="156"/>
      <c r="D3521" s="57" t="str">
        <f>IF(A3521="","",VLOOKUP(A3521,'6.A'!$A$11:$G$180,4,FALSE))</f>
        <v/>
      </c>
      <c r="E3521" s="100" t="str">
        <f>IF(A3521="","",VLOOKUP(A3521,'6.A'!$A$11:$G$180,5,FALSE))</f>
        <v/>
      </c>
      <c r="F3521" s="24" t="str">
        <f t="shared" si="1516"/>
        <v>0,00</v>
      </c>
      <c r="G3521" s="52"/>
      <c r="H3521" s="52" t="str">
        <f>IF(A3521="","",VLOOKUP(A3521,'6.A'!$A$11:$E$7984,5,FALSE))</f>
        <v/>
      </c>
      <c r="I3521" s="52" t="str">
        <f t="shared" si="1517"/>
        <v/>
      </c>
      <c r="J3521" s="52" t="str">
        <f>IF(H3521="","",VLOOKUP(A3521,'6.A'!$A$11:$E$564,4,FALSE))</f>
        <v/>
      </c>
      <c r="K3521" s="52" t="str">
        <f t="shared" si="1518"/>
        <v/>
      </c>
      <c r="L3521" s="52" t="str">
        <f>IF(H3521="","",IF(C3521="","",G3496*C3521))</f>
        <v/>
      </c>
      <c r="M3521" s="117" t="str">
        <f>IF(A3521="","",VLOOKUP(A3521,'6.A'!$A$11:$C$564,2,FALSE))</f>
        <v/>
      </c>
      <c r="N3521" s="57" t="str">
        <f t="shared" si="1520"/>
        <v/>
      </c>
      <c r="O3521" s="56"/>
      <c r="P3521" s="56"/>
      <c r="Q3521" s="48"/>
      <c r="R3521" s="48"/>
      <c r="S3521" s="2"/>
    </row>
    <row r="3522" spans="1:22" ht="12.75" customHeight="1" x14ac:dyDescent="0.2">
      <c r="A3522" s="155"/>
      <c r="B3522" s="26" t="str">
        <f>$A$9</f>
        <v>BDI</v>
      </c>
      <c r="C3522" s="27">
        <f>$C$9</f>
        <v>0</v>
      </c>
      <c r="D3522" s="57"/>
      <c r="F3522" s="28">
        <f>ROUND(SUM(F3512:F3521)*C3522,2)</f>
        <v>0</v>
      </c>
      <c r="G3522" s="63"/>
      <c r="M3522" s="62"/>
      <c r="N3522" s="57"/>
      <c r="O3522" s="56"/>
      <c r="P3522" s="56"/>
      <c r="Q3522" s="48"/>
      <c r="R3522" s="48"/>
      <c r="S3522" s="2"/>
    </row>
    <row r="3523" spans="1:22" ht="12.75" customHeight="1" x14ac:dyDescent="0.2">
      <c r="A3523" s="163"/>
      <c r="B3523" s="31" t="s">
        <v>117</v>
      </c>
      <c r="C3523" s="36"/>
      <c r="D3523" s="37"/>
      <c r="E3523" s="38"/>
      <c r="F3523" s="35">
        <f>ROUND(SUM(F3512:F3522),2)</f>
        <v>0</v>
      </c>
      <c r="G3523" s="63"/>
      <c r="M3523" s="62"/>
      <c r="N3523" s="57"/>
      <c r="O3523" s="56"/>
      <c r="P3523" s="56"/>
      <c r="Q3523" s="48"/>
      <c r="R3523" s="48"/>
      <c r="S3523" s="2"/>
    </row>
    <row r="3524" spans="1:22" ht="12.75" customHeight="1" x14ac:dyDescent="0.2">
      <c r="A3524" s="152" t="s">
        <v>6</v>
      </c>
      <c r="B3524" s="153" t="s">
        <v>17</v>
      </c>
      <c r="C3524" s="140" t="s">
        <v>59</v>
      </c>
      <c r="D3524" s="56" t="s">
        <v>16</v>
      </c>
      <c r="E3524" s="19" t="s">
        <v>60</v>
      </c>
      <c r="F3524" s="20" t="s">
        <v>61</v>
      </c>
      <c r="G3524" s="21"/>
      <c r="M3524" s="62"/>
      <c r="N3524" s="57"/>
      <c r="O3524" s="56"/>
      <c r="P3524" s="56"/>
      <c r="Q3524" s="48"/>
      <c r="R3524" s="48"/>
      <c r="S3524" s="2"/>
    </row>
    <row r="3525" spans="1:22" ht="12.75" customHeight="1" x14ac:dyDescent="0.2">
      <c r="A3525" s="155" t="str">
        <f>'6.A'!$A$48</f>
        <v>DIS.004</v>
      </c>
      <c r="B3525" s="138" t="str">
        <f>IF(A3525="","",VLOOKUP(A3525,'6.A'!$A$11:$G$180,2,FALSE))</f>
        <v>CONTATOR PARA MANOBRA DE CAPACITOR PARA CORREÇÃO DO FATOR DE POTÊNCIA, COM RESITORES DE PRÉ CARGA, CONTATO AUXILAR 1NA, IN=30A, VN=220VAC, VCOMANDO=220VAC, F=60HZ</v>
      </c>
      <c r="C3525" s="156">
        <v>1</v>
      </c>
      <c r="D3525" s="57" t="str">
        <f>IF(A3525="","",VLOOKUP(A3525,'6.A'!$A$11:$G$180,4,FALSE))</f>
        <v>UN</v>
      </c>
      <c r="E3525" s="100">
        <f>IF(A3525="","",VLOOKUP(A3525,'6.A'!$A$11:$G$180,5,FALSE))</f>
        <v>0</v>
      </c>
      <c r="F3525" s="24">
        <f t="shared" ref="F3525:F3544" si="1521">IF(A3525="","0,00",ROUND(C3525*E3525,2))</f>
        <v>0</v>
      </c>
      <c r="G3525" s="52"/>
      <c r="H3525" s="52">
        <f>IF(A3525="","",VLOOKUP(A3525,'6.A'!$A$11:$E$7984,5,FALSE))</f>
        <v>0</v>
      </c>
      <c r="I3525" s="52" t="str">
        <f t="shared" ref="I3525:I3544" si="1522">IF(H3525="","",IF(E3525=H3525,"SIM","NÃO"))</f>
        <v>SIM</v>
      </c>
      <c r="J3525" s="52" t="str">
        <f>IF(H3525="","",VLOOKUP(A3525,'6.A'!$A$11:$E$564,4,FALSE))</f>
        <v>UN</v>
      </c>
      <c r="K3525" s="52" t="str">
        <f t="shared" ref="K3525:K3544" si="1523">IF(H3525="","",IF(J3525=D3525,"SIM","NÃO"))</f>
        <v>SIM</v>
      </c>
      <c r="L3525" s="52">
        <f>IF(H3525="","",IF(C3525="","",G3496*C3525))</f>
        <v>6</v>
      </c>
      <c r="M3525" s="117" t="str">
        <f>IF(A3525="","",VLOOKUP(A3525,'6.A'!$A$11:$C$564,2,FALSE))</f>
        <v>CONTATOR PARA MANOBRA DE CAPACITOR PARA CORREÇÃO DO FATOR DE POTÊNCIA, COM RESITORES DE PRÉ CARGA, CONTATO AUXILAR 1NA, IN=30A, VN=220VAC, VCOMANDO=220VAC, F=60HZ</v>
      </c>
      <c r="N3525" s="57" t="str">
        <f t="shared" ref="N3525:N3544" si="1524">IF(A3525="","",IF(M3525=B3525,"si","no"))</f>
        <v>si</v>
      </c>
      <c r="O3525" s="56"/>
      <c r="P3525" s="56"/>
      <c r="Q3525" s="48"/>
      <c r="R3525" s="48"/>
      <c r="S3525" s="2"/>
    </row>
    <row r="3526" spans="1:22" ht="12.75" customHeight="1" x14ac:dyDescent="0.2">
      <c r="A3526" s="155"/>
      <c r="B3526" s="138" t="str">
        <f>IF(A3526="","",VLOOKUP(A3526,'6.A'!$A$11:$G$180,2,FALSE))</f>
        <v/>
      </c>
      <c r="C3526" s="156"/>
      <c r="D3526" s="57" t="str">
        <f>IF(A3526="","",VLOOKUP(A3526,'6.A'!$A$11:$G$180,4,FALSE))</f>
        <v/>
      </c>
      <c r="E3526" s="100" t="str">
        <f>IF(A3526="","",VLOOKUP(A3526,'6.A'!$A$11:$G$180,5,FALSE))</f>
        <v/>
      </c>
      <c r="F3526" s="24" t="str">
        <f t="shared" si="1521"/>
        <v>0,00</v>
      </c>
      <c r="G3526" s="52"/>
      <c r="H3526" s="52" t="str">
        <f>IF(A3526="","",VLOOKUP(A3526,'6.A'!$A$11:$E$7984,5,FALSE))</f>
        <v/>
      </c>
      <c r="I3526" s="52" t="str">
        <f t="shared" si="1522"/>
        <v/>
      </c>
      <c r="J3526" s="52" t="str">
        <f>IF(H3526="","",VLOOKUP(A3526,'6.A'!$A$11:$E$564,4,FALSE))</f>
        <v/>
      </c>
      <c r="K3526" s="52" t="str">
        <f t="shared" si="1523"/>
        <v/>
      </c>
      <c r="L3526" s="52" t="str">
        <f>IF(H3526="","",IF(C3526="","",G3496*C3526))</f>
        <v/>
      </c>
      <c r="M3526" s="117" t="str">
        <f>IF(A3526="","",VLOOKUP(A3526,'6.A'!$A$11:$C$564,2,FALSE))</f>
        <v/>
      </c>
      <c r="N3526" s="57" t="str">
        <f t="shared" si="1524"/>
        <v/>
      </c>
      <c r="O3526" s="56"/>
      <c r="P3526" s="56"/>
      <c r="Q3526" s="48"/>
      <c r="R3526" s="48"/>
      <c r="S3526" s="2"/>
    </row>
    <row r="3527" spans="1:22" ht="12.75" customHeight="1" x14ac:dyDescent="0.2">
      <c r="A3527" s="155"/>
      <c r="B3527" s="138" t="str">
        <f>IF(A3527="","",VLOOKUP(A3527,'6.A'!$A$11:$G$180,2,FALSE))</f>
        <v/>
      </c>
      <c r="C3527" s="156"/>
      <c r="D3527" s="57" t="str">
        <f>IF(A3527="","",VLOOKUP(A3527,'6.A'!$A$11:$G$180,4,FALSE))</f>
        <v/>
      </c>
      <c r="E3527" s="100" t="str">
        <f>IF(A3527="","",VLOOKUP(A3527,'6.A'!$A$11:$G$180,5,FALSE))</f>
        <v/>
      </c>
      <c r="F3527" s="24" t="str">
        <f t="shared" si="1521"/>
        <v>0,00</v>
      </c>
      <c r="G3527" s="52"/>
      <c r="H3527" s="52" t="str">
        <f>IF(A3527="","",VLOOKUP(A3527,'6.A'!$A$11:$E$7984,5,FALSE))</f>
        <v/>
      </c>
      <c r="I3527" s="52" t="str">
        <f t="shared" si="1522"/>
        <v/>
      </c>
      <c r="J3527" s="52" t="str">
        <f>IF(H3527="","",VLOOKUP(A3527,'6.A'!$A$11:$E$564,4,FALSE))</f>
        <v/>
      </c>
      <c r="K3527" s="52" t="str">
        <f t="shared" si="1523"/>
        <v/>
      </c>
      <c r="L3527" s="52" t="str">
        <f>IF(H3527="","",IF(C3527="","",G3496*C3527))</f>
        <v/>
      </c>
      <c r="M3527" s="117" t="str">
        <f>IF(A3527="","",VLOOKUP(A3527,'6.A'!$A$11:$C$564,2,FALSE))</f>
        <v/>
      </c>
      <c r="N3527" s="57" t="str">
        <f t="shared" si="1524"/>
        <v/>
      </c>
      <c r="O3527" s="56"/>
      <c r="P3527" s="56"/>
      <c r="Q3527" s="48"/>
      <c r="R3527" s="48"/>
      <c r="S3527" s="2"/>
    </row>
    <row r="3528" spans="1:22" ht="12.75" customHeight="1" x14ac:dyDescent="0.2">
      <c r="A3528" s="155"/>
      <c r="B3528" s="138" t="str">
        <f>IF(A3528="","",VLOOKUP(A3528,'6.A'!$A$11:$G$180,2,FALSE))</f>
        <v/>
      </c>
      <c r="C3528" s="156"/>
      <c r="D3528" s="57" t="str">
        <f>IF(A3528="","",VLOOKUP(A3528,'6.A'!$A$11:$G$180,4,FALSE))</f>
        <v/>
      </c>
      <c r="E3528" s="100" t="str">
        <f>IF(A3528="","",VLOOKUP(A3528,'6.A'!$A$11:$G$180,5,FALSE))</f>
        <v/>
      </c>
      <c r="F3528" s="24" t="str">
        <f t="shared" si="1521"/>
        <v>0,00</v>
      </c>
      <c r="G3528" s="52"/>
      <c r="H3528" s="52" t="str">
        <f>IF(A3528="","",VLOOKUP(A3528,'6.A'!$A$11:$E$7984,5,FALSE))</f>
        <v/>
      </c>
      <c r="I3528" s="52" t="str">
        <f t="shared" si="1522"/>
        <v/>
      </c>
      <c r="J3528" s="52" t="str">
        <f>IF(H3528="","",VLOOKUP(A3528,'6.A'!$A$11:$E$564,4,FALSE))</f>
        <v/>
      </c>
      <c r="K3528" s="52" t="str">
        <f t="shared" si="1523"/>
        <v/>
      </c>
      <c r="L3528" s="52" t="str">
        <f>IF(H3528="","",IF(C3528="","",G3496*C3528))</f>
        <v/>
      </c>
      <c r="M3528" s="117" t="str">
        <f>IF(A3528="","",VLOOKUP(A3528,'6.A'!$A$11:$C$564,2,FALSE))</f>
        <v/>
      </c>
      <c r="N3528" s="57" t="str">
        <f t="shared" si="1524"/>
        <v/>
      </c>
      <c r="O3528" s="56"/>
      <c r="P3528" s="56"/>
      <c r="Q3528" s="48"/>
      <c r="R3528" s="48"/>
      <c r="S3528" s="2"/>
    </row>
    <row r="3529" spans="1:22" ht="12.75" customHeight="1" x14ac:dyDescent="0.2">
      <c r="A3529" s="155"/>
      <c r="B3529" s="138" t="str">
        <f>IF(A3529="","",VLOOKUP(A3529,'6.A'!$A$11:$G$180,2,FALSE))</f>
        <v/>
      </c>
      <c r="C3529" s="156"/>
      <c r="D3529" s="57" t="str">
        <f>IF(A3529="","",VLOOKUP(A3529,'6.A'!$A$11:$G$180,4,FALSE))</f>
        <v/>
      </c>
      <c r="E3529" s="100" t="str">
        <f>IF(A3529="","",VLOOKUP(A3529,'6.A'!$A$11:$G$180,5,FALSE))</f>
        <v/>
      </c>
      <c r="F3529" s="24" t="str">
        <f t="shared" si="1521"/>
        <v>0,00</v>
      </c>
      <c r="G3529" s="52"/>
      <c r="H3529" s="52" t="str">
        <f>IF(A3529="","",VLOOKUP(A3529,'6.A'!$A$11:$E$7984,5,FALSE))</f>
        <v/>
      </c>
      <c r="I3529" s="52" t="str">
        <f t="shared" si="1522"/>
        <v/>
      </c>
      <c r="J3529" s="52" t="str">
        <f>IF(H3529="","",VLOOKUP(A3529,'6.A'!$A$11:$E$564,4,FALSE))</f>
        <v/>
      </c>
      <c r="K3529" s="52" t="str">
        <f t="shared" si="1523"/>
        <v/>
      </c>
      <c r="L3529" s="52" t="str">
        <f>IF(H3529="","",IF(C3529="","",G3496*C3529))</f>
        <v/>
      </c>
      <c r="M3529" s="117" t="str">
        <f>IF(A3529="","",VLOOKUP(A3529,'6.A'!$A$11:$C$564,2,FALSE))</f>
        <v/>
      </c>
      <c r="N3529" s="57" t="str">
        <f t="shared" si="1524"/>
        <v/>
      </c>
      <c r="O3529" s="56"/>
      <c r="P3529" s="56"/>
      <c r="Q3529" s="48"/>
      <c r="R3529" s="48"/>
      <c r="S3529" s="2"/>
    </row>
    <row r="3530" spans="1:22" ht="12.75" customHeight="1" x14ac:dyDescent="0.2">
      <c r="A3530" s="155"/>
      <c r="B3530" s="138" t="str">
        <f>IF(A3530="","",VLOOKUP(A3530,'6.A'!$A$11:$G$180,2,FALSE))</f>
        <v/>
      </c>
      <c r="C3530" s="156"/>
      <c r="D3530" s="57" t="str">
        <f>IF(A3530="","",VLOOKUP(A3530,'6.A'!$A$11:$G$180,4,FALSE))</f>
        <v/>
      </c>
      <c r="E3530" s="100" t="str">
        <f>IF(A3530="","",VLOOKUP(A3530,'6.A'!$A$11:$G$180,5,FALSE))</f>
        <v/>
      </c>
      <c r="F3530" s="24" t="str">
        <f t="shared" si="1521"/>
        <v>0,00</v>
      </c>
      <c r="G3530" s="52"/>
      <c r="H3530" s="52" t="str">
        <f>IF(A3530="","",VLOOKUP(A3530,'6.A'!$A$11:$E$7984,5,FALSE))</f>
        <v/>
      </c>
      <c r="I3530" s="52" t="str">
        <f t="shared" si="1522"/>
        <v/>
      </c>
      <c r="J3530" s="52" t="str">
        <f>IF(H3530="","",VLOOKUP(A3530,'6.A'!$A$11:$E$564,4,FALSE))</f>
        <v/>
      </c>
      <c r="K3530" s="52" t="str">
        <f t="shared" si="1523"/>
        <v/>
      </c>
      <c r="L3530" s="52" t="str">
        <f>IF(H3530="","",IF(C3530="","",G3496*C3530))</f>
        <v/>
      </c>
      <c r="M3530" s="117" t="str">
        <f>IF(A3530="","",VLOOKUP(A3530,'6.A'!$A$11:$C$564,2,FALSE))</f>
        <v/>
      </c>
      <c r="N3530" s="57" t="str">
        <f t="shared" si="1524"/>
        <v/>
      </c>
      <c r="O3530" s="56"/>
      <c r="P3530" s="56"/>
      <c r="Q3530" s="48"/>
      <c r="R3530" s="48"/>
      <c r="S3530" s="2"/>
    </row>
    <row r="3531" spans="1:22" ht="12.75" customHeight="1" x14ac:dyDescent="0.2">
      <c r="A3531" s="155"/>
      <c r="B3531" s="138" t="str">
        <f>IF(A3531="","",VLOOKUP(A3531,'6.A'!$A$11:$G$180,2,FALSE))</f>
        <v/>
      </c>
      <c r="C3531" s="156"/>
      <c r="D3531" s="57" t="str">
        <f>IF(A3531="","",VLOOKUP(A3531,'6.A'!$A$11:$G$180,4,FALSE))</f>
        <v/>
      </c>
      <c r="E3531" s="100" t="str">
        <f>IF(A3531="","",VLOOKUP(A3531,'6.A'!$A$11:$G$180,5,FALSE))</f>
        <v/>
      </c>
      <c r="F3531" s="24" t="str">
        <f t="shared" si="1521"/>
        <v>0,00</v>
      </c>
      <c r="G3531" s="52"/>
      <c r="H3531" s="52" t="str">
        <f>IF(A3531="","",VLOOKUP(A3531,'6.A'!$A$11:$E$7984,5,FALSE))</f>
        <v/>
      </c>
      <c r="I3531" s="52" t="str">
        <f t="shared" si="1522"/>
        <v/>
      </c>
      <c r="J3531" s="52" t="str">
        <f>IF(H3531="","",VLOOKUP(A3531,'6.A'!$A$11:$E$564,4,FALSE))</f>
        <v/>
      </c>
      <c r="K3531" s="52" t="str">
        <f t="shared" si="1523"/>
        <v/>
      </c>
      <c r="L3531" s="52" t="str">
        <f>IF(H3531="","",IF(C3531="","",G3496*C3531))</f>
        <v/>
      </c>
      <c r="M3531" s="117" t="str">
        <f>IF(A3531="","",VLOOKUP(A3531,'6.A'!$A$11:$C$564,2,FALSE))</f>
        <v/>
      </c>
      <c r="N3531" s="57" t="str">
        <f t="shared" si="1524"/>
        <v/>
      </c>
      <c r="O3531" s="56"/>
      <c r="P3531" s="56"/>
      <c r="Q3531" s="48"/>
      <c r="R3531" s="48"/>
      <c r="S3531" s="2"/>
    </row>
    <row r="3532" spans="1:22" s="65" customFormat="1" ht="12.75" customHeight="1" x14ac:dyDescent="0.2">
      <c r="A3532" s="155"/>
      <c r="B3532" s="138" t="str">
        <f>IF(A3532="","",VLOOKUP(A3532,'6.A'!$A$11:$G$180,2,FALSE))</f>
        <v/>
      </c>
      <c r="C3532" s="156"/>
      <c r="D3532" s="57" t="str">
        <f>IF(A3532="","",VLOOKUP(A3532,'6.A'!$A$11:$G$180,4,FALSE))</f>
        <v/>
      </c>
      <c r="E3532" s="100" t="str">
        <f>IF(A3532="","",VLOOKUP(A3532,'6.A'!$A$11:$G$180,5,FALSE))</f>
        <v/>
      </c>
      <c r="F3532" s="24" t="str">
        <f t="shared" si="1521"/>
        <v>0,00</v>
      </c>
      <c r="G3532" s="52"/>
      <c r="H3532" s="52" t="str">
        <f>IF(A3532="","",VLOOKUP(A3532,'6.A'!$A$11:$E$7984,5,FALSE))</f>
        <v/>
      </c>
      <c r="I3532" s="52" t="str">
        <f t="shared" si="1522"/>
        <v/>
      </c>
      <c r="J3532" s="52" t="str">
        <f>IF(H3532="","",VLOOKUP(A3532,'6.A'!$A$11:$E$564,4,FALSE))</f>
        <v/>
      </c>
      <c r="K3532" s="52" t="str">
        <f t="shared" si="1523"/>
        <v/>
      </c>
      <c r="L3532" s="52" t="str">
        <f>IF(H3532="","",IF(C3532="","",G3496*C3532))</f>
        <v/>
      </c>
      <c r="M3532" s="117" t="str">
        <f>IF(A3532="","",VLOOKUP(A3532,'6.A'!$A$11:$C$564,2,FALSE))</f>
        <v/>
      </c>
      <c r="N3532" s="57" t="str">
        <f t="shared" si="1524"/>
        <v/>
      </c>
      <c r="O3532" s="56"/>
      <c r="P3532" s="56"/>
      <c r="Q3532" s="48"/>
      <c r="R3532" s="48"/>
      <c r="T3532" s="2"/>
      <c r="U3532" s="2"/>
      <c r="V3532" s="2"/>
    </row>
    <row r="3533" spans="1:22" s="65" customFormat="1" ht="12.75" customHeight="1" x14ac:dyDescent="0.2">
      <c r="A3533" s="155"/>
      <c r="B3533" s="138" t="str">
        <f>IF(A3533="","",VLOOKUP(A3533,'6.A'!$A$11:$G$180,2,FALSE))</f>
        <v/>
      </c>
      <c r="C3533" s="156"/>
      <c r="D3533" s="57" t="str">
        <f>IF(A3533="","",VLOOKUP(A3533,'6.A'!$A$11:$G$180,4,FALSE))</f>
        <v/>
      </c>
      <c r="E3533" s="100" t="str">
        <f>IF(A3533="","",VLOOKUP(A3533,'6.A'!$A$11:$G$180,5,FALSE))</f>
        <v/>
      </c>
      <c r="F3533" s="24" t="str">
        <f t="shared" si="1521"/>
        <v>0,00</v>
      </c>
      <c r="G3533" s="52"/>
      <c r="H3533" s="52" t="str">
        <f>IF(A3533="","",VLOOKUP(A3533,'6.A'!$A$11:$E$7984,5,FALSE))</f>
        <v/>
      </c>
      <c r="I3533" s="52" t="str">
        <f t="shared" si="1522"/>
        <v/>
      </c>
      <c r="J3533" s="52" t="str">
        <f>IF(H3533="","",VLOOKUP(A3533,'6.A'!$A$11:$E$564,4,FALSE))</f>
        <v/>
      </c>
      <c r="K3533" s="52" t="str">
        <f t="shared" si="1523"/>
        <v/>
      </c>
      <c r="L3533" s="52" t="str">
        <f>IF(H3533="","",IF(C3533="","",G3496*C3533))</f>
        <v/>
      </c>
      <c r="M3533" s="117" t="str">
        <f>IF(A3533="","",VLOOKUP(A3533,'6.A'!$A$11:$C$564,2,FALSE))</f>
        <v/>
      </c>
      <c r="N3533" s="57" t="str">
        <f t="shared" si="1524"/>
        <v/>
      </c>
      <c r="O3533" s="56"/>
      <c r="P3533" s="56"/>
      <c r="Q3533" s="48"/>
      <c r="R3533" s="48"/>
      <c r="T3533" s="2"/>
      <c r="U3533" s="2"/>
      <c r="V3533" s="2"/>
    </row>
    <row r="3534" spans="1:22" s="65" customFormat="1" ht="12.75" customHeight="1" x14ac:dyDescent="0.2">
      <c r="A3534" s="155"/>
      <c r="B3534" s="138" t="str">
        <f>IF(A3534="","",VLOOKUP(A3534,'6.A'!$A$11:$G$180,2,FALSE))</f>
        <v/>
      </c>
      <c r="C3534" s="156"/>
      <c r="D3534" s="57" t="str">
        <f>IF(A3534="","",VLOOKUP(A3534,'6.A'!$A$11:$G$180,4,FALSE))</f>
        <v/>
      </c>
      <c r="E3534" s="100" t="str">
        <f>IF(A3534="","",VLOOKUP(A3534,'6.A'!$A$11:$G$180,5,FALSE))</f>
        <v/>
      </c>
      <c r="F3534" s="24" t="str">
        <f t="shared" si="1521"/>
        <v>0,00</v>
      </c>
      <c r="G3534" s="52"/>
      <c r="H3534" s="52" t="str">
        <f>IF(A3534="","",VLOOKUP(A3534,'6.A'!$A$11:$E$7984,5,FALSE))</f>
        <v/>
      </c>
      <c r="I3534" s="52" t="str">
        <f t="shared" si="1522"/>
        <v/>
      </c>
      <c r="J3534" s="52" t="str">
        <f>IF(H3534="","",VLOOKUP(A3534,'6.A'!$A$11:$E$564,4,FALSE))</f>
        <v/>
      </c>
      <c r="K3534" s="52" t="str">
        <f t="shared" si="1523"/>
        <v/>
      </c>
      <c r="L3534" s="52" t="str">
        <f>IF(H3534="","",IF(C3534="","",G3496*C3534))</f>
        <v/>
      </c>
      <c r="M3534" s="117" t="str">
        <f>IF(A3534="","",VLOOKUP(A3534,'6.A'!$A$11:$C$564,2,FALSE))</f>
        <v/>
      </c>
      <c r="N3534" s="57" t="str">
        <f t="shared" si="1524"/>
        <v/>
      </c>
      <c r="O3534" s="56"/>
      <c r="P3534" s="56"/>
      <c r="Q3534" s="48"/>
      <c r="R3534" s="48"/>
      <c r="T3534" s="2"/>
      <c r="U3534" s="2"/>
      <c r="V3534" s="2"/>
    </row>
    <row r="3535" spans="1:22" s="65" customFormat="1" ht="12.75" customHeight="1" x14ac:dyDescent="0.2">
      <c r="A3535" s="155"/>
      <c r="B3535" s="138" t="str">
        <f>IF(A3535="","",VLOOKUP(A3535,'6.A'!$A$11:$G$180,2,FALSE))</f>
        <v/>
      </c>
      <c r="C3535" s="156"/>
      <c r="D3535" s="57" t="str">
        <f>IF(A3535="","",VLOOKUP(A3535,'6.A'!$A$11:$G$180,4,FALSE))</f>
        <v/>
      </c>
      <c r="E3535" s="100" t="str">
        <f>IF(A3535="","",VLOOKUP(A3535,'6.A'!$A$11:$G$180,5,FALSE))</f>
        <v/>
      </c>
      <c r="F3535" s="24" t="str">
        <f t="shared" si="1521"/>
        <v>0,00</v>
      </c>
      <c r="G3535" s="52"/>
      <c r="H3535" s="52" t="str">
        <f>IF(A3535="","",VLOOKUP(A3535,'6.A'!$A$11:$E$7984,5,FALSE))</f>
        <v/>
      </c>
      <c r="I3535" s="52" t="str">
        <f t="shared" si="1522"/>
        <v/>
      </c>
      <c r="J3535" s="52" t="str">
        <f>IF(H3535="","",VLOOKUP(A3535,'6.A'!$A$11:$E$564,4,FALSE))</f>
        <v/>
      </c>
      <c r="K3535" s="52" t="str">
        <f t="shared" si="1523"/>
        <v/>
      </c>
      <c r="L3535" s="52" t="str">
        <f>IF(H3535="","",IF(C3535="","",G3496*C3535))</f>
        <v/>
      </c>
      <c r="M3535" s="117" t="str">
        <f>IF(A3535="","",VLOOKUP(A3535,'6.A'!$A$11:$C$564,2,FALSE))</f>
        <v/>
      </c>
      <c r="N3535" s="57" t="str">
        <f t="shared" si="1524"/>
        <v/>
      </c>
      <c r="O3535" s="56"/>
      <c r="P3535" s="56"/>
      <c r="Q3535" s="48"/>
      <c r="R3535" s="48"/>
      <c r="T3535" s="2"/>
      <c r="U3535" s="2"/>
      <c r="V3535" s="2"/>
    </row>
    <row r="3536" spans="1:22" ht="12.75" customHeight="1" x14ac:dyDescent="0.2">
      <c r="A3536" s="22"/>
      <c r="B3536" s="23" t="str">
        <f>IF(A3536="","",VLOOKUP(A3536,'6.A'!$A$11:$G$180,2,FALSE))</f>
        <v/>
      </c>
      <c r="C3536" s="99"/>
      <c r="D3536" s="57" t="str">
        <f>IF(A3536="","",VLOOKUP(A3536,'6.A'!$A$11:$G$180,4,FALSE))</f>
        <v/>
      </c>
      <c r="E3536" s="100" t="str">
        <f>IF(A3536="","",VLOOKUP(A3536,'6.A'!$A$11:$G$180,5,FALSE))</f>
        <v/>
      </c>
      <c r="F3536" s="24" t="str">
        <f t="shared" si="1521"/>
        <v>0,00</v>
      </c>
      <c r="G3536" s="52"/>
      <c r="H3536" s="52" t="str">
        <f>IF(A3536="","",VLOOKUP(A3536,'6.A'!$A$11:$E$7984,5,FALSE))</f>
        <v/>
      </c>
      <c r="I3536" s="52" t="str">
        <f t="shared" si="1522"/>
        <v/>
      </c>
      <c r="J3536" s="52" t="str">
        <f>IF(H3536="","",VLOOKUP(A3536,'6.A'!$A$11:$E$564,4,FALSE))</f>
        <v/>
      </c>
      <c r="K3536" s="52" t="str">
        <f t="shared" si="1523"/>
        <v/>
      </c>
      <c r="L3536" s="52" t="str">
        <f>IF(H3536="","",IF(C3536="","",G3496*C3536))</f>
        <v/>
      </c>
      <c r="M3536" s="117" t="str">
        <f>IF(A3536="","",VLOOKUP(A3536,'6.A'!$A$11:$C$564,2,FALSE))</f>
        <v/>
      </c>
      <c r="N3536" s="57" t="str">
        <f t="shared" si="1524"/>
        <v/>
      </c>
      <c r="O3536" s="56"/>
      <c r="P3536" s="56"/>
      <c r="Q3536" s="48"/>
      <c r="R3536" s="48"/>
    </row>
    <row r="3537" spans="1:23" ht="12.75" customHeight="1" x14ac:dyDescent="0.2">
      <c r="A3537" s="22"/>
      <c r="B3537" s="23" t="str">
        <f>IF(A3537="","",VLOOKUP(A3537,'6.A'!$A$11:$G$180,2,FALSE))</f>
        <v/>
      </c>
      <c r="C3537" s="99"/>
      <c r="D3537" s="57" t="str">
        <f>IF(A3537="","",VLOOKUP(A3537,'6.A'!$A$11:$G$180,4,FALSE))</f>
        <v/>
      </c>
      <c r="E3537" s="100" t="str">
        <f>IF(A3537="","",VLOOKUP(A3537,'6.A'!$A$11:$G$180,5,FALSE))</f>
        <v/>
      </c>
      <c r="F3537" s="24" t="str">
        <f t="shared" si="1521"/>
        <v>0,00</v>
      </c>
      <c r="G3537" s="52"/>
      <c r="H3537" s="52" t="str">
        <f>IF(A3537="","",VLOOKUP(A3537,'6.A'!$A$11:$E$7984,5,FALSE))</f>
        <v/>
      </c>
      <c r="I3537" s="52" t="str">
        <f t="shared" si="1522"/>
        <v/>
      </c>
      <c r="J3537" s="52" t="str">
        <f>IF(H3537="","",VLOOKUP(A3537,'6.A'!$A$11:$E$564,4,FALSE))</f>
        <v/>
      </c>
      <c r="K3537" s="52" t="str">
        <f t="shared" si="1523"/>
        <v/>
      </c>
      <c r="L3537" s="52" t="str">
        <f>IF(H3537="","",IF(C3537="","",G3496*C3537))</f>
        <v/>
      </c>
      <c r="M3537" s="117" t="str">
        <f>IF(A3537="","",VLOOKUP(A3537,'6.A'!$A$11:$C$564,2,FALSE))</f>
        <v/>
      </c>
      <c r="N3537" s="57" t="str">
        <f t="shared" si="1524"/>
        <v/>
      </c>
      <c r="O3537" s="56"/>
      <c r="P3537" s="56"/>
      <c r="Q3537" s="48"/>
      <c r="R3537" s="48"/>
    </row>
    <row r="3538" spans="1:23" ht="12.75" customHeight="1" x14ac:dyDescent="0.2">
      <c r="A3538" s="22"/>
      <c r="B3538" s="23" t="str">
        <f>IF(A3538="","",VLOOKUP(A3538,'6.A'!$A$11:$G$180,2,FALSE))</f>
        <v/>
      </c>
      <c r="C3538" s="99"/>
      <c r="D3538" s="57" t="str">
        <f>IF(A3538="","",VLOOKUP(A3538,'6.A'!$A$11:$G$180,4,FALSE))</f>
        <v/>
      </c>
      <c r="E3538" s="100" t="str">
        <f>IF(A3538="","",VLOOKUP(A3538,'6.A'!$A$11:$G$180,5,FALSE))</f>
        <v/>
      </c>
      <c r="F3538" s="24" t="str">
        <f t="shared" si="1521"/>
        <v>0,00</v>
      </c>
      <c r="G3538" s="52"/>
      <c r="H3538" s="52" t="str">
        <f>IF(A3538="","",VLOOKUP(A3538,'6.A'!$A$11:$E$7984,5,FALSE))</f>
        <v/>
      </c>
      <c r="I3538" s="52" t="str">
        <f t="shared" si="1522"/>
        <v/>
      </c>
      <c r="J3538" s="52" t="str">
        <f>IF(H3538="","",VLOOKUP(A3538,'6.A'!$A$11:$E$564,4,FALSE))</f>
        <v/>
      </c>
      <c r="K3538" s="52" t="str">
        <f t="shared" si="1523"/>
        <v/>
      </c>
      <c r="L3538" s="52" t="str">
        <f>IF(H3538="","",IF(C3538="","",G3496*C3538))</f>
        <v/>
      </c>
      <c r="M3538" s="117" t="str">
        <f>IF(A3538="","",VLOOKUP(A3538,'6.A'!$A$11:$C$564,2,FALSE))</f>
        <v/>
      </c>
      <c r="N3538" s="57" t="str">
        <f t="shared" si="1524"/>
        <v/>
      </c>
      <c r="O3538" s="56"/>
      <c r="P3538" s="56"/>
      <c r="Q3538" s="48"/>
      <c r="R3538" s="48"/>
    </row>
    <row r="3539" spans="1:23" ht="12.75" customHeight="1" x14ac:dyDescent="0.2">
      <c r="A3539" s="22"/>
      <c r="B3539" s="23" t="str">
        <f>IF(A3539="","",VLOOKUP(A3539,'6.A'!$A$11:$G$180,2,FALSE))</f>
        <v/>
      </c>
      <c r="C3539" s="99"/>
      <c r="D3539" s="57" t="str">
        <f>IF(A3539="","",VLOOKUP(A3539,'6.A'!$A$11:$G$180,4,FALSE))</f>
        <v/>
      </c>
      <c r="E3539" s="100" t="str">
        <f>IF(A3539="","",VLOOKUP(A3539,'6.A'!$A$11:$G$180,5,FALSE))</f>
        <v/>
      </c>
      <c r="F3539" s="24" t="str">
        <f t="shared" si="1521"/>
        <v>0,00</v>
      </c>
      <c r="G3539" s="52"/>
      <c r="H3539" s="52" t="str">
        <f>IF(A3539="","",VLOOKUP(A3539,'6.A'!$A$11:$E$7984,5,FALSE))</f>
        <v/>
      </c>
      <c r="I3539" s="52" t="str">
        <f t="shared" si="1522"/>
        <v/>
      </c>
      <c r="J3539" s="52" t="str">
        <f>IF(H3539="","",VLOOKUP(A3539,'6.A'!$A$11:$E$564,4,FALSE))</f>
        <v/>
      </c>
      <c r="K3539" s="52" t="str">
        <f t="shared" si="1523"/>
        <v/>
      </c>
      <c r="L3539" s="52" t="str">
        <f>IF(H3539="","",IF(C3539="","",G3496*C3539))</f>
        <v/>
      </c>
      <c r="M3539" s="117" t="str">
        <f>IF(A3539="","",VLOOKUP(A3539,'6.A'!$A$11:$C$564,2,FALSE))</f>
        <v/>
      </c>
      <c r="N3539" s="57" t="str">
        <f t="shared" si="1524"/>
        <v/>
      </c>
      <c r="O3539" s="56"/>
      <c r="P3539" s="56"/>
      <c r="Q3539" s="48"/>
      <c r="R3539" s="48"/>
    </row>
    <row r="3540" spans="1:23" ht="12.75" customHeight="1" x14ac:dyDescent="0.2">
      <c r="A3540" s="22"/>
      <c r="B3540" s="23" t="str">
        <f>IF(A3540="","",VLOOKUP(A3540,'6.A'!$A$11:$G$180,2,FALSE))</f>
        <v/>
      </c>
      <c r="C3540" s="99"/>
      <c r="D3540" s="57" t="str">
        <f>IF(A3540="","",VLOOKUP(A3540,'6.A'!$A$11:$G$180,4,FALSE))</f>
        <v/>
      </c>
      <c r="E3540" s="100" t="str">
        <f>IF(A3540="","",VLOOKUP(A3540,'6.A'!$A$11:$G$180,5,FALSE))</f>
        <v/>
      </c>
      <c r="F3540" s="24" t="str">
        <f t="shared" si="1521"/>
        <v>0,00</v>
      </c>
      <c r="G3540" s="52"/>
      <c r="H3540" s="52" t="str">
        <f>IF(A3540="","",VLOOKUP(A3540,'6.A'!$A$11:$E$7984,5,FALSE))</f>
        <v/>
      </c>
      <c r="I3540" s="52" t="str">
        <f t="shared" si="1522"/>
        <v/>
      </c>
      <c r="J3540" s="52" t="str">
        <f>IF(H3540="","",VLOOKUP(A3540,'6.A'!$A$11:$E$564,4,FALSE))</f>
        <v/>
      </c>
      <c r="K3540" s="52" t="str">
        <f t="shared" si="1523"/>
        <v/>
      </c>
      <c r="L3540" s="52" t="str">
        <f>IF(H3540="","",IF(C3540="","",G3496*C3540))</f>
        <v/>
      </c>
      <c r="M3540" s="117" t="str">
        <f>IF(A3540="","",VLOOKUP(A3540,'6.A'!$A$11:$C$564,2,FALSE))</f>
        <v/>
      </c>
      <c r="N3540" s="57" t="str">
        <f t="shared" si="1524"/>
        <v/>
      </c>
      <c r="O3540" s="56"/>
      <c r="P3540" s="56"/>
      <c r="Q3540" s="48"/>
      <c r="R3540" s="48"/>
    </row>
    <row r="3541" spans="1:23" ht="12.75" customHeight="1" x14ac:dyDescent="0.2">
      <c r="A3541" s="22"/>
      <c r="B3541" s="23" t="str">
        <f>IF(A3541="","",VLOOKUP(A3541,'6.A'!$A$11:$G$180,2,FALSE))</f>
        <v/>
      </c>
      <c r="C3541" s="99"/>
      <c r="D3541" s="57" t="str">
        <f>IF(A3541="","",VLOOKUP(A3541,'6.A'!$A$11:$G$180,4,FALSE))</f>
        <v/>
      </c>
      <c r="E3541" s="100" t="str">
        <f>IF(A3541="","",VLOOKUP(A3541,'6.A'!$A$11:$G$180,5,FALSE))</f>
        <v/>
      </c>
      <c r="F3541" s="24" t="str">
        <f t="shared" si="1521"/>
        <v>0,00</v>
      </c>
      <c r="G3541" s="52"/>
      <c r="H3541" s="52" t="str">
        <f>IF(A3541="","",VLOOKUP(A3541,'6.A'!$A$11:$E$7984,5,FALSE))</f>
        <v/>
      </c>
      <c r="I3541" s="52" t="str">
        <f t="shared" si="1522"/>
        <v/>
      </c>
      <c r="J3541" s="52" t="str">
        <f>IF(H3541="","",VLOOKUP(A3541,'6.A'!$A$11:$E$564,4,FALSE))</f>
        <v/>
      </c>
      <c r="K3541" s="52" t="str">
        <f t="shared" si="1523"/>
        <v/>
      </c>
      <c r="L3541" s="52" t="str">
        <f>IF(H3541="","",IF(C3541="","",G3496*C3541))</f>
        <v/>
      </c>
      <c r="M3541" s="117" t="str">
        <f>IF(A3541="","",VLOOKUP(A3541,'6.A'!$A$11:$C$564,2,FALSE))</f>
        <v/>
      </c>
      <c r="N3541" s="57" t="str">
        <f t="shared" si="1524"/>
        <v/>
      </c>
      <c r="O3541" s="56"/>
      <c r="P3541" s="56"/>
      <c r="Q3541" s="48"/>
      <c r="R3541" s="48"/>
    </row>
    <row r="3542" spans="1:23" ht="12.75" customHeight="1" x14ac:dyDescent="0.2">
      <c r="A3542" s="22"/>
      <c r="B3542" s="39" t="str">
        <f>IF(A3542="","",VLOOKUP(A3542,'6.A'!$A$11:$G$180,2,FALSE))</f>
        <v/>
      </c>
      <c r="C3542" s="99"/>
      <c r="D3542" s="57" t="str">
        <f>IF(A3542="","",VLOOKUP(A3542,'6.A'!$A$11:$G$180,4,FALSE))</f>
        <v/>
      </c>
      <c r="E3542" s="100" t="str">
        <f>IF(A3542="","",VLOOKUP(A3542,'6.A'!$A$11:$G$180,5,FALSE))</f>
        <v/>
      </c>
      <c r="F3542" s="24" t="str">
        <f t="shared" si="1521"/>
        <v>0,00</v>
      </c>
      <c r="G3542" s="52"/>
      <c r="H3542" s="52" t="str">
        <f>IF(A3542="","",VLOOKUP(A3542,'6.A'!$A$11:$E$7984,5,FALSE))</f>
        <v/>
      </c>
      <c r="I3542" s="52" t="str">
        <f t="shared" si="1522"/>
        <v/>
      </c>
      <c r="J3542" s="52" t="str">
        <f>IF(H3542="","",VLOOKUP(A3542,'6.A'!$A$11:$E$564,4,FALSE))</f>
        <v/>
      </c>
      <c r="K3542" s="52" t="str">
        <f t="shared" si="1523"/>
        <v/>
      </c>
      <c r="L3542" s="52" t="str">
        <f>IF(H3542="","",IF(C3542="","",G3496*C3542))</f>
        <v/>
      </c>
      <c r="M3542" s="117" t="str">
        <f>IF(A3542="","",VLOOKUP(A3542,'6.A'!$A$11:$C$564,2,FALSE))</f>
        <v/>
      </c>
      <c r="N3542" s="57" t="str">
        <f t="shared" si="1524"/>
        <v/>
      </c>
      <c r="O3542" s="56"/>
      <c r="P3542" s="56"/>
      <c r="Q3542" s="48"/>
      <c r="R3542" s="48"/>
    </row>
    <row r="3543" spans="1:23" ht="12.75" customHeight="1" x14ac:dyDescent="0.2">
      <c r="A3543" s="22"/>
      <c r="B3543" s="39" t="str">
        <f>IF(A3543="","",VLOOKUP(A3543,'6.A'!$A$11:$G$180,2,FALSE))</f>
        <v/>
      </c>
      <c r="C3543" s="99"/>
      <c r="D3543" s="57" t="str">
        <f>IF(A3543="","",VLOOKUP(A3543,'6.A'!$A$11:$G$180,4,FALSE))</f>
        <v/>
      </c>
      <c r="E3543" s="100" t="str">
        <f>IF(A3543="","",VLOOKUP(A3543,'6.A'!$A$11:$G$180,5,FALSE))</f>
        <v/>
      </c>
      <c r="F3543" s="24" t="str">
        <f t="shared" si="1521"/>
        <v>0,00</v>
      </c>
      <c r="G3543" s="52"/>
      <c r="H3543" s="52" t="str">
        <f>IF(A3543="","",VLOOKUP(A3543,'6.A'!$A$11:$E$7984,5,FALSE))</f>
        <v/>
      </c>
      <c r="I3543" s="52" t="str">
        <f t="shared" si="1522"/>
        <v/>
      </c>
      <c r="J3543" s="52" t="str">
        <f>IF(H3543="","",VLOOKUP(A3543,'6.A'!$A$11:$E$564,4,FALSE))</f>
        <v/>
      </c>
      <c r="K3543" s="52" t="str">
        <f t="shared" si="1523"/>
        <v/>
      </c>
      <c r="L3543" s="52" t="str">
        <f>IF(H3543="","",IF(C3543="","",G3496*C3543))</f>
        <v/>
      </c>
      <c r="M3543" s="117" t="str">
        <f>IF(A3543="","",VLOOKUP(A3543,'6.A'!$A$11:$C$564,2,FALSE))</f>
        <v/>
      </c>
      <c r="N3543" s="57" t="str">
        <f t="shared" si="1524"/>
        <v/>
      </c>
      <c r="O3543" s="56"/>
      <c r="P3543" s="56"/>
      <c r="Q3543" s="48"/>
      <c r="R3543" s="48"/>
    </row>
    <row r="3544" spans="1:23" ht="12.75" customHeight="1" x14ac:dyDescent="0.2">
      <c r="A3544" s="22"/>
      <c r="B3544" s="39" t="str">
        <f>IF(A3544="","",VLOOKUP(A3544,'6.A'!$A$11:$G$180,2,FALSE))</f>
        <v/>
      </c>
      <c r="C3544" s="99"/>
      <c r="D3544" s="57" t="str">
        <f>IF(A3544="","",VLOOKUP(A3544,'6.A'!$A$11:$G$180,4,FALSE))</f>
        <v/>
      </c>
      <c r="E3544" s="100" t="str">
        <f>IF(A3544="","",VLOOKUP(A3544,'6.A'!$A$11:$G$180,5,FALSE))</f>
        <v/>
      </c>
      <c r="F3544" s="24" t="str">
        <f t="shared" si="1521"/>
        <v>0,00</v>
      </c>
      <c r="G3544" s="52"/>
      <c r="H3544" s="52" t="str">
        <f>IF(A3544="","",VLOOKUP(A3544,'6.A'!$A$11:$E$7984,5,FALSE))</f>
        <v/>
      </c>
      <c r="I3544" s="52" t="str">
        <f t="shared" si="1522"/>
        <v/>
      </c>
      <c r="J3544" s="52" t="str">
        <f>IF(H3544="","",VLOOKUP(A3544,'6.A'!$A$11:$E$564,4,FALSE))</f>
        <v/>
      </c>
      <c r="K3544" s="52" t="str">
        <f t="shared" si="1523"/>
        <v/>
      </c>
      <c r="L3544" s="52" t="str">
        <f>IF(H3544="","",IF(C3544="","",G3496*C3544))</f>
        <v/>
      </c>
      <c r="M3544" s="117" t="str">
        <f>IF(A3544="","",VLOOKUP(A3544,'6.A'!$A$11:$C$564,2,FALSE))</f>
        <v/>
      </c>
      <c r="N3544" s="57" t="str">
        <f t="shared" si="1524"/>
        <v/>
      </c>
      <c r="O3544" s="56"/>
      <c r="P3544" s="56"/>
      <c r="Q3544" s="48"/>
      <c r="R3544" s="48"/>
    </row>
    <row r="3545" spans="1:23" ht="12.75" customHeight="1" x14ac:dyDescent="0.2">
      <c r="A3545" s="22"/>
      <c r="B3545" s="26" t="str">
        <f>$A$9</f>
        <v>BDI</v>
      </c>
      <c r="C3545" s="40">
        <f>$C$9</f>
        <v>0</v>
      </c>
      <c r="D3545" s="57"/>
      <c r="F3545" s="28">
        <f>ROUND(SUM(F3525:F3544)*C3545,2)</f>
        <v>0</v>
      </c>
      <c r="G3545" s="63"/>
      <c r="M3545" s="57"/>
      <c r="N3545" s="57"/>
      <c r="O3545" s="56"/>
      <c r="P3545" s="56"/>
      <c r="Q3545" s="48"/>
      <c r="R3545" s="48"/>
    </row>
    <row r="3546" spans="1:23" ht="12.75" customHeight="1" thickBot="1" x14ac:dyDescent="0.25">
      <c r="A3546" s="41"/>
      <c r="B3546" s="42" t="s">
        <v>57</v>
      </c>
      <c r="C3546" s="43"/>
      <c r="D3546" s="44"/>
      <c r="E3546" s="45"/>
      <c r="F3546" s="46">
        <f>ROUND(SUM(F3525:F3545),2)</f>
        <v>0</v>
      </c>
      <c r="G3546" s="63"/>
      <c r="M3546" s="57"/>
      <c r="N3546" s="57"/>
      <c r="O3546" s="56"/>
      <c r="P3546" s="56"/>
      <c r="Q3546" s="48"/>
      <c r="R3546" s="48"/>
    </row>
    <row r="3547" spans="1:23" ht="12" customHeight="1" thickBot="1" x14ac:dyDescent="0.25">
      <c r="A3547" s="8"/>
      <c r="B3547" s="9"/>
      <c r="C3547" s="10"/>
      <c r="D3547" s="57"/>
      <c r="F3547" s="12"/>
      <c r="M3547" s="57"/>
      <c r="N3547" s="57"/>
      <c r="O3547" s="56"/>
      <c r="P3547" s="56"/>
    </row>
    <row r="3548" spans="1:23" ht="50.1" customHeight="1" x14ac:dyDescent="0.2">
      <c r="A3548" s="13" t="str">
        <f>'3.A'!$A$162</f>
        <v>3.4.9</v>
      </c>
      <c r="B3548" s="14" t="str">
        <f>IF(A3548="","",VLOOKUP(A3548,'3.A'!$A$17:$M$279,2,FALSE))</f>
        <v>CONTATOR PARA MANOBRA DE CAPACITOR PARA CORREÇÃO DO FATOR DE POTÊNCIA, COM RESITORES DE PRÉ-CARGA, CONTATO AUXILAR 1NA, IN=16A, VN=220VAC, VCOMANDO=220VAC, F=60HZ</v>
      </c>
      <c r="C3548" s="413" t="s">
        <v>62</v>
      </c>
      <c r="D3548" s="413"/>
      <c r="E3548" s="15" t="str">
        <f>IF(A3548="","",VLOOKUP(A3548,'3.A'!$A$17:$M$279,3,FALSE))</f>
        <v>UN</v>
      </c>
      <c r="F3548" s="16">
        <f>ROUND(F3562+F3575+F3598,2)</f>
        <v>0</v>
      </c>
      <c r="G3548" s="118">
        <f>VLOOKUP(A3548,'3.A'!$A$19:$I$279,4,FALSE)</f>
        <v>6</v>
      </c>
      <c r="H3548" s="47">
        <f>SUM(F3550:F3561)</f>
        <v>0</v>
      </c>
      <c r="I3548" s="47">
        <f>SUM(F3564:F3574)</f>
        <v>0</v>
      </c>
      <c r="J3548" s="47">
        <f>SUM(F3577:F3597)</f>
        <v>0</v>
      </c>
      <c r="K3548" s="47">
        <f>SUM(H3548:J3548)</f>
        <v>0</v>
      </c>
      <c r="L3548" s="47" t="str">
        <f>IF(K3548=F3548,"SIM","NÃO")</f>
        <v>SIM</v>
      </c>
      <c r="M3548" s="58">
        <f>ROUND(SUM(F3550:F3559)*C3560,2)+ROUND(SUM(F3550:F3560)*C3561,2)+ROUND(SUM(F3550:F3559),2)+ROUND(SUM(F3564:F3573)*C3574,2)+ROUND(SUM(F3564:F3573),2)+ROUND(SUM(F3577:F3596)*C3597,2)+ROUND(SUM(F3577:F3596),2)</f>
        <v>0</v>
      </c>
      <c r="N3548" s="50" t="str">
        <f>IF(M3548=F3548,"SIM","NÃO")</f>
        <v>SIM</v>
      </c>
      <c r="O3548" s="51" t="str">
        <f>VLOOKUP(A3548,'3.A'!$A$8:$E$279,3,FALSE)</f>
        <v>UN</v>
      </c>
      <c r="P3548" s="51" t="str">
        <f>IF(O3548=E3548,"SIM","NÃO")</f>
        <v>SIM</v>
      </c>
      <c r="Q3548" s="53">
        <f>ROUND(G3548*F3562,2)+ROUND(G3548*F3575,2)+ROUND(G3548*F3598,2)</f>
        <v>0</v>
      </c>
      <c r="R3548" s="59">
        <f>VLOOKUP(A3548,'3.A'!$A$17:$L$279,12,FALSE)</f>
        <v>0</v>
      </c>
      <c r="S3548" s="60" t="str">
        <f>IF(Q3548=R3548,"si","no")</f>
        <v>si</v>
      </c>
      <c r="T3548" s="61">
        <f>SUM(L3550:L3559)+SUM(L3564:L3573)+SUM(L3577:L3596)</f>
        <v>7.8</v>
      </c>
      <c r="U3548" s="52">
        <f>G3548*C3556+G3548*C3558+G3548*C3551+G3548*C3552+G3548*C3554+G3548*C3557+G3548*C3555+G3548*C3550+G3548*C3553+G3548*C3559+G3548*C3570+G3548*C3564+G3548*C3572+G3548*C3571+G3548*C3569+G3548*C3566+G3548*C3565+G3548*C3567+G3548*C3573+G3548*C3568+G3548*C3577+G3548*C3578+G3548*C3579+G3548*C3587+G3548*C3588+G3548*C3589+G3548*C3590+G3548*C3591+G3548*C3592+G3548*C3593+G3548*C3594+G3548*C3595+G3548*C3596+G3548*C3585+G3548*C3586+G3548*C3580+G3548*C3581+G3548*C3582+G3548*C3583+G3548*C3584</f>
        <v>7.8</v>
      </c>
      <c r="V3548" s="54" t="str">
        <f>IF(T3548=U3548,"si","no")</f>
        <v>si</v>
      </c>
      <c r="W3548" s="137"/>
    </row>
    <row r="3549" spans="1:23" ht="12.75" customHeight="1" x14ac:dyDescent="0.2">
      <c r="A3549" s="17" t="s">
        <v>3</v>
      </c>
      <c r="B3549" s="18" t="s">
        <v>58</v>
      </c>
      <c r="C3549" s="56" t="s">
        <v>59</v>
      </c>
      <c r="D3549" s="56" t="s">
        <v>16</v>
      </c>
      <c r="E3549" s="19" t="s">
        <v>60</v>
      </c>
      <c r="F3549" s="20" t="s">
        <v>61</v>
      </c>
      <c r="G3549" s="21"/>
      <c r="M3549" s="57"/>
      <c r="N3549" s="57"/>
      <c r="O3549" s="56"/>
      <c r="P3549" s="56"/>
      <c r="Q3549" s="48"/>
      <c r="R3549" s="48"/>
    </row>
    <row r="3550" spans="1:23" ht="12.75" customHeight="1" x14ac:dyDescent="0.2">
      <c r="A3550" s="155">
        <f>'6.A'!$A$18</f>
        <v>88264</v>
      </c>
      <c r="B3550" s="138" t="str">
        <f>IF(A3550="","",VLOOKUP(A3550,'6.A'!$A$11:$G$180,2,FALSE))</f>
        <v>ELETRICISTA COM ENCARGOS COMPLEMENTARES</v>
      </c>
      <c r="C3550" s="156">
        <v>0.15</v>
      </c>
      <c r="D3550" s="57" t="str">
        <f>IF(A3550="","",VLOOKUP(A3550,'6.A'!$A$11:$G$180,4,FALSE))</f>
        <v>H</v>
      </c>
      <c r="E3550" s="100">
        <f>IF(A3550="","",VLOOKUP(A3550,'6.A'!$A$11:$G$180,5,FALSE))</f>
        <v>0</v>
      </c>
      <c r="F3550" s="24">
        <f t="shared" ref="F3550" si="1525">IF(A3550="","0,00",ROUND(C3550*E3550,2))</f>
        <v>0</v>
      </c>
      <c r="G3550" s="52"/>
      <c r="H3550" s="52">
        <f>IF(A3550="","",VLOOKUP(A3550,'6.A'!$A$11:$E$7984,5,FALSE))</f>
        <v>0</v>
      </c>
      <c r="I3550" s="52" t="str">
        <f>IF(H3550="","",IF(E3550=H3550,"SIM","NÃO"))</f>
        <v>SIM</v>
      </c>
      <c r="J3550" s="52" t="str">
        <f>IF(H3550="","",VLOOKUP(A3550,'6.A'!$A$11:$E$564,4,FALSE))</f>
        <v>H</v>
      </c>
      <c r="K3550" s="52" t="str">
        <f>IF(H3550="","",IF(J3550=D3550,"SIM","NÃO"))</f>
        <v>SIM</v>
      </c>
      <c r="L3550" s="52">
        <f>IF(H3550="","",IF(C3550="","",G3548*C3550))</f>
        <v>0.89999999999999991</v>
      </c>
      <c r="M3550" s="117" t="str">
        <f>IF(A3550="","",VLOOKUP(A3550,'6.A'!$A$11:$C$564,2,FALSE))</f>
        <v>ELETRICISTA COM ENCARGOS COMPLEMENTARES</v>
      </c>
      <c r="N3550" s="57" t="str">
        <f>IF(A3550="","",IF(M3550=B3550,"si","no"))</f>
        <v>si</v>
      </c>
      <c r="O3550" s="56"/>
      <c r="P3550" s="56"/>
      <c r="Q3550" s="48"/>
      <c r="R3550" s="48"/>
    </row>
    <row r="3551" spans="1:23" ht="12.75" customHeight="1" x14ac:dyDescent="0.2">
      <c r="A3551" s="155">
        <f>'6.A'!$A$15</f>
        <v>88247</v>
      </c>
      <c r="B3551" s="138" t="str">
        <f>IF(A3551="","",VLOOKUP(A3551,'6.A'!$A$11:$G$180,2,FALSE))</f>
        <v>AUXILIAR DE ELETRICISTA COM ENCARGOS COMPLEMENTARES</v>
      </c>
      <c r="C3551" s="156">
        <v>0.15</v>
      </c>
      <c r="D3551" s="57" t="str">
        <f>IF(A3551="","",VLOOKUP(A3551,'6.A'!$A$11:$G$180,4,FALSE))</f>
        <v>H</v>
      </c>
      <c r="E3551" s="100">
        <f>IF(A3551="","",VLOOKUP(A3551,'6.A'!$A$11:$G$180,5,FALSE))</f>
        <v>0</v>
      </c>
      <c r="F3551" s="24">
        <f>IF(A3551="","0,00",ROUND(C3551*E3551,2))</f>
        <v>0</v>
      </c>
      <c r="G3551" s="52"/>
      <c r="H3551" s="52">
        <f>IF(A3551="","",VLOOKUP(A3551,'6.A'!$A$11:$E$7984,5,FALSE))</f>
        <v>0</v>
      </c>
      <c r="I3551" s="52" t="str">
        <f>IF(H3551="","",IF(E3551=H3551,"SIM","NÃO"))</f>
        <v>SIM</v>
      </c>
      <c r="J3551" s="52" t="str">
        <f>IF(H3551="","",VLOOKUP(A3551,'6.A'!$A$11:$E$564,4,FALSE))</f>
        <v>H</v>
      </c>
      <c r="K3551" s="52" t="str">
        <f>IF(H3551="","",IF(J3551=D3551,"SIM","NÃO"))</f>
        <v>SIM</v>
      </c>
      <c r="L3551" s="52">
        <f>IF(H3551="","",IF(C3551="","",G3548*C3551))</f>
        <v>0.89999999999999991</v>
      </c>
      <c r="M3551" s="117" t="str">
        <f>IF(A3551="","",VLOOKUP(A3551,'6.A'!$A$11:$C$564,2,FALSE))</f>
        <v>AUXILIAR DE ELETRICISTA COM ENCARGOS COMPLEMENTARES</v>
      </c>
      <c r="N3551" s="57" t="str">
        <f>IF(A3551="","",IF(M3551=B3551,"si","no"))</f>
        <v>si</v>
      </c>
      <c r="O3551" s="56"/>
      <c r="P3551" s="56"/>
      <c r="Q3551" s="48"/>
      <c r="R3551" s="48"/>
    </row>
    <row r="3552" spans="1:23" ht="12.75" customHeight="1" x14ac:dyDescent="0.2">
      <c r="A3552" s="155"/>
      <c r="B3552" s="138" t="str">
        <f>IF(A3552="","",VLOOKUP(A3552,'6.A'!$A$11:$G$180,2,FALSE))</f>
        <v/>
      </c>
      <c r="C3552" s="156"/>
      <c r="D3552" s="57" t="str">
        <f>IF(A3552="","",VLOOKUP(A3552,'6.A'!$A$11:$G$180,4,FALSE))</f>
        <v/>
      </c>
      <c r="E3552" s="100" t="str">
        <f>IF(A3552="","",VLOOKUP(A3552,'6.A'!$A$11:$G$180,5,FALSE))</f>
        <v/>
      </c>
      <c r="F3552" s="24" t="str">
        <f t="shared" ref="F3552:F3559" si="1526">IF(A3552="","0,00",ROUND(C3552*E3552,2))</f>
        <v>0,00</v>
      </c>
      <c r="G3552" s="52"/>
      <c r="H3552" s="52" t="str">
        <f>IF(A3552="","",VLOOKUP(A3552,'6.A'!$A$11:$E$7984,5,FALSE))</f>
        <v/>
      </c>
      <c r="I3552" s="52" t="str">
        <f>IF(H3552="","",IF(E3552=H3552,"SIM","NÃO"))</f>
        <v/>
      </c>
      <c r="J3552" s="52" t="str">
        <f>IF(H3552="","",VLOOKUP(A3552,'6.A'!$A$11:$E$564,4,FALSE))</f>
        <v/>
      </c>
      <c r="K3552" s="52" t="str">
        <f t="shared" ref="K3552" si="1527">IF(H3552="","",IF(J3552=D3552,"SIM","NÃO"))</f>
        <v/>
      </c>
      <c r="L3552" s="52" t="str">
        <f>IF(H3552="","",IF(C3552="","",G3548*C3552))</f>
        <v/>
      </c>
      <c r="M3552" s="117" t="str">
        <f>IF(A3552="","",VLOOKUP(A3552,'6.A'!$A$11:$C$564,2,FALSE))</f>
        <v/>
      </c>
      <c r="N3552" s="57" t="str">
        <f t="shared" ref="N3552" si="1528">IF(A3552="","",IF(M3552=B3552,"si","no"))</f>
        <v/>
      </c>
      <c r="O3552" s="56"/>
      <c r="P3552" s="56"/>
      <c r="Q3552" s="48"/>
      <c r="R3552" s="48"/>
      <c r="S3552" s="2"/>
    </row>
    <row r="3553" spans="1:19" ht="12.75" customHeight="1" x14ac:dyDescent="0.2">
      <c r="A3553" s="155"/>
      <c r="B3553" s="138" t="str">
        <f>IF(A3553="","",VLOOKUP(A3553,'6.A'!$A$11:$G$180,2,FALSE))</f>
        <v/>
      </c>
      <c r="C3553" s="156"/>
      <c r="D3553" s="57" t="str">
        <f>IF(A3553="","",VLOOKUP(A3553,'6.A'!$A$11:$G$180,4,FALSE))</f>
        <v/>
      </c>
      <c r="E3553" s="100" t="str">
        <f>IF(A3553="","",VLOOKUP(A3553,'6.A'!$A$11:$G$180,5,FALSE))</f>
        <v/>
      </c>
      <c r="F3553" s="24" t="str">
        <f t="shared" si="1526"/>
        <v>0,00</v>
      </c>
      <c r="G3553" s="52"/>
      <c r="H3553" s="52" t="str">
        <f>IF(A3553="","",VLOOKUP(A3553,'6.A'!$A$11:$E$7984,5,FALSE))</f>
        <v/>
      </c>
      <c r="I3553" s="52" t="str">
        <f>IF(H3553="","",IF(E3553=H3553,"SIM","NÃO"))</f>
        <v/>
      </c>
      <c r="J3553" s="52" t="str">
        <f>IF(H3553="","",VLOOKUP(A3553,'6.A'!$A$11:$E$564,4,FALSE))</f>
        <v/>
      </c>
      <c r="K3553" s="52" t="str">
        <f>IF(H3553="","",IF(J3553=D3553,"SIM","NÃO"))</f>
        <v/>
      </c>
      <c r="L3553" s="52" t="str">
        <f>IF(H3553="","",IF(C3553="","",G3548*C3553))</f>
        <v/>
      </c>
      <c r="M3553" s="117" t="str">
        <f>IF(A3553="","",VLOOKUP(A3553,'6.A'!$A$11:$C$564,2,FALSE))</f>
        <v/>
      </c>
      <c r="N3553" s="57" t="str">
        <f>IF(A3553="","",IF(M3553=B3553,"si","no"))</f>
        <v/>
      </c>
      <c r="O3553" s="56"/>
      <c r="P3553" s="56"/>
      <c r="Q3553" s="48"/>
      <c r="R3553" s="48"/>
      <c r="S3553" s="2"/>
    </row>
    <row r="3554" spans="1:19" ht="12.75" customHeight="1" x14ac:dyDescent="0.2">
      <c r="A3554" s="155"/>
      <c r="B3554" s="138" t="str">
        <f>IF(A3554="","",VLOOKUP(A3554,'6.A'!$A$11:$G$180,2,FALSE))</f>
        <v/>
      </c>
      <c r="C3554" s="156"/>
      <c r="D3554" s="57" t="str">
        <f>IF(A3554="","",VLOOKUP(A3554,'6.A'!$A$11:$G$180,4,FALSE))</f>
        <v/>
      </c>
      <c r="E3554" s="101" t="str">
        <f>IF(A3554="","",VLOOKUP(A3554,'6.A'!$A$11:$G$180,5,FALSE))</f>
        <v/>
      </c>
      <c r="F3554" s="24" t="str">
        <f t="shared" si="1526"/>
        <v>0,00</v>
      </c>
      <c r="G3554" s="52"/>
      <c r="H3554" s="52" t="str">
        <f>IF(A3554="","",VLOOKUP(A3554,'6.A'!$A$11:$E$7984,5,FALSE))</f>
        <v/>
      </c>
      <c r="I3554" s="52" t="str">
        <f t="shared" ref="I3554" si="1529">IF(H3554="","",IF(E3554=H3554,"SIM","NÃO"))</f>
        <v/>
      </c>
      <c r="J3554" s="52" t="str">
        <f>IF(H3554="","",VLOOKUP(A3554,'6.A'!$A$11:$E$564,4,FALSE))</f>
        <v/>
      </c>
      <c r="K3554" s="52" t="str">
        <f t="shared" ref="K3554" si="1530">IF(H3554="","",IF(J3554=D3554,"SIM","NÃO"))</f>
        <v/>
      </c>
      <c r="L3554" s="52" t="str">
        <f>IF(H3554="","",IF(C3554="","",G3548*C3554))</f>
        <v/>
      </c>
      <c r="M3554" s="117" t="str">
        <f>IF(A3554="","",VLOOKUP(A3554,'6.A'!$A$11:$C$564,2,FALSE))</f>
        <v/>
      </c>
      <c r="N3554" s="57" t="str">
        <f t="shared" ref="N3554" si="1531">IF(A3554="","",IF(M3554=B3554,"si","no"))</f>
        <v/>
      </c>
      <c r="O3554" s="56"/>
      <c r="P3554" s="56"/>
      <c r="Q3554" s="48"/>
      <c r="R3554" s="48"/>
      <c r="S3554" s="2"/>
    </row>
    <row r="3555" spans="1:19" ht="12.75" customHeight="1" x14ac:dyDescent="0.2">
      <c r="A3555" s="155"/>
      <c r="B3555" s="138" t="str">
        <f>IF(A3555="","",VLOOKUP(A3555,'6.A'!$A$11:$G$180,2,FALSE))</f>
        <v/>
      </c>
      <c r="C3555" s="156"/>
      <c r="D3555" s="57" t="str">
        <f>IF(A3555="","",VLOOKUP(A3555,'6.A'!$A$11:$G$180,4,FALSE))</f>
        <v/>
      </c>
      <c r="E3555" s="101" t="str">
        <f>IF(A3555="","",VLOOKUP(A3555,'6.A'!$A$11:$G$180,5,FALSE))</f>
        <v/>
      </c>
      <c r="F3555" s="24" t="str">
        <f t="shared" si="1526"/>
        <v>0,00</v>
      </c>
      <c r="G3555" s="52"/>
      <c r="H3555" s="52" t="str">
        <f>IF(A3555="","",VLOOKUP(A3555,'6.A'!$A$11:$E$7984,5,FALSE))</f>
        <v/>
      </c>
      <c r="I3555" s="52" t="str">
        <f>IF(H3555="","",IF(E3555=H3555,"SIM","NÃO"))</f>
        <v/>
      </c>
      <c r="J3555" s="52" t="str">
        <f>IF(H3555="","",VLOOKUP(A3555,'6.A'!$A$11:$E$564,4,FALSE))</f>
        <v/>
      </c>
      <c r="K3555" s="52" t="str">
        <f>IF(H3555="","",IF(J3555=D3555,"SIM","NÃO"))</f>
        <v/>
      </c>
      <c r="L3555" s="52" t="str">
        <f>IF(H3555="","",IF(C3555="","",G3548*C3555))</f>
        <v/>
      </c>
      <c r="M3555" s="117" t="str">
        <f>IF(A3555="","",VLOOKUP(A3555,'6.A'!$A$11:$C$564,2,FALSE))</f>
        <v/>
      </c>
      <c r="N3555" s="57" t="str">
        <f>IF(A3555="","",IF(M3555=B3555,"si","no"))</f>
        <v/>
      </c>
      <c r="O3555" s="56"/>
      <c r="P3555" s="56"/>
      <c r="Q3555" s="48"/>
      <c r="R3555" s="48"/>
      <c r="S3555" s="2"/>
    </row>
    <row r="3556" spans="1:19" ht="12.75" customHeight="1" x14ac:dyDescent="0.2">
      <c r="A3556" s="155"/>
      <c r="B3556" s="138" t="str">
        <f>IF(A3556="","",VLOOKUP(A3556,'6.A'!$A$11:$G$180,2,FALSE))</f>
        <v/>
      </c>
      <c r="C3556" s="156"/>
      <c r="D3556" s="57" t="str">
        <f>IF(A3556="","",VLOOKUP(A3556,'6.A'!$A$11:$G$180,4,FALSE))</f>
        <v/>
      </c>
      <c r="E3556" s="100" t="str">
        <f>IF(A3556="","",VLOOKUP(A3556,'6.A'!$A$11:$G$180,5,FALSE))</f>
        <v/>
      </c>
      <c r="F3556" s="24" t="str">
        <f t="shared" si="1526"/>
        <v>0,00</v>
      </c>
      <c r="G3556" s="52"/>
      <c r="H3556" s="52" t="str">
        <f>IF(A3556="","",VLOOKUP(A3556,'6.A'!$A$11:$E$7984,5,FALSE))</f>
        <v/>
      </c>
      <c r="I3556" s="52" t="str">
        <f>IF(H3556="","",IF(E3556=H3556,"SIM","NÃO"))</f>
        <v/>
      </c>
      <c r="J3556" s="52" t="str">
        <f>IF(H3556="","",VLOOKUP(A3556,'6.A'!$A$11:$E$564,4,FALSE))</f>
        <v/>
      </c>
      <c r="K3556" s="52" t="str">
        <f>IF(H3556="","",IF(J3556=D3556,"SIM","NÃO"))</f>
        <v/>
      </c>
      <c r="L3556" s="52" t="str">
        <f>IF(H3556="","",IF(C3556="","",G3548*C3556))</f>
        <v/>
      </c>
      <c r="M3556" s="117" t="str">
        <f>IF(A3556="","",VLOOKUP(A3556,'6.A'!$A$11:$C$564,2,FALSE))</f>
        <v/>
      </c>
      <c r="N3556" s="57" t="str">
        <f>IF(A3556="","",IF(M3556=B3556,"si","no"))</f>
        <v/>
      </c>
      <c r="O3556" s="56"/>
      <c r="P3556" s="56"/>
      <c r="Q3556" s="48"/>
      <c r="R3556" s="48"/>
      <c r="S3556" s="2"/>
    </row>
    <row r="3557" spans="1:19" ht="12.75" customHeight="1" x14ac:dyDescent="0.2">
      <c r="A3557" s="155"/>
      <c r="B3557" s="138" t="str">
        <f>IF(A3557="","",VLOOKUP(A3557,'6.A'!$A$11:$G$180,2,FALSE))</f>
        <v/>
      </c>
      <c r="C3557" s="156"/>
      <c r="D3557" s="57" t="str">
        <f>IF(A3557="","",VLOOKUP(A3557,'6.A'!$A$11:$G$180,4,FALSE))</f>
        <v/>
      </c>
      <c r="E3557" s="100" t="str">
        <f>IF(A3557="","",VLOOKUP(A3557,'6.A'!$A$11:$G$180,5,FALSE))</f>
        <v/>
      </c>
      <c r="F3557" s="24" t="str">
        <f t="shared" si="1526"/>
        <v>0,00</v>
      </c>
      <c r="G3557" s="52"/>
      <c r="H3557" s="52" t="str">
        <f>IF(A3557="","",VLOOKUP(A3557,'6.A'!$A$11:$E$7984,5,FALSE))</f>
        <v/>
      </c>
      <c r="I3557" s="52" t="str">
        <f t="shared" ref="I3557" si="1532">IF(H3557="","",IF(E3557=H3557,"SIM","NÃO"))</f>
        <v/>
      </c>
      <c r="J3557" s="52" t="str">
        <f>IF(H3557="","",VLOOKUP(A3557,'6.A'!$A$11:$E$564,4,FALSE))</f>
        <v/>
      </c>
      <c r="K3557" s="52" t="str">
        <f t="shared" ref="K3557" si="1533">IF(H3557="","",IF(J3557=D3557,"SIM","NÃO"))</f>
        <v/>
      </c>
      <c r="L3557" s="52" t="str">
        <f>IF(H3557="","",IF(C3557="","",G3548*C3557))</f>
        <v/>
      </c>
      <c r="M3557" s="117" t="str">
        <f>IF(A3557="","",VLOOKUP(A3557,'6.A'!$A$11:$C$564,2,FALSE))</f>
        <v/>
      </c>
      <c r="N3557" s="57" t="str">
        <f t="shared" ref="N3557" si="1534">IF(A3557="","",IF(M3557=B3557,"si","no"))</f>
        <v/>
      </c>
      <c r="O3557" s="56"/>
      <c r="P3557" s="56"/>
      <c r="Q3557" s="48"/>
      <c r="R3557" s="48"/>
      <c r="S3557" s="2"/>
    </row>
    <row r="3558" spans="1:19" ht="12.75" customHeight="1" x14ac:dyDescent="0.2">
      <c r="A3558" s="155"/>
      <c r="B3558" s="138" t="str">
        <f>IF(A3558="","",VLOOKUP(A3558,'6.A'!$A$11:$G$180,2,FALSE))</f>
        <v/>
      </c>
      <c r="C3558" s="156"/>
      <c r="D3558" s="73" t="str">
        <f>IF(A3558="","",VLOOKUP(A3558,'6.A'!$A$11:$G$180,4,FALSE))</f>
        <v/>
      </c>
      <c r="E3558" s="101" t="str">
        <f>IF(A3558="","",VLOOKUP(A3558,'6.A'!$A$11:$G$180,5,FALSE))</f>
        <v/>
      </c>
      <c r="F3558" s="24" t="str">
        <f t="shared" si="1526"/>
        <v>0,00</v>
      </c>
      <c r="G3558" s="52"/>
      <c r="H3558" s="52" t="str">
        <f>IF(A3558="","",VLOOKUP(A3558,'6.A'!$A$11:$E$7984,5,FALSE))</f>
        <v/>
      </c>
      <c r="I3558" s="52" t="str">
        <f>IF(H3558="","",IF(E3558=H3558,"SIM","NÃO"))</f>
        <v/>
      </c>
      <c r="J3558" s="52" t="str">
        <f>IF(H3558="","",VLOOKUP(A3558,'6.A'!$A$11:$E$564,4,FALSE))</f>
        <v/>
      </c>
      <c r="K3558" s="52" t="str">
        <f>IF(H3558="","",IF(J3558=D3558,"SIM","NÃO"))</f>
        <v/>
      </c>
      <c r="L3558" s="52" t="str">
        <f>IF(H3558="","",IF(C3558="","",G3548*C3558))</f>
        <v/>
      </c>
      <c r="M3558" s="117" t="str">
        <f>IF(A3558="","",VLOOKUP(A3558,'6.A'!$A$11:$C$564,2,FALSE))</f>
        <v/>
      </c>
      <c r="N3558" s="57" t="str">
        <f>IF(A3558="","",IF(M3558=B3558,"si","no"))</f>
        <v/>
      </c>
      <c r="O3558" s="56"/>
      <c r="P3558" s="56"/>
      <c r="Q3558" s="48"/>
      <c r="R3558" s="48"/>
      <c r="S3558" s="2"/>
    </row>
    <row r="3559" spans="1:19" ht="12.75" customHeight="1" x14ac:dyDescent="0.2">
      <c r="A3559" s="155"/>
      <c r="B3559" s="138" t="str">
        <f>IF(A3559="","",VLOOKUP(A3559,'6.A'!$A$11:$G$180,2,FALSE))</f>
        <v/>
      </c>
      <c r="C3559" s="156"/>
      <c r="D3559" s="25" t="str">
        <f>IF(A3559="","",VLOOKUP(A3559,'6.A'!$A$11:$G$180,4,FALSE))</f>
        <v/>
      </c>
      <c r="E3559" s="101" t="str">
        <f>IF(A3559="","",VLOOKUP(A3559,'6.A'!$A$11:$G$180,5,FALSE))</f>
        <v/>
      </c>
      <c r="F3559" s="24" t="str">
        <f t="shared" si="1526"/>
        <v>0,00</v>
      </c>
      <c r="G3559" s="52"/>
      <c r="H3559" s="52" t="str">
        <f>IF(A3559="","",VLOOKUP(A3559,'6.A'!$A$11:$E$7984,5,FALSE))</f>
        <v/>
      </c>
      <c r="I3559" s="52" t="str">
        <f t="shared" ref="I3559" si="1535">IF(H3559="","",IF(E3559=H3559,"SIM","NÃO"))</f>
        <v/>
      </c>
      <c r="J3559" s="52" t="str">
        <f>IF(H3559="","",VLOOKUP(A3559,'6.A'!$A$11:$E$564,4,FALSE))</f>
        <v/>
      </c>
      <c r="K3559" s="52" t="str">
        <f t="shared" ref="K3559" si="1536">IF(H3559="","",IF(J3559=D3559,"SIM","NÃO"))</f>
        <v/>
      </c>
      <c r="L3559" s="52" t="str">
        <f>IF(H3559="","",IF(C3559="","",G3548*C3559))</f>
        <v/>
      </c>
      <c r="M3559" s="117" t="str">
        <f>IF(A3559="","",VLOOKUP(A3559,'6.A'!$A$11:$C$564,2,FALSE))</f>
        <v/>
      </c>
      <c r="N3559" s="57" t="str">
        <f t="shared" ref="N3559" si="1537">IF(A3559="","",IF(M3559=B3559,"si","no"))</f>
        <v/>
      </c>
      <c r="O3559" s="56"/>
      <c r="P3559" s="56"/>
      <c r="Q3559" s="48"/>
      <c r="R3559" s="48"/>
      <c r="S3559" s="2"/>
    </row>
    <row r="3560" spans="1:19" ht="12.75" customHeight="1" x14ac:dyDescent="0.2">
      <c r="A3560" s="152"/>
      <c r="B3560" s="26" t="str">
        <f>$A$8</f>
        <v>LEIS SOCIAIS HORISTA - JORNADA NORMAL</v>
      </c>
      <c r="C3560" s="27">
        <f>$C$8</f>
        <v>0</v>
      </c>
      <c r="D3560" s="57"/>
      <c r="F3560" s="28">
        <f>ROUND(SUM(F3550:F3559)*C3560,2)</f>
        <v>0</v>
      </c>
      <c r="G3560" s="63"/>
      <c r="M3560" s="62"/>
      <c r="N3560" s="57"/>
      <c r="O3560" s="56"/>
      <c r="P3560" s="56"/>
      <c r="Q3560" s="48"/>
      <c r="R3560" s="48"/>
      <c r="S3560" s="2"/>
    </row>
    <row r="3561" spans="1:19" ht="12.75" customHeight="1" x14ac:dyDescent="0.2">
      <c r="A3561" s="155"/>
      <c r="B3561" s="26" t="str">
        <f>$A$9</f>
        <v>BDI</v>
      </c>
      <c r="C3561" s="27">
        <f>$C$9</f>
        <v>0</v>
      </c>
      <c r="D3561" s="29"/>
      <c r="F3561" s="28">
        <f>ROUND(SUM(F3550:F3560)*C3561,2)</f>
        <v>0</v>
      </c>
      <c r="G3561" s="63"/>
      <c r="M3561" s="62"/>
      <c r="N3561" s="57"/>
      <c r="O3561" s="56"/>
      <c r="P3561" s="56"/>
      <c r="Q3561" s="48"/>
      <c r="R3561" s="48"/>
      <c r="S3561" s="2"/>
    </row>
    <row r="3562" spans="1:19" ht="12.75" customHeight="1" x14ac:dyDescent="0.2">
      <c r="A3562" s="163"/>
      <c r="B3562" s="164" t="s">
        <v>56</v>
      </c>
      <c r="C3562" s="165"/>
      <c r="D3562" s="33"/>
      <c r="E3562" s="34"/>
      <c r="F3562" s="35">
        <f>ROUND(SUM(F3550:F3561),2)</f>
        <v>0</v>
      </c>
      <c r="G3562" s="63"/>
      <c r="M3562" s="62"/>
      <c r="N3562" s="57"/>
      <c r="O3562" s="56"/>
      <c r="P3562" s="56"/>
      <c r="Q3562" s="48"/>
      <c r="R3562" s="48"/>
      <c r="S3562" s="2"/>
    </row>
    <row r="3563" spans="1:19" ht="12.75" customHeight="1" x14ac:dyDescent="0.2">
      <c r="A3563" s="152" t="s">
        <v>5</v>
      </c>
      <c r="B3563" s="153" t="s">
        <v>130</v>
      </c>
      <c r="C3563" s="140" t="s">
        <v>59</v>
      </c>
      <c r="D3563" s="56" t="s">
        <v>16</v>
      </c>
      <c r="E3563" s="19" t="s">
        <v>60</v>
      </c>
      <c r="F3563" s="20" t="s">
        <v>61</v>
      </c>
      <c r="G3563" s="21"/>
      <c r="M3563" s="62"/>
      <c r="N3563" s="57"/>
      <c r="O3563" s="56"/>
      <c r="P3563" s="56"/>
      <c r="Q3563" s="48"/>
      <c r="R3563" s="48"/>
      <c r="S3563" s="2"/>
    </row>
    <row r="3564" spans="1:19" ht="12.75" customHeight="1" x14ac:dyDescent="0.2">
      <c r="A3564" s="155"/>
      <c r="B3564" s="138" t="str">
        <f>IF(A3564="","",VLOOKUP(A3564,'6.A'!$A$11:$G$180,2,FALSE))</f>
        <v/>
      </c>
      <c r="C3564" s="156"/>
      <c r="D3564" s="57" t="str">
        <f>IF(A3564="","",VLOOKUP(A3564,'6.A'!$A$11:$G$180,4,FALSE))</f>
        <v/>
      </c>
      <c r="E3564" s="100" t="str">
        <f>IF(A3564="","",VLOOKUP(A3564,'6.A'!$A$11:$G$180,5,FALSE))</f>
        <v/>
      </c>
      <c r="F3564" s="24" t="str">
        <f t="shared" ref="F3564:F3573" si="1538">IF(A3564="","0,00",ROUND(C3564*E3564,2))</f>
        <v>0,00</v>
      </c>
      <c r="G3564" s="52"/>
      <c r="H3564" s="52" t="str">
        <f>IF(A3564="","",VLOOKUP(A3564,'6.A'!$A$11:$E$7984,5,FALSE))</f>
        <v/>
      </c>
      <c r="I3564" s="52" t="str">
        <f t="shared" ref="I3564:I3573" si="1539">IF(H3564="","",IF(E3564=H3564,"SIM","NÃO"))</f>
        <v/>
      </c>
      <c r="J3564" s="52" t="str">
        <f>IF(H3564="","",VLOOKUP(A3564,'6.A'!$A$11:$E$564,4,FALSE))</f>
        <v/>
      </c>
      <c r="K3564" s="52" t="str">
        <f t="shared" ref="K3564:K3573" si="1540">IF(H3564="","",IF(J3564=D3564,"SIM","NÃO"))</f>
        <v/>
      </c>
      <c r="L3564" s="52" t="str">
        <f>IF(H3564="","",IF(C3564="","",G3548*C3564))</f>
        <v/>
      </c>
      <c r="M3564" s="117" t="str">
        <f>IF(A3564="","",VLOOKUP(A3564,'6.A'!$A$11:$C$564,2,FALSE))</f>
        <v/>
      </c>
      <c r="N3564" s="57" t="str">
        <f t="shared" ref="N3564:N3569" si="1541">IF(A3564="","",IF(M3564=B3564,"si","no"))</f>
        <v/>
      </c>
      <c r="O3564" s="56"/>
      <c r="P3564" s="56"/>
      <c r="Q3564" s="48"/>
      <c r="R3564" s="48"/>
      <c r="S3564" s="2"/>
    </row>
    <row r="3565" spans="1:19" ht="12.75" customHeight="1" x14ac:dyDescent="0.2">
      <c r="A3565" s="155"/>
      <c r="B3565" s="138" t="str">
        <f>IF(A3565="","",VLOOKUP(A3565,'6.A'!$A$11:$G$180,2,FALSE))</f>
        <v/>
      </c>
      <c r="C3565" s="156"/>
      <c r="D3565" s="57" t="str">
        <f>IF(A3565="","",VLOOKUP(A3565,'6.A'!$A$11:$G$180,4,FALSE))</f>
        <v/>
      </c>
      <c r="E3565" s="100" t="str">
        <f>IF(A3565="","",VLOOKUP(A3565,'6.A'!$A$11:$G$180,5,FALSE))</f>
        <v/>
      </c>
      <c r="F3565" s="24" t="str">
        <f t="shared" si="1538"/>
        <v>0,00</v>
      </c>
      <c r="G3565" s="52"/>
      <c r="H3565" s="52" t="str">
        <f>IF(A3565="","",VLOOKUP(A3565,'6.A'!$A$11:$E$7984,5,FALSE))</f>
        <v/>
      </c>
      <c r="I3565" s="52" t="str">
        <f t="shared" si="1539"/>
        <v/>
      </c>
      <c r="J3565" s="52" t="str">
        <f>IF(H3565="","",VLOOKUP(A3565,'6.A'!$A$11:$E$564,4,FALSE))</f>
        <v/>
      </c>
      <c r="K3565" s="52" t="str">
        <f t="shared" si="1540"/>
        <v/>
      </c>
      <c r="L3565" s="52" t="str">
        <f>IF(H3565="","",IF(C3565="","",G3548*C3565))</f>
        <v/>
      </c>
      <c r="M3565" s="117" t="str">
        <f>IF(A3565="","",VLOOKUP(A3565,'6.A'!$A$11:$C$564,2,FALSE))</f>
        <v/>
      </c>
      <c r="N3565" s="57" t="str">
        <f t="shared" si="1541"/>
        <v/>
      </c>
      <c r="O3565" s="56"/>
      <c r="P3565" s="56"/>
      <c r="Q3565" s="48"/>
      <c r="R3565" s="48"/>
      <c r="S3565" s="2"/>
    </row>
    <row r="3566" spans="1:19" ht="12.75" customHeight="1" x14ac:dyDescent="0.2">
      <c r="A3566" s="155"/>
      <c r="B3566" s="138" t="str">
        <f>IF(A3566="","",VLOOKUP(A3566,'6.A'!$A$11:$G$180,2,FALSE))</f>
        <v/>
      </c>
      <c r="C3566" s="156"/>
      <c r="D3566" s="57" t="str">
        <f>IF(A3566="","",VLOOKUP(A3566,'6.A'!$A$11:$G$180,4,FALSE))</f>
        <v/>
      </c>
      <c r="E3566" s="100" t="str">
        <f>IF(A3566="","",VLOOKUP(A3566,'6.A'!$A$11:$G$180,5,FALSE))</f>
        <v/>
      </c>
      <c r="F3566" s="24" t="str">
        <f t="shared" si="1538"/>
        <v>0,00</v>
      </c>
      <c r="G3566" s="52"/>
      <c r="H3566" s="52" t="str">
        <f>IF(A3566="","",VLOOKUP(A3566,'6.A'!$A$11:$E$7984,5,FALSE))</f>
        <v/>
      </c>
      <c r="I3566" s="52" t="str">
        <f t="shared" si="1539"/>
        <v/>
      </c>
      <c r="J3566" s="52" t="str">
        <f>IF(H3566="","",VLOOKUP(A3566,'6.A'!$A$11:$E$564,4,FALSE))</f>
        <v/>
      </c>
      <c r="K3566" s="52" t="str">
        <f t="shared" si="1540"/>
        <v/>
      </c>
      <c r="L3566" s="52" t="str">
        <f>IF(H3566="","",IF(C3566="","",G3548*C3566))</f>
        <v/>
      </c>
      <c r="M3566" s="117" t="str">
        <f>IF(A3566="","",VLOOKUP(A3566,'6.A'!$A$11:$C$564,2,FALSE))</f>
        <v/>
      </c>
      <c r="N3566" s="57" t="str">
        <f t="shared" si="1541"/>
        <v/>
      </c>
      <c r="O3566" s="56"/>
      <c r="P3566" s="56"/>
      <c r="Q3566" s="48"/>
      <c r="R3566" s="48"/>
      <c r="S3566" s="2"/>
    </row>
    <row r="3567" spans="1:19" ht="12.75" customHeight="1" x14ac:dyDescent="0.2">
      <c r="A3567" s="155"/>
      <c r="B3567" s="176" t="str">
        <f>IF(A3567="","",VLOOKUP(A3567,'6.A'!$A$11:$G$180,2,FALSE))</f>
        <v/>
      </c>
      <c r="C3567" s="156"/>
      <c r="D3567" s="57" t="str">
        <f>IF(A3567="","",VLOOKUP(A3567,'6.A'!$A$11:$G$180,4,FALSE))</f>
        <v/>
      </c>
      <c r="E3567" s="100" t="str">
        <f>IF(A3567="","",VLOOKUP(A3567,'6.A'!$A$11:$G$180,5,FALSE))</f>
        <v/>
      </c>
      <c r="F3567" s="24" t="str">
        <f t="shared" si="1538"/>
        <v>0,00</v>
      </c>
      <c r="G3567" s="52"/>
      <c r="H3567" s="52" t="str">
        <f>IF(A3567="","",VLOOKUP(A3567,'6.A'!$A$11:$E$7984,5,FALSE))</f>
        <v/>
      </c>
      <c r="I3567" s="52" t="str">
        <f t="shared" si="1539"/>
        <v/>
      </c>
      <c r="J3567" s="52" t="str">
        <f>IF(H3567="","",VLOOKUP(A3567,'6.A'!$A$11:$E$564,4,FALSE))</f>
        <v/>
      </c>
      <c r="K3567" s="52" t="str">
        <f t="shared" si="1540"/>
        <v/>
      </c>
      <c r="L3567" s="52" t="str">
        <f>IF(H3567="","",IF(C3567="","",G3548*C3567))</f>
        <v/>
      </c>
      <c r="M3567" s="117" t="str">
        <f>IF(A3567="","",VLOOKUP(A3567,'6.A'!$A$11:$C$564,2,FALSE))</f>
        <v/>
      </c>
      <c r="N3567" s="57" t="str">
        <f t="shared" si="1541"/>
        <v/>
      </c>
      <c r="O3567" s="56"/>
      <c r="P3567" s="56"/>
      <c r="Q3567" s="48"/>
      <c r="R3567" s="48"/>
      <c r="S3567" s="2"/>
    </row>
    <row r="3568" spans="1:19" ht="12.75" customHeight="1" x14ac:dyDescent="0.2">
      <c r="A3568" s="155"/>
      <c r="B3568" s="176" t="str">
        <f>IF(A3568="","",VLOOKUP(A3568,'6.A'!$A$11:$G$180,2,FALSE))</f>
        <v/>
      </c>
      <c r="C3568" s="156"/>
      <c r="D3568" s="57" t="str">
        <f>IF(A3568="","",VLOOKUP(A3568,'6.A'!$A$11:$G$180,4,FALSE))</f>
        <v/>
      </c>
      <c r="E3568" s="100" t="str">
        <f>IF(A3568="","",VLOOKUP(A3568,'6.A'!$A$11:$G$180,5,FALSE))</f>
        <v/>
      </c>
      <c r="F3568" s="24" t="str">
        <f t="shared" si="1538"/>
        <v>0,00</v>
      </c>
      <c r="G3568" s="52"/>
      <c r="H3568" s="52" t="str">
        <f>IF(A3568="","",VLOOKUP(A3568,'6.A'!$A$11:$E$7984,5,FALSE))</f>
        <v/>
      </c>
      <c r="I3568" s="52" t="str">
        <f t="shared" si="1539"/>
        <v/>
      </c>
      <c r="J3568" s="52" t="str">
        <f>IF(H3568="","",VLOOKUP(A3568,'6.A'!$A$11:$E$564,4,FALSE))</f>
        <v/>
      </c>
      <c r="K3568" s="52" t="str">
        <f t="shared" si="1540"/>
        <v/>
      </c>
      <c r="L3568" s="52" t="str">
        <f>IF(H3568="","",IF(C3568="","",G3548*C3568))</f>
        <v/>
      </c>
      <c r="M3568" s="117" t="str">
        <f>IF(A3568="","",VLOOKUP(A3568,'6.A'!$A$11:$C$564,2,FALSE))</f>
        <v/>
      </c>
      <c r="N3568" s="57" t="str">
        <f t="shared" si="1541"/>
        <v/>
      </c>
      <c r="O3568" s="56"/>
      <c r="P3568" s="56"/>
      <c r="Q3568" s="48"/>
      <c r="R3568" s="48"/>
      <c r="S3568" s="2"/>
    </row>
    <row r="3569" spans="1:22" ht="12.75" customHeight="1" x14ac:dyDescent="0.2">
      <c r="A3569" s="155"/>
      <c r="B3569" s="176" t="str">
        <f>IF(A3569="","",VLOOKUP(A3569,'6.A'!$A$11:$G$180,2,FALSE))</f>
        <v/>
      </c>
      <c r="C3569" s="156"/>
      <c r="D3569" s="57" t="str">
        <f>IF(A3569="","",VLOOKUP(A3569,'6.A'!$A$11:$G$180,4,FALSE))</f>
        <v/>
      </c>
      <c r="E3569" s="100" t="str">
        <f>IF(A3569="","",VLOOKUP(A3569,'6.A'!$A$11:$G$180,5,FALSE))</f>
        <v/>
      </c>
      <c r="F3569" s="24" t="str">
        <f t="shared" si="1538"/>
        <v>0,00</v>
      </c>
      <c r="G3569" s="52"/>
      <c r="H3569" s="52" t="str">
        <f>IF(A3569="","",VLOOKUP(A3569,'6.A'!$A$11:$E$7984,5,FALSE))</f>
        <v/>
      </c>
      <c r="I3569" s="52" t="str">
        <f t="shared" si="1539"/>
        <v/>
      </c>
      <c r="J3569" s="52" t="str">
        <f>IF(H3569="","",VLOOKUP(A3569,'6.A'!$A$11:$E$564,4,FALSE))</f>
        <v/>
      </c>
      <c r="K3569" s="52" t="str">
        <f t="shared" si="1540"/>
        <v/>
      </c>
      <c r="L3569" s="52" t="str">
        <f>IF(H3569="","",IF(C3569="","",G3548*C3569))</f>
        <v/>
      </c>
      <c r="M3569" s="117" t="str">
        <f>IF(A3569="","",VLOOKUP(A3569,'6.A'!$A$11:$C$564,2,FALSE))</f>
        <v/>
      </c>
      <c r="N3569" s="57" t="str">
        <f t="shared" si="1541"/>
        <v/>
      </c>
      <c r="O3569" s="56"/>
      <c r="P3569" s="56"/>
      <c r="Q3569" s="48"/>
      <c r="R3569" s="48"/>
      <c r="S3569" s="2"/>
    </row>
    <row r="3570" spans="1:22" ht="12.75" customHeight="1" x14ac:dyDescent="0.2">
      <c r="A3570" s="155"/>
      <c r="B3570" s="176" t="str">
        <f>IF(A3570="","",VLOOKUP(A3570,'6.A'!$A$11:$G$180,2,FALSE))</f>
        <v/>
      </c>
      <c r="C3570" s="156"/>
      <c r="D3570" s="57" t="str">
        <f>IF(A3570="","",VLOOKUP(A3570,'6.A'!$A$11:$G$180,4,FALSE))</f>
        <v/>
      </c>
      <c r="E3570" s="100" t="str">
        <f>IF(A3570="","",VLOOKUP(A3570,'6.A'!$A$11:$G$180,5,FALSE))</f>
        <v/>
      </c>
      <c r="F3570" s="24" t="str">
        <f t="shared" si="1538"/>
        <v>0,00</v>
      </c>
      <c r="G3570" s="52"/>
      <c r="H3570" s="52" t="str">
        <f>IF(A3570="","",VLOOKUP(A3570,'6.A'!$A$11:$E$7984,5,FALSE))</f>
        <v/>
      </c>
      <c r="I3570" s="52" t="str">
        <f t="shared" si="1539"/>
        <v/>
      </c>
      <c r="J3570" s="52" t="str">
        <f>IF(H3570="","",VLOOKUP(A3570,'6.A'!$A$11:$E$564,4,FALSE))</f>
        <v/>
      </c>
      <c r="K3570" s="52" t="str">
        <f t="shared" si="1540"/>
        <v/>
      </c>
      <c r="L3570" s="52" t="str">
        <f>IF(H3570="","",IF(C3570="","",G3548*C3570))</f>
        <v/>
      </c>
      <c r="M3570" s="117" t="str">
        <f>IF(A3570="","",VLOOKUP(A3570,'6.A'!$A$11:$C$564,2,FALSE))</f>
        <v/>
      </c>
      <c r="N3570" s="57" t="str">
        <f>IF(A3570="","",IF(M3570=B3570,"si","no"))</f>
        <v/>
      </c>
      <c r="O3570" s="56"/>
      <c r="P3570" s="56"/>
      <c r="Q3570" s="48"/>
      <c r="R3570" s="48"/>
      <c r="S3570" s="2"/>
    </row>
    <row r="3571" spans="1:22" ht="12.75" customHeight="1" x14ac:dyDescent="0.2">
      <c r="A3571" s="155"/>
      <c r="B3571" s="138" t="str">
        <f>IF(A3571="","",VLOOKUP(A3571,'6.A'!$A$11:$G$180,2,FALSE))</f>
        <v/>
      </c>
      <c r="C3571" s="156"/>
      <c r="D3571" s="57" t="str">
        <f>IF(A3571="","",VLOOKUP(A3571,'6.A'!$A$11:$G$180,4,FALSE))</f>
        <v/>
      </c>
      <c r="E3571" s="100" t="str">
        <f>IF(A3571="","",VLOOKUP(A3571,'6.A'!$A$11:$G$180,5,FALSE))</f>
        <v/>
      </c>
      <c r="F3571" s="24" t="str">
        <f t="shared" si="1538"/>
        <v>0,00</v>
      </c>
      <c r="G3571" s="52"/>
      <c r="H3571" s="52" t="str">
        <f>IF(A3571="","",VLOOKUP(A3571,'6.A'!$A$11:$E$7984,5,FALSE))</f>
        <v/>
      </c>
      <c r="I3571" s="52" t="str">
        <f t="shared" si="1539"/>
        <v/>
      </c>
      <c r="J3571" s="52" t="str">
        <f>IF(H3571="","",VLOOKUP(A3571,'6.A'!$A$11:$E$564,4,FALSE))</f>
        <v/>
      </c>
      <c r="K3571" s="52" t="str">
        <f t="shared" si="1540"/>
        <v/>
      </c>
      <c r="L3571" s="52" t="str">
        <f>IF(H3571="","",IF(C3571="","",G3548*C3571))</f>
        <v/>
      </c>
      <c r="M3571" s="117" t="str">
        <f>IF(A3571="","",VLOOKUP(A3571,'6.A'!$A$11:$C$564,2,FALSE))</f>
        <v/>
      </c>
      <c r="N3571" s="57" t="str">
        <f>IF(A3571="","",IF(M3571=B3571,"si","no"))</f>
        <v/>
      </c>
      <c r="O3571" s="56"/>
      <c r="P3571" s="56"/>
      <c r="Q3571" s="48"/>
      <c r="R3571" s="48"/>
      <c r="S3571" s="2"/>
    </row>
    <row r="3572" spans="1:22" ht="12.75" customHeight="1" x14ac:dyDescent="0.2">
      <c r="A3572" s="155"/>
      <c r="B3572" s="138" t="str">
        <f>IF(A3572="","",VLOOKUP(A3572,'6.A'!$A$11:$G$180,2,FALSE))</f>
        <v/>
      </c>
      <c r="C3572" s="156"/>
      <c r="D3572" s="57" t="str">
        <f>IF(A3572="","",VLOOKUP(A3572,'6.A'!$A$11:$G$180,4,FALSE))</f>
        <v/>
      </c>
      <c r="E3572" s="100" t="str">
        <f>IF(A3572="","",VLOOKUP(A3572,'6.A'!$A$11:$G$180,5,FALSE))</f>
        <v/>
      </c>
      <c r="F3572" s="24" t="str">
        <f t="shared" si="1538"/>
        <v>0,00</v>
      </c>
      <c r="G3572" s="52"/>
      <c r="H3572" s="52" t="str">
        <f>IF(A3572="","",VLOOKUP(A3572,'6.A'!$A$11:$E$7984,5,FALSE))</f>
        <v/>
      </c>
      <c r="I3572" s="52" t="str">
        <f t="shared" si="1539"/>
        <v/>
      </c>
      <c r="J3572" s="52" t="str">
        <f>IF(H3572="","",VLOOKUP(A3572,'6.A'!$A$11:$E$564,4,FALSE))</f>
        <v/>
      </c>
      <c r="K3572" s="52" t="str">
        <f t="shared" si="1540"/>
        <v/>
      </c>
      <c r="L3572" s="52" t="str">
        <f>IF(H3572="","",IF(C3572="","",G3548*C3572))</f>
        <v/>
      </c>
      <c r="M3572" s="117" t="str">
        <f>IF(A3572="","",VLOOKUP(A3572,'6.A'!$A$11:$C$564,2,FALSE))</f>
        <v/>
      </c>
      <c r="N3572" s="57" t="str">
        <f t="shared" ref="N3572:N3573" si="1542">IF(A3572="","",IF(M3572=B3572,"si","no"))</f>
        <v/>
      </c>
      <c r="O3572" s="56"/>
      <c r="P3572" s="56"/>
      <c r="Q3572" s="48"/>
      <c r="R3572" s="48"/>
      <c r="S3572" s="2"/>
    </row>
    <row r="3573" spans="1:22" ht="12.75" customHeight="1" x14ac:dyDescent="0.2">
      <c r="A3573" s="155"/>
      <c r="B3573" s="138" t="str">
        <f>IF(A3573="","",VLOOKUP(A3573,'6.A'!$A$11:$G$180,2,FALSE))</f>
        <v/>
      </c>
      <c r="C3573" s="156"/>
      <c r="D3573" s="57" t="str">
        <f>IF(A3573="","",VLOOKUP(A3573,'6.A'!$A$11:$G$180,4,FALSE))</f>
        <v/>
      </c>
      <c r="E3573" s="100" t="str">
        <f>IF(A3573="","",VLOOKUP(A3573,'6.A'!$A$11:$G$180,5,FALSE))</f>
        <v/>
      </c>
      <c r="F3573" s="24" t="str">
        <f t="shared" si="1538"/>
        <v>0,00</v>
      </c>
      <c r="G3573" s="52"/>
      <c r="H3573" s="52" t="str">
        <f>IF(A3573="","",VLOOKUP(A3573,'6.A'!$A$11:$E$7984,5,FALSE))</f>
        <v/>
      </c>
      <c r="I3573" s="52" t="str">
        <f t="shared" si="1539"/>
        <v/>
      </c>
      <c r="J3573" s="52" t="str">
        <f>IF(H3573="","",VLOOKUP(A3573,'6.A'!$A$11:$E$564,4,FALSE))</f>
        <v/>
      </c>
      <c r="K3573" s="52" t="str">
        <f t="shared" si="1540"/>
        <v/>
      </c>
      <c r="L3573" s="52" t="str">
        <f>IF(H3573="","",IF(C3573="","",G3548*C3573))</f>
        <v/>
      </c>
      <c r="M3573" s="117" t="str">
        <f>IF(A3573="","",VLOOKUP(A3573,'6.A'!$A$11:$C$564,2,FALSE))</f>
        <v/>
      </c>
      <c r="N3573" s="57" t="str">
        <f t="shared" si="1542"/>
        <v/>
      </c>
      <c r="O3573" s="56"/>
      <c r="P3573" s="56"/>
      <c r="Q3573" s="48"/>
      <c r="R3573" s="48"/>
      <c r="S3573" s="2"/>
    </row>
    <row r="3574" spans="1:22" ht="12.75" customHeight="1" x14ac:dyDescent="0.2">
      <c r="A3574" s="155"/>
      <c r="B3574" s="26" t="str">
        <f>$A$9</f>
        <v>BDI</v>
      </c>
      <c r="C3574" s="27">
        <f>$C$9</f>
        <v>0</v>
      </c>
      <c r="D3574" s="57"/>
      <c r="F3574" s="28">
        <f>ROUND(SUM(F3564:F3573)*C3574,2)</f>
        <v>0</v>
      </c>
      <c r="G3574" s="63"/>
      <c r="M3574" s="62"/>
      <c r="N3574" s="57"/>
      <c r="O3574" s="56"/>
      <c r="P3574" s="56"/>
      <c r="Q3574" s="48"/>
      <c r="R3574" s="48"/>
      <c r="S3574" s="2"/>
    </row>
    <row r="3575" spans="1:22" ht="12.75" customHeight="1" x14ac:dyDescent="0.2">
      <c r="A3575" s="163"/>
      <c r="B3575" s="31" t="s">
        <v>117</v>
      </c>
      <c r="C3575" s="36"/>
      <c r="D3575" s="37"/>
      <c r="E3575" s="38"/>
      <c r="F3575" s="35">
        <f>ROUND(SUM(F3564:F3574),2)</f>
        <v>0</v>
      </c>
      <c r="G3575" s="63"/>
      <c r="M3575" s="62"/>
      <c r="N3575" s="57"/>
      <c r="O3575" s="56"/>
      <c r="P3575" s="56"/>
      <c r="Q3575" s="48"/>
      <c r="R3575" s="48"/>
      <c r="S3575" s="2"/>
    </row>
    <row r="3576" spans="1:22" ht="12.75" customHeight="1" x14ac:dyDescent="0.2">
      <c r="A3576" s="152" t="s">
        <v>6</v>
      </c>
      <c r="B3576" s="153" t="s">
        <v>17</v>
      </c>
      <c r="C3576" s="140" t="s">
        <v>59</v>
      </c>
      <c r="D3576" s="56" t="s">
        <v>16</v>
      </c>
      <c r="E3576" s="19" t="s">
        <v>60</v>
      </c>
      <c r="F3576" s="20" t="s">
        <v>61</v>
      </c>
      <c r="G3576" s="21"/>
      <c r="M3576" s="62"/>
      <c r="N3576" s="57"/>
      <c r="O3576" s="56"/>
      <c r="P3576" s="56"/>
      <c r="Q3576" s="48"/>
      <c r="R3576" s="48"/>
      <c r="S3576" s="2"/>
    </row>
    <row r="3577" spans="1:22" ht="12.75" customHeight="1" x14ac:dyDescent="0.2">
      <c r="A3577" s="155" t="str">
        <f>'6.A'!$A$46</f>
        <v>DIS.002</v>
      </c>
      <c r="B3577" s="138" t="str">
        <f>IF(A3577="","",VLOOKUP(A3577,'6.A'!$A$11:$G$180,2,FALSE))</f>
        <v>CONTATOR PARA MANOBRA DE CAPACITOR PARA CORREÇÃO DO FATOR DE POTÊNCIA, COM RESITORES DE PRÉ CARGA, CONTATO AUXILAR 1NA, IN=16A, VN=220VAC, VCOMANDO=220VAC, F=60HZ</v>
      </c>
      <c r="C3577" s="156">
        <v>1</v>
      </c>
      <c r="D3577" s="57" t="str">
        <f>IF(A3577="","",VLOOKUP(A3577,'6.A'!$A$11:$G$180,4,FALSE))</f>
        <v>UN</v>
      </c>
      <c r="E3577" s="100">
        <f>IF(A3577="","",VLOOKUP(A3577,'6.A'!$A$11:$G$180,5,FALSE))</f>
        <v>0</v>
      </c>
      <c r="F3577" s="24">
        <f t="shared" ref="F3577:F3596" si="1543">IF(A3577="","0,00",ROUND(C3577*E3577,2))</f>
        <v>0</v>
      </c>
      <c r="G3577" s="52"/>
      <c r="H3577" s="52">
        <f>IF(A3577="","",VLOOKUP(A3577,'6.A'!$A$11:$E$7984,5,FALSE))</f>
        <v>0</v>
      </c>
      <c r="I3577" s="52" t="str">
        <f t="shared" ref="I3577:I3596" si="1544">IF(H3577="","",IF(E3577=H3577,"SIM","NÃO"))</f>
        <v>SIM</v>
      </c>
      <c r="J3577" s="52" t="str">
        <f>IF(H3577="","",VLOOKUP(A3577,'6.A'!$A$11:$E$564,4,FALSE))</f>
        <v>UN</v>
      </c>
      <c r="K3577" s="52" t="str">
        <f t="shared" ref="K3577:K3596" si="1545">IF(H3577="","",IF(J3577=D3577,"SIM","NÃO"))</f>
        <v>SIM</v>
      </c>
      <c r="L3577" s="52">
        <f>IF(H3577="","",IF(C3577="","",G3548*C3577))</f>
        <v>6</v>
      </c>
      <c r="M3577" s="117" t="str">
        <f>IF(A3577="","",VLOOKUP(A3577,'6.A'!$A$11:$C$564,2,FALSE))</f>
        <v>CONTATOR PARA MANOBRA DE CAPACITOR PARA CORREÇÃO DO FATOR DE POTÊNCIA, COM RESITORES DE PRÉ CARGA, CONTATO AUXILAR 1NA, IN=16A, VN=220VAC, VCOMANDO=220VAC, F=60HZ</v>
      </c>
      <c r="N3577" s="57" t="str">
        <f t="shared" ref="N3577:N3596" si="1546">IF(A3577="","",IF(M3577=B3577,"si","no"))</f>
        <v>si</v>
      </c>
      <c r="O3577" s="56"/>
      <c r="P3577" s="56"/>
      <c r="Q3577" s="48"/>
      <c r="R3577" s="48"/>
      <c r="S3577" s="2"/>
    </row>
    <row r="3578" spans="1:22" ht="12.75" customHeight="1" x14ac:dyDescent="0.2">
      <c r="A3578" s="155"/>
      <c r="B3578" s="138" t="str">
        <f>IF(A3578="","",VLOOKUP(A3578,'6.A'!$A$11:$G$180,2,FALSE))</f>
        <v/>
      </c>
      <c r="C3578" s="156"/>
      <c r="D3578" s="57" t="str">
        <f>IF(A3578="","",VLOOKUP(A3578,'6.A'!$A$11:$G$180,4,FALSE))</f>
        <v/>
      </c>
      <c r="E3578" s="100" t="str">
        <f>IF(A3578="","",VLOOKUP(A3578,'6.A'!$A$11:$G$180,5,FALSE))</f>
        <v/>
      </c>
      <c r="F3578" s="24" t="str">
        <f t="shared" si="1543"/>
        <v>0,00</v>
      </c>
      <c r="G3578" s="52"/>
      <c r="H3578" s="52" t="str">
        <f>IF(A3578="","",VLOOKUP(A3578,'6.A'!$A$11:$E$7984,5,FALSE))</f>
        <v/>
      </c>
      <c r="I3578" s="52" t="str">
        <f t="shared" si="1544"/>
        <v/>
      </c>
      <c r="J3578" s="52" t="str">
        <f>IF(H3578="","",VLOOKUP(A3578,'6.A'!$A$11:$E$564,4,FALSE))</f>
        <v/>
      </c>
      <c r="K3578" s="52" t="str">
        <f t="shared" si="1545"/>
        <v/>
      </c>
      <c r="L3578" s="52" t="str">
        <f>IF(H3578="","",IF(C3578="","",G3548*C3578))</f>
        <v/>
      </c>
      <c r="M3578" s="117" t="str">
        <f>IF(A3578="","",VLOOKUP(A3578,'6.A'!$A$11:$C$564,2,FALSE))</f>
        <v/>
      </c>
      <c r="N3578" s="57" t="str">
        <f t="shared" si="1546"/>
        <v/>
      </c>
      <c r="O3578" s="56"/>
      <c r="P3578" s="56"/>
      <c r="Q3578" s="48"/>
      <c r="R3578" s="48"/>
      <c r="S3578" s="2"/>
    </row>
    <row r="3579" spans="1:22" ht="12.75" customHeight="1" x14ac:dyDescent="0.2">
      <c r="A3579" s="155"/>
      <c r="B3579" s="138" t="str">
        <f>IF(A3579="","",VLOOKUP(A3579,'6.A'!$A$11:$G$180,2,FALSE))</f>
        <v/>
      </c>
      <c r="C3579" s="156"/>
      <c r="D3579" s="57" t="str">
        <f>IF(A3579="","",VLOOKUP(A3579,'6.A'!$A$11:$G$180,4,FALSE))</f>
        <v/>
      </c>
      <c r="E3579" s="100" t="str">
        <f>IF(A3579="","",VLOOKUP(A3579,'6.A'!$A$11:$G$180,5,FALSE))</f>
        <v/>
      </c>
      <c r="F3579" s="24" t="str">
        <f t="shared" si="1543"/>
        <v>0,00</v>
      </c>
      <c r="G3579" s="52"/>
      <c r="H3579" s="52" t="str">
        <f>IF(A3579="","",VLOOKUP(A3579,'6.A'!$A$11:$E$7984,5,FALSE))</f>
        <v/>
      </c>
      <c r="I3579" s="52" t="str">
        <f t="shared" si="1544"/>
        <v/>
      </c>
      <c r="J3579" s="52" t="str">
        <f>IF(H3579="","",VLOOKUP(A3579,'6.A'!$A$11:$E$564,4,FALSE))</f>
        <v/>
      </c>
      <c r="K3579" s="52" t="str">
        <f t="shared" si="1545"/>
        <v/>
      </c>
      <c r="L3579" s="52" t="str">
        <f>IF(H3579="","",IF(C3579="","",G3548*C3579))</f>
        <v/>
      </c>
      <c r="M3579" s="117" t="str">
        <f>IF(A3579="","",VLOOKUP(A3579,'6.A'!$A$11:$C$564,2,FALSE))</f>
        <v/>
      </c>
      <c r="N3579" s="57" t="str">
        <f t="shared" si="1546"/>
        <v/>
      </c>
      <c r="O3579" s="56"/>
      <c r="P3579" s="56"/>
      <c r="Q3579" s="48"/>
      <c r="R3579" s="48"/>
      <c r="S3579" s="2"/>
    </row>
    <row r="3580" spans="1:22" ht="12.75" customHeight="1" x14ac:dyDescent="0.2">
      <c r="A3580" s="155"/>
      <c r="B3580" s="138" t="str">
        <f>IF(A3580="","",VLOOKUP(A3580,'6.A'!$A$11:$G$180,2,FALSE))</f>
        <v/>
      </c>
      <c r="C3580" s="156"/>
      <c r="D3580" s="57" t="str">
        <f>IF(A3580="","",VLOOKUP(A3580,'6.A'!$A$11:$G$180,4,FALSE))</f>
        <v/>
      </c>
      <c r="E3580" s="100" t="str">
        <f>IF(A3580="","",VLOOKUP(A3580,'6.A'!$A$11:$G$180,5,FALSE))</f>
        <v/>
      </c>
      <c r="F3580" s="24" t="str">
        <f t="shared" si="1543"/>
        <v>0,00</v>
      </c>
      <c r="G3580" s="52"/>
      <c r="H3580" s="52" t="str">
        <f>IF(A3580="","",VLOOKUP(A3580,'6.A'!$A$11:$E$7984,5,FALSE))</f>
        <v/>
      </c>
      <c r="I3580" s="52" t="str">
        <f t="shared" si="1544"/>
        <v/>
      </c>
      <c r="J3580" s="52" t="str">
        <f>IF(H3580="","",VLOOKUP(A3580,'6.A'!$A$11:$E$564,4,FALSE))</f>
        <v/>
      </c>
      <c r="K3580" s="52" t="str">
        <f t="shared" si="1545"/>
        <v/>
      </c>
      <c r="L3580" s="52" t="str">
        <f>IF(H3580="","",IF(C3580="","",G3548*C3580))</f>
        <v/>
      </c>
      <c r="M3580" s="117" t="str">
        <f>IF(A3580="","",VLOOKUP(A3580,'6.A'!$A$11:$C$564,2,FALSE))</f>
        <v/>
      </c>
      <c r="N3580" s="57" t="str">
        <f t="shared" si="1546"/>
        <v/>
      </c>
      <c r="O3580" s="56"/>
      <c r="P3580" s="56"/>
      <c r="Q3580" s="48"/>
      <c r="R3580" s="48"/>
      <c r="S3580" s="2"/>
    </row>
    <row r="3581" spans="1:22" ht="12.75" customHeight="1" x14ac:dyDescent="0.2">
      <c r="A3581" s="155"/>
      <c r="B3581" s="138" t="str">
        <f>IF(A3581="","",VLOOKUP(A3581,'6.A'!$A$11:$G$180,2,FALSE))</f>
        <v/>
      </c>
      <c r="C3581" s="156"/>
      <c r="D3581" s="57" t="str">
        <f>IF(A3581="","",VLOOKUP(A3581,'6.A'!$A$11:$G$180,4,FALSE))</f>
        <v/>
      </c>
      <c r="E3581" s="100" t="str">
        <f>IF(A3581="","",VLOOKUP(A3581,'6.A'!$A$11:$G$180,5,FALSE))</f>
        <v/>
      </c>
      <c r="F3581" s="24" t="str">
        <f t="shared" si="1543"/>
        <v>0,00</v>
      </c>
      <c r="G3581" s="52"/>
      <c r="H3581" s="52" t="str">
        <f>IF(A3581="","",VLOOKUP(A3581,'6.A'!$A$11:$E$7984,5,FALSE))</f>
        <v/>
      </c>
      <c r="I3581" s="52" t="str">
        <f t="shared" si="1544"/>
        <v/>
      </c>
      <c r="J3581" s="52" t="str">
        <f>IF(H3581="","",VLOOKUP(A3581,'6.A'!$A$11:$E$564,4,FALSE))</f>
        <v/>
      </c>
      <c r="K3581" s="52" t="str">
        <f t="shared" si="1545"/>
        <v/>
      </c>
      <c r="L3581" s="52" t="str">
        <f>IF(H3581="","",IF(C3581="","",G3548*C3581))</f>
        <v/>
      </c>
      <c r="M3581" s="117" t="str">
        <f>IF(A3581="","",VLOOKUP(A3581,'6.A'!$A$11:$C$564,2,FALSE))</f>
        <v/>
      </c>
      <c r="N3581" s="57" t="str">
        <f t="shared" si="1546"/>
        <v/>
      </c>
      <c r="O3581" s="56"/>
      <c r="P3581" s="56"/>
      <c r="Q3581" s="48"/>
      <c r="R3581" s="48"/>
      <c r="S3581" s="2"/>
    </row>
    <row r="3582" spans="1:22" ht="12.75" customHeight="1" x14ac:dyDescent="0.2">
      <c r="A3582" s="155"/>
      <c r="B3582" s="138" t="str">
        <f>IF(A3582="","",VLOOKUP(A3582,'6.A'!$A$11:$G$180,2,FALSE))</f>
        <v/>
      </c>
      <c r="C3582" s="156"/>
      <c r="D3582" s="57" t="str">
        <f>IF(A3582="","",VLOOKUP(A3582,'6.A'!$A$11:$G$180,4,FALSE))</f>
        <v/>
      </c>
      <c r="E3582" s="100" t="str">
        <f>IF(A3582="","",VLOOKUP(A3582,'6.A'!$A$11:$G$180,5,FALSE))</f>
        <v/>
      </c>
      <c r="F3582" s="24" t="str">
        <f t="shared" si="1543"/>
        <v>0,00</v>
      </c>
      <c r="G3582" s="52"/>
      <c r="H3582" s="52" t="str">
        <f>IF(A3582="","",VLOOKUP(A3582,'6.A'!$A$11:$E$7984,5,FALSE))</f>
        <v/>
      </c>
      <c r="I3582" s="52" t="str">
        <f t="shared" si="1544"/>
        <v/>
      </c>
      <c r="J3582" s="52" t="str">
        <f>IF(H3582="","",VLOOKUP(A3582,'6.A'!$A$11:$E$564,4,FALSE))</f>
        <v/>
      </c>
      <c r="K3582" s="52" t="str">
        <f t="shared" si="1545"/>
        <v/>
      </c>
      <c r="L3582" s="52" t="str">
        <f>IF(H3582="","",IF(C3582="","",G3548*C3582))</f>
        <v/>
      </c>
      <c r="M3582" s="117" t="str">
        <f>IF(A3582="","",VLOOKUP(A3582,'6.A'!$A$11:$C$564,2,FALSE))</f>
        <v/>
      </c>
      <c r="N3582" s="57" t="str">
        <f t="shared" si="1546"/>
        <v/>
      </c>
      <c r="O3582" s="56"/>
      <c r="P3582" s="56"/>
      <c r="Q3582" s="48"/>
      <c r="R3582" s="48"/>
      <c r="S3582" s="2"/>
    </row>
    <row r="3583" spans="1:22" ht="12.75" customHeight="1" x14ac:dyDescent="0.2">
      <c r="A3583" s="155"/>
      <c r="B3583" s="138" t="str">
        <f>IF(A3583="","",VLOOKUP(A3583,'6.A'!$A$11:$G$180,2,FALSE))</f>
        <v/>
      </c>
      <c r="C3583" s="156"/>
      <c r="D3583" s="57" t="str">
        <f>IF(A3583="","",VLOOKUP(A3583,'6.A'!$A$11:$G$180,4,FALSE))</f>
        <v/>
      </c>
      <c r="E3583" s="100" t="str">
        <f>IF(A3583="","",VLOOKUP(A3583,'6.A'!$A$11:$G$180,5,FALSE))</f>
        <v/>
      </c>
      <c r="F3583" s="24" t="str">
        <f t="shared" si="1543"/>
        <v>0,00</v>
      </c>
      <c r="G3583" s="52"/>
      <c r="H3583" s="52" t="str">
        <f>IF(A3583="","",VLOOKUP(A3583,'6.A'!$A$11:$E$7984,5,FALSE))</f>
        <v/>
      </c>
      <c r="I3583" s="52" t="str">
        <f t="shared" si="1544"/>
        <v/>
      </c>
      <c r="J3583" s="52" t="str">
        <f>IF(H3583="","",VLOOKUP(A3583,'6.A'!$A$11:$E$564,4,FALSE))</f>
        <v/>
      </c>
      <c r="K3583" s="52" t="str">
        <f t="shared" si="1545"/>
        <v/>
      </c>
      <c r="L3583" s="52" t="str">
        <f>IF(H3583="","",IF(C3583="","",G3548*C3583))</f>
        <v/>
      </c>
      <c r="M3583" s="117" t="str">
        <f>IF(A3583="","",VLOOKUP(A3583,'6.A'!$A$11:$C$564,2,FALSE))</f>
        <v/>
      </c>
      <c r="N3583" s="57" t="str">
        <f t="shared" si="1546"/>
        <v/>
      </c>
      <c r="O3583" s="56"/>
      <c r="P3583" s="56"/>
      <c r="Q3583" s="48"/>
      <c r="R3583" s="48"/>
      <c r="S3583" s="2"/>
    </row>
    <row r="3584" spans="1:22" s="65" customFormat="1" ht="12.75" customHeight="1" x14ac:dyDescent="0.2">
      <c r="A3584" s="155"/>
      <c r="B3584" s="138" t="str">
        <f>IF(A3584="","",VLOOKUP(A3584,'6.A'!$A$11:$G$180,2,FALSE))</f>
        <v/>
      </c>
      <c r="C3584" s="156"/>
      <c r="D3584" s="57" t="str">
        <f>IF(A3584="","",VLOOKUP(A3584,'6.A'!$A$11:$G$180,4,FALSE))</f>
        <v/>
      </c>
      <c r="E3584" s="100" t="str">
        <f>IF(A3584="","",VLOOKUP(A3584,'6.A'!$A$11:$G$180,5,FALSE))</f>
        <v/>
      </c>
      <c r="F3584" s="24" t="str">
        <f t="shared" si="1543"/>
        <v>0,00</v>
      </c>
      <c r="G3584" s="52"/>
      <c r="H3584" s="52" t="str">
        <f>IF(A3584="","",VLOOKUP(A3584,'6.A'!$A$11:$E$7984,5,FALSE))</f>
        <v/>
      </c>
      <c r="I3584" s="52" t="str">
        <f t="shared" si="1544"/>
        <v/>
      </c>
      <c r="J3584" s="52" t="str">
        <f>IF(H3584="","",VLOOKUP(A3584,'6.A'!$A$11:$E$564,4,FALSE))</f>
        <v/>
      </c>
      <c r="K3584" s="52" t="str">
        <f t="shared" si="1545"/>
        <v/>
      </c>
      <c r="L3584" s="52" t="str">
        <f>IF(H3584="","",IF(C3584="","",G3548*C3584))</f>
        <v/>
      </c>
      <c r="M3584" s="117" t="str">
        <f>IF(A3584="","",VLOOKUP(A3584,'6.A'!$A$11:$C$564,2,FALSE))</f>
        <v/>
      </c>
      <c r="N3584" s="57" t="str">
        <f t="shared" si="1546"/>
        <v/>
      </c>
      <c r="O3584" s="56"/>
      <c r="P3584" s="56"/>
      <c r="Q3584" s="48"/>
      <c r="R3584" s="48"/>
      <c r="T3584" s="2"/>
      <c r="U3584" s="2"/>
      <c r="V3584" s="2"/>
    </row>
    <row r="3585" spans="1:22" s="65" customFormat="1" ht="12.75" customHeight="1" x14ac:dyDescent="0.2">
      <c r="A3585" s="155"/>
      <c r="B3585" s="138" t="str">
        <f>IF(A3585="","",VLOOKUP(A3585,'6.A'!$A$11:$G$180,2,FALSE))</f>
        <v/>
      </c>
      <c r="C3585" s="156"/>
      <c r="D3585" s="57" t="str">
        <f>IF(A3585="","",VLOOKUP(A3585,'6.A'!$A$11:$G$180,4,FALSE))</f>
        <v/>
      </c>
      <c r="E3585" s="100" t="str">
        <f>IF(A3585="","",VLOOKUP(A3585,'6.A'!$A$11:$G$180,5,FALSE))</f>
        <v/>
      </c>
      <c r="F3585" s="24" t="str">
        <f t="shared" si="1543"/>
        <v>0,00</v>
      </c>
      <c r="G3585" s="52"/>
      <c r="H3585" s="52" t="str">
        <f>IF(A3585="","",VLOOKUP(A3585,'6.A'!$A$11:$E$7984,5,FALSE))</f>
        <v/>
      </c>
      <c r="I3585" s="52" t="str">
        <f t="shared" si="1544"/>
        <v/>
      </c>
      <c r="J3585" s="52" t="str">
        <f>IF(H3585="","",VLOOKUP(A3585,'6.A'!$A$11:$E$564,4,FALSE))</f>
        <v/>
      </c>
      <c r="K3585" s="52" t="str">
        <f t="shared" si="1545"/>
        <v/>
      </c>
      <c r="L3585" s="52" t="str">
        <f>IF(H3585="","",IF(C3585="","",G3548*C3585))</f>
        <v/>
      </c>
      <c r="M3585" s="117" t="str">
        <f>IF(A3585="","",VLOOKUP(A3585,'6.A'!$A$11:$C$564,2,FALSE))</f>
        <v/>
      </c>
      <c r="N3585" s="57" t="str">
        <f t="shared" si="1546"/>
        <v/>
      </c>
      <c r="O3585" s="56"/>
      <c r="P3585" s="56"/>
      <c r="Q3585" s="48"/>
      <c r="R3585" s="48"/>
      <c r="T3585" s="2"/>
      <c r="U3585" s="2"/>
      <c r="V3585" s="2"/>
    </row>
    <row r="3586" spans="1:22" s="65" customFormat="1" ht="12.75" customHeight="1" x14ac:dyDescent="0.2">
      <c r="A3586" s="155"/>
      <c r="B3586" s="138" t="str">
        <f>IF(A3586="","",VLOOKUP(A3586,'6.A'!$A$11:$G$180,2,FALSE))</f>
        <v/>
      </c>
      <c r="C3586" s="156"/>
      <c r="D3586" s="57" t="str">
        <f>IF(A3586="","",VLOOKUP(A3586,'6.A'!$A$11:$G$180,4,FALSE))</f>
        <v/>
      </c>
      <c r="E3586" s="100" t="str">
        <f>IF(A3586="","",VLOOKUP(A3586,'6.A'!$A$11:$G$180,5,FALSE))</f>
        <v/>
      </c>
      <c r="F3586" s="24" t="str">
        <f t="shared" si="1543"/>
        <v>0,00</v>
      </c>
      <c r="G3586" s="52"/>
      <c r="H3586" s="52" t="str">
        <f>IF(A3586="","",VLOOKUP(A3586,'6.A'!$A$11:$E$7984,5,FALSE))</f>
        <v/>
      </c>
      <c r="I3586" s="52" t="str">
        <f t="shared" si="1544"/>
        <v/>
      </c>
      <c r="J3586" s="52" t="str">
        <f>IF(H3586="","",VLOOKUP(A3586,'6.A'!$A$11:$E$564,4,FALSE))</f>
        <v/>
      </c>
      <c r="K3586" s="52" t="str">
        <f t="shared" si="1545"/>
        <v/>
      </c>
      <c r="L3586" s="52" t="str">
        <f>IF(H3586="","",IF(C3586="","",G3548*C3586))</f>
        <v/>
      </c>
      <c r="M3586" s="117" t="str">
        <f>IF(A3586="","",VLOOKUP(A3586,'6.A'!$A$11:$C$564,2,FALSE))</f>
        <v/>
      </c>
      <c r="N3586" s="57" t="str">
        <f t="shared" si="1546"/>
        <v/>
      </c>
      <c r="O3586" s="56"/>
      <c r="P3586" s="56"/>
      <c r="Q3586" s="48"/>
      <c r="R3586" s="48"/>
      <c r="T3586" s="2"/>
      <c r="U3586" s="2"/>
      <c r="V3586" s="2"/>
    </row>
    <row r="3587" spans="1:22" s="65" customFormat="1" ht="12.75" customHeight="1" x14ac:dyDescent="0.2">
      <c r="A3587" s="155"/>
      <c r="B3587" s="138" t="str">
        <f>IF(A3587="","",VLOOKUP(A3587,'6.A'!$A$11:$G$180,2,FALSE))</f>
        <v/>
      </c>
      <c r="C3587" s="156"/>
      <c r="D3587" s="57" t="str">
        <f>IF(A3587="","",VLOOKUP(A3587,'6.A'!$A$11:$G$180,4,FALSE))</f>
        <v/>
      </c>
      <c r="E3587" s="100" t="str">
        <f>IF(A3587="","",VLOOKUP(A3587,'6.A'!$A$11:$G$180,5,FALSE))</f>
        <v/>
      </c>
      <c r="F3587" s="24" t="str">
        <f t="shared" si="1543"/>
        <v>0,00</v>
      </c>
      <c r="G3587" s="52"/>
      <c r="H3587" s="52" t="str">
        <f>IF(A3587="","",VLOOKUP(A3587,'6.A'!$A$11:$E$7984,5,FALSE))</f>
        <v/>
      </c>
      <c r="I3587" s="52" t="str">
        <f t="shared" si="1544"/>
        <v/>
      </c>
      <c r="J3587" s="52" t="str">
        <f>IF(H3587="","",VLOOKUP(A3587,'6.A'!$A$11:$E$564,4,FALSE))</f>
        <v/>
      </c>
      <c r="K3587" s="52" t="str">
        <f t="shared" si="1545"/>
        <v/>
      </c>
      <c r="L3587" s="52" t="str">
        <f>IF(H3587="","",IF(C3587="","",G3548*C3587))</f>
        <v/>
      </c>
      <c r="M3587" s="117" t="str">
        <f>IF(A3587="","",VLOOKUP(A3587,'6.A'!$A$11:$C$564,2,FALSE))</f>
        <v/>
      </c>
      <c r="N3587" s="57" t="str">
        <f t="shared" si="1546"/>
        <v/>
      </c>
      <c r="O3587" s="56"/>
      <c r="P3587" s="56"/>
      <c r="Q3587" s="48"/>
      <c r="R3587" s="48"/>
      <c r="T3587" s="2"/>
      <c r="U3587" s="2"/>
      <c r="V3587" s="2"/>
    </row>
    <row r="3588" spans="1:22" ht="12.75" customHeight="1" x14ac:dyDescent="0.2">
      <c r="A3588" s="22"/>
      <c r="B3588" s="23" t="str">
        <f>IF(A3588="","",VLOOKUP(A3588,'6.A'!$A$11:$G$180,2,FALSE))</f>
        <v/>
      </c>
      <c r="C3588" s="99"/>
      <c r="D3588" s="57" t="str">
        <f>IF(A3588="","",VLOOKUP(A3588,'6.A'!$A$11:$G$180,4,FALSE))</f>
        <v/>
      </c>
      <c r="E3588" s="100" t="str">
        <f>IF(A3588="","",VLOOKUP(A3588,'6.A'!$A$11:$G$180,5,FALSE))</f>
        <v/>
      </c>
      <c r="F3588" s="24" t="str">
        <f t="shared" si="1543"/>
        <v>0,00</v>
      </c>
      <c r="G3588" s="52"/>
      <c r="H3588" s="52" t="str">
        <f>IF(A3588="","",VLOOKUP(A3588,'6.A'!$A$11:$E$7984,5,FALSE))</f>
        <v/>
      </c>
      <c r="I3588" s="52" t="str">
        <f t="shared" si="1544"/>
        <v/>
      </c>
      <c r="J3588" s="52" t="str">
        <f>IF(H3588="","",VLOOKUP(A3588,'6.A'!$A$11:$E$564,4,FALSE))</f>
        <v/>
      </c>
      <c r="K3588" s="52" t="str">
        <f t="shared" si="1545"/>
        <v/>
      </c>
      <c r="L3588" s="52" t="str">
        <f>IF(H3588="","",IF(C3588="","",G3548*C3588))</f>
        <v/>
      </c>
      <c r="M3588" s="117" t="str">
        <f>IF(A3588="","",VLOOKUP(A3588,'6.A'!$A$11:$C$564,2,FALSE))</f>
        <v/>
      </c>
      <c r="N3588" s="57" t="str">
        <f t="shared" si="1546"/>
        <v/>
      </c>
      <c r="O3588" s="56"/>
      <c r="P3588" s="56"/>
      <c r="Q3588" s="48"/>
      <c r="R3588" s="48"/>
    </row>
    <row r="3589" spans="1:22" ht="12.75" customHeight="1" x14ac:dyDescent="0.2">
      <c r="A3589" s="22"/>
      <c r="B3589" s="23" t="str">
        <f>IF(A3589="","",VLOOKUP(A3589,'6.A'!$A$11:$G$180,2,FALSE))</f>
        <v/>
      </c>
      <c r="C3589" s="99"/>
      <c r="D3589" s="57" t="str">
        <f>IF(A3589="","",VLOOKUP(A3589,'6.A'!$A$11:$G$180,4,FALSE))</f>
        <v/>
      </c>
      <c r="E3589" s="100" t="str">
        <f>IF(A3589="","",VLOOKUP(A3589,'6.A'!$A$11:$G$180,5,FALSE))</f>
        <v/>
      </c>
      <c r="F3589" s="24" t="str">
        <f t="shared" si="1543"/>
        <v>0,00</v>
      </c>
      <c r="G3589" s="52"/>
      <c r="H3589" s="52" t="str">
        <f>IF(A3589="","",VLOOKUP(A3589,'6.A'!$A$11:$E$7984,5,FALSE))</f>
        <v/>
      </c>
      <c r="I3589" s="52" t="str">
        <f t="shared" si="1544"/>
        <v/>
      </c>
      <c r="J3589" s="52" t="str">
        <f>IF(H3589="","",VLOOKUP(A3589,'6.A'!$A$11:$E$564,4,FALSE))</f>
        <v/>
      </c>
      <c r="K3589" s="52" t="str">
        <f t="shared" si="1545"/>
        <v/>
      </c>
      <c r="L3589" s="52" t="str">
        <f>IF(H3589="","",IF(C3589="","",G3548*C3589))</f>
        <v/>
      </c>
      <c r="M3589" s="117" t="str">
        <f>IF(A3589="","",VLOOKUP(A3589,'6.A'!$A$11:$C$564,2,FALSE))</f>
        <v/>
      </c>
      <c r="N3589" s="57" t="str">
        <f t="shared" si="1546"/>
        <v/>
      </c>
      <c r="O3589" s="56"/>
      <c r="P3589" s="56"/>
      <c r="Q3589" s="48"/>
      <c r="R3589" s="48"/>
    </row>
    <row r="3590" spans="1:22" ht="12.75" customHeight="1" x14ac:dyDescent="0.2">
      <c r="A3590" s="22"/>
      <c r="B3590" s="23" t="str">
        <f>IF(A3590="","",VLOOKUP(A3590,'6.A'!$A$11:$G$180,2,FALSE))</f>
        <v/>
      </c>
      <c r="C3590" s="99"/>
      <c r="D3590" s="57" t="str">
        <f>IF(A3590="","",VLOOKUP(A3590,'6.A'!$A$11:$G$180,4,FALSE))</f>
        <v/>
      </c>
      <c r="E3590" s="100" t="str">
        <f>IF(A3590="","",VLOOKUP(A3590,'6.A'!$A$11:$G$180,5,FALSE))</f>
        <v/>
      </c>
      <c r="F3590" s="24" t="str">
        <f t="shared" si="1543"/>
        <v>0,00</v>
      </c>
      <c r="G3590" s="52"/>
      <c r="H3590" s="52" t="str">
        <f>IF(A3590="","",VLOOKUP(A3590,'6.A'!$A$11:$E$7984,5,FALSE))</f>
        <v/>
      </c>
      <c r="I3590" s="52" t="str">
        <f t="shared" si="1544"/>
        <v/>
      </c>
      <c r="J3590" s="52" t="str">
        <f>IF(H3590="","",VLOOKUP(A3590,'6.A'!$A$11:$E$564,4,FALSE))</f>
        <v/>
      </c>
      <c r="K3590" s="52" t="str">
        <f t="shared" si="1545"/>
        <v/>
      </c>
      <c r="L3590" s="52" t="str">
        <f>IF(H3590="","",IF(C3590="","",G3548*C3590))</f>
        <v/>
      </c>
      <c r="M3590" s="117" t="str">
        <f>IF(A3590="","",VLOOKUP(A3590,'6.A'!$A$11:$C$564,2,FALSE))</f>
        <v/>
      </c>
      <c r="N3590" s="57" t="str">
        <f t="shared" si="1546"/>
        <v/>
      </c>
      <c r="O3590" s="56"/>
      <c r="P3590" s="56"/>
      <c r="Q3590" s="48"/>
      <c r="R3590" s="48"/>
    </row>
    <row r="3591" spans="1:22" ht="12.75" customHeight="1" x14ac:dyDescent="0.2">
      <c r="A3591" s="22"/>
      <c r="B3591" s="23" t="str">
        <f>IF(A3591="","",VLOOKUP(A3591,'6.A'!$A$11:$G$180,2,FALSE))</f>
        <v/>
      </c>
      <c r="C3591" s="99"/>
      <c r="D3591" s="57" t="str">
        <f>IF(A3591="","",VLOOKUP(A3591,'6.A'!$A$11:$G$180,4,FALSE))</f>
        <v/>
      </c>
      <c r="E3591" s="100" t="str">
        <f>IF(A3591="","",VLOOKUP(A3591,'6.A'!$A$11:$G$180,5,FALSE))</f>
        <v/>
      </c>
      <c r="F3591" s="24" t="str">
        <f t="shared" si="1543"/>
        <v>0,00</v>
      </c>
      <c r="G3591" s="52"/>
      <c r="H3591" s="52" t="str">
        <f>IF(A3591="","",VLOOKUP(A3591,'6.A'!$A$11:$E$7984,5,FALSE))</f>
        <v/>
      </c>
      <c r="I3591" s="52" t="str">
        <f t="shared" si="1544"/>
        <v/>
      </c>
      <c r="J3591" s="52" t="str">
        <f>IF(H3591="","",VLOOKUP(A3591,'6.A'!$A$11:$E$564,4,FALSE))</f>
        <v/>
      </c>
      <c r="K3591" s="52" t="str">
        <f t="shared" si="1545"/>
        <v/>
      </c>
      <c r="L3591" s="52" t="str">
        <f>IF(H3591="","",IF(C3591="","",G3548*C3591))</f>
        <v/>
      </c>
      <c r="M3591" s="117" t="str">
        <f>IF(A3591="","",VLOOKUP(A3591,'6.A'!$A$11:$C$564,2,FALSE))</f>
        <v/>
      </c>
      <c r="N3591" s="57" t="str">
        <f t="shared" si="1546"/>
        <v/>
      </c>
      <c r="O3591" s="56"/>
      <c r="P3591" s="56"/>
      <c r="Q3591" s="48"/>
      <c r="R3591" s="48"/>
    </row>
    <row r="3592" spans="1:22" ht="12.75" customHeight="1" x14ac:dyDescent="0.2">
      <c r="A3592" s="22"/>
      <c r="B3592" s="23" t="str">
        <f>IF(A3592="","",VLOOKUP(A3592,'6.A'!$A$11:$G$180,2,FALSE))</f>
        <v/>
      </c>
      <c r="C3592" s="99"/>
      <c r="D3592" s="57" t="str">
        <f>IF(A3592="","",VLOOKUP(A3592,'6.A'!$A$11:$G$180,4,FALSE))</f>
        <v/>
      </c>
      <c r="E3592" s="100" t="str">
        <f>IF(A3592="","",VLOOKUP(A3592,'6.A'!$A$11:$G$180,5,FALSE))</f>
        <v/>
      </c>
      <c r="F3592" s="24" t="str">
        <f t="shared" si="1543"/>
        <v>0,00</v>
      </c>
      <c r="G3592" s="52"/>
      <c r="H3592" s="52" t="str">
        <f>IF(A3592="","",VLOOKUP(A3592,'6.A'!$A$11:$E$7984,5,FALSE))</f>
        <v/>
      </c>
      <c r="I3592" s="52" t="str">
        <f t="shared" si="1544"/>
        <v/>
      </c>
      <c r="J3592" s="52" t="str">
        <f>IF(H3592="","",VLOOKUP(A3592,'6.A'!$A$11:$E$564,4,FALSE))</f>
        <v/>
      </c>
      <c r="K3592" s="52" t="str">
        <f t="shared" si="1545"/>
        <v/>
      </c>
      <c r="L3592" s="52" t="str">
        <f>IF(H3592="","",IF(C3592="","",G3548*C3592))</f>
        <v/>
      </c>
      <c r="M3592" s="117" t="str">
        <f>IF(A3592="","",VLOOKUP(A3592,'6.A'!$A$11:$C$564,2,FALSE))</f>
        <v/>
      </c>
      <c r="N3592" s="57" t="str">
        <f t="shared" si="1546"/>
        <v/>
      </c>
      <c r="O3592" s="56"/>
      <c r="P3592" s="56"/>
      <c r="Q3592" s="48"/>
      <c r="R3592" s="48"/>
    </row>
    <row r="3593" spans="1:22" ht="12.75" customHeight="1" x14ac:dyDescent="0.2">
      <c r="A3593" s="22"/>
      <c r="B3593" s="23" t="str">
        <f>IF(A3593="","",VLOOKUP(A3593,'6.A'!$A$11:$G$180,2,FALSE))</f>
        <v/>
      </c>
      <c r="C3593" s="99"/>
      <c r="D3593" s="57" t="str">
        <f>IF(A3593="","",VLOOKUP(A3593,'6.A'!$A$11:$G$180,4,FALSE))</f>
        <v/>
      </c>
      <c r="E3593" s="100" t="str">
        <f>IF(A3593="","",VLOOKUP(A3593,'6.A'!$A$11:$G$180,5,FALSE))</f>
        <v/>
      </c>
      <c r="F3593" s="24" t="str">
        <f t="shared" si="1543"/>
        <v>0,00</v>
      </c>
      <c r="G3593" s="52"/>
      <c r="H3593" s="52" t="str">
        <f>IF(A3593="","",VLOOKUP(A3593,'6.A'!$A$11:$E$7984,5,FALSE))</f>
        <v/>
      </c>
      <c r="I3593" s="52" t="str">
        <f t="shared" si="1544"/>
        <v/>
      </c>
      <c r="J3593" s="52" t="str">
        <f>IF(H3593="","",VLOOKUP(A3593,'6.A'!$A$11:$E$564,4,FALSE))</f>
        <v/>
      </c>
      <c r="K3593" s="52" t="str">
        <f t="shared" si="1545"/>
        <v/>
      </c>
      <c r="L3593" s="52" t="str">
        <f>IF(H3593="","",IF(C3593="","",G3548*C3593))</f>
        <v/>
      </c>
      <c r="M3593" s="117" t="str">
        <f>IF(A3593="","",VLOOKUP(A3593,'6.A'!$A$11:$C$564,2,FALSE))</f>
        <v/>
      </c>
      <c r="N3593" s="57" t="str">
        <f t="shared" si="1546"/>
        <v/>
      </c>
      <c r="O3593" s="56"/>
      <c r="P3593" s="56"/>
      <c r="Q3593" s="48"/>
      <c r="R3593" s="48"/>
    </row>
    <row r="3594" spans="1:22" ht="12.75" customHeight="1" x14ac:dyDescent="0.2">
      <c r="A3594" s="22"/>
      <c r="B3594" s="39" t="str">
        <f>IF(A3594="","",VLOOKUP(A3594,'6.A'!$A$11:$G$180,2,FALSE))</f>
        <v/>
      </c>
      <c r="C3594" s="99"/>
      <c r="D3594" s="57" t="str">
        <f>IF(A3594="","",VLOOKUP(A3594,'6.A'!$A$11:$G$180,4,FALSE))</f>
        <v/>
      </c>
      <c r="E3594" s="100" t="str">
        <f>IF(A3594="","",VLOOKUP(A3594,'6.A'!$A$11:$G$180,5,FALSE))</f>
        <v/>
      </c>
      <c r="F3594" s="24" t="str">
        <f t="shared" si="1543"/>
        <v>0,00</v>
      </c>
      <c r="G3594" s="52"/>
      <c r="H3594" s="52" t="str">
        <f>IF(A3594="","",VLOOKUP(A3594,'6.A'!$A$11:$E$7984,5,FALSE))</f>
        <v/>
      </c>
      <c r="I3594" s="52" t="str">
        <f t="shared" si="1544"/>
        <v/>
      </c>
      <c r="J3594" s="52" t="str">
        <f>IF(H3594="","",VLOOKUP(A3594,'6.A'!$A$11:$E$564,4,FALSE))</f>
        <v/>
      </c>
      <c r="K3594" s="52" t="str">
        <f t="shared" si="1545"/>
        <v/>
      </c>
      <c r="L3594" s="52" t="str">
        <f>IF(H3594="","",IF(C3594="","",G3548*C3594))</f>
        <v/>
      </c>
      <c r="M3594" s="117" t="str">
        <f>IF(A3594="","",VLOOKUP(A3594,'6.A'!$A$11:$C$564,2,FALSE))</f>
        <v/>
      </c>
      <c r="N3594" s="57" t="str">
        <f t="shared" si="1546"/>
        <v/>
      </c>
      <c r="O3594" s="56"/>
      <c r="P3594" s="56"/>
      <c r="Q3594" s="48"/>
      <c r="R3594" s="48"/>
    </row>
    <row r="3595" spans="1:22" ht="12.75" customHeight="1" x14ac:dyDescent="0.2">
      <c r="A3595" s="22"/>
      <c r="B3595" s="39" t="str">
        <f>IF(A3595="","",VLOOKUP(A3595,'6.A'!$A$11:$G$180,2,FALSE))</f>
        <v/>
      </c>
      <c r="C3595" s="99"/>
      <c r="D3595" s="57" t="str">
        <f>IF(A3595="","",VLOOKUP(A3595,'6.A'!$A$11:$G$180,4,FALSE))</f>
        <v/>
      </c>
      <c r="E3595" s="100" t="str">
        <f>IF(A3595="","",VLOOKUP(A3595,'6.A'!$A$11:$G$180,5,FALSE))</f>
        <v/>
      </c>
      <c r="F3595" s="24" t="str">
        <f t="shared" si="1543"/>
        <v>0,00</v>
      </c>
      <c r="G3595" s="52"/>
      <c r="H3595" s="52" t="str">
        <f>IF(A3595="","",VLOOKUP(A3595,'6.A'!$A$11:$E$7984,5,FALSE))</f>
        <v/>
      </c>
      <c r="I3595" s="52" t="str">
        <f t="shared" si="1544"/>
        <v/>
      </c>
      <c r="J3595" s="52" t="str">
        <f>IF(H3595="","",VLOOKUP(A3595,'6.A'!$A$11:$E$564,4,FALSE))</f>
        <v/>
      </c>
      <c r="K3595" s="52" t="str">
        <f t="shared" si="1545"/>
        <v/>
      </c>
      <c r="L3595" s="52" t="str">
        <f>IF(H3595="","",IF(C3595="","",G3548*C3595))</f>
        <v/>
      </c>
      <c r="M3595" s="117" t="str">
        <f>IF(A3595="","",VLOOKUP(A3595,'6.A'!$A$11:$C$564,2,FALSE))</f>
        <v/>
      </c>
      <c r="N3595" s="57" t="str">
        <f t="shared" si="1546"/>
        <v/>
      </c>
      <c r="O3595" s="56"/>
      <c r="P3595" s="56"/>
      <c r="Q3595" s="48"/>
      <c r="R3595" s="48"/>
    </row>
    <row r="3596" spans="1:22" ht="12.75" customHeight="1" x14ac:dyDescent="0.2">
      <c r="A3596" s="22"/>
      <c r="B3596" s="39" t="str">
        <f>IF(A3596="","",VLOOKUP(A3596,'6.A'!$A$11:$G$180,2,FALSE))</f>
        <v/>
      </c>
      <c r="C3596" s="99"/>
      <c r="D3596" s="57" t="str">
        <f>IF(A3596="","",VLOOKUP(A3596,'6.A'!$A$11:$G$180,4,FALSE))</f>
        <v/>
      </c>
      <c r="E3596" s="100" t="str">
        <f>IF(A3596="","",VLOOKUP(A3596,'6.A'!$A$11:$G$180,5,FALSE))</f>
        <v/>
      </c>
      <c r="F3596" s="24" t="str">
        <f t="shared" si="1543"/>
        <v>0,00</v>
      </c>
      <c r="G3596" s="52"/>
      <c r="H3596" s="52" t="str">
        <f>IF(A3596="","",VLOOKUP(A3596,'6.A'!$A$11:$E$7984,5,FALSE))</f>
        <v/>
      </c>
      <c r="I3596" s="52" t="str">
        <f t="shared" si="1544"/>
        <v/>
      </c>
      <c r="J3596" s="52" t="str">
        <f>IF(H3596="","",VLOOKUP(A3596,'6.A'!$A$11:$E$564,4,FALSE))</f>
        <v/>
      </c>
      <c r="K3596" s="52" t="str">
        <f t="shared" si="1545"/>
        <v/>
      </c>
      <c r="L3596" s="52" t="str">
        <f>IF(H3596="","",IF(C3596="","",G3548*C3596))</f>
        <v/>
      </c>
      <c r="M3596" s="117" t="str">
        <f>IF(A3596="","",VLOOKUP(A3596,'6.A'!$A$11:$C$564,2,FALSE))</f>
        <v/>
      </c>
      <c r="N3596" s="57" t="str">
        <f t="shared" si="1546"/>
        <v/>
      </c>
      <c r="O3596" s="56"/>
      <c r="P3596" s="56"/>
      <c r="Q3596" s="48"/>
      <c r="R3596" s="48"/>
    </row>
    <row r="3597" spans="1:22" ht="12.75" customHeight="1" x14ac:dyDescent="0.2">
      <c r="A3597" s="22"/>
      <c r="B3597" s="26" t="str">
        <f>$A$9</f>
        <v>BDI</v>
      </c>
      <c r="C3597" s="40">
        <f>$C$9</f>
        <v>0</v>
      </c>
      <c r="D3597" s="57"/>
      <c r="F3597" s="28">
        <f>ROUND(SUM(F3577:F3596)*C3597,2)</f>
        <v>0</v>
      </c>
      <c r="G3597" s="63"/>
      <c r="M3597" s="57"/>
      <c r="N3597" s="57"/>
      <c r="O3597" s="56"/>
      <c r="P3597" s="56"/>
      <c r="Q3597" s="48"/>
      <c r="R3597" s="48"/>
    </row>
    <row r="3598" spans="1:22" ht="12.75" customHeight="1" thickBot="1" x14ac:dyDescent="0.25">
      <c r="A3598" s="41"/>
      <c r="B3598" s="42" t="s">
        <v>57</v>
      </c>
      <c r="C3598" s="43"/>
      <c r="D3598" s="44"/>
      <c r="E3598" s="45"/>
      <c r="F3598" s="46">
        <f>ROUND(SUM(F3577:F3597),2)</f>
        <v>0</v>
      </c>
      <c r="G3598" s="63"/>
      <c r="M3598" s="57"/>
      <c r="N3598" s="57"/>
      <c r="O3598" s="56"/>
      <c r="P3598" s="56"/>
      <c r="Q3598" s="48"/>
      <c r="R3598" s="48"/>
    </row>
    <row r="3599" spans="1:22" s="149" customFormat="1" ht="12" customHeight="1" thickBot="1" x14ac:dyDescent="0.25">
      <c r="A3599" s="150"/>
      <c r="B3599" s="145"/>
      <c r="C3599" s="146"/>
      <c r="D3599" s="141"/>
      <c r="E3599" s="147"/>
      <c r="F3599" s="142"/>
      <c r="G3599" s="142"/>
      <c r="H3599" s="139"/>
      <c r="I3599" s="141"/>
      <c r="J3599" s="141"/>
      <c r="K3599" s="141"/>
      <c r="L3599" s="139"/>
      <c r="M3599" s="143"/>
      <c r="N3599" s="143"/>
      <c r="O3599" s="144"/>
      <c r="P3599" s="144"/>
      <c r="Q3599" s="135"/>
      <c r="R3599" s="135"/>
      <c r="T3599" s="137"/>
      <c r="U3599" s="137"/>
      <c r="V3599" s="137"/>
    </row>
    <row r="3600" spans="1:22" s="137" customFormat="1" ht="50.1" customHeight="1" x14ac:dyDescent="0.2">
      <c r="A3600" s="151" t="str">
        <f>'3.A'!$A$76</f>
        <v>3.4.10</v>
      </c>
      <c r="B3600" s="14" t="str">
        <f>IF(A3600="","",VLOOKUP(A3600,'3.A'!$A$17:$M$279,2,FALSE))</f>
        <v>UNIDADE CAPACITIVA TRIFÁSICA, COM CAPA PROTETORA IP-50, COM RESISTOR INTERNO E PARAFUSO DE FIXAÇÃO E ATERRAMENTO, POTÊNCIA REATIVA DE 10,0 KVAR, VN=220VAC, F=60HZ</v>
      </c>
      <c r="C3600" s="413" t="s">
        <v>62</v>
      </c>
      <c r="D3600" s="413"/>
      <c r="E3600" s="15" t="str">
        <f>IF(A3600="","",VLOOKUP(A3600,'3.A'!$A$17:$M$279,3,FALSE))</f>
        <v>UN</v>
      </c>
      <c r="F3600" s="16">
        <f>ROUND(F3614+F3627+F3650,2)</f>
        <v>0</v>
      </c>
      <c r="G3600" s="118">
        <f>VLOOKUP(A3600,'3.A'!$A$19:$I$279,4,FALSE)</f>
        <v>5</v>
      </c>
      <c r="H3600" s="47">
        <f>SUM(F3602:F3613)</f>
        <v>0</v>
      </c>
      <c r="I3600" s="47">
        <f>SUM(F3616:F3626)</f>
        <v>0</v>
      </c>
      <c r="J3600" s="47">
        <f>SUM(F3629:F3649)</f>
        <v>0</v>
      </c>
      <c r="K3600" s="47">
        <f>SUM(H3600:J3600)</f>
        <v>0</v>
      </c>
      <c r="L3600" s="47" t="str">
        <f>IF(K3600=F3600,"SIM","NÃO")</f>
        <v>SIM</v>
      </c>
      <c r="M3600" s="58">
        <f>ROUND(SUM(F3602:F3611)*C3612,2)+ROUND(SUM(F3602:F3612)*C3613,2)+ROUND(SUM(F3602:F3611),2)+ROUND(SUM(F3616:F3625)*C3626,2)+ROUND(SUM(F3616:F3625),2)+ROUND(SUM(F3629:F3648)*C3649,2)+ROUND(SUM(F3629:F3648),2)</f>
        <v>0</v>
      </c>
      <c r="N3600" s="50" t="str">
        <f>IF(M3600=F3600,"SIM","NÃO")</f>
        <v>SIM</v>
      </c>
      <c r="O3600" s="51" t="str">
        <f>VLOOKUP(A3600,'3.A'!$A$8:$E$279,3,FALSE)</f>
        <v>UN</v>
      </c>
      <c r="P3600" s="51" t="str">
        <f>IF(O3600=E3600,"SIM","NÃO")</f>
        <v>SIM</v>
      </c>
      <c r="Q3600" s="53">
        <f>ROUND(G3600*F3614,2)+ROUND(G3600*F3627,2)+ROUND(G3600*F3650,2)</f>
        <v>0</v>
      </c>
      <c r="R3600" s="59">
        <f>VLOOKUP(A3600,'3.A'!$A$17:$L$279,12,FALSE)</f>
        <v>0</v>
      </c>
      <c r="S3600" s="60" t="str">
        <f>IF(Q3600=R3600,"si","no")</f>
        <v>si</v>
      </c>
      <c r="T3600" s="61">
        <f>SUM(L3602:L3611)+SUM(L3616:L3625)+SUM(L3629:L3648)</f>
        <v>6.5</v>
      </c>
      <c r="U3600" s="52">
        <f>G3600*C3608+G3600*C3610+G3600*C3603+G3600*C3604+G3600*C3606+G3600*C3609+G3600*C3607+G3600*C3602+G3600*C3605+G3600*C3611+G3600*C3622+G3600*C3616+G3600*C3624+G3600*C3623+G3600*C3621+G3600*C3618+G3600*C3617+G3600*C3619+G3600*C3625+G3600*C3620+G3600*C3629+G3600*C3630+G3600*C3631+G3600*C3639+G3600*C3640+G3600*C3641+G3600*C3642+G3600*C3643+G3600*C3644+G3600*C3645+G3600*C3646+G3600*C3647+G3600*C3648+G3600*C3637+G3600*C3638+G3600*C3632+G3600*C3633+G3600*C3634+G3600*C3635+G3600*C3636</f>
        <v>6.5</v>
      </c>
      <c r="V3600" s="54" t="str">
        <f>IF(T3600=U3600,"si","no")</f>
        <v>si</v>
      </c>
    </row>
    <row r="3601" spans="1:22" s="137" customFormat="1" ht="12.75" customHeight="1" x14ac:dyDescent="0.2">
      <c r="A3601" s="152" t="s">
        <v>3</v>
      </c>
      <c r="B3601" s="153" t="s">
        <v>58</v>
      </c>
      <c r="C3601" s="140" t="s">
        <v>59</v>
      </c>
      <c r="D3601" s="140" t="s">
        <v>16</v>
      </c>
      <c r="E3601" s="154" t="s">
        <v>60</v>
      </c>
      <c r="F3601" s="148" t="s">
        <v>61</v>
      </c>
      <c r="G3601" s="21"/>
      <c r="H3601" s="52"/>
      <c r="I3601" s="57"/>
      <c r="J3601" s="57"/>
      <c r="K3601" s="57"/>
      <c r="L3601" s="52"/>
      <c r="M3601" s="57"/>
      <c r="N3601" s="57"/>
      <c r="O3601" s="56"/>
      <c r="P3601" s="56"/>
      <c r="Q3601" s="48"/>
      <c r="R3601" s="48"/>
      <c r="S3601" s="65"/>
      <c r="T3601" s="2"/>
      <c r="U3601" s="2"/>
      <c r="V3601" s="2"/>
    </row>
    <row r="3602" spans="1:22" s="137" customFormat="1" ht="12.75" customHeight="1" x14ac:dyDescent="0.2">
      <c r="A3602" s="155">
        <f>'6.A'!$A$18</f>
        <v>88264</v>
      </c>
      <c r="B3602" s="138" t="str">
        <f>IF(A3602="","",VLOOKUP(A3602,'6.A'!$A$11:$G$180,2,FALSE))</f>
        <v>ELETRICISTA COM ENCARGOS COMPLEMENTARES</v>
      </c>
      <c r="C3602" s="156">
        <v>0.15</v>
      </c>
      <c r="D3602" s="157" t="str">
        <f>IF(A3602="","",VLOOKUP(A3602,'6.A'!$A$11:$G$180,4,FALSE))</f>
        <v>H</v>
      </c>
      <c r="E3602" s="158">
        <f>IF(A3602="","",VLOOKUP(A3602,'6.A'!$A$11:$G$180,5,FALSE))</f>
        <v>0</v>
      </c>
      <c r="F3602" s="159">
        <f t="shared" ref="F3602" si="1547">IF(A3602="","0,00",ROUND(C3602*E3602,2))</f>
        <v>0</v>
      </c>
      <c r="G3602" s="52"/>
      <c r="H3602" s="52">
        <f>IF(A3602="","",VLOOKUP(A3602,'6.A'!$A$11:$E$7984,5,FALSE))</f>
        <v>0</v>
      </c>
      <c r="I3602" s="52" t="str">
        <f>IF(H3602="","",IF(E3602=H3602,"SIM","NÃO"))</f>
        <v>SIM</v>
      </c>
      <c r="J3602" s="52" t="str">
        <f>IF(H3602="","",VLOOKUP(A3602,'6.A'!$A$11:$E$564,4,FALSE))</f>
        <v>H</v>
      </c>
      <c r="K3602" s="52" t="str">
        <f>IF(H3602="","",IF(J3602=D3602,"SIM","NÃO"))</f>
        <v>SIM</v>
      </c>
      <c r="L3602" s="52">
        <f>IF(H3602="","",IF(C3602="","",G3600*C3602))</f>
        <v>0.75</v>
      </c>
      <c r="M3602" s="117" t="str">
        <f>IF(A3602="","",VLOOKUP(A3602,'6.A'!$A$11:$C$564,2,FALSE))</f>
        <v>ELETRICISTA COM ENCARGOS COMPLEMENTARES</v>
      </c>
      <c r="N3602" s="57" t="str">
        <f>IF(A3602="","",IF(M3602=B3602,"si","no"))</f>
        <v>si</v>
      </c>
      <c r="O3602" s="56"/>
      <c r="P3602" s="56"/>
      <c r="Q3602" s="48"/>
      <c r="R3602" s="48"/>
      <c r="S3602" s="65"/>
      <c r="T3602" s="2"/>
      <c r="U3602" s="2"/>
      <c r="V3602" s="2"/>
    </row>
    <row r="3603" spans="1:22" s="137" customFormat="1" ht="12.75" customHeight="1" x14ac:dyDescent="0.2">
      <c r="A3603" s="155">
        <f>'6.A'!$A$15</f>
        <v>88247</v>
      </c>
      <c r="B3603" s="138" t="str">
        <f>IF(A3603="","",VLOOKUP(A3603,'6.A'!$A$11:$G$180,2,FALSE))</f>
        <v>AUXILIAR DE ELETRICISTA COM ENCARGOS COMPLEMENTARES</v>
      </c>
      <c r="C3603" s="156">
        <v>0.15</v>
      </c>
      <c r="D3603" s="157" t="str">
        <f>IF(A3603="","",VLOOKUP(A3603,'6.A'!$A$11:$G$180,4,FALSE))</f>
        <v>H</v>
      </c>
      <c r="E3603" s="158">
        <f>IF(A3603="","",VLOOKUP(A3603,'6.A'!$A$11:$G$180,5,FALSE))</f>
        <v>0</v>
      </c>
      <c r="F3603" s="159">
        <f>IF(A3603="","0,00",ROUND(C3603*E3603,2))</f>
        <v>0</v>
      </c>
      <c r="G3603" s="52"/>
      <c r="H3603" s="52">
        <f>IF(A3603="","",VLOOKUP(A3603,'6.A'!$A$11:$E$7984,5,FALSE))</f>
        <v>0</v>
      </c>
      <c r="I3603" s="52" t="str">
        <f>IF(H3603="","",IF(E3603=H3603,"SIM","NÃO"))</f>
        <v>SIM</v>
      </c>
      <c r="J3603" s="52" t="str">
        <f>IF(H3603="","",VLOOKUP(A3603,'6.A'!$A$11:$E$564,4,FALSE))</f>
        <v>H</v>
      </c>
      <c r="K3603" s="52" t="str">
        <f>IF(H3603="","",IF(J3603=D3603,"SIM","NÃO"))</f>
        <v>SIM</v>
      </c>
      <c r="L3603" s="52">
        <f>IF(H3603="","",IF(C3603="","",G3600*C3603))</f>
        <v>0.75</v>
      </c>
      <c r="M3603" s="117" t="str">
        <f>IF(A3603="","",VLOOKUP(A3603,'6.A'!$A$11:$C$564,2,FALSE))</f>
        <v>AUXILIAR DE ELETRICISTA COM ENCARGOS COMPLEMENTARES</v>
      </c>
      <c r="N3603" s="57" t="str">
        <f>IF(A3603="","",IF(M3603=B3603,"si","no"))</f>
        <v>si</v>
      </c>
      <c r="O3603" s="56"/>
      <c r="P3603" s="56"/>
      <c r="Q3603" s="48"/>
      <c r="R3603" s="48"/>
      <c r="S3603" s="65"/>
      <c r="T3603" s="2"/>
      <c r="U3603" s="2"/>
      <c r="V3603" s="2"/>
    </row>
    <row r="3604" spans="1:22" s="137" customFormat="1" ht="12.75" customHeight="1" x14ac:dyDescent="0.2">
      <c r="A3604" s="155"/>
      <c r="B3604" s="138" t="str">
        <f>IF(A3604="","",VLOOKUP(A3604,'6.A'!$A$11:$G$180,2,FALSE))</f>
        <v/>
      </c>
      <c r="C3604" s="156"/>
      <c r="D3604" s="157" t="str">
        <f>IF(A3604="","",VLOOKUP(A3604,'6.A'!$A$11:$G$180,4,FALSE))</f>
        <v/>
      </c>
      <c r="E3604" s="158" t="str">
        <f>IF(A3604="","",VLOOKUP(A3604,'6.A'!$A$11:$G$180,5,FALSE))</f>
        <v/>
      </c>
      <c r="F3604" s="159" t="str">
        <f t="shared" ref="F3604:F3611" si="1548">IF(A3604="","0,00",ROUND(C3604*E3604,2))</f>
        <v>0,00</v>
      </c>
      <c r="G3604" s="52"/>
      <c r="H3604" s="52" t="str">
        <f>IF(A3604="","",VLOOKUP(A3604,'6.A'!$A$11:$E$7984,5,FALSE))</f>
        <v/>
      </c>
      <c r="I3604" s="52" t="str">
        <f>IF(H3604="","",IF(E3604=H3604,"SIM","NÃO"))</f>
        <v/>
      </c>
      <c r="J3604" s="52" t="str">
        <f>IF(H3604="","",VLOOKUP(A3604,'6.A'!$A$11:$E$564,4,FALSE))</f>
        <v/>
      </c>
      <c r="K3604" s="52" t="str">
        <f t="shared" ref="K3604" si="1549">IF(H3604="","",IF(J3604=D3604,"SIM","NÃO"))</f>
        <v/>
      </c>
      <c r="L3604" s="52" t="str">
        <f>IF(H3604="","",IF(C3604="","",G3600*C3604))</f>
        <v/>
      </c>
      <c r="M3604" s="117" t="str">
        <f>IF(A3604="","",VLOOKUP(A3604,'6.A'!$A$11:$C$564,2,FALSE))</f>
        <v/>
      </c>
      <c r="N3604" s="57" t="str">
        <f t="shared" ref="N3604" si="1550">IF(A3604="","",IF(M3604=B3604,"si","no"))</f>
        <v/>
      </c>
      <c r="O3604" s="56"/>
      <c r="P3604" s="56"/>
      <c r="Q3604" s="48"/>
      <c r="R3604" s="48"/>
      <c r="S3604" s="65"/>
      <c r="T3604" s="2"/>
      <c r="U3604" s="2"/>
      <c r="V3604" s="2"/>
    </row>
    <row r="3605" spans="1:22" s="137" customFormat="1" ht="12.75" customHeight="1" x14ac:dyDescent="0.2">
      <c r="A3605" s="155"/>
      <c r="B3605" s="138" t="str">
        <f>IF(A3605="","",VLOOKUP(A3605,'6.A'!$A$11:$G$180,2,FALSE))</f>
        <v/>
      </c>
      <c r="C3605" s="156"/>
      <c r="D3605" s="157" t="str">
        <f>IF(A3605="","",VLOOKUP(A3605,'6.A'!$A$11:$G$180,4,FALSE))</f>
        <v/>
      </c>
      <c r="E3605" s="158" t="str">
        <f>IF(A3605="","",VLOOKUP(A3605,'6.A'!$A$11:$G$180,5,FALSE))</f>
        <v/>
      </c>
      <c r="F3605" s="159" t="str">
        <f t="shared" si="1548"/>
        <v>0,00</v>
      </c>
      <c r="G3605" s="52"/>
      <c r="H3605" s="52" t="str">
        <f>IF(A3605="","",VLOOKUP(A3605,'6.A'!$A$11:$E$7984,5,FALSE))</f>
        <v/>
      </c>
      <c r="I3605" s="52" t="str">
        <f>IF(H3605="","",IF(E3605=H3605,"SIM","NÃO"))</f>
        <v/>
      </c>
      <c r="J3605" s="52" t="str">
        <f>IF(H3605="","",VLOOKUP(A3605,'6.A'!$A$11:$E$564,4,FALSE))</f>
        <v/>
      </c>
      <c r="K3605" s="52" t="str">
        <f>IF(H3605="","",IF(J3605=D3605,"SIM","NÃO"))</f>
        <v/>
      </c>
      <c r="L3605" s="52" t="str">
        <f>IF(H3605="","",IF(C3605="","",G3600*C3605))</f>
        <v/>
      </c>
      <c r="M3605" s="117" t="str">
        <f>IF(A3605="","",VLOOKUP(A3605,'6.A'!$A$11:$C$564,2,FALSE))</f>
        <v/>
      </c>
      <c r="N3605" s="57" t="str">
        <f>IF(A3605="","",IF(M3605=B3605,"si","no"))</f>
        <v/>
      </c>
      <c r="O3605" s="56"/>
      <c r="P3605" s="56"/>
      <c r="Q3605" s="48"/>
      <c r="R3605" s="48"/>
      <c r="S3605" s="65"/>
      <c r="T3605" s="2"/>
      <c r="U3605" s="2"/>
      <c r="V3605" s="2"/>
    </row>
    <row r="3606" spans="1:22" s="137" customFormat="1" ht="12.75" customHeight="1" x14ac:dyDescent="0.2">
      <c r="A3606" s="155"/>
      <c r="B3606" s="138" t="str">
        <f>IF(A3606="","",VLOOKUP(A3606,'6.A'!$A$11:$G$180,2,FALSE))</f>
        <v/>
      </c>
      <c r="C3606" s="156"/>
      <c r="D3606" s="157" t="str">
        <f>IF(A3606="","",VLOOKUP(A3606,'6.A'!$A$11:$G$180,4,FALSE))</f>
        <v/>
      </c>
      <c r="E3606" s="158" t="str">
        <f>IF(A3606="","",VLOOKUP(A3606,'6.A'!$A$11:$G$180,5,FALSE))</f>
        <v/>
      </c>
      <c r="F3606" s="159" t="str">
        <f t="shared" si="1548"/>
        <v>0,00</v>
      </c>
      <c r="G3606" s="52"/>
      <c r="H3606" s="52" t="str">
        <f>IF(A3606="","",VLOOKUP(A3606,'6.A'!$A$11:$E$7984,5,FALSE))</f>
        <v/>
      </c>
      <c r="I3606" s="52" t="str">
        <f t="shared" ref="I3606" si="1551">IF(H3606="","",IF(E3606=H3606,"SIM","NÃO"))</f>
        <v/>
      </c>
      <c r="J3606" s="52" t="str">
        <f>IF(H3606="","",VLOOKUP(A3606,'6.A'!$A$11:$E$564,4,FALSE))</f>
        <v/>
      </c>
      <c r="K3606" s="52" t="str">
        <f t="shared" ref="K3606" si="1552">IF(H3606="","",IF(J3606=D3606,"SIM","NÃO"))</f>
        <v/>
      </c>
      <c r="L3606" s="52" t="str">
        <f>IF(H3606="","",IF(C3606="","",G3600*C3606))</f>
        <v/>
      </c>
      <c r="M3606" s="117" t="str">
        <f>IF(A3606="","",VLOOKUP(A3606,'6.A'!$A$11:$C$564,2,FALSE))</f>
        <v/>
      </c>
      <c r="N3606" s="57" t="str">
        <f t="shared" ref="N3606" si="1553">IF(A3606="","",IF(M3606=B3606,"si","no"))</f>
        <v/>
      </c>
      <c r="O3606" s="56"/>
      <c r="P3606" s="56"/>
      <c r="Q3606" s="48"/>
      <c r="R3606" s="48"/>
      <c r="S3606" s="65"/>
      <c r="T3606" s="2"/>
      <c r="U3606" s="2"/>
      <c r="V3606" s="2"/>
    </row>
    <row r="3607" spans="1:22" s="137" customFormat="1" ht="12.75" customHeight="1" x14ac:dyDescent="0.2">
      <c r="A3607" s="155"/>
      <c r="B3607" s="138" t="str">
        <f>IF(A3607="","",VLOOKUP(A3607,'6.A'!$A$11:$G$180,2,FALSE))</f>
        <v/>
      </c>
      <c r="C3607" s="156"/>
      <c r="D3607" s="157" t="str">
        <f>IF(A3607="","",VLOOKUP(A3607,'6.A'!$A$11:$G$180,4,FALSE))</f>
        <v/>
      </c>
      <c r="E3607" s="158" t="str">
        <f>IF(A3607="","",VLOOKUP(A3607,'6.A'!$A$11:$G$180,5,FALSE))</f>
        <v/>
      </c>
      <c r="F3607" s="159" t="str">
        <f t="shared" si="1548"/>
        <v>0,00</v>
      </c>
      <c r="G3607" s="52"/>
      <c r="H3607" s="52" t="str">
        <f>IF(A3607="","",VLOOKUP(A3607,'6.A'!$A$11:$E$7984,5,FALSE))</f>
        <v/>
      </c>
      <c r="I3607" s="52" t="str">
        <f>IF(H3607="","",IF(E3607=H3607,"SIM","NÃO"))</f>
        <v/>
      </c>
      <c r="J3607" s="52" t="str">
        <f>IF(H3607="","",VLOOKUP(A3607,'6.A'!$A$11:$E$564,4,FALSE))</f>
        <v/>
      </c>
      <c r="K3607" s="52" t="str">
        <f>IF(H3607="","",IF(J3607=D3607,"SIM","NÃO"))</f>
        <v/>
      </c>
      <c r="L3607" s="52" t="str">
        <f>IF(H3607="","",IF(C3607="","",G3600*C3607))</f>
        <v/>
      </c>
      <c r="M3607" s="117" t="str">
        <f>IF(A3607="","",VLOOKUP(A3607,'6.A'!$A$11:$C$564,2,FALSE))</f>
        <v/>
      </c>
      <c r="N3607" s="57" t="str">
        <f>IF(A3607="","",IF(M3607=B3607,"si","no"))</f>
        <v/>
      </c>
      <c r="O3607" s="56"/>
      <c r="P3607" s="56"/>
      <c r="Q3607" s="48"/>
      <c r="R3607" s="48"/>
      <c r="S3607" s="65"/>
      <c r="T3607" s="2"/>
      <c r="U3607" s="2"/>
      <c r="V3607" s="2"/>
    </row>
    <row r="3608" spans="1:22" s="137" customFormat="1" ht="12.75" customHeight="1" x14ac:dyDescent="0.2">
      <c r="A3608" s="155"/>
      <c r="B3608" s="138" t="str">
        <f>IF(A3608="","",VLOOKUP(A3608,'6.A'!$A$11:$G$180,2,FALSE))</f>
        <v/>
      </c>
      <c r="C3608" s="156"/>
      <c r="D3608" s="141" t="str">
        <f>IF(A3608="","",VLOOKUP(A3608,'6.A'!$A$11:$G$180,4,FALSE))</f>
        <v/>
      </c>
      <c r="E3608" s="160" t="str">
        <f>IF(A3608="","",VLOOKUP(A3608,'6.A'!$A$11:$G$180,5,FALSE))</f>
        <v/>
      </c>
      <c r="F3608" s="159" t="str">
        <f t="shared" si="1548"/>
        <v>0,00</v>
      </c>
      <c r="G3608" s="52"/>
      <c r="H3608" s="52" t="str">
        <f>IF(A3608="","",VLOOKUP(A3608,'6.A'!$A$11:$E$7984,5,FALSE))</f>
        <v/>
      </c>
      <c r="I3608" s="52" t="str">
        <f>IF(H3608="","",IF(E3608=H3608,"SIM","NÃO"))</f>
        <v/>
      </c>
      <c r="J3608" s="52" t="str">
        <f>IF(H3608="","",VLOOKUP(A3608,'6.A'!$A$11:$E$564,4,FALSE))</f>
        <v/>
      </c>
      <c r="K3608" s="52" t="str">
        <f>IF(H3608="","",IF(J3608=D3608,"SIM","NÃO"))</f>
        <v/>
      </c>
      <c r="L3608" s="52" t="str">
        <f>IF(H3608="","",IF(C3608="","",G3600*C3608))</f>
        <v/>
      </c>
      <c r="M3608" s="117" t="str">
        <f>IF(A3608="","",VLOOKUP(A3608,'6.A'!$A$11:$C$564,2,FALSE))</f>
        <v/>
      </c>
      <c r="N3608" s="57" t="str">
        <f>IF(A3608="","",IF(M3608=B3608,"si","no"))</f>
        <v/>
      </c>
      <c r="O3608" s="56"/>
      <c r="P3608" s="56"/>
      <c r="Q3608" s="48"/>
      <c r="R3608" s="48"/>
      <c r="S3608" s="65"/>
      <c r="T3608" s="2"/>
      <c r="U3608" s="2"/>
      <c r="V3608" s="2"/>
    </row>
    <row r="3609" spans="1:22" s="137" customFormat="1" ht="12.75" customHeight="1" x14ac:dyDescent="0.2">
      <c r="A3609" s="155"/>
      <c r="B3609" s="138" t="str">
        <f>IF(A3609="","",VLOOKUP(A3609,'6.A'!$A$11:$G$180,2,FALSE))</f>
        <v/>
      </c>
      <c r="C3609" s="156"/>
      <c r="D3609" s="141" t="str">
        <f>IF(A3609="","",VLOOKUP(A3609,'6.A'!$A$11:$G$180,4,FALSE))</f>
        <v/>
      </c>
      <c r="E3609" s="158" t="str">
        <f>IF(A3609="","",VLOOKUP(A3609,'6.A'!$A$11:$G$180,5,FALSE))</f>
        <v/>
      </c>
      <c r="F3609" s="159" t="str">
        <f t="shared" si="1548"/>
        <v>0,00</v>
      </c>
      <c r="G3609" s="52"/>
      <c r="H3609" s="52" t="str">
        <f>IF(A3609="","",VLOOKUP(A3609,'6.A'!$A$11:$E$7984,5,FALSE))</f>
        <v/>
      </c>
      <c r="I3609" s="52" t="str">
        <f t="shared" ref="I3609" si="1554">IF(H3609="","",IF(E3609=H3609,"SIM","NÃO"))</f>
        <v/>
      </c>
      <c r="J3609" s="52" t="str">
        <f>IF(H3609="","",VLOOKUP(A3609,'6.A'!$A$11:$E$564,4,FALSE))</f>
        <v/>
      </c>
      <c r="K3609" s="52" t="str">
        <f t="shared" ref="K3609" si="1555">IF(H3609="","",IF(J3609=D3609,"SIM","NÃO"))</f>
        <v/>
      </c>
      <c r="L3609" s="52" t="str">
        <f>IF(H3609="","",IF(C3609="","",G3600*C3609))</f>
        <v/>
      </c>
      <c r="M3609" s="117" t="str">
        <f>IF(A3609="","",VLOOKUP(A3609,'6.A'!$A$11:$C$564,2,FALSE))</f>
        <v/>
      </c>
      <c r="N3609" s="57" t="str">
        <f t="shared" ref="N3609" si="1556">IF(A3609="","",IF(M3609=B3609,"si","no"))</f>
        <v/>
      </c>
      <c r="O3609" s="56"/>
      <c r="P3609" s="56"/>
      <c r="Q3609" s="48"/>
      <c r="R3609" s="48"/>
      <c r="S3609" s="65"/>
      <c r="T3609" s="2"/>
      <c r="U3609" s="2"/>
      <c r="V3609" s="2"/>
    </row>
    <row r="3610" spans="1:22" s="137" customFormat="1" ht="12.75" customHeight="1" x14ac:dyDescent="0.2">
      <c r="A3610" s="155"/>
      <c r="B3610" s="138" t="str">
        <f>IF(A3610="","",VLOOKUP(A3610,'6.A'!$A$11:$G$180,2,FALSE))</f>
        <v/>
      </c>
      <c r="C3610" s="156"/>
      <c r="D3610" s="141" t="str">
        <f>IF(A3610="","",VLOOKUP(A3610,'6.A'!$A$11:$G$180,4,FALSE))</f>
        <v/>
      </c>
      <c r="E3610" s="158" t="str">
        <f>IF(A3610="","",VLOOKUP(A3610,'6.A'!$A$11:$G$180,5,FALSE))</f>
        <v/>
      </c>
      <c r="F3610" s="159" t="str">
        <f t="shared" si="1548"/>
        <v>0,00</v>
      </c>
      <c r="G3610" s="52"/>
      <c r="H3610" s="52" t="str">
        <f>IF(A3610="","",VLOOKUP(A3610,'6.A'!$A$11:$E$7984,5,FALSE))</f>
        <v/>
      </c>
      <c r="I3610" s="52" t="str">
        <f>IF(H3610="","",IF(E3610=H3610,"SIM","NÃO"))</f>
        <v/>
      </c>
      <c r="J3610" s="52" t="str">
        <f>IF(H3610="","",VLOOKUP(A3610,'6.A'!$A$11:$E$564,4,FALSE))</f>
        <v/>
      </c>
      <c r="K3610" s="52" t="str">
        <f>IF(H3610="","",IF(J3610=D3610,"SIM","NÃO"))</f>
        <v/>
      </c>
      <c r="L3610" s="52" t="str">
        <f>IF(H3610="","",IF(C3610="","",G3600*C3610))</f>
        <v/>
      </c>
      <c r="M3610" s="117" t="str">
        <f>IF(A3610="","",VLOOKUP(A3610,'6.A'!$A$11:$C$564,2,FALSE))</f>
        <v/>
      </c>
      <c r="N3610" s="57" t="str">
        <f>IF(A3610="","",IF(M3610=B3610,"si","no"))</f>
        <v/>
      </c>
      <c r="O3610" s="56"/>
      <c r="P3610" s="56"/>
      <c r="Q3610" s="48"/>
      <c r="R3610" s="48"/>
      <c r="S3610" s="65"/>
      <c r="T3610" s="2"/>
      <c r="U3610" s="2"/>
      <c r="V3610" s="2"/>
    </row>
    <row r="3611" spans="1:22" s="137" customFormat="1" ht="12.75" customHeight="1" x14ac:dyDescent="0.2">
      <c r="A3611" s="155"/>
      <c r="B3611" s="138" t="str">
        <f>IF(A3611="","",VLOOKUP(A3611,'6.A'!$A$11:$G$180,2,FALSE))</f>
        <v/>
      </c>
      <c r="C3611" s="156"/>
      <c r="D3611" s="161" t="str">
        <f>IF(A3611="","",VLOOKUP(A3611,'6.A'!$A$11:$G$180,4,FALSE))</f>
        <v/>
      </c>
      <c r="E3611" s="158" t="str">
        <f>IF(A3611="","",VLOOKUP(A3611,'6.A'!$A$11:$G$180,5,FALSE))</f>
        <v/>
      </c>
      <c r="F3611" s="159" t="str">
        <f t="shared" si="1548"/>
        <v>0,00</v>
      </c>
      <c r="G3611" s="52"/>
      <c r="H3611" s="52" t="str">
        <f>IF(A3611="","",VLOOKUP(A3611,'6.A'!$A$11:$E$7984,5,FALSE))</f>
        <v/>
      </c>
      <c r="I3611" s="52" t="str">
        <f t="shared" ref="I3611" si="1557">IF(H3611="","",IF(E3611=H3611,"SIM","NÃO"))</f>
        <v/>
      </c>
      <c r="J3611" s="52" t="str">
        <f>IF(H3611="","",VLOOKUP(A3611,'6.A'!$A$11:$E$564,4,FALSE))</f>
        <v/>
      </c>
      <c r="K3611" s="52" t="str">
        <f t="shared" ref="K3611" si="1558">IF(H3611="","",IF(J3611=D3611,"SIM","NÃO"))</f>
        <v/>
      </c>
      <c r="L3611" s="52" t="str">
        <f>IF(H3611="","",IF(C3611="","",G3600*C3611))</f>
        <v/>
      </c>
      <c r="M3611" s="117" t="str">
        <f>IF(A3611="","",VLOOKUP(A3611,'6.A'!$A$11:$C$564,2,FALSE))</f>
        <v/>
      </c>
      <c r="N3611" s="57" t="str">
        <f t="shared" ref="N3611" si="1559">IF(A3611="","",IF(M3611=B3611,"si","no"))</f>
        <v/>
      </c>
      <c r="O3611" s="56"/>
      <c r="P3611" s="56"/>
      <c r="Q3611" s="48"/>
      <c r="R3611" s="48"/>
      <c r="S3611" s="65"/>
      <c r="T3611" s="2"/>
      <c r="U3611" s="2"/>
      <c r="V3611" s="2"/>
    </row>
    <row r="3612" spans="1:22" s="137" customFormat="1" ht="12.75" customHeight="1" x14ac:dyDescent="0.2">
      <c r="A3612" s="152"/>
      <c r="B3612" s="26" t="str">
        <f>$A$8</f>
        <v>LEIS SOCIAIS HORISTA - JORNADA NORMAL</v>
      </c>
      <c r="C3612" s="27">
        <f>$C$8</f>
        <v>0</v>
      </c>
      <c r="D3612" s="141"/>
      <c r="E3612" s="147"/>
      <c r="F3612" s="162">
        <f>ROUND(SUM(F3602:F3611)*C3612,2)</f>
        <v>0</v>
      </c>
      <c r="G3612" s="63"/>
      <c r="H3612" s="52"/>
      <c r="I3612" s="57"/>
      <c r="J3612" s="57"/>
      <c r="K3612" s="57"/>
      <c r="L3612" s="52"/>
      <c r="M3612" s="62"/>
      <c r="N3612" s="57"/>
      <c r="O3612" s="56"/>
      <c r="P3612" s="56"/>
      <c r="Q3612" s="48"/>
      <c r="R3612" s="48"/>
      <c r="S3612" s="65"/>
      <c r="T3612" s="2"/>
      <c r="U3612" s="2"/>
      <c r="V3612" s="2"/>
    </row>
    <row r="3613" spans="1:22" s="137" customFormat="1" ht="12.75" customHeight="1" x14ac:dyDescent="0.2">
      <c r="A3613" s="155"/>
      <c r="B3613" s="26" t="str">
        <f>$A$9</f>
        <v>BDI</v>
      </c>
      <c r="C3613" s="27">
        <f>$C$9</f>
        <v>0</v>
      </c>
      <c r="D3613" s="136"/>
      <c r="E3613" s="147"/>
      <c r="F3613" s="162">
        <f>ROUND(SUM(F3602:F3612)*C3613,2)</f>
        <v>0</v>
      </c>
      <c r="G3613" s="63"/>
      <c r="H3613" s="52"/>
      <c r="I3613" s="57"/>
      <c r="J3613" s="57"/>
      <c r="K3613" s="57"/>
      <c r="L3613" s="52"/>
      <c r="M3613" s="62"/>
      <c r="N3613" s="57"/>
      <c r="O3613" s="56"/>
      <c r="P3613" s="56"/>
      <c r="Q3613" s="48"/>
      <c r="R3613" s="48"/>
      <c r="S3613" s="65"/>
      <c r="T3613" s="2"/>
      <c r="U3613" s="2"/>
      <c r="V3613" s="2"/>
    </row>
    <row r="3614" spans="1:22" s="149" customFormat="1" ht="12.75" customHeight="1" x14ac:dyDescent="0.2">
      <c r="A3614" s="163"/>
      <c r="B3614" s="164" t="s">
        <v>56</v>
      </c>
      <c r="C3614" s="165"/>
      <c r="D3614" s="166"/>
      <c r="E3614" s="167"/>
      <c r="F3614" s="168">
        <f>ROUND(SUM(F3602:F3613),2)</f>
        <v>0</v>
      </c>
      <c r="G3614" s="63"/>
      <c r="H3614" s="52"/>
      <c r="I3614" s="57"/>
      <c r="J3614" s="57"/>
      <c r="K3614" s="57"/>
      <c r="L3614" s="52"/>
      <c r="M3614" s="62"/>
      <c r="N3614" s="57"/>
      <c r="O3614" s="56"/>
      <c r="P3614" s="56"/>
      <c r="Q3614" s="48"/>
      <c r="R3614" s="48"/>
      <c r="S3614" s="65"/>
      <c r="T3614" s="2"/>
      <c r="U3614" s="2"/>
      <c r="V3614" s="2"/>
    </row>
    <row r="3615" spans="1:22" s="149" customFormat="1" ht="12.75" customHeight="1" x14ac:dyDescent="0.2">
      <c r="A3615" s="152" t="s">
        <v>5</v>
      </c>
      <c r="B3615" s="153" t="s">
        <v>130</v>
      </c>
      <c r="C3615" s="140" t="s">
        <v>59</v>
      </c>
      <c r="D3615" s="140" t="s">
        <v>16</v>
      </c>
      <c r="E3615" s="154" t="s">
        <v>60</v>
      </c>
      <c r="F3615" s="148" t="s">
        <v>61</v>
      </c>
      <c r="G3615" s="21"/>
      <c r="H3615" s="52"/>
      <c r="I3615" s="57"/>
      <c r="J3615" s="57"/>
      <c r="K3615" s="57"/>
      <c r="L3615" s="52"/>
      <c r="M3615" s="62"/>
      <c r="N3615" s="57"/>
      <c r="O3615" s="56"/>
      <c r="P3615" s="56"/>
      <c r="Q3615" s="48"/>
      <c r="R3615" s="48"/>
      <c r="S3615" s="65"/>
      <c r="T3615" s="2"/>
      <c r="U3615" s="2"/>
      <c r="V3615" s="2"/>
    </row>
    <row r="3616" spans="1:22" s="149" customFormat="1" ht="12.75" customHeight="1" x14ac:dyDescent="0.2">
      <c r="A3616" s="155"/>
      <c r="B3616" s="138" t="str">
        <f>IF(A3616="","",VLOOKUP(A3616,'6.A'!$A$11:$G$180,2,FALSE))</f>
        <v/>
      </c>
      <c r="C3616" s="156"/>
      <c r="D3616" s="157" t="str">
        <f>IF(A3616="","",VLOOKUP(A3616,'6.A'!$A$11:$G$180,4,FALSE))</f>
        <v/>
      </c>
      <c r="E3616" s="158" t="str">
        <f>IF(A3616="","",VLOOKUP(A3616,'6.A'!$A$11:$G$180,5,FALSE))</f>
        <v/>
      </c>
      <c r="F3616" s="159" t="str">
        <f t="shared" ref="F3616:F3617" si="1560">IF(A3616="","0,00",ROUND(C3616*E3616,2))</f>
        <v>0,00</v>
      </c>
      <c r="G3616" s="52"/>
      <c r="H3616" s="52" t="str">
        <f>IF(A3616="","",VLOOKUP(A3616,'6.A'!$A$11:$E$7984,5,FALSE))</f>
        <v/>
      </c>
      <c r="I3616" s="52" t="str">
        <f t="shared" ref="I3616:I3617" si="1561">IF(H3616="","",IF(E3616=H3616,"SIM","NÃO"))</f>
        <v/>
      </c>
      <c r="J3616" s="52" t="str">
        <f>IF(H3616="","",VLOOKUP(A3616,'6.A'!$A$11:$E$564,4,FALSE))</f>
        <v/>
      </c>
      <c r="K3616" s="52" t="str">
        <f t="shared" ref="K3616:K3617" si="1562">IF(H3616="","",IF(J3616=D3616,"SIM","NÃO"))</f>
        <v/>
      </c>
      <c r="L3616" s="52" t="str">
        <f>IF(H3616="","",IF(C3616="","",G3600*C3616))</f>
        <v/>
      </c>
      <c r="M3616" s="117" t="str">
        <f>IF(A3616="","",VLOOKUP(A3616,'6.A'!$A$11:$C$564,2,FALSE))</f>
        <v/>
      </c>
      <c r="N3616" s="57" t="str">
        <f t="shared" ref="N3616:N3617" si="1563">IF(A3616="","",IF(M3616=B3616,"si","no"))</f>
        <v/>
      </c>
      <c r="O3616" s="56"/>
      <c r="P3616" s="56"/>
      <c r="Q3616" s="48"/>
      <c r="R3616" s="48"/>
      <c r="S3616" s="65"/>
      <c r="T3616" s="2"/>
      <c r="U3616" s="2"/>
      <c r="V3616" s="2"/>
    </row>
    <row r="3617" spans="1:22" s="149" customFormat="1" ht="12.75" customHeight="1" x14ac:dyDescent="0.2">
      <c r="A3617" s="155"/>
      <c r="B3617" s="138" t="str">
        <f>IF(A3617="","",VLOOKUP(A3617,'6.A'!$A$11:$G$180,2,FALSE))</f>
        <v/>
      </c>
      <c r="C3617" s="156"/>
      <c r="D3617" s="157" t="str">
        <f>IF(A3617="","",VLOOKUP(A3617,'6.A'!$A$11:$G$180,4,FALSE))</f>
        <v/>
      </c>
      <c r="E3617" s="158" t="str">
        <f>IF(A3617="","",VLOOKUP(A3617,'6.A'!$A$11:$G$180,5,FALSE))</f>
        <v/>
      </c>
      <c r="F3617" s="159" t="str">
        <f t="shared" si="1560"/>
        <v>0,00</v>
      </c>
      <c r="G3617" s="52"/>
      <c r="H3617" s="52" t="str">
        <f>IF(A3617="","",VLOOKUP(A3617,'6.A'!$A$11:$E$7984,5,FALSE))</f>
        <v/>
      </c>
      <c r="I3617" s="52" t="str">
        <f t="shared" si="1561"/>
        <v/>
      </c>
      <c r="J3617" s="52" t="str">
        <f>IF(H3617="","",VLOOKUP(A3617,'6.A'!$A$11:$E$564,4,FALSE))</f>
        <v/>
      </c>
      <c r="K3617" s="52" t="str">
        <f t="shared" si="1562"/>
        <v/>
      </c>
      <c r="L3617" s="52" t="str">
        <f>IF(H3617="","",IF(C3617="","",G3600*C3617))</f>
        <v/>
      </c>
      <c r="M3617" s="117" t="str">
        <f>IF(A3617="","",VLOOKUP(A3617,'6.A'!$A$11:$C$564,2,FALSE))</f>
        <v/>
      </c>
      <c r="N3617" s="57" t="str">
        <f t="shared" si="1563"/>
        <v/>
      </c>
      <c r="O3617" s="56"/>
      <c r="P3617" s="56"/>
      <c r="Q3617" s="48"/>
      <c r="R3617" s="48"/>
      <c r="S3617" s="65"/>
      <c r="T3617" s="2"/>
      <c r="U3617" s="2"/>
      <c r="V3617" s="2"/>
    </row>
    <row r="3618" spans="1:22" s="149" customFormat="1" ht="12.75" customHeight="1" x14ac:dyDescent="0.2">
      <c r="A3618" s="155"/>
      <c r="B3618" s="138" t="str">
        <f>IF(A3618="","",VLOOKUP(A3618,'6.A'!$A$11:$G$180,2,FALSE))</f>
        <v/>
      </c>
      <c r="C3618" s="156"/>
      <c r="D3618" s="157" t="str">
        <f>IF(A3618="","",VLOOKUP(A3618,'6.A'!$A$11:$G$180,4,FALSE))</f>
        <v/>
      </c>
      <c r="E3618" s="158" t="str">
        <f>IF(A3618="","",VLOOKUP(A3618,'6.A'!$A$11:$G$180,5,FALSE))</f>
        <v/>
      </c>
      <c r="F3618" s="159" t="str">
        <f>IF(A3618="","0,00",ROUND(C3618*E3618,2))</f>
        <v>0,00</v>
      </c>
      <c r="G3618" s="52"/>
      <c r="H3618" s="52" t="str">
        <f>IF(A3618="","",VLOOKUP(A3618,'6.A'!$A$11:$E$7984,5,FALSE))</f>
        <v/>
      </c>
      <c r="I3618" s="52" t="str">
        <f>IF(H3618="","",IF(E3618=H3618,"SIM","NÃO"))</f>
        <v/>
      </c>
      <c r="J3618" s="52" t="str">
        <f>IF(H3618="","",VLOOKUP(A3618,'6.A'!$A$11:$E$564,4,FALSE))</f>
        <v/>
      </c>
      <c r="K3618" s="52" t="str">
        <f>IF(H3618="","",IF(J3618=D3618,"SIM","NÃO"))</f>
        <v/>
      </c>
      <c r="L3618" s="52" t="str">
        <f>IF(H3618="","",IF(C3618="","",G3600*C3618))</f>
        <v/>
      </c>
      <c r="M3618" s="117" t="str">
        <f>IF(A3618="","",VLOOKUP(A3618,'6.A'!$A$11:$C$564,2,FALSE))</f>
        <v/>
      </c>
      <c r="N3618" s="57" t="str">
        <f>IF(A3618="","",IF(M3618=B3618,"si","no"))</f>
        <v/>
      </c>
      <c r="O3618" s="56"/>
      <c r="P3618" s="56"/>
      <c r="Q3618" s="48"/>
      <c r="R3618" s="48"/>
      <c r="S3618" s="65"/>
      <c r="T3618" s="2"/>
      <c r="U3618" s="2"/>
      <c r="V3618" s="2"/>
    </row>
    <row r="3619" spans="1:22" s="149" customFormat="1" ht="12.75" customHeight="1" x14ac:dyDescent="0.2">
      <c r="A3619" s="155"/>
      <c r="B3619" s="176" t="str">
        <f>IF(A3619="","",VLOOKUP(A3619,'6.A'!$A$11:$G$180,2,FALSE))</f>
        <v/>
      </c>
      <c r="C3619" s="156"/>
      <c r="D3619" s="141" t="str">
        <f>IF(A3619="","",VLOOKUP(A3619,'6.A'!$A$11:$G$180,4,FALSE))</f>
        <v/>
      </c>
      <c r="E3619" s="160" t="str">
        <f>IF(A3619="","",VLOOKUP(A3619,'6.A'!$A$11:$G$180,5,FALSE))</f>
        <v/>
      </c>
      <c r="F3619" s="159" t="str">
        <f t="shared" ref="F3619:F3625" si="1564">IF(A3619="","0,00",ROUND(C3619*E3619,2))</f>
        <v>0,00</v>
      </c>
      <c r="G3619" s="52"/>
      <c r="H3619" s="52" t="str">
        <f>IF(A3619="","",VLOOKUP(A3619,'6.A'!$A$11:$E$7984,5,FALSE))</f>
        <v/>
      </c>
      <c r="I3619" s="52" t="str">
        <f t="shared" ref="I3619:I3625" si="1565">IF(H3619="","",IF(E3619=H3619,"SIM","NÃO"))</f>
        <v/>
      </c>
      <c r="J3619" s="52" t="str">
        <f>IF(H3619="","",VLOOKUP(A3619,'6.A'!$A$11:$E$564,4,FALSE))</f>
        <v/>
      </c>
      <c r="K3619" s="52" t="str">
        <f t="shared" ref="K3619:K3625" si="1566">IF(H3619="","",IF(J3619=D3619,"SIM","NÃO"))</f>
        <v/>
      </c>
      <c r="L3619" s="52" t="str">
        <f>IF(H3619="","",IF(C3619="","",G3600*C3619))</f>
        <v/>
      </c>
      <c r="M3619" s="117" t="str">
        <f>IF(A3619="","",VLOOKUP(A3619,'6.A'!$A$11:$C$564,2,FALSE))</f>
        <v/>
      </c>
      <c r="N3619" s="57" t="str">
        <f t="shared" ref="N3619:N3621" si="1567">IF(A3619="","",IF(M3619=B3619,"si","no"))</f>
        <v/>
      </c>
      <c r="O3619" s="56"/>
      <c r="P3619" s="56"/>
      <c r="Q3619" s="48"/>
      <c r="R3619" s="48"/>
      <c r="S3619" s="65"/>
      <c r="T3619" s="2"/>
      <c r="U3619" s="2"/>
      <c r="V3619" s="2"/>
    </row>
    <row r="3620" spans="1:22" s="149" customFormat="1" ht="12.75" customHeight="1" x14ac:dyDescent="0.2">
      <c r="A3620" s="155"/>
      <c r="B3620" s="176" t="str">
        <f>IF(A3620="","",VLOOKUP(A3620,'6.A'!$A$11:$G$180,2,FALSE))</f>
        <v/>
      </c>
      <c r="C3620" s="156"/>
      <c r="D3620" s="141" t="str">
        <f>IF(A3620="","",VLOOKUP(A3620,'6.A'!$A$11:$G$180,4,FALSE))</f>
        <v/>
      </c>
      <c r="E3620" s="160" t="str">
        <f>IF(A3620="","",VLOOKUP(A3620,'6.A'!$A$11:$G$180,5,FALSE))</f>
        <v/>
      </c>
      <c r="F3620" s="159" t="str">
        <f t="shared" si="1564"/>
        <v>0,00</v>
      </c>
      <c r="G3620" s="52"/>
      <c r="H3620" s="52" t="str">
        <f>IF(A3620="","",VLOOKUP(A3620,'6.A'!$A$11:$E$7984,5,FALSE))</f>
        <v/>
      </c>
      <c r="I3620" s="52" t="str">
        <f t="shared" si="1565"/>
        <v/>
      </c>
      <c r="J3620" s="52" t="str">
        <f>IF(H3620="","",VLOOKUP(A3620,'6.A'!$A$11:$E$564,4,FALSE))</f>
        <v/>
      </c>
      <c r="K3620" s="52" t="str">
        <f t="shared" si="1566"/>
        <v/>
      </c>
      <c r="L3620" s="52" t="str">
        <f>IF(H3620="","",IF(C3620="","",G3600*C3620))</f>
        <v/>
      </c>
      <c r="M3620" s="117" t="str">
        <f>IF(A3620="","",VLOOKUP(A3620,'6.A'!$A$11:$C$564,2,FALSE))</f>
        <v/>
      </c>
      <c r="N3620" s="57" t="str">
        <f t="shared" si="1567"/>
        <v/>
      </c>
      <c r="O3620" s="56"/>
      <c r="P3620" s="56"/>
      <c r="Q3620" s="48"/>
      <c r="R3620" s="48"/>
      <c r="S3620" s="65"/>
      <c r="T3620" s="2"/>
      <c r="U3620" s="2"/>
      <c r="V3620" s="2"/>
    </row>
    <row r="3621" spans="1:22" s="149" customFormat="1" ht="12.75" customHeight="1" x14ac:dyDescent="0.2">
      <c r="A3621" s="155"/>
      <c r="B3621" s="176" t="str">
        <f>IF(A3621="","",VLOOKUP(A3621,'6.A'!$A$11:$G$180,2,FALSE))</f>
        <v/>
      </c>
      <c r="C3621" s="156"/>
      <c r="D3621" s="141" t="str">
        <f>IF(A3621="","",VLOOKUP(A3621,'6.A'!$A$11:$G$180,4,FALSE))</f>
        <v/>
      </c>
      <c r="E3621" s="160" t="str">
        <f>IF(A3621="","",VLOOKUP(A3621,'6.A'!$A$11:$G$180,5,FALSE))</f>
        <v/>
      </c>
      <c r="F3621" s="159" t="str">
        <f t="shared" si="1564"/>
        <v>0,00</v>
      </c>
      <c r="G3621" s="52"/>
      <c r="H3621" s="52" t="str">
        <f>IF(A3621="","",VLOOKUP(A3621,'6.A'!$A$11:$E$7984,5,FALSE))</f>
        <v/>
      </c>
      <c r="I3621" s="52" t="str">
        <f t="shared" si="1565"/>
        <v/>
      </c>
      <c r="J3621" s="52" t="str">
        <f>IF(H3621="","",VLOOKUP(A3621,'6.A'!$A$11:$E$564,4,FALSE))</f>
        <v/>
      </c>
      <c r="K3621" s="52" t="str">
        <f t="shared" si="1566"/>
        <v/>
      </c>
      <c r="L3621" s="52" t="str">
        <f>IF(H3621="","",IF(C3621="","",G3600*C3621))</f>
        <v/>
      </c>
      <c r="M3621" s="117" t="str">
        <f>IF(A3621="","",VLOOKUP(A3621,'6.A'!$A$11:$C$564,2,FALSE))</f>
        <v/>
      </c>
      <c r="N3621" s="57" t="str">
        <f t="shared" si="1567"/>
        <v/>
      </c>
      <c r="O3621" s="56"/>
      <c r="P3621" s="56"/>
      <c r="Q3621" s="48"/>
      <c r="R3621" s="48"/>
      <c r="S3621" s="65"/>
      <c r="T3621" s="2"/>
      <c r="U3621" s="2"/>
      <c r="V3621" s="2"/>
    </row>
    <row r="3622" spans="1:22" s="149" customFormat="1" ht="12.75" customHeight="1" x14ac:dyDescent="0.2">
      <c r="A3622" s="155"/>
      <c r="B3622" s="176" t="str">
        <f>IF(A3622="","",VLOOKUP(A3622,'6.A'!$A$11:$G$180,2,FALSE))</f>
        <v/>
      </c>
      <c r="C3622" s="156"/>
      <c r="D3622" s="141" t="str">
        <f>IF(A3622="","",VLOOKUP(A3622,'6.A'!$A$11:$G$180,4,FALSE))</f>
        <v/>
      </c>
      <c r="E3622" s="160" t="str">
        <f>IF(A3622="","",VLOOKUP(A3622,'6.A'!$A$11:$G$180,5,FALSE))</f>
        <v/>
      </c>
      <c r="F3622" s="159" t="str">
        <f t="shared" si="1564"/>
        <v>0,00</v>
      </c>
      <c r="G3622" s="52"/>
      <c r="H3622" s="52" t="str">
        <f>IF(A3622="","",VLOOKUP(A3622,'6.A'!$A$11:$E$7984,5,FALSE))</f>
        <v/>
      </c>
      <c r="I3622" s="52" t="str">
        <f t="shared" si="1565"/>
        <v/>
      </c>
      <c r="J3622" s="52" t="str">
        <f>IF(H3622="","",VLOOKUP(A3622,'6.A'!$A$11:$E$564,4,FALSE))</f>
        <v/>
      </c>
      <c r="K3622" s="52" t="str">
        <f t="shared" si="1566"/>
        <v/>
      </c>
      <c r="L3622" s="52" t="str">
        <f>IF(H3622="","",IF(C3622="","",G3600*C3622))</f>
        <v/>
      </c>
      <c r="M3622" s="117" t="str">
        <f>IF(A3622="","",VLOOKUP(A3622,'6.A'!$A$11:$C$564,2,FALSE))</f>
        <v/>
      </c>
      <c r="N3622" s="57" t="str">
        <f>IF(A3622="","",IF(M3622=B3622,"si","no"))</f>
        <v/>
      </c>
      <c r="O3622" s="56"/>
      <c r="P3622" s="56"/>
      <c r="Q3622" s="48"/>
      <c r="R3622" s="48"/>
      <c r="S3622" s="65"/>
      <c r="T3622" s="2"/>
      <c r="U3622" s="2"/>
      <c r="V3622" s="2"/>
    </row>
    <row r="3623" spans="1:22" s="149" customFormat="1" ht="12.75" customHeight="1" x14ac:dyDescent="0.2">
      <c r="A3623" s="155"/>
      <c r="B3623" s="138" t="str">
        <f>IF(A3623="","",VLOOKUP(A3623,'6.A'!$A$11:$G$180,2,FALSE))</f>
        <v/>
      </c>
      <c r="C3623" s="156"/>
      <c r="D3623" s="141" t="str">
        <f>IF(A3623="","",VLOOKUP(A3623,'6.A'!$A$11:$G$180,4,FALSE))</f>
        <v/>
      </c>
      <c r="E3623" s="160" t="str">
        <f>IF(A3623="","",VLOOKUP(A3623,'6.A'!$A$11:$G$180,5,FALSE))</f>
        <v/>
      </c>
      <c r="F3623" s="159" t="str">
        <f t="shared" si="1564"/>
        <v>0,00</v>
      </c>
      <c r="G3623" s="52"/>
      <c r="H3623" s="52" t="str">
        <f>IF(A3623="","",VLOOKUP(A3623,'6.A'!$A$11:$E$7984,5,FALSE))</f>
        <v/>
      </c>
      <c r="I3623" s="52" t="str">
        <f t="shared" si="1565"/>
        <v/>
      </c>
      <c r="J3623" s="52" t="str">
        <f>IF(H3623="","",VLOOKUP(A3623,'6.A'!$A$11:$E$564,4,FALSE))</f>
        <v/>
      </c>
      <c r="K3623" s="52" t="str">
        <f t="shared" si="1566"/>
        <v/>
      </c>
      <c r="L3623" s="52" t="str">
        <f>IF(H3623="","",IF(C3623="","",G3600*C3623))</f>
        <v/>
      </c>
      <c r="M3623" s="117" t="str">
        <f>IF(A3623="","",VLOOKUP(A3623,'6.A'!$A$11:$C$564,2,FALSE))</f>
        <v/>
      </c>
      <c r="N3623" s="57" t="str">
        <f>IF(A3623="","",IF(M3623=B3623,"si","no"))</f>
        <v/>
      </c>
      <c r="O3623" s="56"/>
      <c r="P3623" s="56"/>
      <c r="Q3623" s="48"/>
      <c r="R3623" s="48"/>
      <c r="S3623" s="65"/>
      <c r="T3623" s="2"/>
      <c r="U3623" s="2"/>
      <c r="V3623" s="2"/>
    </row>
    <row r="3624" spans="1:22" s="149" customFormat="1" ht="12.75" customHeight="1" x14ac:dyDescent="0.2">
      <c r="A3624" s="155"/>
      <c r="B3624" s="138" t="str">
        <f>IF(A3624="","",VLOOKUP(A3624,'6.A'!$A$11:$G$180,2,FALSE))</f>
        <v/>
      </c>
      <c r="C3624" s="156"/>
      <c r="D3624" s="141" t="str">
        <f>IF(A3624="","",VLOOKUP(A3624,'6.A'!$A$11:$G$180,4,FALSE))</f>
        <v/>
      </c>
      <c r="E3624" s="160" t="str">
        <f>IF(A3624="","",VLOOKUP(A3624,'6.A'!$A$11:$G$180,5,FALSE))</f>
        <v/>
      </c>
      <c r="F3624" s="159" t="str">
        <f t="shared" si="1564"/>
        <v>0,00</v>
      </c>
      <c r="G3624" s="52"/>
      <c r="H3624" s="52" t="str">
        <f>IF(A3624="","",VLOOKUP(A3624,'6.A'!$A$11:$E$7984,5,FALSE))</f>
        <v/>
      </c>
      <c r="I3624" s="52" t="str">
        <f t="shared" si="1565"/>
        <v/>
      </c>
      <c r="J3624" s="52" t="str">
        <f>IF(H3624="","",VLOOKUP(A3624,'6.A'!$A$11:$E$564,4,FALSE))</f>
        <v/>
      </c>
      <c r="K3624" s="52" t="str">
        <f t="shared" si="1566"/>
        <v/>
      </c>
      <c r="L3624" s="52" t="str">
        <f>IF(H3624="","",IF(C3624="","",G3600*C3624))</f>
        <v/>
      </c>
      <c r="M3624" s="117" t="str">
        <f>IF(A3624="","",VLOOKUP(A3624,'6.A'!$A$11:$C$564,2,FALSE))</f>
        <v/>
      </c>
      <c r="N3624" s="57" t="str">
        <f t="shared" ref="N3624:N3625" si="1568">IF(A3624="","",IF(M3624=B3624,"si","no"))</f>
        <v/>
      </c>
      <c r="O3624" s="56"/>
      <c r="P3624" s="56"/>
      <c r="Q3624" s="48"/>
      <c r="R3624" s="48"/>
      <c r="S3624" s="65"/>
      <c r="T3624" s="2"/>
      <c r="U3624" s="2"/>
      <c r="V3624" s="2"/>
    </row>
    <row r="3625" spans="1:22" s="149" customFormat="1" ht="12.75" customHeight="1" x14ac:dyDescent="0.2">
      <c r="A3625" s="155"/>
      <c r="B3625" s="138" t="str">
        <f>IF(A3625="","",VLOOKUP(A3625,'6.A'!$A$11:$G$180,2,FALSE))</f>
        <v/>
      </c>
      <c r="C3625" s="156"/>
      <c r="D3625" s="141" t="str">
        <f>IF(A3625="","",VLOOKUP(A3625,'6.A'!$A$11:$G$180,4,FALSE))</f>
        <v/>
      </c>
      <c r="E3625" s="160" t="str">
        <f>IF(A3625="","",VLOOKUP(A3625,'6.A'!$A$11:$G$180,5,FALSE))</f>
        <v/>
      </c>
      <c r="F3625" s="159" t="str">
        <f t="shared" si="1564"/>
        <v>0,00</v>
      </c>
      <c r="G3625" s="52"/>
      <c r="H3625" s="52" t="str">
        <f>IF(A3625="","",VLOOKUP(A3625,'6.A'!$A$11:$E$7984,5,FALSE))</f>
        <v/>
      </c>
      <c r="I3625" s="52" t="str">
        <f t="shared" si="1565"/>
        <v/>
      </c>
      <c r="J3625" s="52" t="str">
        <f>IF(H3625="","",VLOOKUP(A3625,'6.A'!$A$11:$E$564,4,FALSE))</f>
        <v/>
      </c>
      <c r="K3625" s="52" t="str">
        <f t="shared" si="1566"/>
        <v/>
      </c>
      <c r="L3625" s="52" t="str">
        <f>IF(H3625="","",IF(C3625="","",G3600*C3625))</f>
        <v/>
      </c>
      <c r="M3625" s="117" t="str">
        <f>IF(A3625="","",VLOOKUP(A3625,'6.A'!$A$11:$C$564,2,FALSE))</f>
        <v/>
      </c>
      <c r="N3625" s="57" t="str">
        <f t="shared" si="1568"/>
        <v/>
      </c>
      <c r="O3625" s="56"/>
      <c r="P3625" s="56"/>
      <c r="Q3625" s="48"/>
      <c r="R3625" s="48"/>
      <c r="S3625" s="65"/>
      <c r="T3625" s="2"/>
      <c r="U3625" s="2"/>
      <c r="V3625" s="2"/>
    </row>
    <row r="3626" spans="1:22" s="149" customFormat="1" ht="12.75" customHeight="1" x14ac:dyDescent="0.2">
      <c r="A3626" s="155"/>
      <c r="B3626" s="26" t="str">
        <f>$A$9</f>
        <v>BDI</v>
      </c>
      <c r="C3626" s="27">
        <f>$C$9</f>
        <v>0</v>
      </c>
      <c r="D3626" s="141"/>
      <c r="E3626" s="147"/>
      <c r="F3626" s="162">
        <f>ROUND(SUM(F3616:F3625)*C3626,2)</f>
        <v>0</v>
      </c>
      <c r="G3626" s="63"/>
      <c r="H3626" s="52"/>
      <c r="I3626" s="57"/>
      <c r="J3626" s="57"/>
      <c r="K3626" s="57"/>
      <c r="L3626" s="52"/>
      <c r="M3626" s="62"/>
      <c r="N3626" s="57"/>
      <c r="O3626" s="56"/>
      <c r="P3626" s="56"/>
      <c r="Q3626" s="48"/>
      <c r="R3626" s="48"/>
      <c r="S3626" s="65"/>
      <c r="T3626" s="2"/>
      <c r="U3626" s="2"/>
      <c r="V3626" s="2"/>
    </row>
    <row r="3627" spans="1:22" s="149" customFormat="1" ht="12.75" customHeight="1" x14ac:dyDescent="0.2">
      <c r="A3627" s="163"/>
      <c r="B3627" s="31" t="s">
        <v>117</v>
      </c>
      <c r="C3627" s="36"/>
      <c r="D3627" s="169"/>
      <c r="E3627" s="170"/>
      <c r="F3627" s="168">
        <f>ROUND(SUM(F3616:F3626),2)</f>
        <v>0</v>
      </c>
      <c r="G3627" s="63"/>
      <c r="H3627" s="52"/>
      <c r="I3627" s="57"/>
      <c r="J3627" s="57"/>
      <c r="K3627" s="57"/>
      <c r="L3627" s="52"/>
      <c r="M3627" s="62"/>
      <c r="N3627" s="57"/>
      <c r="O3627" s="56"/>
      <c r="P3627" s="56"/>
      <c r="Q3627" s="48"/>
      <c r="R3627" s="48"/>
      <c r="S3627" s="65"/>
      <c r="T3627" s="2"/>
      <c r="U3627" s="2"/>
      <c r="V3627" s="2"/>
    </row>
    <row r="3628" spans="1:22" s="149" customFormat="1" ht="12.75" customHeight="1" x14ac:dyDescent="0.2">
      <c r="A3628" s="152" t="s">
        <v>6</v>
      </c>
      <c r="B3628" s="153" t="s">
        <v>17</v>
      </c>
      <c r="C3628" s="140" t="s">
        <v>59</v>
      </c>
      <c r="D3628" s="140" t="s">
        <v>16</v>
      </c>
      <c r="E3628" s="154" t="s">
        <v>60</v>
      </c>
      <c r="F3628" s="148" t="s">
        <v>61</v>
      </c>
      <c r="G3628" s="21"/>
      <c r="H3628" s="52"/>
      <c r="I3628" s="57"/>
      <c r="J3628" s="57"/>
      <c r="K3628" s="57"/>
      <c r="L3628" s="52"/>
      <c r="M3628" s="62"/>
      <c r="N3628" s="57"/>
      <c r="O3628" s="56"/>
      <c r="P3628" s="56"/>
      <c r="Q3628" s="48"/>
      <c r="R3628" s="48"/>
      <c r="S3628" s="65"/>
      <c r="T3628" s="2"/>
      <c r="U3628" s="2"/>
      <c r="V3628" s="2"/>
    </row>
    <row r="3629" spans="1:22" s="149" customFormat="1" ht="12.75" customHeight="1" x14ac:dyDescent="0.2">
      <c r="A3629" s="155" t="str">
        <f>'6.A'!$A$49</f>
        <v>DIS.005</v>
      </c>
      <c r="B3629" s="138" t="str">
        <f>IF(A3629="","",VLOOKUP(A3629,'6.A'!$A$11:$G$180,2,FALSE))</f>
        <v>UNIDADE CAPACITIVA TRIFÁSICA, COM CAPA PROTETORA IP-50, COM RESISTOR INTERNO E PARAFUSO DE FIXAÇÃO E ATERRAMENTO, POTÊNCIA REATIVA DE 10,0 KVAR, VN=220VAC, F=60HZ</v>
      </c>
      <c r="C3629" s="156">
        <v>1</v>
      </c>
      <c r="D3629" s="157" t="str">
        <f>IF(A3629="","",VLOOKUP(A3629,'6.A'!$A$11:$G$180,4,FALSE))</f>
        <v>UN</v>
      </c>
      <c r="E3629" s="158">
        <f>IF(A3629="","",VLOOKUP(A3629,'6.A'!$A$11:$G$180,5,FALSE))</f>
        <v>0</v>
      </c>
      <c r="F3629" s="159">
        <f t="shared" ref="F3629:F3648" si="1569">IF(A3629="","0,00",ROUND(C3629*E3629,2))</f>
        <v>0</v>
      </c>
      <c r="G3629" s="52"/>
      <c r="H3629" s="52">
        <f>IF(A3629="","",VLOOKUP(A3629,'6.A'!$A$11:$E$7984,5,FALSE))</f>
        <v>0</v>
      </c>
      <c r="I3629" s="52" t="str">
        <f t="shared" ref="I3629:I3648" si="1570">IF(H3629="","",IF(E3629=H3629,"SIM","NÃO"))</f>
        <v>SIM</v>
      </c>
      <c r="J3629" s="52" t="str">
        <f>IF(H3629="","",VLOOKUP(A3629,'6.A'!$A$11:$E$564,4,FALSE))</f>
        <v>UN</v>
      </c>
      <c r="K3629" s="52" t="str">
        <f t="shared" ref="K3629:K3648" si="1571">IF(H3629="","",IF(J3629=D3629,"SIM","NÃO"))</f>
        <v>SIM</v>
      </c>
      <c r="L3629" s="52">
        <f>IF(H3629="","",IF(C3629="","",G3600*C3629))</f>
        <v>5</v>
      </c>
      <c r="M3629" s="117" t="str">
        <f>IF(A3629="","",VLOOKUP(A3629,'6.A'!$A$11:$C$564,2,FALSE))</f>
        <v>UNIDADE CAPACITIVA TRIFÁSICA, COM CAPA PROTETORA IP-50, COM RESISTOR INTERNO E PARAFUSO DE FIXAÇÃO E ATERRAMENTO, POTÊNCIA REATIVA DE 10,0 KVAR, VN=220VAC, F=60HZ</v>
      </c>
      <c r="N3629" s="57" t="str">
        <f t="shared" ref="N3629:N3648" si="1572">IF(A3629="","",IF(M3629=B3629,"si","no"))</f>
        <v>si</v>
      </c>
      <c r="O3629" s="56"/>
      <c r="P3629" s="56"/>
      <c r="Q3629" s="48"/>
      <c r="R3629" s="48"/>
      <c r="S3629" s="65"/>
      <c r="T3629" s="2"/>
      <c r="U3629" s="2"/>
      <c r="V3629" s="2"/>
    </row>
    <row r="3630" spans="1:22" s="149" customFormat="1" ht="12.75" customHeight="1" x14ac:dyDescent="0.2">
      <c r="A3630" s="155"/>
      <c r="B3630" s="138" t="str">
        <f>IF(A3630="","",VLOOKUP(A3630,'6.A'!$A$11:$G$180,2,FALSE))</f>
        <v/>
      </c>
      <c r="C3630" s="156"/>
      <c r="D3630" s="157" t="str">
        <f>IF(A3630="","",VLOOKUP(A3630,'6.A'!$A$11:$G$180,4,FALSE))</f>
        <v/>
      </c>
      <c r="E3630" s="158" t="str">
        <f>IF(A3630="","",VLOOKUP(A3630,'6.A'!$A$11:$G$180,5,FALSE))</f>
        <v/>
      </c>
      <c r="F3630" s="159" t="str">
        <f t="shared" si="1569"/>
        <v>0,00</v>
      </c>
      <c r="G3630" s="52"/>
      <c r="H3630" s="52" t="str">
        <f>IF(A3630="","",VLOOKUP(A3630,'6.A'!$A$11:$E$7984,5,FALSE))</f>
        <v/>
      </c>
      <c r="I3630" s="52" t="str">
        <f t="shared" si="1570"/>
        <v/>
      </c>
      <c r="J3630" s="52" t="str">
        <f>IF(H3630="","",VLOOKUP(A3630,'6.A'!$A$11:$E$564,4,FALSE))</f>
        <v/>
      </c>
      <c r="K3630" s="52" t="str">
        <f t="shared" si="1571"/>
        <v/>
      </c>
      <c r="L3630" s="52" t="str">
        <f>IF(H3630="","",IF(C3630="","",G3600*C3630))</f>
        <v/>
      </c>
      <c r="M3630" s="117" t="str">
        <f>IF(A3630="","",VLOOKUP(A3630,'6.A'!$A$11:$C$564,2,FALSE))</f>
        <v/>
      </c>
      <c r="N3630" s="57" t="str">
        <f t="shared" si="1572"/>
        <v/>
      </c>
      <c r="O3630" s="56"/>
      <c r="P3630" s="56"/>
      <c r="Q3630" s="48"/>
      <c r="R3630" s="48"/>
      <c r="S3630" s="65"/>
      <c r="T3630" s="2"/>
      <c r="U3630" s="2"/>
      <c r="V3630" s="2"/>
    </row>
    <row r="3631" spans="1:22" s="149" customFormat="1" ht="12.75" customHeight="1" x14ac:dyDescent="0.2">
      <c r="A3631" s="155"/>
      <c r="B3631" s="138" t="str">
        <f>IF(A3631="","",VLOOKUP(A3631,'6.A'!$A$11:$G$180,2,FALSE))</f>
        <v/>
      </c>
      <c r="C3631" s="156"/>
      <c r="D3631" s="157" t="str">
        <f>IF(A3631="","",VLOOKUP(A3631,'6.A'!$A$11:$G$180,4,FALSE))</f>
        <v/>
      </c>
      <c r="E3631" s="158" t="str">
        <f>IF(A3631="","",VLOOKUP(A3631,'6.A'!$A$11:$G$180,5,FALSE))</f>
        <v/>
      </c>
      <c r="F3631" s="159" t="str">
        <f t="shared" si="1569"/>
        <v>0,00</v>
      </c>
      <c r="G3631" s="52"/>
      <c r="H3631" s="52" t="str">
        <f>IF(A3631="","",VLOOKUP(A3631,'6.A'!$A$11:$E$7984,5,FALSE))</f>
        <v/>
      </c>
      <c r="I3631" s="52" t="str">
        <f t="shared" si="1570"/>
        <v/>
      </c>
      <c r="J3631" s="52" t="str">
        <f>IF(H3631="","",VLOOKUP(A3631,'6.A'!$A$11:$E$564,4,FALSE))</f>
        <v/>
      </c>
      <c r="K3631" s="52" t="str">
        <f t="shared" si="1571"/>
        <v/>
      </c>
      <c r="L3631" s="52" t="str">
        <f>IF(H3631="","",IF(C3631="","",G3600*C3631))</f>
        <v/>
      </c>
      <c r="M3631" s="117" t="str">
        <f>IF(A3631="","",VLOOKUP(A3631,'6.A'!$A$11:$C$564,2,FALSE))</f>
        <v/>
      </c>
      <c r="N3631" s="57" t="str">
        <f t="shared" si="1572"/>
        <v/>
      </c>
      <c r="O3631" s="56"/>
      <c r="P3631" s="56"/>
      <c r="Q3631" s="48"/>
      <c r="R3631" s="48"/>
      <c r="S3631" s="65"/>
      <c r="T3631" s="2"/>
      <c r="U3631" s="2"/>
      <c r="V3631" s="2"/>
    </row>
    <row r="3632" spans="1:22" s="149" customFormat="1" ht="12.75" customHeight="1" x14ac:dyDescent="0.2">
      <c r="A3632" s="155"/>
      <c r="B3632" s="138" t="str">
        <f>IF(A3632="","",VLOOKUP(A3632,'6.A'!$A$11:$G$180,2,FALSE))</f>
        <v/>
      </c>
      <c r="C3632" s="156"/>
      <c r="D3632" s="157" t="str">
        <f>IF(A3632="","",VLOOKUP(A3632,'6.A'!$A$11:$G$180,4,FALSE))</f>
        <v/>
      </c>
      <c r="E3632" s="158" t="str">
        <f>IF(A3632="","",VLOOKUP(A3632,'6.A'!$A$11:$G$180,5,FALSE))</f>
        <v/>
      </c>
      <c r="F3632" s="159" t="str">
        <f t="shared" si="1569"/>
        <v>0,00</v>
      </c>
      <c r="G3632" s="52"/>
      <c r="H3632" s="52" t="str">
        <f>IF(A3632="","",VLOOKUP(A3632,'6.A'!$A$11:$E$7984,5,FALSE))</f>
        <v/>
      </c>
      <c r="I3632" s="52" t="str">
        <f t="shared" si="1570"/>
        <v/>
      </c>
      <c r="J3632" s="52" t="str">
        <f>IF(H3632="","",VLOOKUP(A3632,'6.A'!$A$11:$E$564,4,FALSE))</f>
        <v/>
      </c>
      <c r="K3632" s="52" t="str">
        <f t="shared" si="1571"/>
        <v/>
      </c>
      <c r="L3632" s="52" t="str">
        <f>IF(H3632="","",IF(C3632="","",G3600*C3632))</f>
        <v/>
      </c>
      <c r="M3632" s="117" t="str">
        <f>IF(A3632="","",VLOOKUP(A3632,'6.A'!$A$11:$C$564,2,FALSE))</f>
        <v/>
      </c>
      <c r="N3632" s="57" t="str">
        <f t="shared" si="1572"/>
        <v/>
      </c>
      <c r="O3632" s="56"/>
      <c r="P3632" s="56"/>
      <c r="Q3632" s="48"/>
      <c r="R3632" s="48"/>
      <c r="S3632" s="65"/>
      <c r="T3632" s="2"/>
      <c r="U3632" s="2"/>
      <c r="V3632" s="2"/>
    </row>
    <row r="3633" spans="1:22" s="149" customFormat="1" ht="12.75" customHeight="1" x14ac:dyDescent="0.2">
      <c r="A3633" s="155"/>
      <c r="B3633" s="138" t="str">
        <f>IF(A3633="","",VLOOKUP(A3633,'6.A'!$A$11:$G$180,2,FALSE))</f>
        <v/>
      </c>
      <c r="C3633" s="156"/>
      <c r="D3633" s="141" t="str">
        <f>IF(A3633="","",VLOOKUP(A3633,'6.A'!$A$11:$G$180,4,FALSE))</f>
        <v/>
      </c>
      <c r="E3633" s="160" t="str">
        <f>IF(A3633="","",VLOOKUP(A3633,'6.A'!$A$11:$G$180,5,FALSE))</f>
        <v/>
      </c>
      <c r="F3633" s="159" t="str">
        <f t="shared" si="1569"/>
        <v>0,00</v>
      </c>
      <c r="G3633" s="52"/>
      <c r="H3633" s="52" t="str">
        <f>IF(A3633="","",VLOOKUP(A3633,'6.A'!$A$11:$E$7984,5,FALSE))</f>
        <v/>
      </c>
      <c r="I3633" s="52" t="str">
        <f t="shared" si="1570"/>
        <v/>
      </c>
      <c r="J3633" s="52" t="str">
        <f>IF(H3633="","",VLOOKUP(A3633,'6.A'!$A$11:$E$564,4,FALSE))</f>
        <v/>
      </c>
      <c r="K3633" s="52" t="str">
        <f t="shared" si="1571"/>
        <v/>
      </c>
      <c r="L3633" s="52" t="str">
        <f>IF(H3633="","",IF(C3633="","",G3600*C3633))</f>
        <v/>
      </c>
      <c r="M3633" s="117" t="str">
        <f>IF(A3633="","",VLOOKUP(A3633,'6.A'!$A$11:$C$564,2,FALSE))</f>
        <v/>
      </c>
      <c r="N3633" s="57" t="str">
        <f t="shared" si="1572"/>
        <v/>
      </c>
      <c r="O3633" s="56"/>
      <c r="P3633" s="56"/>
      <c r="Q3633" s="48"/>
      <c r="R3633" s="48"/>
      <c r="S3633" s="65"/>
      <c r="T3633" s="2"/>
      <c r="U3633" s="2"/>
      <c r="V3633" s="2"/>
    </row>
    <row r="3634" spans="1:22" s="149" customFormat="1" ht="12.75" customHeight="1" x14ac:dyDescent="0.2">
      <c r="A3634" s="155"/>
      <c r="B3634" s="138" t="str">
        <f>IF(A3634="","",VLOOKUP(A3634,'6.A'!$A$11:$G$180,2,FALSE))</f>
        <v/>
      </c>
      <c r="C3634" s="156"/>
      <c r="D3634" s="141" t="str">
        <f>IF(A3634="","",VLOOKUP(A3634,'6.A'!$A$11:$G$180,4,FALSE))</f>
        <v/>
      </c>
      <c r="E3634" s="160" t="str">
        <f>IF(A3634="","",VLOOKUP(A3634,'6.A'!$A$11:$G$180,5,FALSE))</f>
        <v/>
      </c>
      <c r="F3634" s="159" t="str">
        <f t="shared" si="1569"/>
        <v>0,00</v>
      </c>
      <c r="G3634" s="52"/>
      <c r="H3634" s="52" t="str">
        <f>IF(A3634="","",VLOOKUP(A3634,'6.A'!$A$11:$E$7984,5,FALSE))</f>
        <v/>
      </c>
      <c r="I3634" s="52" t="str">
        <f t="shared" si="1570"/>
        <v/>
      </c>
      <c r="J3634" s="52" t="str">
        <f>IF(H3634="","",VLOOKUP(A3634,'6.A'!$A$11:$E$564,4,FALSE))</f>
        <v/>
      </c>
      <c r="K3634" s="52" t="str">
        <f t="shared" si="1571"/>
        <v/>
      </c>
      <c r="L3634" s="52" t="str">
        <f>IF(H3634="","",IF(C3634="","",G3600*C3634))</f>
        <v/>
      </c>
      <c r="M3634" s="117" t="str">
        <f>IF(A3634="","",VLOOKUP(A3634,'6.A'!$A$11:$C$564,2,FALSE))</f>
        <v/>
      </c>
      <c r="N3634" s="57" t="str">
        <f t="shared" si="1572"/>
        <v/>
      </c>
      <c r="O3634" s="56"/>
      <c r="P3634" s="56"/>
      <c r="Q3634" s="48"/>
      <c r="R3634" s="48"/>
      <c r="S3634" s="65"/>
      <c r="T3634" s="2"/>
      <c r="U3634" s="2"/>
      <c r="V3634" s="2"/>
    </row>
    <row r="3635" spans="1:22" s="149" customFormat="1" ht="12.75" customHeight="1" x14ac:dyDescent="0.2">
      <c r="A3635" s="155"/>
      <c r="B3635" s="138" t="str">
        <f>IF(A3635="","",VLOOKUP(A3635,'6.A'!$A$11:$G$180,2,FALSE))</f>
        <v/>
      </c>
      <c r="C3635" s="156"/>
      <c r="D3635" s="157" t="str">
        <f>IF(A3635="","",VLOOKUP(A3635,'6.A'!$A$11:$G$180,4,FALSE))</f>
        <v/>
      </c>
      <c r="E3635" s="158" t="str">
        <f>IF(A3635="","",VLOOKUP(A3635,'6.A'!$A$11:$G$180,5,FALSE))</f>
        <v/>
      </c>
      <c r="F3635" s="159" t="str">
        <f t="shared" si="1569"/>
        <v>0,00</v>
      </c>
      <c r="G3635" s="52"/>
      <c r="H3635" s="52" t="str">
        <f>IF(A3635="","",VLOOKUP(A3635,'6.A'!$A$11:$E$7984,5,FALSE))</f>
        <v/>
      </c>
      <c r="I3635" s="52" t="str">
        <f t="shared" si="1570"/>
        <v/>
      </c>
      <c r="J3635" s="52" t="str">
        <f>IF(H3635="","",VLOOKUP(A3635,'6.A'!$A$11:$E$564,4,FALSE))</f>
        <v/>
      </c>
      <c r="K3635" s="52" t="str">
        <f t="shared" si="1571"/>
        <v/>
      </c>
      <c r="L3635" s="52" t="str">
        <f>IF(H3635="","",IF(C3635="","",G3600*C3635))</f>
        <v/>
      </c>
      <c r="M3635" s="117" t="str">
        <f>IF(A3635="","",VLOOKUP(A3635,'6.A'!$A$11:$C$564,2,FALSE))</f>
        <v/>
      </c>
      <c r="N3635" s="57" t="str">
        <f t="shared" si="1572"/>
        <v/>
      </c>
      <c r="O3635" s="56"/>
      <c r="P3635" s="56"/>
      <c r="Q3635" s="48"/>
      <c r="R3635" s="48"/>
      <c r="S3635" s="65"/>
      <c r="T3635" s="2"/>
      <c r="U3635" s="2"/>
      <c r="V3635" s="2"/>
    </row>
    <row r="3636" spans="1:22" s="149" customFormat="1" ht="12.75" customHeight="1" x14ac:dyDescent="0.2">
      <c r="A3636" s="155"/>
      <c r="B3636" s="138" t="str">
        <f>IF(A3636="","",VLOOKUP(A3636,'6.A'!$A$11:$G$180,2,FALSE))</f>
        <v/>
      </c>
      <c r="C3636" s="156"/>
      <c r="D3636" s="157" t="str">
        <f>IF(A3636="","",VLOOKUP(A3636,'6.A'!$A$11:$G$180,4,FALSE))</f>
        <v/>
      </c>
      <c r="E3636" s="158" t="str">
        <f>IF(A3636="","",VLOOKUP(A3636,'6.A'!$A$11:$G$180,5,FALSE))</f>
        <v/>
      </c>
      <c r="F3636" s="159" t="str">
        <f t="shared" si="1569"/>
        <v>0,00</v>
      </c>
      <c r="G3636" s="52"/>
      <c r="H3636" s="52" t="str">
        <f>IF(A3636="","",VLOOKUP(A3636,'6.A'!$A$11:$E$7984,5,FALSE))</f>
        <v/>
      </c>
      <c r="I3636" s="52" t="str">
        <f t="shared" si="1570"/>
        <v/>
      </c>
      <c r="J3636" s="52" t="str">
        <f>IF(H3636="","",VLOOKUP(A3636,'6.A'!$A$11:$E$564,4,FALSE))</f>
        <v/>
      </c>
      <c r="K3636" s="52" t="str">
        <f t="shared" si="1571"/>
        <v/>
      </c>
      <c r="L3636" s="52" t="str">
        <f>IF(H3636="","",IF(C3636="","",G3600*C3636))</f>
        <v/>
      </c>
      <c r="M3636" s="117" t="str">
        <f>IF(A3636="","",VLOOKUP(A3636,'6.A'!$A$11:$C$564,2,FALSE))</f>
        <v/>
      </c>
      <c r="N3636" s="57" t="str">
        <f t="shared" si="1572"/>
        <v/>
      </c>
      <c r="O3636" s="56"/>
      <c r="P3636" s="56"/>
      <c r="Q3636" s="48"/>
      <c r="R3636" s="48"/>
      <c r="S3636" s="65"/>
      <c r="T3636" s="2"/>
      <c r="U3636" s="2"/>
      <c r="V3636" s="2"/>
    </row>
    <row r="3637" spans="1:22" s="149" customFormat="1" ht="12.75" customHeight="1" x14ac:dyDescent="0.2">
      <c r="A3637" s="155"/>
      <c r="B3637" s="138" t="str">
        <f>IF(A3637="","",VLOOKUP(A3637,'6.A'!$A$11:$G$180,2,FALSE))</f>
        <v/>
      </c>
      <c r="C3637" s="156"/>
      <c r="D3637" s="141" t="str">
        <f>IF(A3637="","",VLOOKUP(A3637,'6.A'!$A$11:$G$180,4,FALSE))</f>
        <v/>
      </c>
      <c r="E3637" s="160" t="str">
        <f>IF(A3637="","",VLOOKUP(A3637,'6.A'!$A$11:$G$180,5,FALSE))</f>
        <v/>
      </c>
      <c r="F3637" s="159" t="str">
        <f t="shared" si="1569"/>
        <v>0,00</v>
      </c>
      <c r="G3637" s="52"/>
      <c r="H3637" s="52" t="str">
        <f>IF(A3637="","",VLOOKUP(A3637,'6.A'!$A$11:$E$7984,5,FALSE))</f>
        <v/>
      </c>
      <c r="I3637" s="52" t="str">
        <f t="shared" si="1570"/>
        <v/>
      </c>
      <c r="J3637" s="52" t="str">
        <f>IF(H3637="","",VLOOKUP(A3637,'6.A'!$A$11:$E$564,4,FALSE))</f>
        <v/>
      </c>
      <c r="K3637" s="52" t="str">
        <f t="shared" si="1571"/>
        <v/>
      </c>
      <c r="L3637" s="52" t="str">
        <f>IF(H3637="","",IF(C3637="","",G3600*C3637))</f>
        <v/>
      </c>
      <c r="M3637" s="117" t="str">
        <f>IF(A3637="","",VLOOKUP(A3637,'6.A'!$A$11:$C$564,2,FALSE))</f>
        <v/>
      </c>
      <c r="N3637" s="57" t="str">
        <f t="shared" si="1572"/>
        <v/>
      </c>
      <c r="O3637" s="56"/>
      <c r="P3637" s="56"/>
      <c r="Q3637" s="48"/>
      <c r="R3637" s="48"/>
      <c r="S3637" s="65"/>
      <c r="T3637" s="2"/>
      <c r="U3637" s="2"/>
      <c r="V3637" s="2"/>
    </row>
    <row r="3638" spans="1:22" s="149" customFormat="1" ht="12.75" customHeight="1" x14ac:dyDescent="0.2">
      <c r="A3638" s="155"/>
      <c r="B3638" s="138" t="str">
        <f>IF(A3638="","",VLOOKUP(A3638,'6.A'!$A$11:$G$180,2,FALSE))</f>
        <v/>
      </c>
      <c r="C3638" s="156"/>
      <c r="D3638" s="141" t="str">
        <f>IF(A3638="","",VLOOKUP(A3638,'6.A'!$A$11:$G$180,4,FALSE))</f>
        <v/>
      </c>
      <c r="E3638" s="160" t="str">
        <f>IF(A3638="","",VLOOKUP(A3638,'6.A'!$A$11:$G$180,5,FALSE))</f>
        <v/>
      </c>
      <c r="F3638" s="159" t="str">
        <f t="shared" si="1569"/>
        <v>0,00</v>
      </c>
      <c r="G3638" s="52"/>
      <c r="H3638" s="52" t="str">
        <f>IF(A3638="","",VLOOKUP(A3638,'6.A'!$A$11:$E$7984,5,FALSE))</f>
        <v/>
      </c>
      <c r="I3638" s="52" t="str">
        <f t="shared" si="1570"/>
        <v/>
      </c>
      <c r="J3638" s="52" t="str">
        <f>IF(H3638="","",VLOOKUP(A3638,'6.A'!$A$11:$E$564,4,FALSE))</f>
        <v/>
      </c>
      <c r="K3638" s="52" t="str">
        <f t="shared" si="1571"/>
        <v/>
      </c>
      <c r="L3638" s="52" t="str">
        <f>IF(H3638="","",IF(C3638="","",G3600*C3638))</f>
        <v/>
      </c>
      <c r="M3638" s="117" t="str">
        <f>IF(A3638="","",VLOOKUP(A3638,'6.A'!$A$11:$C$564,2,FALSE))</f>
        <v/>
      </c>
      <c r="N3638" s="57" t="str">
        <f t="shared" si="1572"/>
        <v/>
      </c>
      <c r="O3638" s="56"/>
      <c r="P3638" s="56"/>
      <c r="Q3638" s="48"/>
      <c r="R3638" s="48"/>
      <c r="S3638" s="65"/>
      <c r="T3638" s="2"/>
      <c r="U3638" s="2"/>
      <c r="V3638" s="2"/>
    </row>
    <row r="3639" spans="1:22" s="149" customFormat="1" ht="12.75" customHeight="1" x14ac:dyDescent="0.2">
      <c r="A3639" s="155"/>
      <c r="B3639" s="138" t="str">
        <f>IF(A3639="","",VLOOKUP(A3639,'6.A'!$A$11:$G$180,2,FALSE))</f>
        <v/>
      </c>
      <c r="C3639" s="156"/>
      <c r="D3639" s="141" t="str">
        <f>IF(A3639="","",VLOOKUP(A3639,'6.A'!$A$11:$G$180,4,FALSE))</f>
        <v/>
      </c>
      <c r="E3639" s="160" t="str">
        <f>IF(A3639="","",VLOOKUP(A3639,'6.A'!$A$11:$G$180,5,FALSE))</f>
        <v/>
      </c>
      <c r="F3639" s="159" t="str">
        <f t="shared" si="1569"/>
        <v>0,00</v>
      </c>
      <c r="G3639" s="52"/>
      <c r="H3639" s="52" t="str">
        <f>IF(A3639="","",VLOOKUP(A3639,'6.A'!$A$11:$E$7984,5,FALSE))</f>
        <v/>
      </c>
      <c r="I3639" s="52" t="str">
        <f t="shared" si="1570"/>
        <v/>
      </c>
      <c r="J3639" s="52" t="str">
        <f>IF(H3639="","",VLOOKUP(A3639,'6.A'!$A$11:$E$564,4,FALSE))</f>
        <v/>
      </c>
      <c r="K3639" s="52" t="str">
        <f t="shared" si="1571"/>
        <v/>
      </c>
      <c r="L3639" s="52" t="str">
        <f>IF(H3639="","",IF(C3639="","",G3600*C3639))</f>
        <v/>
      </c>
      <c r="M3639" s="117" t="str">
        <f>IF(A3639="","",VLOOKUP(A3639,'6.A'!$A$11:$C$564,2,FALSE))</f>
        <v/>
      </c>
      <c r="N3639" s="57" t="str">
        <f t="shared" si="1572"/>
        <v/>
      </c>
      <c r="O3639" s="56"/>
      <c r="P3639" s="56"/>
      <c r="Q3639" s="48"/>
      <c r="R3639" s="48"/>
      <c r="S3639" s="65"/>
      <c r="T3639" s="2"/>
      <c r="U3639" s="2"/>
      <c r="V3639" s="2"/>
    </row>
    <row r="3640" spans="1:22" s="149" customFormat="1" ht="12.75" customHeight="1" x14ac:dyDescent="0.2">
      <c r="A3640" s="155"/>
      <c r="B3640" s="138" t="str">
        <f>IF(A3640="","",VLOOKUP(A3640,'6.A'!$A$11:$G$180,2,FALSE))</f>
        <v/>
      </c>
      <c r="C3640" s="156"/>
      <c r="D3640" s="141" t="str">
        <f>IF(A3640="","",VLOOKUP(A3640,'6.A'!$A$11:$G$180,4,FALSE))</f>
        <v/>
      </c>
      <c r="E3640" s="160" t="str">
        <f>IF(A3640="","",VLOOKUP(A3640,'6.A'!$A$11:$G$180,5,FALSE))</f>
        <v/>
      </c>
      <c r="F3640" s="159" t="str">
        <f t="shared" si="1569"/>
        <v>0,00</v>
      </c>
      <c r="G3640" s="52"/>
      <c r="H3640" s="52" t="str">
        <f>IF(A3640="","",VLOOKUP(A3640,'6.A'!$A$11:$E$7984,5,FALSE))</f>
        <v/>
      </c>
      <c r="I3640" s="52" t="str">
        <f t="shared" si="1570"/>
        <v/>
      </c>
      <c r="J3640" s="52" t="str">
        <f>IF(H3640="","",VLOOKUP(A3640,'6.A'!$A$11:$E$564,4,FALSE))</f>
        <v/>
      </c>
      <c r="K3640" s="52" t="str">
        <f t="shared" si="1571"/>
        <v/>
      </c>
      <c r="L3640" s="52" t="str">
        <f>IF(H3640="","",IF(C3640="","",G3600*C3640))</f>
        <v/>
      </c>
      <c r="M3640" s="117" t="str">
        <f>IF(A3640="","",VLOOKUP(A3640,'6.A'!$A$11:$C$564,2,FALSE))</f>
        <v/>
      </c>
      <c r="N3640" s="57" t="str">
        <f t="shared" si="1572"/>
        <v/>
      </c>
      <c r="O3640" s="56"/>
      <c r="P3640" s="56"/>
      <c r="Q3640" s="48"/>
      <c r="R3640" s="48"/>
      <c r="S3640" s="65"/>
      <c r="T3640" s="2"/>
      <c r="U3640" s="2"/>
      <c r="V3640" s="2"/>
    </row>
    <row r="3641" spans="1:22" s="149" customFormat="1" ht="12.75" customHeight="1" x14ac:dyDescent="0.2">
      <c r="A3641" s="155"/>
      <c r="B3641" s="138" t="str">
        <f>IF(A3641="","",VLOOKUP(A3641,'6.A'!$A$11:$G$180,2,FALSE))</f>
        <v/>
      </c>
      <c r="C3641" s="156"/>
      <c r="D3641" s="141" t="str">
        <f>IF(A3641="","",VLOOKUP(A3641,'6.A'!$A$11:$G$180,4,FALSE))</f>
        <v/>
      </c>
      <c r="E3641" s="160" t="str">
        <f>IF(A3641="","",VLOOKUP(A3641,'6.A'!$A$11:$G$180,5,FALSE))</f>
        <v/>
      </c>
      <c r="F3641" s="159" t="str">
        <f t="shared" si="1569"/>
        <v>0,00</v>
      </c>
      <c r="G3641" s="52"/>
      <c r="H3641" s="52" t="str">
        <f>IF(A3641="","",VLOOKUP(A3641,'6.A'!$A$11:$E$7984,5,FALSE))</f>
        <v/>
      </c>
      <c r="I3641" s="52" t="str">
        <f t="shared" si="1570"/>
        <v/>
      </c>
      <c r="J3641" s="52" t="str">
        <f>IF(H3641="","",VLOOKUP(A3641,'6.A'!$A$11:$E$564,4,FALSE))</f>
        <v/>
      </c>
      <c r="K3641" s="52" t="str">
        <f t="shared" si="1571"/>
        <v/>
      </c>
      <c r="L3641" s="52" t="str">
        <f>IF(H3641="","",IF(C3641="","",G3600*C3641))</f>
        <v/>
      </c>
      <c r="M3641" s="117" t="str">
        <f>IF(A3641="","",VLOOKUP(A3641,'6.A'!$A$11:$C$564,2,FALSE))</f>
        <v/>
      </c>
      <c r="N3641" s="57" t="str">
        <f t="shared" si="1572"/>
        <v/>
      </c>
      <c r="O3641" s="56"/>
      <c r="P3641" s="56"/>
      <c r="Q3641" s="48"/>
      <c r="R3641" s="48"/>
      <c r="S3641" s="65"/>
      <c r="T3641" s="2"/>
      <c r="U3641" s="2"/>
      <c r="V3641" s="2"/>
    </row>
    <row r="3642" spans="1:22" s="149" customFormat="1" ht="12.75" customHeight="1" x14ac:dyDescent="0.2">
      <c r="A3642" s="155"/>
      <c r="B3642" s="138" t="str">
        <f>IF(A3642="","",VLOOKUP(A3642,'6.A'!$A$11:$G$180,2,FALSE))</f>
        <v/>
      </c>
      <c r="C3642" s="156"/>
      <c r="D3642" s="141" t="str">
        <f>IF(A3642="","",VLOOKUP(A3642,'6.A'!$A$11:$G$180,4,FALSE))</f>
        <v/>
      </c>
      <c r="E3642" s="160" t="str">
        <f>IF(A3642="","",VLOOKUP(A3642,'6.A'!$A$11:$G$180,5,FALSE))</f>
        <v/>
      </c>
      <c r="F3642" s="159" t="str">
        <f t="shared" si="1569"/>
        <v>0,00</v>
      </c>
      <c r="G3642" s="52"/>
      <c r="H3642" s="52" t="str">
        <f>IF(A3642="","",VLOOKUP(A3642,'6.A'!$A$11:$E$7984,5,FALSE))</f>
        <v/>
      </c>
      <c r="I3642" s="52" t="str">
        <f t="shared" si="1570"/>
        <v/>
      </c>
      <c r="J3642" s="52" t="str">
        <f>IF(H3642="","",VLOOKUP(A3642,'6.A'!$A$11:$E$564,4,FALSE))</f>
        <v/>
      </c>
      <c r="K3642" s="52" t="str">
        <f t="shared" si="1571"/>
        <v/>
      </c>
      <c r="L3642" s="52" t="str">
        <f>IF(H3642="","",IF(C3642="","",G3600*C3642))</f>
        <v/>
      </c>
      <c r="M3642" s="117" t="str">
        <f>IF(A3642="","",VLOOKUP(A3642,'6.A'!$A$11:$C$564,2,FALSE))</f>
        <v/>
      </c>
      <c r="N3642" s="57" t="str">
        <f t="shared" si="1572"/>
        <v/>
      </c>
      <c r="O3642" s="56"/>
      <c r="P3642" s="56"/>
      <c r="Q3642" s="48"/>
      <c r="R3642" s="48"/>
      <c r="S3642" s="65"/>
      <c r="T3642" s="2"/>
      <c r="U3642" s="2"/>
      <c r="V3642" s="2"/>
    </row>
    <row r="3643" spans="1:22" s="149" customFormat="1" ht="12.75" customHeight="1" x14ac:dyDescent="0.2">
      <c r="A3643" s="155"/>
      <c r="B3643" s="138" t="str">
        <f>IF(A3643="","",VLOOKUP(A3643,'6.A'!$A$11:$G$180,2,FALSE))</f>
        <v/>
      </c>
      <c r="C3643" s="156"/>
      <c r="D3643" s="141" t="str">
        <f>IF(A3643="","",VLOOKUP(A3643,'6.A'!$A$11:$G$180,4,FALSE))</f>
        <v/>
      </c>
      <c r="E3643" s="160" t="str">
        <f>IF(A3643="","",VLOOKUP(A3643,'6.A'!$A$11:$G$180,5,FALSE))</f>
        <v/>
      </c>
      <c r="F3643" s="159" t="str">
        <f t="shared" si="1569"/>
        <v>0,00</v>
      </c>
      <c r="G3643" s="52"/>
      <c r="H3643" s="52" t="str">
        <f>IF(A3643="","",VLOOKUP(A3643,'6.A'!$A$11:$E$7984,5,FALSE))</f>
        <v/>
      </c>
      <c r="I3643" s="52" t="str">
        <f t="shared" si="1570"/>
        <v/>
      </c>
      <c r="J3643" s="52" t="str">
        <f>IF(H3643="","",VLOOKUP(A3643,'6.A'!$A$11:$E$564,4,FALSE))</f>
        <v/>
      </c>
      <c r="K3643" s="52" t="str">
        <f t="shared" si="1571"/>
        <v/>
      </c>
      <c r="L3643" s="52" t="str">
        <f>IF(H3643="","",IF(C3643="","",G3600*C3643))</f>
        <v/>
      </c>
      <c r="M3643" s="117" t="str">
        <f>IF(A3643="","",VLOOKUP(A3643,'6.A'!$A$11:$C$564,2,FALSE))</f>
        <v/>
      </c>
      <c r="N3643" s="57" t="str">
        <f t="shared" si="1572"/>
        <v/>
      </c>
      <c r="O3643" s="56"/>
      <c r="P3643" s="56"/>
      <c r="Q3643" s="48"/>
      <c r="R3643" s="48"/>
      <c r="S3643" s="65"/>
      <c r="T3643" s="2"/>
      <c r="U3643" s="2"/>
      <c r="V3643" s="2"/>
    </row>
    <row r="3644" spans="1:22" s="149" customFormat="1" ht="12.75" customHeight="1" x14ac:dyDescent="0.2">
      <c r="A3644" s="155"/>
      <c r="B3644" s="138" t="str">
        <f>IF(A3644="","",VLOOKUP(A3644,'6.A'!$A$11:$G$180,2,FALSE))</f>
        <v/>
      </c>
      <c r="C3644" s="156"/>
      <c r="D3644" s="141" t="str">
        <f>IF(A3644="","",VLOOKUP(A3644,'6.A'!$A$11:$G$180,4,FALSE))</f>
        <v/>
      </c>
      <c r="E3644" s="160" t="str">
        <f>IF(A3644="","",VLOOKUP(A3644,'6.A'!$A$11:$G$180,5,FALSE))</f>
        <v/>
      </c>
      <c r="F3644" s="159" t="str">
        <f t="shared" si="1569"/>
        <v>0,00</v>
      </c>
      <c r="G3644" s="52"/>
      <c r="H3644" s="52" t="str">
        <f>IF(A3644="","",VLOOKUP(A3644,'6.A'!$A$11:$E$7984,5,FALSE))</f>
        <v/>
      </c>
      <c r="I3644" s="52" t="str">
        <f t="shared" si="1570"/>
        <v/>
      </c>
      <c r="J3644" s="52" t="str">
        <f>IF(H3644="","",VLOOKUP(A3644,'6.A'!$A$11:$E$564,4,FALSE))</f>
        <v/>
      </c>
      <c r="K3644" s="52" t="str">
        <f t="shared" si="1571"/>
        <v/>
      </c>
      <c r="L3644" s="52" t="str">
        <f>IF(H3644="","",IF(C3644="","",G3600*C3644))</f>
        <v/>
      </c>
      <c r="M3644" s="117" t="str">
        <f>IF(A3644="","",VLOOKUP(A3644,'6.A'!$A$11:$C$564,2,FALSE))</f>
        <v/>
      </c>
      <c r="N3644" s="57" t="str">
        <f t="shared" si="1572"/>
        <v/>
      </c>
      <c r="O3644" s="56"/>
      <c r="P3644" s="56"/>
      <c r="Q3644" s="48"/>
      <c r="R3644" s="48"/>
      <c r="S3644" s="65"/>
      <c r="T3644" s="2"/>
      <c r="U3644" s="2"/>
      <c r="V3644" s="2"/>
    </row>
    <row r="3645" spans="1:22" s="137" customFormat="1" ht="12.75" customHeight="1" x14ac:dyDescent="0.2">
      <c r="A3645" s="155"/>
      <c r="B3645" s="171" t="str">
        <f>IF(A3645="","",VLOOKUP(A3645,'6.A'!$A$11:$G$180,2,FALSE))</f>
        <v/>
      </c>
      <c r="C3645" s="156"/>
      <c r="D3645" s="141" t="str">
        <f>IF(A3645="","",VLOOKUP(A3645,'6.A'!$A$11:$G$180,4,FALSE))</f>
        <v/>
      </c>
      <c r="E3645" s="160" t="str">
        <f>IF(A3645="","",VLOOKUP(A3645,'6.A'!$A$11:$G$180,5,FALSE))</f>
        <v/>
      </c>
      <c r="F3645" s="159" t="str">
        <f t="shared" si="1569"/>
        <v>0,00</v>
      </c>
      <c r="G3645" s="52"/>
      <c r="H3645" s="52" t="str">
        <f>IF(A3645="","",VLOOKUP(A3645,'6.A'!$A$11:$E$7984,5,FALSE))</f>
        <v/>
      </c>
      <c r="I3645" s="52" t="str">
        <f t="shared" si="1570"/>
        <v/>
      </c>
      <c r="J3645" s="52" t="str">
        <f>IF(H3645="","",VLOOKUP(A3645,'6.A'!$A$11:$E$564,4,FALSE))</f>
        <v/>
      </c>
      <c r="K3645" s="52" t="str">
        <f t="shared" si="1571"/>
        <v/>
      </c>
      <c r="L3645" s="52" t="str">
        <f>IF(H3645="","",IF(C3645="","",G3600*C3645))</f>
        <v/>
      </c>
      <c r="M3645" s="117" t="str">
        <f>IF(A3645="","",VLOOKUP(A3645,'6.A'!$A$11:$C$564,2,FALSE))</f>
        <v/>
      </c>
      <c r="N3645" s="57" t="str">
        <f t="shared" si="1572"/>
        <v/>
      </c>
      <c r="O3645" s="56"/>
      <c r="P3645" s="56"/>
      <c r="Q3645" s="48"/>
      <c r="R3645" s="48"/>
      <c r="S3645" s="65"/>
      <c r="T3645" s="2"/>
      <c r="U3645" s="2"/>
      <c r="V3645" s="2"/>
    </row>
    <row r="3646" spans="1:22" s="137" customFormat="1" ht="12.75" customHeight="1" x14ac:dyDescent="0.2">
      <c r="A3646" s="155"/>
      <c r="B3646" s="171" t="str">
        <f>IF(A3646="","",VLOOKUP(A3646,'6.A'!$A$11:$G$180,2,FALSE))</f>
        <v/>
      </c>
      <c r="C3646" s="156"/>
      <c r="D3646" s="141" t="str">
        <f>IF(A3646="","",VLOOKUP(A3646,'6.A'!$A$11:$G$180,4,FALSE))</f>
        <v/>
      </c>
      <c r="E3646" s="160" t="str">
        <f>IF(A3646="","",VLOOKUP(A3646,'6.A'!$A$11:$G$180,5,FALSE))</f>
        <v/>
      </c>
      <c r="F3646" s="159" t="str">
        <f t="shared" si="1569"/>
        <v>0,00</v>
      </c>
      <c r="G3646" s="52"/>
      <c r="H3646" s="52" t="str">
        <f>IF(A3646="","",VLOOKUP(A3646,'6.A'!$A$11:$E$7984,5,FALSE))</f>
        <v/>
      </c>
      <c r="I3646" s="52" t="str">
        <f t="shared" si="1570"/>
        <v/>
      </c>
      <c r="J3646" s="52" t="str">
        <f>IF(H3646="","",VLOOKUP(A3646,'6.A'!$A$11:$E$564,4,FALSE))</f>
        <v/>
      </c>
      <c r="K3646" s="52" t="str">
        <f t="shared" si="1571"/>
        <v/>
      </c>
      <c r="L3646" s="52" t="str">
        <f>IF(H3646="","",IF(C3646="","",G3600*C3646))</f>
        <v/>
      </c>
      <c r="M3646" s="117" t="str">
        <f>IF(A3646="","",VLOOKUP(A3646,'6.A'!$A$11:$C$564,2,FALSE))</f>
        <v/>
      </c>
      <c r="N3646" s="57" t="str">
        <f t="shared" si="1572"/>
        <v/>
      </c>
      <c r="O3646" s="56"/>
      <c r="P3646" s="56"/>
      <c r="Q3646" s="48"/>
      <c r="R3646" s="48"/>
      <c r="S3646" s="65"/>
      <c r="T3646" s="2"/>
      <c r="U3646" s="2"/>
      <c r="V3646" s="2"/>
    </row>
    <row r="3647" spans="1:22" s="137" customFormat="1" ht="12.75" customHeight="1" x14ac:dyDescent="0.2">
      <c r="A3647" s="155"/>
      <c r="B3647" s="171" t="str">
        <f>IF(A3647="","",VLOOKUP(A3647,'6.A'!$A$11:$G$180,2,FALSE))</f>
        <v/>
      </c>
      <c r="C3647" s="156"/>
      <c r="D3647" s="141" t="str">
        <f>IF(A3647="","",VLOOKUP(A3647,'6.A'!$A$11:$G$180,4,FALSE))</f>
        <v/>
      </c>
      <c r="E3647" s="160" t="str">
        <f>IF(A3647="","",VLOOKUP(A3647,'6.A'!$A$11:$G$180,5,FALSE))</f>
        <v/>
      </c>
      <c r="F3647" s="159" t="str">
        <f t="shared" si="1569"/>
        <v>0,00</v>
      </c>
      <c r="G3647" s="52"/>
      <c r="H3647" s="52" t="str">
        <f>IF(A3647="","",VLOOKUP(A3647,'6.A'!$A$11:$E$7984,5,FALSE))</f>
        <v/>
      </c>
      <c r="I3647" s="52" t="str">
        <f t="shared" si="1570"/>
        <v/>
      </c>
      <c r="J3647" s="52" t="str">
        <f>IF(H3647="","",VLOOKUP(A3647,'6.A'!$A$11:$E$564,4,FALSE))</f>
        <v/>
      </c>
      <c r="K3647" s="52" t="str">
        <f t="shared" si="1571"/>
        <v/>
      </c>
      <c r="L3647" s="52" t="str">
        <f>IF(H3647="","",IF(C3647="","",G3600*C3647))</f>
        <v/>
      </c>
      <c r="M3647" s="117" t="str">
        <f>IF(A3647="","",VLOOKUP(A3647,'6.A'!$A$11:$C$564,2,FALSE))</f>
        <v/>
      </c>
      <c r="N3647" s="57" t="str">
        <f t="shared" si="1572"/>
        <v/>
      </c>
      <c r="O3647" s="56"/>
      <c r="P3647" s="56"/>
      <c r="Q3647" s="48"/>
      <c r="R3647" s="48"/>
      <c r="S3647" s="65"/>
      <c r="T3647" s="2"/>
      <c r="U3647" s="2"/>
      <c r="V3647" s="2"/>
    </row>
    <row r="3648" spans="1:22" s="137" customFormat="1" ht="12.75" customHeight="1" x14ac:dyDescent="0.2">
      <c r="A3648" s="155"/>
      <c r="B3648" s="171" t="str">
        <f>IF(A3648="","",VLOOKUP(A3648,'6.A'!$A$11:$G$180,2,FALSE))</f>
        <v/>
      </c>
      <c r="C3648" s="156"/>
      <c r="D3648" s="141" t="str">
        <f>IF(A3648="","",VLOOKUP(A3648,'6.A'!$A$11:$G$180,4,FALSE))</f>
        <v/>
      </c>
      <c r="E3648" s="160" t="str">
        <f>IF(A3648="","",VLOOKUP(A3648,'6.A'!$A$11:$G$180,5,FALSE))</f>
        <v/>
      </c>
      <c r="F3648" s="159" t="str">
        <f t="shared" si="1569"/>
        <v>0,00</v>
      </c>
      <c r="G3648" s="52"/>
      <c r="H3648" s="52" t="str">
        <f>IF(A3648="","",VLOOKUP(A3648,'6.A'!$A$11:$E$7984,5,FALSE))</f>
        <v/>
      </c>
      <c r="I3648" s="52" t="str">
        <f t="shared" si="1570"/>
        <v/>
      </c>
      <c r="J3648" s="52" t="str">
        <f>IF(H3648="","",VLOOKUP(A3648,'6.A'!$A$11:$E$564,4,FALSE))</f>
        <v/>
      </c>
      <c r="K3648" s="52" t="str">
        <f t="shared" si="1571"/>
        <v/>
      </c>
      <c r="L3648" s="52" t="str">
        <f>IF(H3648="","",IF(C3648="","",G3600*C3648))</f>
        <v/>
      </c>
      <c r="M3648" s="117" t="str">
        <f>IF(A3648="","",VLOOKUP(A3648,'6.A'!$A$11:$C$564,2,FALSE))</f>
        <v/>
      </c>
      <c r="N3648" s="57" t="str">
        <f t="shared" si="1572"/>
        <v/>
      </c>
      <c r="O3648" s="56"/>
      <c r="P3648" s="56"/>
      <c r="Q3648" s="48"/>
      <c r="R3648" s="48"/>
      <c r="S3648" s="65"/>
      <c r="T3648" s="2"/>
      <c r="U3648" s="2"/>
      <c r="V3648" s="2"/>
    </row>
    <row r="3649" spans="1:22" s="137" customFormat="1" ht="12.75" customHeight="1" x14ac:dyDescent="0.2">
      <c r="A3649" s="155"/>
      <c r="B3649" s="26" t="str">
        <f>$A$9</f>
        <v>BDI</v>
      </c>
      <c r="C3649" s="40">
        <f>$C$9</f>
        <v>0</v>
      </c>
      <c r="D3649" s="141"/>
      <c r="E3649" s="147"/>
      <c r="F3649" s="162">
        <f>ROUND(SUM(F3629:F3648)*C3649,2)</f>
        <v>0</v>
      </c>
      <c r="G3649" s="63"/>
      <c r="H3649" s="52"/>
      <c r="I3649" s="57"/>
      <c r="J3649" s="57"/>
      <c r="K3649" s="57"/>
      <c r="L3649" s="52"/>
      <c r="M3649" s="57"/>
      <c r="N3649" s="57"/>
      <c r="O3649" s="56"/>
      <c r="P3649" s="56"/>
      <c r="Q3649" s="48"/>
      <c r="R3649" s="48"/>
      <c r="S3649" s="65"/>
      <c r="T3649" s="2"/>
      <c r="U3649" s="2"/>
      <c r="V3649" s="2"/>
    </row>
    <row r="3650" spans="1:22" s="137" customFormat="1" ht="12.75" customHeight="1" thickBot="1" x14ac:dyDescent="0.25">
      <c r="A3650" s="172"/>
      <c r="B3650" s="42" t="s">
        <v>57</v>
      </c>
      <c r="C3650" s="43"/>
      <c r="D3650" s="173"/>
      <c r="E3650" s="174"/>
      <c r="F3650" s="175">
        <f>ROUND(SUM(F3629:F3649),2)</f>
        <v>0</v>
      </c>
      <c r="G3650" s="63"/>
      <c r="H3650" s="52"/>
      <c r="I3650" s="57"/>
      <c r="J3650" s="57"/>
      <c r="K3650" s="57"/>
      <c r="L3650" s="52"/>
      <c r="M3650" s="57"/>
      <c r="N3650" s="57"/>
      <c r="O3650" s="56"/>
      <c r="P3650" s="56"/>
      <c r="Q3650" s="48"/>
      <c r="R3650" s="48"/>
      <c r="S3650" s="65"/>
      <c r="T3650" s="2"/>
      <c r="U3650" s="2"/>
      <c r="V3650" s="2"/>
    </row>
    <row r="3651" spans="1:22" s="149" customFormat="1" ht="12" customHeight="1" thickBot="1" x14ac:dyDescent="0.25">
      <c r="A3651" s="150"/>
      <c r="B3651" s="145"/>
      <c r="C3651" s="146"/>
      <c r="D3651" s="141"/>
      <c r="E3651" s="147"/>
      <c r="F3651" s="142"/>
      <c r="G3651" s="142"/>
      <c r="H3651" s="139"/>
      <c r="I3651" s="141"/>
      <c r="J3651" s="141"/>
      <c r="K3651" s="141"/>
      <c r="L3651" s="139"/>
      <c r="M3651" s="143"/>
      <c r="N3651" s="143"/>
      <c r="O3651" s="144"/>
      <c r="P3651" s="144"/>
      <c r="Q3651" s="135"/>
      <c r="R3651" s="135"/>
      <c r="T3651" s="137"/>
      <c r="U3651" s="137"/>
      <c r="V3651" s="137"/>
    </row>
    <row r="3652" spans="1:22" s="137" customFormat="1" ht="50.1" customHeight="1" x14ac:dyDescent="0.2">
      <c r="A3652" s="151" t="str">
        <f>'3.A'!$A$163</f>
        <v>3.4.11</v>
      </c>
      <c r="B3652" s="14" t="str">
        <f>IF(A3652="","",VLOOKUP(A3652,'3.A'!$A$17:$M$279,2,FALSE))</f>
        <v>UNIDADE CAPACITIVA TRIFÁSICA, COM CAPA PROTETORA IP-50, COM RESISTOR INTERNO E PARAFUSO DE FIXAÇÃO E ATERRAMENTO, POTÊNCIA REATIVA DE 5,0 KVAR, VN=220VAC, F=60HZ</v>
      </c>
      <c r="C3652" s="413" t="s">
        <v>62</v>
      </c>
      <c r="D3652" s="413"/>
      <c r="E3652" s="15" t="str">
        <f>IF(A3652="","",VLOOKUP(A3652,'3.A'!$A$17:$M$279,3,FALSE))</f>
        <v>UN</v>
      </c>
      <c r="F3652" s="16">
        <f>ROUND(F3666+F3679+F3702,2)</f>
        <v>0</v>
      </c>
      <c r="G3652" s="118">
        <f>VLOOKUP(A3652,'3.A'!$A$19:$I$279,4,FALSE)</f>
        <v>5</v>
      </c>
      <c r="H3652" s="47">
        <f>SUM(F3654:F3665)</f>
        <v>0</v>
      </c>
      <c r="I3652" s="47">
        <f>SUM(F3668:F3678)</f>
        <v>0</v>
      </c>
      <c r="J3652" s="47">
        <f>SUM(F3681:F3701)</f>
        <v>0</v>
      </c>
      <c r="K3652" s="47">
        <f>SUM(H3652:J3652)</f>
        <v>0</v>
      </c>
      <c r="L3652" s="47" t="str">
        <f>IF(K3652=F3652,"SIM","NÃO")</f>
        <v>SIM</v>
      </c>
      <c r="M3652" s="58">
        <f>ROUND(SUM(F3654:F3663)*C3664,2)+ROUND(SUM(F3654:F3664)*C3665,2)+ROUND(SUM(F3654:F3663),2)+ROUND(SUM(F3668:F3677)*C3678,2)+ROUND(SUM(F3668:F3677),2)+ROUND(SUM(F3681:F3700)*C3701,2)+ROUND(SUM(F3681:F3700),2)</f>
        <v>0</v>
      </c>
      <c r="N3652" s="50" t="str">
        <f>IF(M3652=F3652,"SIM","NÃO")</f>
        <v>SIM</v>
      </c>
      <c r="O3652" s="51" t="str">
        <f>VLOOKUP(A3652,'3.A'!$A$8:$E$279,3,FALSE)</f>
        <v>UN</v>
      </c>
      <c r="P3652" s="51" t="str">
        <f>IF(O3652=E3652,"SIM","NÃO")</f>
        <v>SIM</v>
      </c>
      <c r="Q3652" s="53">
        <f>ROUND(G3652*F3666,2)+ROUND(G3652*F3679,2)+ROUND(G3652*F3702,2)</f>
        <v>0</v>
      </c>
      <c r="R3652" s="59">
        <f>VLOOKUP(A3652,'3.A'!$A$17:$L$279,12,FALSE)</f>
        <v>0</v>
      </c>
      <c r="S3652" s="60" t="str">
        <f>IF(Q3652=R3652,"si","no")</f>
        <v>si</v>
      </c>
      <c r="T3652" s="61">
        <f>SUM(L3654:L3663)+SUM(L3668:L3677)+SUM(L3681:L3700)</f>
        <v>6.5</v>
      </c>
      <c r="U3652" s="380">
        <f>G3652*C3660+G3652*C3662+G3652*C3655+G3652*C3656+G3652*C3658+G3652*C3661+G3652*C3659+G3652*C3654+G3652*C3657+G3652*C3663+G3652*C3674+G3652*C3668+G3652*C3676+G3652*C3675+G3652*C3673+G3652*C3670+G3652*C3669+G3652*C3671+G3652*C3677+G3652*C3672+G3652*C3681+G3652*C3682+G3652*C3683+G3652*C3691+G3652*C3692+G3652*C3693+G3652*C3694+G3652*C3695+G3652*C3696+G3652*C3697+G3652*C3698+G3652*C3699+G3652*C3700+G3652*C3689+G3652*C3690+G3652*C3684+G3652*C3685+G3652*C3686+G3652*C3687+G3652*C3688</f>
        <v>6.5</v>
      </c>
      <c r="V3652" s="54" t="str">
        <f>IF(T3652=U3652,"si","no")</f>
        <v>si</v>
      </c>
    </row>
    <row r="3653" spans="1:22" s="137" customFormat="1" ht="12.75" customHeight="1" x14ac:dyDescent="0.2">
      <c r="A3653" s="152" t="s">
        <v>3</v>
      </c>
      <c r="B3653" s="153" t="s">
        <v>58</v>
      </c>
      <c r="C3653" s="140" t="s">
        <v>59</v>
      </c>
      <c r="D3653" s="140" t="s">
        <v>16</v>
      </c>
      <c r="E3653" s="154" t="s">
        <v>60</v>
      </c>
      <c r="F3653" s="148" t="s">
        <v>61</v>
      </c>
      <c r="G3653" s="21"/>
      <c r="H3653" s="380"/>
      <c r="I3653" s="379"/>
      <c r="J3653" s="379"/>
      <c r="K3653" s="379"/>
      <c r="L3653" s="380"/>
      <c r="M3653" s="379"/>
      <c r="N3653" s="379"/>
      <c r="O3653" s="56"/>
      <c r="P3653" s="56"/>
      <c r="Q3653" s="48"/>
      <c r="R3653" s="48"/>
      <c r="S3653" s="65"/>
      <c r="T3653" s="2"/>
      <c r="U3653" s="2"/>
      <c r="V3653" s="2"/>
    </row>
    <row r="3654" spans="1:22" s="137" customFormat="1" ht="12.75" customHeight="1" x14ac:dyDescent="0.2">
      <c r="A3654" s="155">
        <f>'6.A'!$A$18</f>
        <v>88264</v>
      </c>
      <c r="B3654" s="138" t="str">
        <f>IF(A3654="","",VLOOKUP(A3654,'6.A'!$A$11:$G$180,2,FALSE))</f>
        <v>ELETRICISTA COM ENCARGOS COMPLEMENTARES</v>
      </c>
      <c r="C3654" s="156">
        <v>0.15</v>
      </c>
      <c r="D3654" s="157" t="str">
        <f>IF(A3654="","",VLOOKUP(A3654,'6.A'!$A$11:$G$180,4,FALSE))</f>
        <v>H</v>
      </c>
      <c r="E3654" s="158">
        <f>IF(A3654="","",VLOOKUP(A3654,'6.A'!$A$11:$G$180,5,FALSE))</f>
        <v>0</v>
      </c>
      <c r="F3654" s="159">
        <f t="shared" ref="F3654" si="1573">IF(A3654="","0,00",ROUND(C3654*E3654,2))</f>
        <v>0</v>
      </c>
      <c r="G3654" s="380"/>
      <c r="H3654" s="380">
        <f>IF(A3654="","",VLOOKUP(A3654,'6.A'!$A$11:$E$7984,5,FALSE))</f>
        <v>0</v>
      </c>
      <c r="I3654" s="380" t="str">
        <f>IF(H3654="","",IF(E3654=H3654,"SIM","NÃO"))</f>
        <v>SIM</v>
      </c>
      <c r="J3654" s="380" t="str">
        <f>IF(H3654="","",VLOOKUP(A3654,'6.A'!$A$11:$E$564,4,FALSE))</f>
        <v>H</v>
      </c>
      <c r="K3654" s="380" t="str">
        <f>IF(H3654="","",IF(J3654=D3654,"SIM","NÃO"))</f>
        <v>SIM</v>
      </c>
      <c r="L3654" s="380">
        <f>IF(H3654="","",IF(C3654="","",G3652*C3654))</f>
        <v>0.75</v>
      </c>
      <c r="M3654" s="117" t="str">
        <f>IF(A3654="","",VLOOKUP(A3654,'6.A'!$A$11:$C$564,2,FALSE))</f>
        <v>ELETRICISTA COM ENCARGOS COMPLEMENTARES</v>
      </c>
      <c r="N3654" s="379" t="str">
        <f>IF(A3654="","",IF(M3654=B3654,"si","no"))</f>
        <v>si</v>
      </c>
      <c r="O3654" s="56"/>
      <c r="P3654" s="56"/>
      <c r="Q3654" s="48"/>
      <c r="R3654" s="48"/>
      <c r="S3654" s="65"/>
      <c r="T3654" s="2"/>
      <c r="U3654" s="2"/>
      <c r="V3654" s="2"/>
    </row>
    <row r="3655" spans="1:22" s="137" customFormat="1" ht="12.75" customHeight="1" x14ac:dyDescent="0.2">
      <c r="A3655" s="155">
        <f>'6.A'!$A$15</f>
        <v>88247</v>
      </c>
      <c r="B3655" s="138" t="str">
        <f>IF(A3655="","",VLOOKUP(A3655,'6.A'!$A$11:$G$180,2,FALSE))</f>
        <v>AUXILIAR DE ELETRICISTA COM ENCARGOS COMPLEMENTARES</v>
      </c>
      <c r="C3655" s="156">
        <v>0.15</v>
      </c>
      <c r="D3655" s="157" t="str">
        <f>IF(A3655="","",VLOOKUP(A3655,'6.A'!$A$11:$G$180,4,FALSE))</f>
        <v>H</v>
      </c>
      <c r="E3655" s="158">
        <f>IF(A3655="","",VLOOKUP(A3655,'6.A'!$A$11:$G$180,5,FALSE))</f>
        <v>0</v>
      </c>
      <c r="F3655" s="159">
        <f>IF(A3655="","0,00",ROUND(C3655*E3655,2))</f>
        <v>0</v>
      </c>
      <c r="G3655" s="380"/>
      <c r="H3655" s="380">
        <f>IF(A3655="","",VLOOKUP(A3655,'6.A'!$A$11:$E$7984,5,FALSE))</f>
        <v>0</v>
      </c>
      <c r="I3655" s="380" t="str">
        <f>IF(H3655="","",IF(E3655=H3655,"SIM","NÃO"))</f>
        <v>SIM</v>
      </c>
      <c r="J3655" s="380" t="str">
        <f>IF(H3655="","",VLOOKUP(A3655,'6.A'!$A$11:$E$564,4,FALSE))</f>
        <v>H</v>
      </c>
      <c r="K3655" s="380" t="str">
        <f>IF(H3655="","",IF(J3655=D3655,"SIM","NÃO"))</f>
        <v>SIM</v>
      </c>
      <c r="L3655" s="380">
        <f>IF(H3655="","",IF(C3655="","",G3652*C3655))</f>
        <v>0.75</v>
      </c>
      <c r="M3655" s="117" t="str">
        <f>IF(A3655="","",VLOOKUP(A3655,'6.A'!$A$11:$C$564,2,FALSE))</f>
        <v>AUXILIAR DE ELETRICISTA COM ENCARGOS COMPLEMENTARES</v>
      </c>
      <c r="N3655" s="379" t="str">
        <f>IF(A3655="","",IF(M3655=B3655,"si","no"))</f>
        <v>si</v>
      </c>
      <c r="O3655" s="56"/>
      <c r="P3655" s="56"/>
      <c r="Q3655" s="48"/>
      <c r="R3655" s="48"/>
      <c r="S3655" s="65"/>
      <c r="T3655" s="2"/>
      <c r="U3655" s="2"/>
      <c r="V3655" s="2"/>
    </row>
    <row r="3656" spans="1:22" s="137" customFormat="1" ht="12.75" customHeight="1" x14ac:dyDescent="0.2">
      <c r="A3656" s="155"/>
      <c r="B3656" s="138" t="str">
        <f>IF(A3656="","",VLOOKUP(A3656,'6.A'!$A$11:$G$180,2,FALSE))</f>
        <v/>
      </c>
      <c r="C3656" s="156"/>
      <c r="D3656" s="157" t="str">
        <f>IF(A3656="","",VLOOKUP(A3656,'6.A'!$A$11:$G$180,4,FALSE))</f>
        <v/>
      </c>
      <c r="E3656" s="158" t="str">
        <f>IF(A3656="","",VLOOKUP(A3656,'6.A'!$A$11:$G$180,5,FALSE))</f>
        <v/>
      </c>
      <c r="F3656" s="159" t="str">
        <f t="shared" ref="F3656:F3663" si="1574">IF(A3656="","0,00",ROUND(C3656*E3656,2))</f>
        <v>0,00</v>
      </c>
      <c r="G3656" s="380"/>
      <c r="H3656" s="380" t="str">
        <f>IF(A3656="","",VLOOKUP(A3656,'6.A'!$A$11:$E$7984,5,FALSE))</f>
        <v/>
      </c>
      <c r="I3656" s="380" t="str">
        <f>IF(H3656="","",IF(E3656=H3656,"SIM","NÃO"))</f>
        <v/>
      </c>
      <c r="J3656" s="380" t="str">
        <f>IF(H3656="","",VLOOKUP(A3656,'6.A'!$A$11:$E$564,4,FALSE))</f>
        <v/>
      </c>
      <c r="K3656" s="380" t="str">
        <f t="shared" ref="K3656" si="1575">IF(H3656="","",IF(J3656=D3656,"SIM","NÃO"))</f>
        <v/>
      </c>
      <c r="L3656" s="380" t="str">
        <f>IF(H3656="","",IF(C3656="","",G3652*C3656))</f>
        <v/>
      </c>
      <c r="M3656" s="117" t="str">
        <f>IF(A3656="","",VLOOKUP(A3656,'6.A'!$A$11:$C$564,2,FALSE))</f>
        <v/>
      </c>
      <c r="N3656" s="379" t="str">
        <f t="shared" ref="N3656" si="1576">IF(A3656="","",IF(M3656=B3656,"si","no"))</f>
        <v/>
      </c>
      <c r="O3656" s="56"/>
      <c r="P3656" s="56"/>
      <c r="Q3656" s="48"/>
      <c r="R3656" s="48"/>
      <c r="S3656" s="65"/>
      <c r="T3656" s="2"/>
      <c r="U3656" s="2"/>
      <c r="V3656" s="2"/>
    </row>
    <row r="3657" spans="1:22" s="137" customFormat="1" ht="12.75" customHeight="1" x14ac:dyDescent="0.2">
      <c r="A3657" s="155"/>
      <c r="B3657" s="138" t="str">
        <f>IF(A3657="","",VLOOKUP(A3657,'6.A'!$A$11:$G$180,2,FALSE))</f>
        <v/>
      </c>
      <c r="C3657" s="156"/>
      <c r="D3657" s="157" t="str">
        <f>IF(A3657="","",VLOOKUP(A3657,'6.A'!$A$11:$G$180,4,FALSE))</f>
        <v/>
      </c>
      <c r="E3657" s="158" t="str">
        <f>IF(A3657="","",VLOOKUP(A3657,'6.A'!$A$11:$G$180,5,FALSE))</f>
        <v/>
      </c>
      <c r="F3657" s="159" t="str">
        <f t="shared" si="1574"/>
        <v>0,00</v>
      </c>
      <c r="G3657" s="380"/>
      <c r="H3657" s="380" t="str">
        <f>IF(A3657="","",VLOOKUP(A3657,'6.A'!$A$11:$E$7984,5,FALSE))</f>
        <v/>
      </c>
      <c r="I3657" s="380" t="str">
        <f>IF(H3657="","",IF(E3657=H3657,"SIM","NÃO"))</f>
        <v/>
      </c>
      <c r="J3657" s="380" t="str">
        <f>IF(H3657="","",VLOOKUP(A3657,'6.A'!$A$11:$E$564,4,FALSE))</f>
        <v/>
      </c>
      <c r="K3657" s="380" t="str">
        <f>IF(H3657="","",IF(J3657=D3657,"SIM","NÃO"))</f>
        <v/>
      </c>
      <c r="L3657" s="380" t="str">
        <f>IF(H3657="","",IF(C3657="","",G3652*C3657))</f>
        <v/>
      </c>
      <c r="M3657" s="117" t="str">
        <f>IF(A3657="","",VLOOKUP(A3657,'6.A'!$A$11:$C$564,2,FALSE))</f>
        <v/>
      </c>
      <c r="N3657" s="379" t="str">
        <f>IF(A3657="","",IF(M3657=B3657,"si","no"))</f>
        <v/>
      </c>
      <c r="O3657" s="56"/>
      <c r="P3657" s="56"/>
      <c r="Q3657" s="48"/>
      <c r="R3657" s="48"/>
      <c r="S3657" s="65"/>
      <c r="T3657" s="2"/>
      <c r="U3657" s="2"/>
      <c r="V3657" s="2"/>
    </row>
    <row r="3658" spans="1:22" s="137" customFormat="1" ht="12.75" customHeight="1" x14ac:dyDescent="0.2">
      <c r="A3658" s="155"/>
      <c r="B3658" s="138" t="str">
        <f>IF(A3658="","",VLOOKUP(A3658,'6.A'!$A$11:$G$180,2,FALSE))</f>
        <v/>
      </c>
      <c r="C3658" s="156"/>
      <c r="D3658" s="157" t="str">
        <f>IF(A3658="","",VLOOKUP(A3658,'6.A'!$A$11:$G$180,4,FALSE))</f>
        <v/>
      </c>
      <c r="E3658" s="158" t="str">
        <f>IF(A3658="","",VLOOKUP(A3658,'6.A'!$A$11:$G$180,5,FALSE))</f>
        <v/>
      </c>
      <c r="F3658" s="159" t="str">
        <f t="shared" si="1574"/>
        <v>0,00</v>
      </c>
      <c r="G3658" s="380"/>
      <c r="H3658" s="380" t="str">
        <f>IF(A3658="","",VLOOKUP(A3658,'6.A'!$A$11:$E$7984,5,FALSE))</f>
        <v/>
      </c>
      <c r="I3658" s="380" t="str">
        <f t="shared" ref="I3658" si="1577">IF(H3658="","",IF(E3658=H3658,"SIM","NÃO"))</f>
        <v/>
      </c>
      <c r="J3658" s="380" t="str">
        <f>IF(H3658="","",VLOOKUP(A3658,'6.A'!$A$11:$E$564,4,FALSE))</f>
        <v/>
      </c>
      <c r="K3658" s="380" t="str">
        <f t="shared" ref="K3658" si="1578">IF(H3658="","",IF(J3658=D3658,"SIM","NÃO"))</f>
        <v/>
      </c>
      <c r="L3658" s="380" t="str">
        <f>IF(H3658="","",IF(C3658="","",G3652*C3658))</f>
        <v/>
      </c>
      <c r="M3658" s="117" t="str">
        <f>IF(A3658="","",VLOOKUP(A3658,'6.A'!$A$11:$C$564,2,FALSE))</f>
        <v/>
      </c>
      <c r="N3658" s="379" t="str">
        <f t="shared" ref="N3658" si="1579">IF(A3658="","",IF(M3658=B3658,"si","no"))</f>
        <v/>
      </c>
      <c r="O3658" s="56"/>
      <c r="P3658" s="56"/>
      <c r="Q3658" s="48"/>
      <c r="R3658" s="48"/>
      <c r="S3658" s="65"/>
      <c r="T3658" s="2"/>
      <c r="U3658" s="2"/>
      <c r="V3658" s="2"/>
    </row>
    <row r="3659" spans="1:22" s="137" customFormat="1" ht="12.75" customHeight="1" x14ac:dyDescent="0.2">
      <c r="A3659" s="155"/>
      <c r="B3659" s="138" t="str">
        <f>IF(A3659="","",VLOOKUP(A3659,'6.A'!$A$11:$G$180,2,FALSE))</f>
        <v/>
      </c>
      <c r="C3659" s="156"/>
      <c r="D3659" s="157" t="str">
        <f>IF(A3659="","",VLOOKUP(A3659,'6.A'!$A$11:$G$180,4,FALSE))</f>
        <v/>
      </c>
      <c r="E3659" s="158" t="str">
        <f>IF(A3659="","",VLOOKUP(A3659,'6.A'!$A$11:$G$180,5,FALSE))</f>
        <v/>
      </c>
      <c r="F3659" s="159" t="str">
        <f t="shared" si="1574"/>
        <v>0,00</v>
      </c>
      <c r="G3659" s="380"/>
      <c r="H3659" s="380" t="str">
        <f>IF(A3659="","",VLOOKUP(A3659,'6.A'!$A$11:$E$7984,5,FALSE))</f>
        <v/>
      </c>
      <c r="I3659" s="380" t="str">
        <f>IF(H3659="","",IF(E3659=H3659,"SIM","NÃO"))</f>
        <v/>
      </c>
      <c r="J3659" s="380" t="str">
        <f>IF(H3659="","",VLOOKUP(A3659,'6.A'!$A$11:$E$564,4,FALSE))</f>
        <v/>
      </c>
      <c r="K3659" s="380" t="str">
        <f>IF(H3659="","",IF(J3659=D3659,"SIM","NÃO"))</f>
        <v/>
      </c>
      <c r="L3659" s="380" t="str">
        <f>IF(H3659="","",IF(C3659="","",G3652*C3659))</f>
        <v/>
      </c>
      <c r="M3659" s="117" t="str">
        <f>IF(A3659="","",VLOOKUP(A3659,'6.A'!$A$11:$C$564,2,FALSE))</f>
        <v/>
      </c>
      <c r="N3659" s="379" t="str">
        <f>IF(A3659="","",IF(M3659=B3659,"si","no"))</f>
        <v/>
      </c>
      <c r="O3659" s="56"/>
      <c r="P3659" s="56"/>
      <c r="Q3659" s="48"/>
      <c r="R3659" s="48"/>
      <c r="S3659" s="65"/>
      <c r="T3659" s="2"/>
      <c r="U3659" s="2"/>
      <c r="V3659" s="2"/>
    </row>
    <row r="3660" spans="1:22" s="137" customFormat="1" ht="12.75" customHeight="1" x14ac:dyDescent="0.2">
      <c r="A3660" s="155"/>
      <c r="B3660" s="138" t="str">
        <f>IF(A3660="","",VLOOKUP(A3660,'6.A'!$A$11:$G$180,2,FALSE))</f>
        <v/>
      </c>
      <c r="C3660" s="156"/>
      <c r="D3660" s="141" t="str">
        <f>IF(A3660="","",VLOOKUP(A3660,'6.A'!$A$11:$G$180,4,FALSE))</f>
        <v/>
      </c>
      <c r="E3660" s="160" t="str">
        <f>IF(A3660="","",VLOOKUP(A3660,'6.A'!$A$11:$G$180,5,FALSE))</f>
        <v/>
      </c>
      <c r="F3660" s="159" t="str">
        <f t="shared" si="1574"/>
        <v>0,00</v>
      </c>
      <c r="G3660" s="380"/>
      <c r="H3660" s="380" t="str">
        <f>IF(A3660="","",VLOOKUP(A3660,'6.A'!$A$11:$E$7984,5,FALSE))</f>
        <v/>
      </c>
      <c r="I3660" s="380" t="str">
        <f>IF(H3660="","",IF(E3660=H3660,"SIM","NÃO"))</f>
        <v/>
      </c>
      <c r="J3660" s="380" t="str">
        <f>IF(H3660="","",VLOOKUP(A3660,'6.A'!$A$11:$E$564,4,FALSE))</f>
        <v/>
      </c>
      <c r="K3660" s="380" t="str">
        <f>IF(H3660="","",IF(J3660=D3660,"SIM","NÃO"))</f>
        <v/>
      </c>
      <c r="L3660" s="380" t="str">
        <f>IF(H3660="","",IF(C3660="","",G3652*C3660))</f>
        <v/>
      </c>
      <c r="M3660" s="117" t="str">
        <f>IF(A3660="","",VLOOKUP(A3660,'6.A'!$A$11:$C$564,2,FALSE))</f>
        <v/>
      </c>
      <c r="N3660" s="379" t="str">
        <f>IF(A3660="","",IF(M3660=B3660,"si","no"))</f>
        <v/>
      </c>
      <c r="O3660" s="56"/>
      <c r="P3660" s="56"/>
      <c r="Q3660" s="48"/>
      <c r="R3660" s="48"/>
      <c r="S3660" s="65"/>
      <c r="T3660" s="2"/>
      <c r="U3660" s="2"/>
      <c r="V3660" s="2"/>
    </row>
    <row r="3661" spans="1:22" s="137" customFormat="1" ht="12.75" customHeight="1" x14ac:dyDescent="0.2">
      <c r="A3661" s="155"/>
      <c r="B3661" s="138" t="str">
        <f>IF(A3661="","",VLOOKUP(A3661,'6.A'!$A$11:$G$180,2,FALSE))</f>
        <v/>
      </c>
      <c r="C3661" s="156"/>
      <c r="D3661" s="141" t="str">
        <f>IF(A3661="","",VLOOKUP(A3661,'6.A'!$A$11:$G$180,4,FALSE))</f>
        <v/>
      </c>
      <c r="E3661" s="158" t="str">
        <f>IF(A3661="","",VLOOKUP(A3661,'6.A'!$A$11:$G$180,5,FALSE))</f>
        <v/>
      </c>
      <c r="F3661" s="159" t="str">
        <f t="shared" si="1574"/>
        <v>0,00</v>
      </c>
      <c r="G3661" s="380"/>
      <c r="H3661" s="380" t="str">
        <f>IF(A3661="","",VLOOKUP(A3661,'6.A'!$A$11:$E$7984,5,FALSE))</f>
        <v/>
      </c>
      <c r="I3661" s="380" t="str">
        <f t="shared" ref="I3661" si="1580">IF(H3661="","",IF(E3661=H3661,"SIM","NÃO"))</f>
        <v/>
      </c>
      <c r="J3661" s="380" t="str">
        <f>IF(H3661="","",VLOOKUP(A3661,'6.A'!$A$11:$E$564,4,FALSE))</f>
        <v/>
      </c>
      <c r="K3661" s="380" t="str">
        <f t="shared" ref="K3661" si="1581">IF(H3661="","",IF(J3661=D3661,"SIM","NÃO"))</f>
        <v/>
      </c>
      <c r="L3661" s="380" t="str">
        <f>IF(H3661="","",IF(C3661="","",G3652*C3661))</f>
        <v/>
      </c>
      <c r="M3661" s="117" t="str">
        <f>IF(A3661="","",VLOOKUP(A3661,'6.A'!$A$11:$C$564,2,FALSE))</f>
        <v/>
      </c>
      <c r="N3661" s="379" t="str">
        <f t="shared" ref="N3661" si="1582">IF(A3661="","",IF(M3661=B3661,"si","no"))</f>
        <v/>
      </c>
      <c r="O3661" s="56"/>
      <c r="P3661" s="56"/>
      <c r="Q3661" s="48"/>
      <c r="R3661" s="48"/>
      <c r="S3661" s="65"/>
      <c r="T3661" s="2"/>
      <c r="U3661" s="2"/>
      <c r="V3661" s="2"/>
    </row>
    <row r="3662" spans="1:22" s="137" customFormat="1" ht="12.75" customHeight="1" x14ac:dyDescent="0.2">
      <c r="A3662" s="155"/>
      <c r="B3662" s="138" t="str">
        <f>IF(A3662="","",VLOOKUP(A3662,'6.A'!$A$11:$G$180,2,FALSE))</f>
        <v/>
      </c>
      <c r="C3662" s="156"/>
      <c r="D3662" s="141" t="str">
        <f>IF(A3662="","",VLOOKUP(A3662,'6.A'!$A$11:$G$180,4,FALSE))</f>
        <v/>
      </c>
      <c r="E3662" s="158" t="str">
        <f>IF(A3662="","",VLOOKUP(A3662,'6.A'!$A$11:$G$180,5,FALSE))</f>
        <v/>
      </c>
      <c r="F3662" s="159" t="str">
        <f t="shared" si="1574"/>
        <v>0,00</v>
      </c>
      <c r="G3662" s="380"/>
      <c r="H3662" s="380" t="str">
        <f>IF(A3662="","",VLOOKUP(A3662,'6.A'!$A$11:$E$7984,5,FALSE))</f>
        <v/>
      </c>
      <c r="I3662" s="380" t="str">
        <f>IF(H3662="","",IF(E3662=H3662,"SIM","NÃO"))</f>
        <v/>
      </c>
      <c r="J3662" s="380" t="str">
        <f>IF(H3662="","",VLOOKUP(A3662,'6.A'!$A$11:$E$564,4,FALSE))</f>
        <v/>
      </c>
      <c r="K3662" s="380" t="str">
        <f>IF(H3662="","",IF(J3662=D3662,"SIM","NÃO"))</f>
        <v/>
      </c>
      <c r="L3662" s="380" t="str">
        <f>IF(H3662="","",IF(C3662="","",G3652*C3662))</f>
        <v/>
      </c>
      <c r="M3662" s="117" t="str">
        <f>IF(A3662="","",VLOOKUP(A3662,'6.A'!$A$11:$C$564,2,FALSE))</f>
        <v/>
      </c>
      <c r="N3662" s="379" t="str">
        <f>IF(A3662="","",IF(M3662=B3662,"si","no"))</f>
        <v/>
      </c>
      <c r="O3662" s="56"/>
      <c r="P3662" s="56"/>
      <c r="Q3662" s="48"/>
      <c r="R3662" s="48"/>
      <c r="S3662" s="65"/>
      <c r="T3662" s="2"/>
      <c r="U3662" s="2"/>
      <c r="V3662" s="2"/>
    </row>
    <row r="3663" spans="1:22" s="137" customFormat="1" ht="12.75" customHeight="1" x14ac:dyDescent="0.2">
      <c r="A3663" s="155"/>
      <c r="B3663" s="138" t="str">
        <f>IF(A3663="","",VLOOKUP(A3663,'6.A'!$A$11:$G$180,2,FALSE))</f>
        <v/>
      </c>
      <c r="C3663" s="156"/>
      <c r="D3663" s="161" t="str">
        <f>IF(A3663="","",VLOOKUP(A3663,'6.A'!$A$11:$G$180,4,FALSE))</f>
        <v/>
      </c>
      <c r="E3663" s="158" t="str">
        <f>IF(A3663="","",VLOOKUP(A3663,'6.A'!$A$11:$G$180,5,FALSE))</f>
        <v/>
      </c>
      <c r="F3663" s="159" t="str">
        <f t="shared" si="1574"/>
        <v>0,00</v>
      </c>
      <c r="G3663" s="380"/>
      <c r="H3663" s="380" t="str">
        <f>IF(A3663="","",VLOOKUP(A3663,'6.A'!$A$11:$E$7984,5,FALSE))</f>
        <v/>
      </c>
      <c r="I3663" s="380" t="str">
        <f t="shared" ref="I3663" si="1583">IF(H3663="","",IF(E3663=H3663,"SIM","NÃO"))</f>
        <v/>
      </c>
      <c r="J3663" s="380" t="str">
        <f>IF(H3663="","",VLOOKUP(A3663,'6.A'!$A$11:$E$564,4,FALSE))</f>
        <v/>
      </c>
      <c r="K3663" s="380" t="str">
        <f t="shared" ref="K3663" si="1584">IF(H3663="","",IF(J3663=D3663,"SIM","NÃO"))</f>
        <v/>
      </c>
      <c r="L3663" s="380" t="str">
        <f>IF(H3663="","",IF(C3663="","",G3652*C3663))</f>
        <v/>
      </c>
      <c r="M3663" s="117" t="str">
        <f>IF(A3663="","",VLOOKUP(A3663,'6.A'!$A$11:$C$564,2,FALSE))</f>
        <v/>
      </c>
      <c r="N3663" s="379" t="str">
        <f t="shared" ref="N3663" si="1585">IF(A3663="","",IF(M3663=B3663,"si","no"))</f>
        <v/>
      </c>
      <c r="O3663" s="56"/>
      <c r="P3663" s="56"/>
      <c r="Q3663" s="48"/>
      <c r="R3663" s="48"/>
      <c r="S3663" s="65"/>
      <c r="T3663" s="2"/>
      <c r="U3663" s="2"/>
      <c r="V3663" s="2"/>
    </row>
    <row r="3664" spans="1:22" s="137" customFormat="1" ht="12.75" customHeight="1" x14ac:dyDescent="0.2">
      <c r="A3664" s="152"/>
      <c r="B3664" s="26" t="str">
        <f>$A$8</f>
        <v>LEIS SOCIAIS HORISTA - JORNADA NORMAL</v>
      </c>
      <c r="C3664" s="27">
        <f>$C$8</f>
        <v>0</v>
      </c>
      <c r="D3664" s="141"/>
      <c r="E3664" s="147"/>
      <c r="F3664" s="162">
        <f>ROUND(SUM(F3654:F3663)*C3664,2)</f>
        <v>0</v>
      </c>
      <c r="G3664" s="63"/>
      <c r="H3664" s="380"/>
      <c r="I3664" s="379"/>
      <c r="J3664" s="379"/>
      <c r="K3664" s="379"/>
      <c r="L3664" s="380"/>
      <c r="M3664" s="62"/>
      <c r="N3664" s="379"/>
      <c r="O3664" s="56"/>
      <c r="P3664" s="56"/>
      <c r="Q3664" s="48"/>
      <c r="R3664" s="48"/>
      <c r="S3664" s="65"/>
      <c r="T3664" s="2"/>
      <c r="U3664" s="2"/>
      <c r="V3664" s="2"/>
    </row>
    <row r="3665" spans="1:22" s="137" customFormat="1" ht="12.75" customHeight="1" x14ac:dyDescent="0.2">
      <c r="A3665" s="155"/>
      <c r="B3665" s="26" t="str">
        <f>$A$9</f>
        <v>BDI</v>
      </c>
      <c r="C3665" s="27">
        <f>$C$9</f>
        <v>0</v>
      </c>
      <c r="D3665" s="136"/>
      <c r="E3665" s="147"/>
      <c r="F3665" s="162">
        <f>ROUND(SUM(F3654:F3664)*C3665,2)</f>
        <v>0</v>
      </c>
      <c r="G3665" s="63"/>
      <c r="H3665" s="380"/>
      <c r="I3665" s="379"/>
      <c r="J3665" s="379"/>
      <c r="K3665" s="379"/>
      <c r="L3665" s="380"/>
      <c r="M3665" s="62"/>
      <c r="N3665" s="379"/>
      <c r="O3665" s="56"/>
      <c r="P3665" s="56"/>
      <c r="Q3665" s="48"/>
      <c r="R3665" s="48"/>
      <c r="S3665" s="65"/>
      <c r="T3665" s="2"/>
      <c r="U3665" s="2"/>
      <c r="V3665" s="2"/>
    </row>
    <row r="3666" spans="1:22" s="149" customFormat="1" ht="12.75" customHeight="1" x14ac:dyDescent="0.2">
      <c r="A3666" s="163"/>
      <c r="B3666" s="164" t="s">
        <v>56</v>
      </c>
      <c r="C3666" s="165"/>
      <c r="D3666" s="166"/>
      <c r="E3666" s="167"/>
      <c r="F3666" s="168">
        <f>ROUND(SUM(F3654:F3665),2)</f>
        <v>0</v>
      </c>
      <c r="G3666" s="63"/>
      <c r="H3666" s="380"/>
      <c r="I3666" s="379"/>
      <c r="J3666" s="379"/>
      <c r="K3666" s="379"/>
      <c r="L3666" s="380"/>
      <c r="M3666" s="62"/>
      <c r="N3666" s="379"/>
      <c r="O3666" s="56"/>
      <c r="P3666" s="56"/>
      <c r="Q3666" s="48"/>
      <c r="R3666" s="48"/>
      <c r="S3666" s="65"/>
      <c r="T3666" s="2"/>
      <c r="U3666" s="2"/>
      <c r="V3666" s="2"/>
    </row>
    <row r="3667" spans="1:22" s="149" customFormat="1" ht="12.75" customHeight="1" x14ac:dyDescent="0.2">
      <c r="A3667" s="152" t="s">
        <v>5</v>
      </c>
      <c r="B3667" s="153" t="s">
        <v>130</v>
      </c>
      <c r="C3667" s="140" t="s">
        <v>59</v>
      </c>
      <c r="D3667" s="140" t="s">
        <v>16</v>
      </c>
      <c r="E3667" s="154" t="s">
        <v>60</v>
      </c>
      <c r="F3667" s="148" t="s">
        <v>61</v>
      </c>
      <c r="G3667" s="21"/>
      <c r="H3667" s="380"/>
      <c r="I3667" s="379"/>
      <c r="J3667" s="379"/>
      <c r="K3667" s="379"/>
      <c r="L3667" s="380"/>
      <c r="M3667" s="62"/>
      <c r="N3667" s="379"/>
      <c r="O3667" s="56"/>
      <c r="P3667" s="56"/>
      <c r="Q3667" s="48"/>
      <c r="R3667" s="48"/>
      <c r="S3667" s="65"/>
      <c r="T3667" s="2"/>
      <c r="U3667" s="2"/>
      <c r="V3667" s="2"/>
    </row>
    <row r="3668" spans="1:22" s="149" customFormat="1" ht="12.75" customHeight="1" x14ac:dyDescent="0.2">
      <c r="A3668" s="155"/>
      <c r="B3668" s="138" t="str">
        <f>IF(A3668="","",VLOOKUP(A3668,'6.A'!$A$11:$G$180,2,FALSE))</f>
        <v/>
      </c>
      <c r="C3668" s="156"/>
      <c r="D3668" s="157" t="str">
        <f>IF(A3668="","",VLOOKUP(A3668,'6.A'!$A$11:$G$180,4,FALSE))</f>
        <v/>
      </c>
      <c r="E3668" s="158" t="str">
        <f>IF(A3668="","",VLOOKUP(A3668,'6.A'!$A$11:$G$180,5,FALSE))</f>
        <v/>
      </c>
      <c r="F3668" s="159" t="str">
        <f t="shared" ref="F3668:F3669" si="1586">IF(A3668="","0,00",ROUND(C3668*E3668,2))</f>
        <v>0,00</v>
      </c>
      <c r="G3668" s="380"/>
      <c r="H3668" s="380" t="str">
        <f>IF(A3668="","",VLOOKUP(A3668,'6.A'!$A$11:$E$7984,5,FALSE))</f>
        <v/>
      </c>
      <c r="I3668" s="380" t="str">
        <f t="shared" ref="I3668:I3669" si="1587">IF(H3668="","",IF(E3668=H3668,"SIM","NÃO"))</f>
        <v/>
      </c>
      <c r="J3668" s="380" t="str">
        <f>IF(H3668="","",VLOOKUP(A3668,'6.A'!$A$11:$E$564,4,FALSE))</f>
        <v/>
      </c>
      <c r="K3668" s="380" t="str">
        <f t="shared" ref="K3668:K3669" si="1588">IF(H3668="","",IF(J3668=D3668,"SIM","NÃO"))</f>
        <v/>
      </c>
      <c r="L3668" s="380" t="str">
        <f>IF(H3668="","",IF(C3668="","",G3652*C3668))</f>
        <v/>
      </c>
      <c r="M3668" s="117" t="str">
        <f>IF(A3668="","",VLOOKUP(A3668,'6.A'!$A$11:$C$564,2,FALSE))</f>
        <v/>
      </c>
      <c r="N3668" s="379" t="str">
        <f t="shared" ref="N3668:N3669" si="1589">IF(A3668="","",IF(M3668=B3668,"si","no"))</f>
        <v/>
      </c>
      <c r="O3668" s="56"/>
      <c r="P3668" s="56"/>
      <c r="Q3668" s="48"/>
      <c r="R3668" s="48"/>
      <c r="S3668" s="65"/>
      <c r="T3668" s="2"/>
      <c r="U3668" s="2"/>
      <c r="V3668" s="2"/>
    </row>
    <row r="3669" spans="1:22" s="149" customFormat="1" ht="12.75" customHeight="1" x14ac:dyDescent="0.2">
      <c r="A3669" s="155"/>
      <c r="B3669" s="138" t="str">
        <f>IF(A3669="","",VLOOKUP(A3669,'6.A'!$A$11:$G$180,2,FALSE))</f>
        <v/>
      </c>
      <c r="C3669" s="156"/>
      <c r="D3669" s="157" t="str">
        <f>IF(A3669="","",VLOOKUP(A3669,'6.A'!$A$11:$G$180,4,FALSE))</f>
        <v/>
      </c>
      <c r="E3669" s="158" t="str">
        <f>IF(A3669="","",VLOOKUP(A3669,'6.A'!$A$11:$G$180,5,FALSE))</f>
        <v/>
      </c>
      <c r="F3669" s="159" t="str">
        <f t="shared" si="1586"/>
        <v>0,00</v>
      </c>
      <c r="G3669" s="380"/>
      <c r="H3669" s="380" t="str">
        <f>IF(A3669="","",VLOOKUP(A3669,'6.A'!$A$11:$E$7984,5,FALSE))</f>
        <v/>
      </c>
      <c r="I3669" s="380" t="str">
        <f t="shared" si="1587"/>
        <v/>
      </c>
      <c r="J3669" s="380" t="str">
        <f>IF(H3669="","",VLOOKUP(A3669,'6.A'!$A$11:$E$564,4,FALSE))</f>
        <v/>
      </c>
      <c r="K3669" s="380" t="str">
        <f t="shared" si="1588"/>
        <v/>
      </c>
      <c r="L3669" s="380" t="str">
        <f>IF(H3669="","",IF(C3669="","",G3652*C3669))</f>
        <v/>
      </c>
      <c r="M3669" s="117" t="str">
        <f>IF(A3669="","",VLOOKUP(A3669,'6.A'!$A$11:$C$564,2,FALSE))</f>
        <v/>
      </c>
      <c r="N3669" s="379" t="str">
        <f t="shared" si="1589"/>
        <v/>
      </c>
      <c r="O3669" s="56"/>
      <c r="P3669" s="56"/>
      <c r="Q3669" s="48"/>
      <c r="R3669" s="48"/>
      <c r="S3669" s="65"/>
      <c r="T3669" s="2"/>
      <c r="U3669" s="2"/>
      <c r="V3669" s="2"/>
    </row>
    <row r="3670" spans="1:22" s="149" customFormat="1" ht="12.75" customHeight="1" x14ac:dyDescent="0.2">
      <c r="A3670" s="155"/>
      <c r="B3670" s="138" t="str">
        <f>IF(A3670="","",VLOOKUP(A3670,'6.A'!$A$11:$G$180,2,FALSE))</f>
        <v/>
      </c>
      <c r="C3670" s="156"/>
      <c r="D3670" s="157" t="str">
        <f>IF(A3670="","",VLOOKUP(A3670,'6.A'!$A$11:$G$180,4,FALSE))</f>
        <v/>
      </c>
      <c r="E3670" s="158" t="str">
        <f>IF(A3670="","",VLOOKUP(A3670,'6.A'!$A$11:$G$180,5,FALSE))</f>
        <v/>
      </c>
      <c r="F3670" s="159" t="str">
        <f>IF(A3670="","0,00",ROUND(C3670*E3670,2))</f>
        <v>0,00</v>
      </c>
      <c r="G3670" s="380"/>
      <c r="H3670" s="380" t="str">
        <f>IF(A3670="","",VLOOKUP(A3670,'6.A'!$A$11:$E$7984,5,FALSE))</f>
        <v/>
      </c>
      <c r="I3670" s="380" t="str">
        <f>IF(H3670="","",IF(E3670=H3670,"SIM","NÃO"))</f>
        <v/>
      </c>
      <c r="J3670" s="380" t="str">
        <f>IF(H3670="","",VLOOKUP(A3670,'6.A'!$A$11:$E$564,4,FALSE))</f>
        <v/>
      </c>
      <c r="K3670" s="380" t="str">
        <f>IF(H3670="","",IF(J3670=D3670,"SIM","NÃO"))</f>
        <v/>
      </c>
      <c r="L3670" s="380" t="str">
        <f>IF(H3670="","",IF(C3670="","",G3652*C3670))</f>
        <v/>
      </c>
      <c r="M3670" s="117" t="str">
        <f>IF(A3670="","",VLOOKUP(A3670,'6.A'!$A$11:$C$564,2,FALSE))</f>
        <v/>
      </c>
      <c r="N3670" s="379" t="str">
        <f>IF(A3670="","",IF(M3670=B3670,"si","no"))</f>
        <v/>
      </c>
      <c r="O3670" s="56"/>
      <c r="P3670" s="56"/>
      <c r="Q3670" s="48"/>
      <c r="R3670" s="48"/>
      <c r="S3670" s="65"/>
      <c r="T3670" s="2"/>
      <c r="U3670" s="2"/>
      <c r="V3670" s="2"/>
    </row>
    <row r="3671" spans="1:22" s="149" customFormat="1" ht="12.75" customHeight="1" x14ac:dyDescent="0.2">
      <c r="A3671" s="155"/>
      <c r="B3671" s="176" t="str">
        <f>IF(A3671="","",VLOOKUP(A3671,'6.A'!$A$11:$G$180,2,FALSE))</f>
        <v/>
      </c>
      <c r="C3671" s="156"/>
      <c r="D3671" s="141" t="str">
        <f>IF(A3671="","",VLOOKUP(A3671,'6.A'!$A$11:$G$180,4,FALSE))</f>
        <v/>
      </c>
      <c r="E3671" s="160" t="str">
        <f>IF(A3671="","",VLOOKUP(A3671,'6.A'!$A$11:$G$180,5,FALSE))</f>
        <v/>
      </c>
      <c r="F3671" s="159" t="str">
        <f t="shared" ref="F3671:F3677" si="1590">IF(A3671="","0,00",ROUND(C3671*E3671,2))</f>
        <v>0,00</v>
      </c>
      <c r="G3671" s="380"/>
      <c r="H3671" s="380" t="str">
        <f>IF(A3671="","",VLOOKUP(A3671,'6.A'!$A$11:$E$7984,5,FALSE))</f>
        <v/>
      </c>
      <c r="I3671" s="380" t="str">
        <f t="shared" ref="I3671:I3677" si="1591">IF(H3671="","",IF(E3671=H3671,"SIM","NÃO"))</f>
        <v/>
      </c>
      <c r="J3671" s="380" t="str">
        <f>IF(H3671="","",VLOOKUP(A3671,'6.A'!$A$11:$E$564,4,FALSE))</f>
        <v/>
      </c>
      <c r="K3671" s="380" t="str">
        <f t="shared" ref="K3671:K3677" si="1592">IF(H3671="","",IF(J3671=D3671,"SIM","NÃO"))</f>
        <v/>
      </c>
      <c r="L3671" s="380" t="str">
        <f>IF(H3671="","",IF(C3671="","",G3652*C3671))</f>
        <v/>
      </c>
      <c r="M3671" s="117" t="str">
        <f>IF(A3671="","",VLOOKUP(A3671,'6.A'!$A$11:$C$564,2,FALSE))</f>
        <v/>
      </c>
      <c r="N3671" s="379" t="str">
        <f t="shared" ref="N3671:N3673" si="1593">IF(A3671="","",IF(M3671=B3671,"si","no"))</f>
        <v/>
      </c>
      <c r="O3671" s="56"/>
      <c r="P3671" s="56"/>
      <c r="Q3671" s="48"/>
      <c r="R3671" s="48"/>
      <c r="S3671" s="65"/>
      <c r="T3671" s="2"/>
      <c r="U3671" s="2"/>
      <c r="V3671" s="2"/>
    </row>
    <row r="3672" spans="1:22" s="149" customFormat="1" ht="12.75" customHeight="1" x14ac:dyDescent="0.2">
      <c r="A3672" s="155"/>
      <c r="B3672" s="176" t="str">
        <f>IF(A3672="","",VLOOKUP(A3672,'6.A'!$A$11:$G$180,2,FALSE))</f>
        <v/>
      </c>
      <c r="C3672" s="156"/>
      <c r="D3672" s="141" t="str">
        <f>IF(A3672="","",VLOOKUP(A3672,'6.A'!$A$11:$G$180,4,FALSE))</f>
        <v/>
      </c>
      <c r="E3672" s="160" t="str">
        <f>IF(A3672="","",VLOOKUP(A3672,'6.A'!$A$11:$G$180,5,FALSE))</f>
        <v/>
      </c>
      <c r="F3672" s="159" t="str">
        <f t="shared" si="1590"/>
        <v>0,00</v>
      </c>
      <c r="G3672" s="380"/>
      <c r="H3672" s="380" t="str">
        <f>IF(A3672="","",VLOOKUP(A3672,'6.A'!$A$11:$E$7984,5,FALSE))</f>
        <v/>
      </c>
      <c r="I3672" s="380" t="str">
        <f t="shared" si="1591"/>
        <v/>
      </c>
      <c r="J3672" s="380" t="str">
        <f>IF(H3672="","",VLOOKUP(A3672,'6.A'!$A$11:$E$564,4,FALSE))</f>
        <v/>
      </c>
      <c r="K3672" s="380" t="str">
        <f t="shared" si="1592"/>
        <v/>
      </c>
      <c r="L3672" s="380" t="str">
        <f>IF(H3672="","",IF(C3672="","",G3652*C3672))</f>
        <v/>
      </c>
      <c r="M3672" s="117" t="str">
        <f>IF(A3672="","",VLOOKUP(A3672,'6.A'!$A$11:$C$564,2,FALSE))</f>
        <v/>
      </c>
      <c r="N3672" s="379" t="str">
        <f t="shared" si="1593"/>
        <v/>
      </c>
      <c r="O3672" s="56"/>
      <c r="P3672" s="56"/>
      <c r="Q3672" s="48"/>
      <c r="R3672" s="48"/>
      <c r="S3672" s="65"/>
      <c r="T3672" s="2"/>
      <c r="U3672" s="2"/>
      <c r="V3672" s="2"/>
    </row>
    <row r="3673" spans="1:22" s="149" customFormat="1" ht="12.75" customHeight="1" x14ac:dyDescent="0.2">
      <c r="A3673" s="155"/>
      <c r="B3673" s="176" t="str">
        <f>IF(A3673="","",VLOOKUP(A3673,'6.A'!$A$11:$G$180,2,FALSE))</f>
        <v/>
      </c>
      <c r="C3673" s="156"/>
      <c r="D3673" s="141" t="str">
        <f>IF(A3673="","",VLOOKUP(A3673,'6.A'!$A$11:$G$180,4,FALSE))</f>
        <v/>
      </c>
      <c r="E3673" s="160" t="str">
        <f>IF(A3673="","",VLOOKUP(A3673,'6.A'!$A$11:$G$180,5,FALSE))</f>
        <v/>
      </c>
      <c r="F3673" s="159" t="str">
        <f t="shared" si="1590"/>
        <v>0,00</v>
      </c>
      <c r="G3673" s="380"/>
      <c r="H3673" s="380" t="str">
        <f>IF(A3673="","",VLOOKUP(A3673,'6.A'!$A$11:$E$7984,5,FALSE))</f>
        <v/>
      </c>
      <c r="I3673" s="380" t="str">
        <f t="shared" si="1591"/>
        <v/>
      </c>
      <c r="J3673" s="380" t="str">
        <f>IF(H3673="","",VLOOKUP(A3673,'6.A'!$A$11:$E$564,4,FALSE))</f>
        <v/>
      </c>
      <c r="K3673" s="380" t="str">
        <f t="shared" si="1592"/>
        <v/>
      </c>
      <c r="L3673" s="380" t="str">
        <f>IF(H3673="","",IF(C3673="","",G3652*C3673))</f>
        <v/>
      </c>
      <c r="M3673" s="117" t="str">
        <f>IF(A3673="","",VLOOKUP(A3673,'6.A'!$A$11:$C$564,2,FALSE))</f>
        <v/>
      </c>
      <c r="N3673" s="379" t="str">
        <f t="shared" si="1593"/>
        <v/>
      </c>
      <c r="O3673" s="56"/>
      <c r="P3673" s="56"/>
      <c r="Q3673" s="48"/>
      <c r="R3673" s="48"/>
      <c r="S3673" s="65"/>
      <c r="T3673" s="2"/>
      <c r="U3673" s="2"/>
      <c r="V3673" s="2"/>
    </row>
    <row r="3674" spans="1:22" s="149" customFormat="1" ht="12.75" customHeight="1" x14ac:dyDescent="0.2">
      <c r="A3674" s="155"/>
      <c r="B3674" s="176" t="str">
        <f>IF(A3674="","",VLOOKUP(A3674,'6.A'!$A$11:$G$180,2,FALSE))</f>
        <v/>
      </c>
      <c r="C3674" s="156"/>
      <c r="D3674" s="141" t="str">
        <f>IF(A3674="","",VLOOKUP(A3674,'6.A'!$A$11:$G$180,4,FALSE))</f>
        <v/>
      </c>
      <c r="E3674" s="160" t="str">
        <f>IF(A3674="","",VLOOKUP(A3674,'6.A'!$A$11:$G$180,5,FALSE))</f>
        <v/>
      </c>
      <c r="F3674" s="159" t="str">
        <f t="shared" si="1590"/>
        <v>0,00</v>
      </c>
      <c r="G3674" s="380"/>
      <c r="H3674" s="380" t="str">
        <f>IF(A3674="","",VLOOKUP(A3674,'6.A'!$A$11:$E$7984,5,FALSE))</f>
        <v/>
      </c>
      <c r="I3674" s="380" t="str">
        <f t="shared" si="1591"/>
        <v/>
      </c>
      <c r="J3674" s="380" t="str">
        <f>IF(H3674="","",VLOOKUP(A3674,'6.A'!$A$11:$E$564,4,FALSE))</f>
        <v/>
      </c>
      <c r="K3674" s="380" t="str">
        <f t="shared" si="1592"/>
        <v/>
      </c>
      <c r="L3674" s="380" t="str">
        <f>IF(H3674="","",IF(C3674="","",G3652*C3674))</f>
        <v/>
      </c>
      <c r="M3674" s="117" t="str">
        <f>IF(A3674="","",VLOOKUP(A3674,'6.A'!$A$11:$C$564,2,FALSE))</f>
        <v/>
      </c>
      <c r="N3674" s="379" t="str">
        <f>IF(A3674="","",IF(M3674=B3674,"si","no"))</f>
        <v/>
      </c>
      <c r="O3674" s="56"/>
      <c r="P3674" s="56"/>
      <c r="Q3674" s="48"/>
      <c r="R3674" s="48"/>
      <c r="S3674" s="65"/>
      <c r="T3674" s="2"/>
      <c r="U3674" s="2"/>
      <c r="V3674" s="2"/>
    </row>
    <row r="3675" spans="1:22" s="149" customFormat="1" ht="12.75" customHeight="1" x14ac:dyDescent="0.2">
      <c r="A3675" s="155"/>
      <c r="B3675" s="138" t="str">
        <f>IF(A3675="","",VLOOKUP(A3675,'6.A'!$A$11:$G$180,2,FALSE))</f>
        <v/>
      </c>
      <c r="C3675" s="156"/>
      <c r="D3675" s="141" t="str">
        <f>IF(A3675="","",VLOOKUP(A3675,'6.A'!$A$11:$G$180,4,FALSE))</f>
        <v/>
      </c>
      <c r="E3675" s="160" t="str">
        <f>IF(A3675="","",VLOOKUP(A3675,'6.A'!$A$11:$G$180,5,FALSE))</f>
        <v/>
      </c>
      <c r="F3675" s="159" t="str">
        <f t="shared" si="1590"/>
        <v>0,00</v>
      </c>
      <c r="G3675" s="380"/>
      <c r="H3675" s="380" t="str">
        <f>IF(A3675="","",VLOOKUP(A3675,'6.A'!$A$11:$E$7984,5,FALSE))</f>
        <v/>
      </c>
      <c r="I3675" s="380" t="str">
        <f t="shared" si="1591"/>
        <v/>
      </c>
      <c r="J3675" s="380" t="str">
        <f>IF(H3675="","",VLOOKUP(A3675,'6.A'!$A$11:$E$564,4,FALSE))</f>
        <v/>
      </c>
      <c r="K3675" s="380" t="str">
        <f t="shared" si="1592"/>
        <v/>
      </c>
      <c r="L3675" s="380" t="str">
        <f>IF(H3675="","",IF(C3675="","",G3652*C3675))</f>
        <v/>
      </c>
      <c r="M3675" s="117" t="str">
        <f>IF(A3675="","",VLOOKUP(A3675,'6.A'!$A$11:$C$564,2,FALSE))</f>
        <v/>
      </c>
      <c r="N3675" s="379" t="str">
        <f>IF(A3675="","",IF(M3675=B3675,"si","no"))</f>
        <v/>
      </c>
      <c r="O3675" s="56"/>
      <c r="P3675" s="56"/>
      <c r="Q3675" s="48"/>
      <c r="R3675" s="48"/>
      <c r="S3675" s="65"/>
      <c r="T3675" s="2"/>
      <c r="U3675" s="2"/>
      <c r="V3675" s="2"/>
    </row>
    <row r="3676" spans="1:22" s="149" customFormat="1" ht="12.75" customHeight="1" x14ac:dyDescent="0.2">
      <c r="A3676" s="155"/>
      <c r="B3676" s="138" t="str">
        <f>IF(A3676="","",VLOOKUP(A3676,'6.A'!$A$11:$G$180,2,FALSE))</f>
        <v/>
      </c>
      <c r="C3676" s="156"/>
      <c r="D3676" s="141" t="str">
        <f>IF(A3676="","",VLOOKUP(A3676,'6.A'!$A$11:$G$180,4,FALSE))</f>
        <v/>
      </c>
      <c r="E3676" s="160" t="str">
        <f>IF(A3676="","",VLOOKUP(A3676,'6.A'!$A$11:$G$180,5,FALSE))</f>
        <v/>
      </c>
      <c r="F3676" s="159" t="str">
        <f t="shared" si="1590"/>
        <v>0,00</v>
      </c>
      <c r="G3676" s="380"/>
      <c r="H3676" s="380" t="str">
        <f>IF(A3676="","",VLOOKUP(A3676,'6.A'!$A$11:$E$7984,5,FALSE))</f>
        <v/>
      </c>
      <c r="I3676" s="380" t="str">
        <f t="shared" si="1591"/>
        <v/>
      </c>
      <c r="J3676" s="380" t="str">
        <f>IF(H3676="","",VLOOKUP(A3676,'6.A'!$A$11:$E$564,4,FALSE))</f>
        <v/>
      </c>
      <c r="K3676" s="380" t="str">
        <f t="shared" si="1592"/>
        <v/>
      </c>
      <c r="L3676" s="380" t="str">
        <f>IF(H3676="","",IF(C3676="","",G3652*C3676))</f>
        <v/>
      </c>
      <c r="M3676" s="117" t="str">
        <f>IF(A3676="","",VLOOKUP(A3676,'6.A'!$A$11:$C$564,2,FALSE))</f>
        <v/>
      </c>
      <c r="N3676" s="379" t="str">
        <f t="shared" ref="N3676:N3677" si="1594">IF(A3676="","",IF(M3676=B3676,"si","no"))</f>
        <v/>
      </c>
      <c r="O3676" s="56"/>
      <c r="P3676" s="56"/>
      <c r="Q3676" s="48"/>
      <c r="R3676" s="48"/>
      <c r="S3676" s="65"/>
      <c r="T3676" s="2"/>
      <c r="U3676" s="2"/>
      <c r="V3676" s="2"/>
    </row>
    <row r="3677" spans="1:22" s="149" customFormat="1" ht="12.75" customHeight="1" x14ac:dyDescent="0.2">
      <c r="A3677" s="155"/>
      <c r="B3677" s="138" t="str">
        <f>IF(A3677="","",VLOOKUP(A3677,'6.A'!$A$11:$G$180,2,FALSE))</f>
        <v/>
      </c>
      <c r="C3677" s="156"/>
      <c r="D3677" s="141" t="str">
        <f>IF(A3677="","",VLOOKUP(A3677,'6.A'!$A$11:$G$180,4,FALSE))</f>
        <v/>
      </c>
      <c r="E3677" s="160" t="str">
        <f>IF(A3677="","",VLOOKUP(A3677,'6.A'!$A$11:$G$180,5,FALSE))</f>
        <v/>
      </c>
      <c r="F3677" s="159" t="str">
        <f t="shared" si="1590"/>
        <v>0,00</v>
      </c>
      <c r="G3677" s="380"/>
      <c r="H3677" s="380" t="str">
        <f>IF(A3677="","",VLOOKUP(A3677,'6.A'!$A$11:$E$7984,5,FALSE))</f>
        <v/>
      </c>
      <c r="I3677" s="380" t="str">
        <f t="shared" si="1591"/>
        <v/>
      </c>
      <c r="J3677" s="380" t="str">
        <f>IF(H3677="","",VLOOKUP(A3677,'6.A'!$A$11:$E$564,4,FALSE))</f>
        <v/>
      </c>
      <c r="K3677" s="380" t="str">
        <f t="shared" si="1592"/>
        <v/>
      </c>
      <c r="L3677" s="380" t="str">
        <f>IF(H3677="","",IF(C3677="","",G3652*C3677))</f>
        <v/>
      </c>
      <c r="M3677" s="117" t="str">
        <f>IF(A3677="","",VLOOKUP(A3677,'6.A'!$A$11:$C$564,2,FALSE))</f>
        <v/>
      </c>
      <c r="N3677" s="379" t="str">
        <f t="shared" si="1594"/>
        <v/>
      </c>
      <c r="O3677" s="56"/>
      <c r="P3677" s="56"/>
      <c r="Q3677" s="48"/>
      <c r="R3677" s="48"/>
      <c r="S3677" s="65"/>
      <c r="T3677" s="2"/>
      <c r="U3677" s="2"/>
      <c r="V3677" s="2"/>
    </row>
    <row r="3678" spans="1:22" s="149" customFormat="1" ht="12.75" customHeight="1" x14ac:dyDescent="0.2">
      <c r="A3678" s="155"/>
      <c r="B3678" s="26" t="str">
        <f>$A$9</f>
        <v>BDI</v>
      </c>
      <c r="C3678" s="27">
        <f>$C$9</f>
        <v>0</v>
      </c>
      <c r="D3678" s="141"/>
      <c r="E3678" s="147"/>
      <c r="F3678" s="162">
        <f>ROUND(SUM(F3668:F3677)*C3678,2)</f>
        <v>0</v>
      </c>
      <c r="G3678" s="63"/>
      <c r="H3678" s="380"/>
      <c r="I3678" s="379"/>
      <c r="J3678" s="379"/>
      <c r="K3678" s="379"/>
      <c r="L3678" s="380"/>
      <c r="M3678" s="62"/>
      <c r="N3678" s="379"/>
      <c r="O3678" s="56"/>
      <c r="P3678" s="56"/>
      <c r="Q3678" s="48"/>
      <c r="R3678" s="48"/>
      <c r="S3678" s="65"/>
      <c r="T3678" s="2"/>
      <c r="U3678" s="2"/>
      <c r="V3678" s="2"/>
    </row>
    <row r="3679" spans="1:22" s="149" customFormat="1" ht="12.75" customHeight="1" x14ac:dyDescent="0.2">
      <c r="A3679" s="163"/>
      <c r="B3679" s="31" t="s">
        <v>117</v>
      </c>
      <c r="C3679" s="36"/>
      <c r="D3679" s="169"/>
      <c r="E3679" s="170"/>
      <c r="F3679" s="168">
        <f>ROUND(SUM(F3668:F3678),2)</f>
        <v>0</v>
      </c>
      <c r="G3679" s="63"/>
      <c r="H3679" s="380"/>
      <c r="I3679" s="379"/>
      <c r="J3679" s="379"/>
      <c r="K3679" s="379"/>
      <c r="L3679" s="380"/>
      <c r="M3679" s="62"/>
      <c r="N3679" s="379"/>
      <c r="O3679" s="56"/>
      <c r="P3679" s="56"/>
      <c r="Q3679" s="48"/>
      <c r="R3679" s="48"/>
      <c r="S3679" s="65"/>
      <c r="T3679" s="2"/>
      <c r="U3679" s="2"/>
      <c r="V3679" s="2"/>
    </row>
    <row r="3680" spans="1:22" s="149" customFormat="1" ht="12.75" customHeight="1" x14ac:dyDescent="0.2">
      <c r="A3680" s="152" t="s">
        <v>6</v>
      </c>
      <c r="B3680" s="153" t="s">
        <v>17</v>
      </c>
      <c r="C3680" s="140" t="s">
        <v>59</v>
      </c>
      <c r="D3680" s="140" t="s">
        <v>16</v>
      </c>
      <c r="E3680" s="154" t="s">
        <v>60</v>
      </c>
      <c r="F3680" s="148" t="s">
        <v>61</v>
      </c>
      <c r="G3680" s="21"/>
      <c r="H3680" s="380"/>
      <c r="I3680" s="379"/>
      <c r="J3680" s="379"/>
      <c r="K3680" s="379"/>
      <c r="L3680" s="380"/>
      <c r="M3680" s="62"/>
      <c r="N3680" s="379"/>
      <c r="O3680" s="56"/>
      <c r="P3680" s="56"/>
      <c r="Q3680" s="48"/>
      <c r="R3680" s="48"/>
      <c r="S3680" s="65"/>
      <c r="T3680" s="2"/>
      <c r="U3680" s="2"/>
      <c r="V3680" s="2"/>
    </row>
    <row r="3681" spans="1:22" s="149" customFormat="1" ht="12.75" customHeight="1" x14ac:dyDescent="0.2">
      <c r="A3681" s="155" t="str">
        <f>'6.A'!$A$47</f>
        <v>DIS.003</v>
      </c>
      <c r="B3681" s="138" t="str">
        <f>IF(A3681="","",VLOOKUP(A3681,'6.A'!$A$11:$G$180,2,FALSE))</f>
        <v>UNIDADE CAPACITIVA TRIFÁSICA, COM CAPA PROTETORA IP-50, COM RESISTOR INTERNO E PARAFUSO DE FIXAÇÃO E ATERRAMENTO, POTÊNCIA REATIVA DE 5,0 KVAR, VN=220VAC, F=60HZ</v>
      </c>
      <c r="C3681" s="156">
        <v>1</v>
      </c>
      <c r="D3681" s="157" t="str">
        <f>IF(A3681="","",VLOOKUP(A3681,'6.A'!$A$11:$G$180,4,FALSE))</f>
        <v>UN</v>
      </c>
      <c r="E3681" s="158">
        <f>IF(A3681="","",VLOOKUP(A3681,'6.A'!$A$11:$G$180,5,FALSE))</f>
        <v>0</v>
      </c>
      <c r="F3681" s="159">
        <f t="shared" ref="F3681:F3700" si="1595">IF(A3681="","0,00",ROUND(C3681*E3681,2))</f>
        <v>0</v>
      </c>
      <c r="G3681" s="380"/>
      <c r="H3681" s="380">
        <f>IF(A3681="","",VLOOKUP(A3681,'6.A'!$A$11:$E$7984,5,FALSE))</f>
        <v>0</v>
      </c>
      <c r="I3681" s="380" t="str">
        <f t="shared" ref="I3681:I3700" si="1596">IF(H3681="","",IF(E3681=H3681,"SIM","NÃO"))</f>
        <v>SIM</v>
      </c>
      <c r="J3681" s="380" t="str">
        <f>IF(H3681="","",VLOOKUP(A3681,'6.A'!$A$11:$E$564,4,FALSE))</f>
        <v>UN</v>
      </c>
      <c r="K3681" s="380" t="str">
        <f t="shared" ref="K3681:K3700" si="1597">IF(H3681="","",IF(J3681=D3681,"SIM","NÃO"))</f>
        <v>SIM</v>
      </c>
      <c r="L3681" s="380">
        <f>IF(H3681="","",IF(C3681="","",G3652*C3681))</f>
        <v>5</v>
      </c>
      <c r="M3681" s="117" t="str">
        <f>IF(A3681="","",VLOOKUP(A3681,'6.A'!$A$11:$C$564,2,FALSE))</f>
        <v>UNIDADE CAPACITIVA TRIFÁSICA, COM CAPA PROTETORA IP-50, COM RESISTOR INTERNO E PARAFUSO DE FIXAÇÃO E ATERRAMENTO, POTÊNCIA REATIVA DE 5,0 KVAR, VN=220VAC, F=60HZ</v>
      </c>
      <c r="N3681" s="379" t="str">
        <f t="shared" ref="N3681:N3700" si="1598">IF(A3681="","",IF(M3681=B3681,"si","no"))</f>
        <v>si</v>
      </c>
      <c r="O3681" s="56"/>
      <c r="P3681" s="56"/>
      <c r="Q3681" s="48"/>
      <c r="R3681" s="48"/>
      <c r="S3681" s="65"/>
      <c r="T3681" s="2"/>
      <c r="U3681" s="2"/>
      <c r="V3681" s="2"/>
    </row>
    <row r="3682" spans="1:22" s="149" customFormat="1" ht="12.75" customHeight="1" x14ac:dyDescent="0.2">
      <c r="A3682" s="155"/>
      <c r="B3682" s="138" t="str">
        <f>IF(A3682="","",VLOOKUP(A3682,'6.A'!$A$11:$G$180,2,FALSE))</f>
        <v/>
      </c>
      <c r="C3682" s="156"/>
      <c r="D3682" s="157" t="str">
        <f>IF(A3682="","",VLOOKUP(A3682,'6.A'!$A$11:$G$180,4,FALSE))</f>
        <v/>
      </c>
      <c r="E3682" s="158" t="str">
        <f>IF(A3682="","",VLOOKUP(A3682,'6.A'!$A$11:$G$180,5,FALSE))</f>
        <v/>
      </c>
      <c r="F3682" s="159" t="str">
        <f t="shared" si="1595"/>
        <v>0,00</v>
      </c>
      <c r="G3682" s="380"/>
      <c r="H3682" s="380" t="str">
        <f>IF(A3682="","",VLOOKUP(A3682,'6.A'!$A$11:$E$7984,5,FALSE))</f>
        <v/>
      </c>
      <c r="I3682" s="380" t="str">
        <f t="shared" si="1596"/>
        <v/>
      </c>
      <c r="J3682" s="380" t="str">
        <f>IF(H3682="","",VLOOKUP(A3682,'6.A'!$A$11:$E$564,4,FALSE))</f>
        <v/>
      </c>
      <c r="K3682" s="380" t="str">
        <f t="shared" si="1597"/>
        <v/>
      </c>
      <c r="L3682" s="380" t="str">
        <f>IF(H3682="","",IF(C3682="","",G3652*C3682))</f>
        <v/>
      </c>
      <c r="M3682" s="117" t="str">
        <f>IF(A3682="","",VLOOKUP(A3682,'6.A'!$A$11:$C$564,2,FALSE))</f>
        <v/>
      </c>
      <c r="N3682" s="379" t="str">
        <f t="shared" si="1598"/>
        <v/>
      </c>
      <c r="O3682" s="56"/>
      <c r="P3682" s="56"/>
      <c r="Q3682" s="48"/>
      <c r="R3682" s="48"/>
      <c r="S3682" s="65"/>
      <c r="T3682" s="2"/>
      <c r="U3682" s="2"/>
      <c r="V3682" s="2"/>
    </row>
    <row r="3683" spans="1:22" s="149" customFormat="1" ht="12.75" customHeight="1" x14ac:dyDescent="0.2">
      <c r="A3683" s="155"/>
      <c r="B3683" s="138" t="str">
        <f>IF(A3683="","",VLOOKUP(A3683,'6.A'!$A$11:$G$180,2,FALSE))</f>
        <v/>
      </c>
      <c r="C3683" s="156"/>
      <c r="D3683" s="157" t="str">
        <f>IF(A3683="","",VLOOKUP(A3683,'6.A'!$A$11:$G$180,4,FALSE))</f>
        <v/>
      </c>
      <c r="E3683" s="158" t="str">
        <f>IF(A3683="","",VLOOKUP(A3683,'6.A'!$A$11:$G$180,5,FALSE))</f>
        <v/>
      </c>
      <c r="F3683" s="159" t="str">
        <f t="shared" si="1595"/>
        <v>0,00</v>
      </c>
      <c r="G3683" s="380"/>
      <c r="H3683" s="380" t="str">
        <f>IF(A3683="","",VLOOKUP(A3683,'6.A'!$A$11:$E$7984,5,FALSE))</f>
        <v/>
      </c>
      <c r="I3683" s="380" t="str">
        <f t="shared" si="1596"/>
        <v/>
      </c>
      <c r="J3683" s="380" t="str">
        <f>IF(H3683="","",VLOOKUP(A3683,'6.A'!$A$11:$E$564,4,FALSE))</f>
        <v/>
      </c>
      <c r="K3683" s="380" t="str">
        <f t="shared" si="1597"/>
        <v/>
      </c>
      <c r="L3683" s="380" t="str">
        <f>IF(H3683="","",IF(C3683="","",G3652*C3683))</f>
        <v/>
      </c>
      <c r="M3683" s="117" t="str">
        <f>IF(A3683="","",VLOOKUP(A3683,'6.A'!$A$11:$C$564,2,FALSE))</f>
        <v/>
      </c>
      <c r="N3683" s="379" t="str">
        <f t="shared" si="1598"/>
        <v/>
      </c>
      <c r="O3683" s="56"/>
      <c r="P3683" s="56"/>
      <c r="Q3683" s="48"/>
      <c r="R3683" s="48"/>
      <c r="S3683" s="65"/>
      <c r="T3683" s="2"/>
      <c r="U3683" s="2"/>
      <c r="V3683" s="2"/>
    </row>
    <row r="3684" spans="1:22" s="149" customFormat="1" ht="12.75" customHeight="1" x14ac:dyDescent="0.2">
      <c r="A3684" s="155"/>
      <c r="B3684" s="138" t="str">
        <f>IF(A3684="","",VLOOKUP(A3684,'6.A'!$A$11:$G$180,2,FALSE))</f>
        <v/>
      </c>
      <c r="C3684" s="156"/>
      <c r="D3684" s="157" t="str">
        <f>IF(A3684="","",VLOOKUP(A3684,'6.A'!$A$11:$G$180,4,FALSE))</f>
        <v/>
      </c>
      <c r="E3684" s="158" t="str">
        <f>IF(A3684="","",VLOOKUP(A3684,'6.A'!$A$11:$G$180,5,FALSE))</f>
        <v/>
      </c>
      <c r="F3684" s="159" t="str">
        <f t="shared" si="1595"/>
        <v>0,00</v>
      </c>
      <c r="G3684" s="380"/>
      <c r="H3684" s="380" t="str">
        <f>IF(A3684="","",VLOOKUP(A3684,'6.A'!$A$11:$E$7984,5,FALSE))</f>
        <v/>
      </c>
      <c r="I3684" s="380" t="str">
        <f t="shared" si="1596"/>
        <v/>
      </c>
      <c r="J3684" s="380" t="str">
        <f>IF(H3684="","",VLOOKUP(A3684,'6.A'!$A$11:$E$564,4,FALSE))</f>
        <v/>
      </c>
      <c r="K3684" s="380" t="str">
        <f t="shared" si="1597"/>
        <v/>
      </c>
      <c r="L3684" s="380" t="str">
        <f>IF(H3684="","",IF(C3684="","",G3652*C3684))</f>
        <v/>
      </c>
      <c r="M3684" s="117" t="str">
        <f>IF(A3684="","",VLOOKUP(A3684,'6.A'!$A$11:$C$564,2,FALSE))</f>
        <v/>
      </c>
      <c r="N3684" s="379" t="str">
        <f t="shared" si="1598"/>
        <v/>
      </c>
      <c r="O3684" s="56"/>
      <c r="P3684" s="56"/>
      <c r="Q3684" s="48"/>
      <c r="R3684" s="48"/>
      <c r="S3684" s="65"/>
      <c r="T3684" s="2"/>
      <c r="U3684" s="2"/>
      <c r="V3684" s="2"/>
    </row>
    <row r="3685" spans="1:22" s="149" customFormat="1" ht="12.75" customHeight="1" x14ac:dyDescent="0.2">
      <c r="A3685" s="155"/>
      <c r="B3685" s="138" t="str">
        <f>IF(A3685="","",VLOOKUP(A3685,'6.A'!$A$11:$G$180,2,FALSE))</f>
        <v/>
      </c>
      <c r="C3685" s="156"/>
      <c r="D3685" s="141" t="str">
        <f>IF(A3685="","",VLOOKUP(A3685,'6.A'!$A$11:$G$180,4,FALSE))</f>
        <v/>
      </c>
      <c r="E3685" s="160" t="str">
        <f>IF(A3685="","",VLOOKUP(A3685,'6.A'!$A$11:$G$180,5,FALSE))</f>
        <v/>
      </c>
      <c r="F3685" s="159" t="str">
        <f t="shared" si="1595"/>
        <v>0,00</v>
      </c>
      <c r="G3685" s="380"/>
      <c r="H3685" s="380" t="str">
        <f>IF(A3685="","",VLOOKUP(A3685,'6.A'!$A$11:$E$7984,5,FALSE))</f>
        <v/>
      </c>
      <c r="I3685" s="380" t="str">
        <f t="shared" si="1596"/>
        <v/>
      </c>
      <c r="J3685" s="380" t="str">
        <f>IF(H3685="","",VLOOKUP(A3685,'6.A'!$A$11:$E$564,4,FALSE))</f>
        <v/>
      </c>
      <c r="K3685" s="380" t="str">
        <f t="shared" si="1597"/>
        <v/>
      </c>
      <c r="L3685" s="380" t="str">
        <f>IF(H3685="","",IF(C3685="","",G3652*C3685))</f>
        <v/>
      </c>
      <c r="M3685" s="117" t="str">
        <f>IF(A3685="","",VLOOKUP(A3685,'6.A'!$A$11:$C$564,2,FALSE))</f>
        <v/>
      </c>
      <c r="N3685" s="379" t="str">
        <f t="shared" si="1598"/>
        <v/>
      </c>
      <c r="O3685" s="56"/>
      <c r="P3685" s="56"/>
      <c r="Q3685" s="48"/>
      <c r="R3685" s="48"/>
      <c r="S3685" s="65"/>
      <c r="T3685" s="2"/>
      <c r="U3685" s="2"/>
      <c r="V3685" s="2"/>
    </row>
    <row r="3686" spans="1:22" s="149" customFormat="1" ht="12.75" customHeight="1" x14ac:dyDescent="0.2">
      <c r="A3686" s="155"/>
      <c r="B3686" s="138" t="str">
        <f>IF(A3686="","",VLOOKUP(A3686,'6.A'!$A$11:$G$180,2,FALSE))</f>
        <v/>
      </c>
      <c r="C3686" s="156"/>
      <c r="D3686" s="141" t="str">
        <f>IF(A3686="","",VLOOKUP(A3686,'6.A'!$A$11:$G$180,4,FALSE))</f>
        <v/>
      </c>
      <c r="E3686" s="160" t="str">
        <f>IF(A3686="","",VLOOKUP(A3686,'6.A'!$A$11:$G$180,5,FALSE))</f>
        <v/>
      </c>
      <c r="F3686" s="159" t="str">
        <f t="shared" si="1595"/>
        <v>0,00</v>
      </c>
      <c r="G3686" s="380"/>
      <c r="H3686" s="380" t="str">
        <f>IF(A3686="","",VLOOKUP(A3686,'6.A'!$A$11:$E$7984,5,FALSE))</f>
        <v/>
      </c>
      <c r="I3686" s="380" t="str">
        <f t="shared" si="1596"/>
        <v/>
      </c>
      <c r="J3686" s="380" t="str">
        <f>IF(H3686="","",VLOOKUP(A3686,'6.A'!$A$11:$E$564,4,FALSE))</f>
        <v/>
      </c>
      <c r="K3686" s="380" t="str">
        <f t="shared" si="1597"/>
        <v/>
      </c>
      <c r="L3686" s="380" t="str">
        <f>IF(H3686="","",IF(C3686="","",G3652*C3686))</f>
        <v/>
      </c>
      <c r="M3686" s="117" t="str">
        <f>IF(A3686="","",VLOOKUP(A3686,'6.A'!$A$11:$C$564,2,FALSE))</f>
        <v/>
      </c>
      <c r="N3686" s="379" t="str">
        <f t="shared" si="1598"/>
        <v/>
      </c>
      <c r="O3686" s="56"/>
      <c r="P3686" s="56"/>
      <c r="Q3686" s="48"/>
      <c r="R3686" s="48"/>
      <c r="S3686" s="65"/>
      <c r="T3686" s="2"/>
      <c r="U3686" s="2"/>
      <c r="V3686" s="2"/>
    </row>
    <row r="3687" spans="1:22" s="149" customFormat="1" ht="12.75" customHeight="1" x14ac:dyDescent="0.2">
      <c r="A3687" s="155"/>
      <c r="B3687" s="138" t="str">
        <f>IF(A3687="","",VLOOKUP(A3687,'6.A'!$A$11:$G$180,2,FALSE))</f>
        <v/>
      </c>
      <c r="C3687" s="156"/>
      <c r="D3687" s="157" t="str">
        <f>IF(A3687="","",VLOOKUP(A3687,'6.A'!$A$11:$G$180,4,FALSE))</f>
        <v/>
      </c>
      <c r="E3687" s="158" t="str">
        <f>IF(A3687="","",VLOOKUP(A3687,'6.A'!$A$11:$G$180,5,FALSE))</f>
        <v/>
      </c>
      <c r="F3687" s="159" t="str">
        <f t="shared" si="1595"/>
        <v>0,00</v>
      </c>
      <c r="G3687" s="380"/>
      <c r="H3687" s="380" t="str">
        <f>IF(A3687="","",VLOOKUP(A3687,'6.A'!$A$11:$E$7984,5,FALSE))</f>
        <v/>
      </c>
      <c r="I3687" s="380" t="str">
        <f t="shared" si="1596"/>
        <v/>
      </c>
      <c r="J3687" s="380" t="str">
        <f>IF(H3687="","",VLOOKUP(A3687,'6.A'!$A$11:$E$564,4,FALSE))</f>
        <v/>
      </c>
      <c r="K3687" s="380" t="str">
        <f t="shared" si="1597"/>
        <v/>
      </c>
      <c r="L3687" s="380" t="str">
        <f>IF(H3687="","",IF(C3687="","",G3652*C3687))</f>
        <v/>
      </c>
      <c r="M3687" s="117" t="str">
        <f>IF(A3687="","",VLOOKUP(A3687,'6.A'!$A$11:$C$564,2,FALSE))</f>
        <v/>
      </c>
      <c r="N3687" s="379" t="str">
        <f t="shared" si="1598"/>
        <v/>
      </c>
      <c r="O3687" s="56"/>
      <c r="P3687" s="56"/>
      <c r="Q3687" s="48"/>
      <c r="R3687" s="48"/>
      <c r="S3687" s="65"/>
      <c r="T3687" s="2"/>
      <c r="U3687" s="2"/>
      <c r="V3687" s="2"/>
    </row>
    <row r="3688" spans="1:22" s="149" customFormat="1" ht="12.75" customHeight="1" x14ac:dyDescent="0.2">
      <c r="A3688" s="155"/>
      <c r="B3688" s="138" t="str">
        <f>IF(A3688="","",VLOOKUP(A3688,'6.A'!$A$11:$G$180,2,FALSE))</f>
        <v/>
      </c>
      <c r="C3688" s="156"/>
      <c r="D3688" s="157" t="str">
        <f>IF(A3688="","",VLOOKUP(A3688,'6.A'!$A$11:$G$180,4,FALSE))</f>
        <v/>
      </c>
      <c r="E3688" s="158" t="str">
        <f>IF(A3688="","",VLOOKUP(A3688,'6.A'!$A$11:$G$180,5,FALSE))</f>
        <v/>
      </c>
      <c r="F3688" s="159" t="str">
        <f t="shared" si="1595"/>
        <v>0,00</v>
      </c>
      <c r="G3688" s="380"/>
      <c r="H3688" s="380" t="str">
        <f>IF(A3688="","",VLOOKUP(A3688,'6.A'!$A$11:$E$7984,5,FALSE))</f>
        <v/>
      </c>
      <c r="I3688" s="380" t="str">
        <f t="shared" si="1596"/>
        <v/>
      </c>
      <c r="J3688" s="380" t="str">
        <f>IF(H3688="","",VLOOKUP(A3688,'6.A'!$A$11:$E$564,4,FALSE))</f>
        <v/>
      </c>
      <c r="K3688" s="380" t="str">
        <f t="shared" si="1597"/>
        <v/>
      </c>
      <c r="L3688" s="380" t="str">
        <f>IF(H3688="","",IF(C3688="","",G3652*C3688))</f>
        <v/>
      </c>
      <c r="M3688" s="117" t="str">
        <f>IF(A3688="","",VLOOKUP(A3688,'6.A'!$A$11:$C$564,2,FALSE))</f>
        <v/>
      </c>
      <c r="N3688" s="379" t="str">
        <f t="shared" si="1598"/>
        <v/>
      </c>
      <c r="O3688" s="56"/>
      <c r="P3688" s="56"/>
      <c r="Q3688" s="48"/>
      <c r="R3688" s="48"/>
      <c r="S3688" s="65"/>
      <c r="T3688" s="2"/>
      <c r="U3688" s="2"/>
      <c r="V3688" s="2"/>
    </row>
    <row r="3689" spans="1:22" s="149" customFormat="1" ht="12.75" customHeight="1" x14ac:dyDescent="0.2">
      <c r="A3689" s="155"/>
      <c r="B3689" s="138" t="str">
        <f>IF(A3689="","",VLOOKUP(A3689,'6.A'!$A$11:$G$180,2,FALSE))</f>
        <v/>
      </c>
      <c r="C3689" s="156"/>
      <c r="D3689" s="141" t="str">
        <f>IF(A3689="","",VLOOKUP(A3689,'6.A'!$A$11:$G$180,4,FALSE))</f>
        <v/>
      </c>
      <c r="E3689" s="160" t="str">
        <f>IF(A3689="","",VLOOKUP(A3689,'6.A'!$A$11:$G$180,5,FALSE))</f>
        <v/>
      </c>
      <c r="F3689" s="159" t="str">
        <f t="shared" si="1595"/>
        <v>0,00</v>
      </c>
      <c r="G3689" s="380"/>
      <c r="H3689" s="380" t="str">
        <f>IF(A3689="","",VLOOKUP(A3689,'6.A'!$A$11:$E$7984,5,FALSE))</f>
        <v/>
      </c>
      <c r="I3689" s="380" t="str">
        <f t="shared" si="1596"/>
        <v/>
      </c>
      <c r="J3689" s="380" t="str">
        <f>IF(H3689="","",VLOOKUP(A3689,'6.A'!$A$11:$E$564,4,FALSE))</f>
        <v/>
      </c>
      <c r="K3689" s="380" t="str">
        <f t="shared" si="1597"/>
        <v/>
      </c>
      <c r="L3689" s="380" t="str">
        <f>IF(H3689="","",IF(C3689="","",G3652*C3689))</f>
        <v/>
      </c>
      <c r="M3689" s="117" t="str">
        <f>IF(A3689="","",VLOOKUP(A3689,'6.A'!$A$11:$C$564,2,FALSE))</f>
        <v/>
      </c>
      <c r="N3689" s="379" t="str">
        <f t="shared" si="1598"/>
        <v/>
      </c>
      <c r="O3689" s="56"/>
      <c r="P3689" s="56"/>
      <c r="Q3689" s="48"/>
      <c r="R3689" s="48"/>
      <c r="S3689" s="65"/>
      <c r="T3689" s="2"/>
      <c r="U3689" s="2"/>
      <c r="V3689" s="2"/>
    </row>
    <row r="3690" spans="1:22" s="149" customFormat="1" ht="12.75" customHeight="1" x14ac:dyDescent="0.2">
      <c r="A3690" s="155"/>
      <c r="B3690" s="138" t="str">
        <f>IF(A3690="","",VLOOKUP(A3690,'6.A'!$A$11:$G$180,2,FALSE))</f>
        <v/>
      </c>
      <c r="C3690" s="156"/>
      <c r="D3690" s="141" t="str">
        <f>IF(A3690="","",VLOOKUP(A3690,'6.A'!$A$11:$G$180,4,FALSE))</f>
        <v/>
      </c>
      <c r="E3690" s="160" t="str">
        <f>IF(A3690="","",VLOOKUP(A3690,'6.A'!$A$11:$G$180,5,FALSE))</f>
        <v/>
      </c>
      <c r="F3690" s="159" t="str">
        <f t="shared" si="1595"/>
        <v>0,00</v>
      </c>
      <c r="G3690" s="380"/>
      <c r="H3690" s="380" t="str">
        <f>IF(A3690="","",VLOOKUP(A3690,'6.A'!$A$11:$E$7984,5,FALSE))</f>
        <v/>
      </c>
      <c r="I3690" s="380" t="str">
        <f t="shared" si="1596"/>
        <v/>
      </c>
      <c r="J3690" s="380" t="str">
        <f>IF(H3690="","",VLOOKUP(A3690,'6.A'!$A$11:$E$564,4,FALSE))</f>
        <v/>
      </c>
      <c r="K3690" s="380" t="str">
        <f t="shared" si="1597"/>
        <v/>
      </c>
      <c r="L3690" s="380" t="str">
        <f>IF(H3690="","",IF(C3690="","",G3652*C3690))</f>
        <v/>
      </c>
      <c r="M3690" s="117" t="str">
        <f>IF(A3690="","",VLOOKUP(A3690,'6.A'!$A$11:$C$564,2,FALSE))</f>
        <v/>
      </c>
      <c r="N3690" s="379" t="str">
        <f t="shared" si="1598"/>
        <v/>
      </c>
      <c r="O3690" s="56"/>
      <c r="P3690" s="56"/>
      <c r="Q3690" s="48"/>
      <c r="R3690" s="48"/>
      <c r="S3690" s="65"/>
      <c r="T3690" s="2"/>
      <c r="U3690" s="2"/>
      <c r="V3690" s="2"/>
    </row>
    <row r="3691" spans="1:22" s="149" customFormat="1" ht="12.75" customHeight="1" x14ac:dyDescent="0.2">
      <c r="A3691" s="155"/>
      <c r="B3691" s="138" t="str">
        <f>IF(A3691="","",VLOOKUP(A3691,'6.A'!$A$11:$G$180,2,FALSE))</f>
        <v/>
      </c>
      <c r="C3691" s="156"/>
      <c r="D3691" s="141" t="str">
        <f>IF(A3691="","",VLOOKUP(A3691,'6.A'!$A$11:$G$180,4,FALSE))</f>
        <v/>
      </c>
      <c r="E3691" s="160" t="str">
        <f>IF(A3691="","",VLOOKUP(A3691,'6.A'!$A$11:$G$180,5,FALSE))</f>
        <v/>
      </c>
      <c r="F3691" s="159" t="str">
        <f t="shared" si="1595"/>
        <v>0,00</v>
      </c>
      <c r="G3691" s="380"/>
      <c r="H3691" s="380" t="str">
        <f>IF(A3691="","",VLOOKUP(A3691,'6.A'!$A$11:$E$7984,5,FALSE))</f>
        <v/>
      </c>
      <c r="I3691" s="380" t="str">
        <f t="shared" si="1596"/>
        <v/>
      </c>
      <c r="J3691" s="380" t="str">
        <f>IF(H3691="","",VLOOKUP(A3691,'6.A'!$A$11:$E$564,4,FALSE))</f>
        <v/>
      </c>
      <c r="K3691" s="380" t="str">
        <f t="shared" si="1597"/>
        <v/>
      </c>
      <c r="L3691" s="380" t="str">
        <f>IF(H3691="","",IF(C3691="","",G3652*C3691))</f>
        <v/>
      </c>
      <c r="M3691" s="117" t="str">
        <f>IF(A3691="","",VLOOKUP(A3691,'6.A'!$A$11:$C$564,2,FALSE))</f>
        <v/>
      </c>
      <c r="N3691" s="379" t="str">
        <f t="shared" si="1598"/>
        <v/>
      </c>
      <c r="O3691" s="56"/>
      <c r="P3691" s="56"/>
      <c r="Q3691" s="48"/>
      <c r="R3691" s="48"/>
      <c r="S3691" s="65"/>
      <c r="T3691" s="2"/>
      <c r="U3691" s="2"/>
      <c r="V3691" s="2"/>
    </row>
    <row r="3692" spans="1:22" s="149" customFormat="1" ht="12.75" customHeight="1" x14ac:dyDescent="0.2">
      <c r="A3692" s="155"/>
      <c r="B3692" s="138" t="str">
        <f>IF(A3692="","",VLOOKUP(A3692,'6.A'!$A$11:$G$180,2,FALSE))</f>
        <v/>
      </c>
      <c r="C3692" s="156"/>
      <c r="D3692" s="141" t="str">
        <f>IF(A3692="","",VLOOKUP(A3692,'6.A'!$A$11:$G$180,4,FALSE))</f>
        <v/>
      </c>
      <c r="E3692" s="160" t="str">
        <f>IF(A3692="","",VLOOKUP(A3692,'6.A'!$A$11:$G$180,5,FALSE))</f>
        <v/>
      </c>
      <c r="F3692" s="159" t="str">
        <f t="shared" si="1595"/>
        <v>0,00</v>
      </c>
      <c r="G3692" s="380"/>
      <c r="H3692" s="380" t="str">
        <f>IF(A3692="","",VLOOKUP(A3692,'6.A'!$A$11:$E$7984,5,FALSE))</f>
        <v/>
      </c>
      <c r="I3692" s="380" t="str">
        <f t="shared" si="1596"/>
        <v/>
      </c>
      <c r="J3692" s="380" t="str">
        <f>IF(H3692="","",VLOOKUP(A3692,'6.A'!$A$11:$E$564,4,FALSE))</f>
        <v/>
      </c>
      <c r="K3692" s="380" t="str">
        <f t="shared" si="1597"/>
        <v/>
      </c>
      <c r="L3692" s="380" t="str">
        <f>IF(H3692="","",IF(C3692="","",G3652*C3692))</f>
        <v/>
      </c>
      <c r="M3692" s="117" t="str">
        <f>IF(A3692="","",VLOOKUP(A3692,'6.A'!$A$11:$C$564,2,FALSE))</f>
        <v/>
      </c>
      <c r="N3692" s="379" t="str">
        <f t="shared" si="1598"/>
        <v/>
      </c>
      <c r="O3692" s="56"/>
      <c r="P3692" s="56"/>
      <c r="Q3692" s="48"/>
      <c r="R3692" s="48"/>
      <c r="S3692" s="65"/>
      <c r="T3692" s="2"/>
      <c r="U3692" s="2"/>
      <c r="V3692" s="2"/>
    </row>
    <row r="3693" spans="1:22" s="149" customFormat="1" ht="12.75" customHeight="1" x14ac:dyDescent="0.2">
      <c r="A3693" s="155"/>
      <c r="B3693" s="138" t="str">
        <f>IF(A3693="","",VLOOKUP(A3693,'6.A'!$A$11:$G$180,2,FALSE))</f>
        <v/>
      </c>
      <c r="C3693" s="156"/>
      <c r="D3693" s="141" t="str">
        <f>IF(A3693="","",VLOOKUP(A3693,'6.A'!$A$11:$G$180,4,FALSE))</f>
        <v/>
      </c>
      <c r="E3693" s="160" t="str">
        <f>IF(A3693="","",VLOOKUP(A3693,'6.A'!$A$11:$G$180,5,FALSE))</f>
        <v/>
      </c>
      <c r="F3693" s="159" t="str">
        <f t="shared" si="1595"/>
        <v>0,00</v>
      </c>
      <c r="G3693" s="380"/>
      <c r="H3693" s="380" t="str">
        <f>IF(A3693="","",VLOOKUP(A3693,'6.A'!$A$11:$E$7984,5,FALSE))</f>
        <v/>
      </c>
      <c r="I3693" s="380" t="str">
        <f t="shared" si="1596"/>
        <v/>
      </c>
      <c r="J3693" s="380" t="str">
        <f>IF(H3693="","",VLOOKUP(A3693,'6.A'!$A$11:$E$564,4,FALSE))</f>
        <v/>
      </c>
      <c r="K3693" s="380" t="str">
        <f t="shared" si="1597"/>
        <v/>
      </c>
      <c r="L3693" s="380" t="str">
        <f>IF(H3693="","",IF(C3693="","",G3652*C3693))</f>
        <v/>
      </c>
      <c r="M3693" s="117" t="str">
        <f>IF(A3693="","",VLOOKUP(A3693,'6.A'!$A$11:$C$564,2,FALSE))</f>
        <v/>
      </c>
      <c r="N3693" s="379" t="str">
        <f t="shared" si="1598"/>
        <v/>
      </c>
      <c r="O3693" s="56"/>
      <c r="P3693" s="56"/>
      <c r="Q3693" s="48"/>
      <c r="R3693" s="48"/>
      <c r="S3693" s="65"/>
      <c r="T3693" s="2"/>
      <c r="U3693" s="2"/>
      <c r="V3693" s="2"/>
    </row>
    <row r="3694" spans="1:22" s="149" customFormat="1" ht="12.75" customHeight="1" x14ac:dyDescent="0.2">
      <c r="A3694" s="155"/>
      <c r="B3694" s="138" t="str">
        <f>IF(A3694="","",VLOOKUP(A3694,'6.A'!$A$11:$G$180,2,FALSE))</f>
        <v/>
      </c>
      <c r="C3694" s="156"/>
      <c r="D3694" s="141" t="str">
        <f>IF(A3694="","",VLOOKUP(A3694,'6.A'!$A$11:$G$180,4,FALSE))</f>
        <v/>
      </c>
      <c r="E3694" s="160" t="str">
        <f>IF(A3694="","",VLOOKUP(A3694,'6.A'!$A$11:$G$180,5,FALSE))</f>
        <v/>
      </c>
      <c r="F3694" s="159" t="str">
        <f t="shared" si="1595"/>
        <v>0,00</v>
      </c>
      <c r="G3694" s="380"/>
      <c r="H3694" s="380" t="str">
        <f>IF(A3694="","",VLOOKUP(A3694,'6.A'!$A$11:$E$7984,5,FALSE))</f>
        <v/>
      </c>
      <c r="I3694" s="380" t="str">
        <f t="shared" si="1596"/>
        <v/>
      </c>
      <c r="J3694" s="380" t="str">
        <f>IF(H3694="","",VLOOKUP(A3694,'6.A'!$A$11:$E$564,4,FALSE))</f>
        <v/>
      </c>
      <c r="K3694" s="380" t="str">
        <f t="shared" si="1597"/>
        <v/>
      </c>
      <c r="L3694" s="380" t="str">
        <f>IF(H3694="","",IF(C3694="","",G3652*C3694))</f>
        <v/>
      </c>
      <c r="M3694" s="117" t="str">
        <f>IF(A3694="","",VLOOKUP(A3694,'6.A'!$A$11:$C$564,2,FALSE))</f>
        <v/>
      </c>
      <c r="N3694" s="379" t="str">
        <f t="shared" si="1598"/>
        <v/>
      </c>
      <c r="O3694" s="56"/>
      <c r="P3694" s="56"/>
      <c r="Q3694" s="48"/>
      <c r="R3694" s="48"/>
      <c r="S3694" s="65"/>
      <c r="T3694" s="2"/>
      <c r="U3694" s="2"/>
      <c r="V3694" s="2"/>
    </row>
    <row r="3695" spans="1:22" s="149" customFormat="1" ht="12.75" customHeight="1" x14ac:dyDescent="0.2">
      <c r="A3695" s="155"/>
      <c r="B3695" s="138" t="str">
        <f>IF(A3695="","",VLOOKUP(A3695,'6.A'!$A$11:$G$180,2,FALSE))</f>
        <v/>
      </c>
      <c r="C3695" s="156"/>
      <c r="D3695" s="141" t="str">
        <f>IF(A3695="","",VLOOKUP(A3695,'6.A'!$A$11:$G$180,4,FALSE))</f>
        <v/>
      </c>
      <c r="E3695" s="160" t="str">
        <f>IF(A3695="","",VLOOKUP(A3695,'6.A'!$A$11:$G$180,5,FALSE))</f>
        <v/>
      </c>
      <c r="F3695" s="159" t="str">
        <f t="shared" si="1595"/>
        <v>0,00</v>
      </c>
      <c r="G3695" s="380"/>
      <c r="H3695" s="380" t="str">
        <f>IF(A3695="","",VLOOKUP(A3695,'6.A'!$A$11:$E$7984,5,FALSE))</f>
        <v/>
      </c>
      <c r="I3695" s="380" t="str">
        <f t="shared" si="1596"/>
        <v/>
      </c>
      <c r="J3695" s="380" t="str">
        <f>IF(H3695="","",VLOOKUP(A3695,'6.A'!$A$11:$E$564,4,FALSE))</f>
        <v/>
      </c>
      <c r="K3695" s="380" t="str">
        <f t="shared" si="1597"/>
        <v/>
      </c>
      <c r="L3695" s="380" t="str">
        <f>IF(H3695="","",IF(C3695="","",G3652*C3695))</f>
        <v/>
      </c>
      <c r="M3695" s="117" t="str">
        <f>IF(A3695="","",VLOOKUP(A3695,'6.A'!$A$11:$C$564,2,FALSE))</f>
        <v/>
      </c>
      <c r="N3695" s="379" t="str">
        <f t="shared" si="1598"/>
        <v/>
      </c>
      <c r="O3695" s="56"/>
      <c r="P3695" s="56"/>
      <c r="Q3695" s="48"/>
      <c r="R3695" s="48"/>
      <c r="S3695" s="65"/>
      <c r="T3695" s="2"/>
      <c r="U3695" s="2"/>
      <c r="V3695" s="2"/>
    </row>
    <row r="3696" spans="1:22" s="149" customFormat="1" ht="12.75" customHeight="1" x14ac:dyDescent="0.2">
      <c r="A3696" s="155"/>
      <c r="B3696" s="138" t="str">
        <f>IF(A3696="","",VLOOKUP(A3696,'6.A'!$A$11:$G$180,2,FALSE))</f>
        <v/>
      </c>
      <c r="C3696" s="156"/>
      <c r="D3696" s="141" t="str">
        <f>IF(A3696="","",VLOOKUP(A3696,'6.A'!$A$11:$G$180,4,FALSE))</f>
        <v/>
      </c>
      <c r="E3696" s="160" t="str">
        <f>IF(A3696="","",VLOOKUP(A3696,'6.A'!$A$11:$G$180,5,FALSE))</f>
        <v/>
      </c>
      <c r="F3696" s="159" t="str">
        <f t="shared" si="1595"/>
        <v>0,00</v>
      </c>
      <c r="G3696" s="380"/>
      <c r="H3696" s="380" t="str">
        <f>IF(A3696="","",VLOOKUP(A3696,'6.A'!$A$11:$E$7984,5,FALSE))</f>
        <v/>
      </c>
      <c r="I3696" s="380" t="str">
        <f t="shared" si="1596"/>
        <v/>
      </c>
      <c r="J3696" s="380" t="str">
        <f>IF(H3696="","",VLOOKUP(A3696,'6.A'!$A$11:$E$564,4,FALSE))</f>
        <v/>
      </c>
      <c r="K3696" s="380" t="str">
        <f t="shared" si="1597"/>
        <v/>
      </c>
      <c r="L3696" s="380" t="str">
        <f>IF(H3696="","",IF(C3696="","",G3652*C3696))</f>
        <v/>
      </c>
      <c r="M3696" s="117" t="str">
        <f>IF(A3696="","",VLOOKUP(A3696,'6.A'!$A$11:$C$564,2,FALSE))</f>
        <v/>
      </c>
      <c r="N3696" s="379" t="str">
        <f t="shared" si="1598"/>
        <v/>
      </c>
      <c r="O3696" s="56"/>
      <c r="P3696" s="56"/>
      <c r="Q3696" s="48"/>
      <c r="R3696" s="48"/>
      <c r="S3696" s="65"/>
      <c r="T3696" s="2"/>
      <c r="U3696" s="2"/>
      <c r="V3696" s="2"/>
    </row>
    <row r="3697" spans="1:22" s="137" customFormat="1" ht="12.75" customHeight="1" x14ac:dyDescent="0.2">
      <c r="A3697" s="155"/>
      <c r="B3697" s="171" t="str">
        <f>IF(A3697="","",VLOOKUP(A3697,'6.A'!$A$11:$G$180,2,FALSE))</f>
        <v/>
      </c>
      <c r="C3697" s="156"/>
      <c r="D3697" s="141" t="str">
        <f>IF(A3697="","",VLOOKUP(A3697,'6.A'!$A$11:$G$180,4,FALSE))</f>
        <v/>
      </c>
      <c r="E3697" s="160" t="str">
        <f>IF(A3697="","",VLOOKUP(A3697,'6.A'!$A$11:$G$180,5,FALSE))</f>
        <v/>
      </c>
      <c r="F3697" s="159" t="str">
        <f t="shared" si="1595"/>
        <v>0,00</v>
      </c>
      <c r="G3697" s="380"/>
      <c r="H3697" s="380" t="str">
        <f>IF(A3697="","",VLOOKUP(A3697,'6.A'!$A$11:$E$7984,5,FALSE))</f>
        <v/>
      </c>
      <c r="I3697" s="380" t="str">
        <f t="shared" si="1596"/>
        <v/>
      </c>
      <c r="J3697" s="380" t="str">
        <f>IF(H3697="","",VLOOKUP(A3697,'6.A'!$A$11:$E$564,4,FALSE))</f>
        <v/>
      </c>
      <c r="K3697" s="380" t="str">
        <f t="shared" si="1597"/>
        <v/>
      </c>
      <c r="L3697" s="380" t="str">
        <f>IF(H3697="","",IF(C3697="","",G3652*C3697))</f>
        <v/>
      </c>
      <c r="M3697" s="117" t="str">
        <f>IF(A3697="","",VLOOKUP(A3697,'6.A'!$A$11:$C$564,2,FALSE))</f>
        <v/>
      </c>
      <c r="N3697" s="379" t="str">
        <f t="shared" si="1598"/>
        <v/>
      </c>
      <c r="O3697" s="56"/>
      <c r="P3697" s="56"/>
      <c r="Q3697" s="48"/>
      <c r="R3697" s="48"/>
      <c r="S3697" s="65"/>
      <c r="T3697" s="2"/>
      <c r="U3697" s="2"/>
      <c r="V3697" s="2"/>
    </row>
    <row r="3698" spans="1:22" s="137" customFormat="1" ht="12.75" customHeight="1" x14ac:dyDescent="0.2">
      <c r="A3698" s="155"/>
      <c r="B3698" s="171" t="str">
        <f>IF(A3698="","",VLOOKUP(A3698,'6.A'!$A$11:$G$180,2,FALSE))</f>
        <v/>
      </c>
      <c r="C3698" s="156"/>
      <c r="D3698" s="141" t="str">
        <f>IF(A3698="","",VLOOKUP(A3698,'6.A'!$A$11:$G$180,4,FALSE))</f>
        <v/>
      </c>
      <c r="E3698" s="160" t="str">
        <f>IF(A3698="","",VLOOKUP(A3698,'6.A'!$A$11:$G$180,5,FALSE))</f>
        <v/>
      </c>
      <c r="F3698" s="159" t="str">
        <f t="shared" si="1595"/>
        <v>0,00</v>
      </c>
      <c r="G3698" s="380"/>
      <c r="H3698" s="380" t="str">
        <f>IF(A3698="","",VLOOKUP(A3698,'6.A'!$A$11:$E$7984,5,FALSE))</f>
        <v/>
      </c>
      <c r="I3698" s="380" t="str">
        <f t="shared" si="1596"/>
        <v/>
      </c>
      <c r="J3698" s="380" t="str">
        <f>IF(H3698="","",VLOOKUP(A3698,'6.A'!$A$11:$E$564,4,FALSE))</f>
        <v/>
      </c>
      <c r="K3698" s="380" t="str">
        <f t="shared" si="1597"/>
        <v/>
      </c>
      <c r="L3698" s="380" t="str">
        <f>IF(H3698="","",IF(C3698="","",G3652*C3698))</f>
        <v/>
      </c>
      <c r="M3698" s="117" t="str">
        <f>IF(A3698="","",VLOOKUP(A3698,'6.A'!$A$11:$C$564,2,FALSE))</f>
        <v/>
      </c>
      <c r="N3698" s="379" t="str">
        <f t="shared" si="1598"/>
        <v/>
      </c>
      <c r="O3698" s="56"/>
      <c r="P3698" s="56"/>
      <c r="Q3698" s="48"/>
      <c r="R3698" s="48"/>
      <c r="S3698" s="65"/>
      <c r="T3698" s="2"/>
      <c r="U3698" s="2"/>
      <c r="V3698" s="2"/>
    </row>
    <row r="3699" spans="1:22" s="137" customFormat="1" ht="12.75" customHeight="1" x14ac:dyDescent="0.2">
      <c r="A3699" s="155"/>
      <c r="B3699" s="171" t="str">
        <f>IF(A3699="","",VLOOKUP(A3699,'6.A'!$A$11:$G$180,2,FALSE))</f>
        <v/>
      </c>
      <c r="C3699" s="156"/>
      <c r="D3699" s="141" t="str">
        <f>IF(A3699="","",VLOOKUP(A3699,'6.A'!$A$11:$G$180,4,FALSE))</f>
        <v/>
      </c>
      <c r="E3699" s="160" t="str">
        <f>IF(A3699="","",VLOOKUP(A3699,'6.A'!$A$11:$G$180,5,FALSE))</f>
        <v/>
      </c>
      <c r="F3699" s="159" t="str">
        <f t="shared" si="1595"/>
        <v>0,00</v>
      </c>
      <c r="G3699" s="380"/>
      <c r="H3699" s="380" t="str">
        <f>IF(A3699="","",VLOOKUP(A3699,'6.A'!$A$11:$E$7984,5,FALSE))</f>
        <v/>
      </c>
      <c r="I3699" s="380" t="str">
        <f t="shared" si="1596"/>
        <v/>
      </c>
      <c r="J3699" s="380" t="str">
        <f>IF(H3699="","",VLOOKUP(A3699,'6.A'!$A$11:$E$564,4,FALSE))</f>
        <v/>
      </c>
      <c r="K3699" s="380" t="str">
        <f t="shared" si="1597"/>
        <v/>
      </c>
      <c r="L3699" s="380" t="str">
        <f>IF(H3699="","",IF(C3699="","",G3652*C3699))</f>
        <v/>
      </c>
      <c r="M3699" s="117" t="str">
        <f>IF(A3699="","",VLOOKUP(A3699,'6.A'!$A$11:$C$564,2,FALSE))</f>
        <v/>
      </c>
      <c r="N3699" s="379" t="str">
        <f t="shared" si="1598"/>
        <v/>
      </c>
      <c r="O3699" s="56"/>
      <c r="P3699" s="56"/>
      <c r="Q3699" s="48"/>
      <c r="R3699" s="48"/>
      <c r="S3699" s="65"/>
      <c r="T3699" s="2"/>
      <c r="U3699" s="2"/>
      <c r="V3699" s="2"/>
    </row>
    <row r="3700" spans="1:22" s="137" customFormat="1" ht="12.75" customHeight="1" x14ac:dyDescent="0.2">
      <c r="A3700" s="155"/>
      <c r="B3700" s="171" t="str">
        <f>IF(A3700="","",VLOOKUP(A3700,'6.A'!$A$11:$G$180,2,FALSE))</f>
        <v/>
      </c>
      <c r="C3700" s="156"/>
      <c r="D3700" s="141" t="str">
        <f>IF(A3700="","",VLOOKUP(A3700,'6.A'!$A$11:$G$180,4,FALSE))</f>
        <v/>
      </c>
      <c r="E3700" s="160" t="str">
        <f>IF(A3700="","",VLOOKUP(A3700,'6.A'!$A$11:$G$180,5,FALSE))</f>
        <v/>
      </c>
      <c r="F3700" s="159" t="str">
        <f t="shared" si="1595"/>
        <v>0,00</v>
      </c>
      <c r="G3700" s="380"/>
      <c r="H3700" s="380" t="str">
        <f>IF(A3700="","",VLOOKUP(A3700,'6.A'!$A$11:$E$7984,5,FALSE))</f>
        <v/>
      </c>
      <c r="I3700" s="380" t="str">
        <f t="shared" si="1596"/>
        <v/>
      </c>
      <c r="J3700" s="380" t="str">
        <f>IF(H3700="","",VLOOKUP(A3700,'6.A'!$A$11:$E$564,4,FALSE))</f>
        <v/>
      </c>
      <c r="K3700" s="380" t="str">
        <f t="shared" si="1597"/>
        <v/>
      </c>
      <c r="L3700" s="380" t="str">
        <f>IF(H3700="","",IF(C3700="","",G3652*C3700))</f>
        <v/>
      </c>
      <c r="M3700" s="117" t="str">
        <f>IF(A3700="","",VLOOKUP(A3700,'6.A'!$A$11:$C$564,2,FALSE))</f>
        <v/>
      </c>
      <c r="N3700" s="379" t="str">
        <f t="shared" si="1598"/>
        <v/>
      </c>
      <c r="O3700" s="56"/>
      <c r="P3700" s="56"/>
      <c r="Q3700" s="48"/>
      <c r="R3700" s="48"/>
      <c r="S3700" s="65"/>
      <c r="T3700" s="2"/>
      <c r="U3700" s="2"/>
      <c r="V3700" s="2"/>
    </row>
    <row r="3701" spans="1:22" s="137" customFormat="1" ht="12.75" customHeight="1" x14ac:dyDescent="0.2">
      <c r="A3701" s="155"/>
      <c r="B3701" s="26" t="str">
        <f>$A$9</f>
        <v>BDI</v>
      </c>
      <c r="C3701" s="40">
        <f>$C$9</f>
        <v>0</v>
      </c>
      <c r="D3701" s="141"/>
      <c r="E3701" s="147"/>
      <c r="F3701" s="162">
        <f>ROUND(SUM(F3681:F3700)*C3701,2)</f>
        <v>0</v>
      </c>
      <c r="G3701" s="63"/>
      <c r="H3701" s="380"/>
      <c r="I3701" s="379"/>
      <c r="J3701" s="379"/>
      <c r="K3701" s="379"/>
      <c r="L3701" s="380"/>
      <c r="M3701" s="379"/>
      <c r="N3701" s="379"/>
      <c r="O3701" s="56"/>
      <c r="P3701" s="56"/>
      <c r="Q3701" s="48"/>
      <c r="R3701" s="48"/>
      <c r="S3701" s="65"/>
      <c r="T3701" s="2"/>
      <c r="U3701" s="2"/>
      <c r="V3701" s="2"/>
    </row>
    <row r="3702" spans="1:22" s="137" customFormat="1" ht="12.75" customHeight="1" thickBot="1" x14ac:dyDescent="0.25">
      <c r="A3702" s="172"/>
      <c r="B3702" s="42" t="s">
        <v>57</v>
      </c>
      <c r="C3702" s="43"/>
      <c r="D3702" s="173"/>
      <c r="E3702" s="174"/>
      <c r="F3702" s="175">
        <f>ROUND(SUM(F3681:F3701),2)</f>
        <v>0</v>
      </c>
      <c r="G3702" s="63"/>
      <c r="H3702" s="380"/>
      <c r="I3702" s="379"/>
      <c r="J3702" s="379"/>
      <c r="K3702" s="379"/>
      <c r="L3702" s="380"/>
      <c r="M3702" s="379"/>
      <c r="N3702" s="379"/>
      <c r="O3702" s="56"/>
      <c r="P3702" s="56"/>
      <c r="Q3702" s="48"/>
      <c r="R3702" s="48"/>
      <c r="S3702" s="65"/>
      <c r="T3702" s="2"/>
      <c r="U3702" s="2"/>
      <c r="V3702" s="2"/>
    </row>
    <row r="3703" spans="1:22" s="149" customFormat="1" ht="12" customHeight="1" thickBot="1" x14ac:dyDescent="0.25">
      <c r="A3703" s="150"/>
      <c r="B3703" s="145"/>
      <c r="C3703" s="146"/>
      <c r="D3703" s="141"/>
      <c r="E3703" s="147"/>
      <c r="F3703" s="142"/>
      <c r="G3703" s="142"/>
      <c r="H3703" s="139"/>
      <c r="I3703" s="141"/>
      <c r="J3703" s="141"/>
      <c r="K3703" s="141"/>
      <c r="L3703" s="139"/>
      <c r="M3703" s="143"/>
      <c r="N3703" s="143"/>
      <c r="O3703" s="144"/>
      <c r="P3703" s="144"/>
      <c r="Q3703" s="135"/>
      <c r="R3703" s="135"/>
      <c r="T3703" s="137"/>
      <c r="U3703" s="137"/>
      <c r="V3703" s="137"/>
    </row>
    <row r="3704" spans="1:22" s="137" customFormat="1" ht="50.1" customHeight="1" x14ac:dyDescent="0.2">
      <c r="A3704" s="151" t="str">
        <f>'3.A'!$A$78</f>
        <v>3.5.1</v>
      </c>
      <c r="B3704" s="14" t="str">
        <f>IF(A3704="","",VLOOKUP(A3704,'3.A'!$A$17:$M$279,2,FALSE))</f>
        <v>EXECUÇÃO DE RADIER, ESPESSURA DE 10 CM, FCK = 30 MPA, COM USO DE FORMAS EM MADEIRA SERRADA</v>
      </c>
      <c r="C3704" s="413" t="s">
        <v>62</v>
      </c>
      <c r="D3704" s="413"/>
      <c r="E3704" s="15" t="str">
        <f>IF(A3704="","",VLOOKUP(A3704,'3.A'!$A$17:$M$279,3,FALSE))</f>
        <v>M2</v>
      </c>
      <c r="F3704" s="16">
        <f>ROUND(F3718+F3731+F3754,2)</f>
        <v>0</v>
      </c>
      <c r="G3704" s="118">
        <f>VLOOKUP(A3704,'3.A'!$A$19:$I$279,4,FALSE)</f>
        <v>6</v>
      </c>
      <c r="H3704" s="47">
        <f>SUM(F3706:F3717)</f>
        <v>0</v>
      </c>
      <c r="I3704" s="47">
        <f>SUM(F3720:F3730)</f>
        <v>0</v>
      </c>
      <c r="J3704" s="47">
        <f>SUM(F3733:F3753)</f>
        <v>0</v>
      </c>
      <c r="K3704" s="47">
        <f>SUM(H3704:J3704)</f>
        <v>0</v>
      </c>
      <c r="L3704" s="47" t="str">
        <f>IF(K3704=F3704,"SIM","NÃO")</f>
        <v>SIM</v>
      </c>
      <c r="M3704" s="58">
        <f>ROUND(SUM(F3706:F3715)*C3716,2)+ROUND(SUM(F3706:F3716)*C3717,2)+ROUND(SUM(F3706:F3715),2)+ROUND(SUM(F3720:F3729)*C3730,2)+ROUND(SUM(F3720:F3729),2)+ROUND(SUM(F3733:F3752)*C3753,2)+ROUND(SUM(F3733:F3752),2)</f>
        <v>0</v>
      </c>
      <c r="N3704" s="50" t="str">
        <f>IF(M3704=F3704,"SIM","NÃO")</f>
        <v>SIM</v>
      </c>
      <c r="O3704" s="51" t="str">
        <f>VLOOKUP(A3704,'3.A'!$A$8:$E$279,3,FALSE)</f>
        <v>M2</v>
      </c>
      <c r="P3704" s="51" t="str">
        <f>IF(O3704=E3704,"SIM","NÃO")</f>
        <v>SIM</v>
      </c>
      <c r="Q3704" s="53">
        <f>ROUND(G3704*F3718,2)+ROUND(G3704*F3731,2)+ROUND(G3704*F3754,2)</f>
        <v>0</v>
      </c>
      <c r="R3704" s="59">
        <f>VLOOKUP(A3704,'3.A'!$A$17:$L$279,12,FALSE)</f>
        <v>0</v>
      </c>
      <c r="S3704" s="60" t="str">
        <f>IF(Q3704=R3704,"si","no")</f>
        <v>si</v>
      </c>
      <c r="T3704" s="61">
        <f>SUM(L3706:L3715)+SUM(L3720:L3729)+SUM(L3733:L3752)</f>
        <v>36.596520000000005</v>
      </c>
      <c r="U3704" s="52">
        <f>G3704*C3712+G3704*C3714+G3704*C3707+G3704*C3708+G3704*C3710+G3704*C3713+G3704*C3711+G3704*C3706+G3704*C3709+G3704*C3715+G3704*C3726+G3704*C3720+G3704*C3728+G3704*C3727+G3704*C3725+G3704*C3722+G3704*C3721+G3704*C3723+G3704*C3729+G3704*C3724+G3704*C3733+G3704*C3734+G3704*C3735+G3704*C3743+G3704*C3744+G3704*C3745+G3704*C3746+G3704*C3747+G3704*C3748+G3704*C3749+G3704*C3750+G3704*C3751+G3704*C3752+G3704*C3741+G3704*C3742+G3704*C3736+G3704*C3737+G3704*C3738+G3704*C3739+G3704*C3740</f>
        <v>36.596520000000012</v>
      </c>
      <c r="V3704" s="54" t="str">
        <f>IF(T3704=U3704,"si","no")</f>
        <v>si</v>
      </c>
    </row>
    <row r="3705" spans="1:22" s="137" customFormat="1" ht="12.75" customHeight="1" x14ac:dyDescent="0.2">
      <c r="A3705" s="152" t="s">
        <v>3</v>
      </c>
      <c r="B3705" s="153" t="s">
        <v>58</v>
      </c>
      <c r="C3705" s="140" t="s">
        <v>59</v>
      </c>
      <c r="D3705" s="140" t="s">
        <v>16</v>
      </c>
      <c r="E3705" s="154" t="s">
        <v>60</v>
      </c>
      <c r="F3705" s="148" t="s">
        <v>61</v>
      </c>
      <c r="G3705" s="21"/>
      <c r="H3705" s="52"/>
      <c r="I3705" s="57"/>
      <c r="J3705" s="57"/>
      <c r="K3705" s="57"/>
      <c r="L3705" s="52"/>
      <c r="M3705" s="57"/>
      <c r="N3705" s="57"/>
      <c r="O3705" s="56"/>
      <c r="P3705" s="56"/>
      <c r="Q3705" s="48"/>
      <c r="R3705" s="48"/>
      <c r="S3705" s="65"/>
      <c r="T3705" s="2"/>
      <c r="U3705" s="2"/>
      <c r="V3705" s="2"/>
    </row>
    <row r="3706" spans="1:22" s="137" customFormat="1" ht="12.75" customHeight="1" x14ac:dyDescent="0.2">
      <c r="A3706" s="155">
        <f>'6.A'!$A$22</f>
        <v>88316</v>
      </c>
      <c r="B3706" s="138" t="str">
        <f>IF(A3706="","",VLOOKUP(A3706,'6.A'!$A$11:$G$180,2,FALSE))</f>
        <v>SERVENTE COM ENCARGOS COMPLEMENTARES</v>
      </c>
      <c r="C3706" s="156">
        <f>(0.1*0.634)+(0.035*2.904)+(1*0.089)+(1.24*0.005)+(0.135*0.411)</f>
        <v>0.31572500000000003</v>
      </c>
      <c r="D3706" s="157" t="str">
        <f>IF(A3706="","",VLOOKUP(A3706,'6.A'!$A$11:$G$180,4,FALSE))</f>
        <v>H</v>
      </c>
      <c r="E3706" s="158">
        <f>IF(A3706="","",VLOOKUP(A3706,'6.A'!$A$11:$G$180,5,FALSE))</f>
        <v>0</v>
      </c>
      <c r="F3706" s="159">
        <f t="shared" ref="F3706" si="1599">IF(A3706="","0,00",ROUND(C3706*E3706,2))</f>
        <v>0</v>
      </c>
      <c r="G3706" s="52"/>
      <c r="H3706" s="52">
        <f>IF(A3706="","",VLOOKUP(A3706,'6.A'!$A$11:$E$7984,5,FALSE))</f>
        <v>0</v>
      </c>
      <c r="I3706" s="52" t="str">
        <f>IF(H3706="","",IF(E3706=H3706,"SIM","NÃO"))</f>
        <v>SIM</v>
      </c>
      <c r="J3706" s="52" t="str">
        <f>IF(H3706="","",VLOOKUP(A3706,'6.A'!$A$11:$E$564,4,FALSE))</f>
        <v>H</v>
      </c>
      <c r="K3706" s="52" t="str">
        <f>IF(H3706="","",IF(J3706=D3706,"SIM","NÃO"))</f>
        <v>SIM</v>
      </c>
      <c r="L3706" s="52">
        <f>IF(H3706="","",IF(C3706="","",G3704*C3706))</f>
        <v>1.8943500000000002</v>
      </c>
      <c r="M3706" s="117" t="str">
        <f>IF(A3706="","",VLOOKUP(A3706,'6.A'!$A$11:$C$564,2,FALSE))</f>
        <v>SERVENTE COM ENCARGOS COMPLEMENTARES</v>
      </c>
      <c r="N3706" s="57" t="str">
        <f>IF(A3706="","",IF(M3706=B3706,"si","no"))</f>
        <v>si</v>
      </c>
      <c r="O3706" s="56"/>
      <c r="P3706" s="56"/>
      <c r="Q3706" s="48"/>
      <c r="R3706" s="48"/>
      <c r="S3706" s="65"/>
      <c r="T3706" s="2"/>
      <c r="U3706" s="2"/>
      <c r="V3706" s="2"/>
    </row>
    <row r="3707" spans="1:22" s="137" customFormat="1" ht="12.75" customHeight="1" x14ac:dyDescent="0.2">
      <c r="A3707" s="155">
        <f>'6.A'!$A$20</f>
        <v>88309</v>
      </c>
      <c r="B3707" s="138" t="str">
        <f>IF(A3707="","",VLOOKUP(A3707,'6.A'!$A$11:$G$180,2,FALSE))</f>
        <v>PEDREIRO COM ENCARGOS COMPLEMENTARES</v>
      </c>
      <c r="C3707" s="156">
        <f>(0.1*1.579)+(1*0.045)+(1.24*0.014)+(0.135*0.411)</f>
        <v>0.27574500000000002</v>
      </c>
      <c r="D3707" s="157" t="str">
        <f>IF(A3707="","",VLOOKUP(A3707,'6.A'!$A$11:$G$180,4,FALSE))</f>
        <v>H</v>
      </c>
      <c r="E3707" s="158">
        <f>IF(A3707="","",VLOOKUP(A3707,'6.A'!$A$11:$G$180,5,FALSE))</f>
        <v>0</v>
      </c>
      <c r="F3707" s="159">
        <f>IF(A3707="","0,00",ROUND(C3707*E3707,2))</f>
        <v>0</v>
      </c>
      <c r="G3707" s="52"/>
      <c r="H3707" s="52">
        <f>IF(A3707="","",VLOOKUP(A3707,'6.A'!$A$11:$E$7984,5,FALSE))</f>
        <v>0</v>
      </c>
      <c r="I3707" s="52" t="str">
        <f>IF(H3707="","",IF(E3707=H3707,"SIM","NÃO"))</f>
        <v>SIM</v>
      </c>
      <c r="J3707" s="52" t="str">
        <f>IF(H3707="","",VLOOKUP(A3707,'6.A'!$A$11:$E$564,4,FALSE))</f>
        <v>H</v>
      </c>
      <c r="K3707" s="52" t="str">
        <f>IF(H3707="","",IF(J3707=D3707,"SIM","NÃO"))</f>
        <v>SIM</v>
      </c>
      <c r="L3707" s="52">
        <f>IF(H3707="","",IF(C3707="","",G3704*C3707))</f>
        <v>1.6544700000000001</v>
      </c>
      <c r="M3707" s="117" t="str">
        <f>IF(A3707="","",VLOOKUP(A3707,'6.A'!$A$11:$C$564,2,FALSE))</f>
        <v>PEDREIRO COM ENCARGOS COMPLEMENTARES</v>
      </c>
      <c r="N3707" s="57" t="str">
        <f>IF(A3707="","",IF(M3707=B3707,"si","no"))</f>
        <v>si</v>
      </c>
      <c r="O3707" s="56"/>
      <c r="P3707" s="56"/>
      <c r="Q3707" s="48"/>
      <c r="R3707" s="48"/>
      <c r="S3707" s="65"/>
      <c r="T3707" s="2"/>
      <c r="U3707" s="2"/>
      <c r="V3707" s="2"/>
    </row>
    <row r="3708" spans="1:22" s="137" customFormat="1" ht="12.75" customHeight="1" x14ac:dyDescent="0.2">
      <c r="A3708" s="155">
        <f>'6.A'!$A$17</f>
        <v>88262</v>
      </c>
      <c r="B3708" s="138" t="str">
        <f>IF(A3708="","",VLOOKUP(A3708,'6.A'!$A$11:$G$180,2,FALSE))</f>
        <v>CARPINTEIRO DE FORMAS COM ENCARGOS COMPLEMENTARES</v>
      </c>
      <c r="C3708" s="156">
        <f>(0.08*2.357)</f>
        <v>0.18856000000000003</v>
      </c>
      <c r="D3708" s="157" t="str">
        <f>IF(A3708="","",VLOOKUP(A3708,'6.A'!$A$11:$G$180,4,FALSE))</f>
        <v>H</v>
      </c>
      <c r="E3708" s="158">
        <f>IF(A3708="","",VLOOKUP(A3708,'6.A'!$A$11:$G$180,5,FALSE))</f>
        <v>0</v>
      </c>
      <c r="F3708" s="159">
        <f t="shared" ref="F3708:F3715" si="1600">IF(A3708="","0,00",ROUND(C3708*E3708,2))</f>
        <v>0</v>
      </c>
      <c r="G3708" s="52"/>
      <c r="H3708" s="52">
        <f>IF(A3708="","",VLOOKUP(A3708,'6.A'!$A$11:$E$7984,5,FALSE))</f>
        <v>0</v>
      </c>
      <c r="I3708" s="52" t="str">
        <f>IF(H3708="","",IF(E3708=H3708,"SIM","NÃO"))</f>
        <v>SIM</v>
      </c>
      <c r="J3708" s="52" t="str">
        <f>IF(H3708="","",VLOOKUP(A3708,'6.A'!$A$11:$E$564,4,FALSE))</f>
        <v>H</v>
      </c>
      <c r="K3708" s="52" t="str">
        <f t="shared" ref="K3708" si="1601">IF(H3708="","",IF(J3708=D3708,"SIM","NÃO"))</f>
        <v>SIM</v>
      </c>
      <c r="L3708" s="52">
        <f>IF(H3708="","",IF(C3708="","",G3704*C3708))</f>
        <v>1.1313600000000001</v>
      </c>
      <c r="M3708" s="117" t="str">
        <f>IF(A3708="","",VLOOKUP(A3708,'6.A'!$A$11:$C$564,2,FALSE))</f>
        <v>CARPINTEIRO DE FORMAS COM ENCARGOS COMPLEMENTARES</v>
      </c>
      <c r="N3708" s="57" t="str">
        <f t="shared" ref="N3708" si="1602">IF(A3708="","",IF(M3708=B3708,"si","no"))</f>
        <v>si</v>
      </c>
      <c r="O3708" s="56"/>
      <c r="P3708" s="56"/>
      <c r="Q3708" s="48"/>
      <c r="R3708" s="48"/>
      <c r="S3708" s="65"/>
      <c r="T3708" s="2"/>
      <c r="U3708" s="2"/>
      <c r="V3708" s="2"/>
    </row>
    <row r="3709" spans="1:22" s="137" customFormat="1" ht="12.75" customHeight="1" x14ac:dyDescent="0.2">
      <c r="A3709" s="155">
        <f>'6.A'!$A$13</f>
        <v>88239</v>
      </c>
      <c r="B3709" s="138" t="str">
        <f>IF(A3709="","",VLOOKUP(A3709,'6.A'!$A$11:$G$180,2,FALSE))</f>
        <v>AJUDANTE DE CARPINTEIRO COM ENCARGOS COMPLEMENTARES</v>
      </c>
      <c r="C3709" s="156">
        <f>(0.08*1.444)</f>
        <v>0.11552</v>
      </c>
      <c r="D3709" s="157" t="str">
        <f>IF(A3709="","",VLOOKUP(A3709,'6.A'!$A$11:$G$180,4,FALSE))</f>
        <v>H</v>
      </c>
      <c r="E3709" s="158">
        <f>IF(A3709="","",VLOOKUP(A3709,'6.A'!$A$11:$G$180,5,FALSE))</f>
        <v>0</v>
      </c>
      <c r="F3709" s="159">
        <f t="shared" si="1600"/>
        <v>0</v>
      </c>
      <c r="G3709" s="52"/>
      <c r="H3709" s="52">
        <f>IF(A3709="","",VLOOKUP(A3709,'6.A'!$A$11:$E$7984,5,FALSE))</f>
        <v>0</v>
      </c>
      <c r="I3709" s="52" t="str">
        <f>IF(H3709="","",IF(E3709=H3709,"SIM","NÃO"))</f>
        <v>SIM</v>
      </c>
      <c r="J3709" s="52" t="str">
        <f>IF(H3709="","",VLOOKUP(A3709,'6.A'!$A$11:$E$564,4,FALSE))</f>
        <v>H</v>
      </c>
      <c r="K3709" s="52" t="str">
        <f>IF(H3709="","",IF(J3709=D3709,"SIM","NÃO"))</f>
        <v>SIM</v>
      </c>
      <c r="L3709" s="52">
        <f>IF(H3709="","",IF(C3709="","",G3704*C3709))</f>
        <v>0.69311999999999996</v>
      </c>
      <c r="M3709" s="117" t="str">
        <f>IF(A3709="","",VLOOKUP(A3709,'6.A'!$A$11:$C$564,2,FALSE))</f>
        <v>AJUDANTE DE CARPINTEIRO COM ENCARGOS COMPLEMENTARES</v>
      </c>
      <c r="N3709" s="57" t="str">
        <f>IF(A3709="","",IF(M3709=B3709,"si","no"))</f>
        <v>si</v>
      </c>
      <c r="O3709" s="56"/>
      <c r="P3709" s="56"/>
      <c r="Q3709" s="48"/>
      <c r="R3709" s="48"/>
      <c r="S3709" s="65"/>
      <c r="T3709" s="2"/>
      <c r="U3709" s="2"/>
      <c r="V3709" s="2"/>
    </row>
    <row r="3710" spans="1:22" s="137" customFormat="1" ht="12.75" customHeight="1" x14ac:dyDescent="0.2">
      <c r="A3710" s="155">
        <f>'6.A'!$A$14</f>
        <v>88245</v>
      </c>
      <c r="B3710" s="138" t="str">
        <f>IF(A3710="","",VLOOKUP(A3710,'6.A'!$A$11:$G$180,2,FALSE))</f>
        <v>ARMADOR COM ENCARGOS COMPLEMENTARES</v>
      </c>
      <c r="C3710" s="156">
        <f>(3.6*0.036)</f>
        <v>0.12959999999999999</v>
      </c>
      <c r="D3710" s="157" t="str">
        <f>IF(A3710="","",VLOOKUP(A3710,'6.A'!$A$11:$G$180,4,FALSE))</f>
        <v>H</v>
      </c>
      <c r="E3710" s="158">
        <f>IF(A3710="","",VLOOKUP(A3710,'6.A'!$A$11:$G$180,5,FALSE))</f>
        <v>0</v>
      </c>
      <c r="F3710" s="159">
        <f t="shared" si="1600"/>
        <v>0</v>
      </c>
      <c r="G3710" s="52"/>
      <c r="H3710" s="52">
        <f>IF(A3710="","",VLOOKUP(A3710,'6.A'!$A$11:$E$7984,5,FALSE))</f>
        <v>0</v>
      </c>
      <c r="I3710" s="52" t="str">
        <f t="shared" ref="I3710" si="1603">IF(H3710="","",IF(E3710=H3710,"SIM","NÃO"))</f>
        <v>SIM</v>
      </c>
      <c r="J3710" s="52" t="str">
        <f>IF(H3710="","",VLOOKUP(A3710,'6.A'!$A$11:$E$564,4,FALSE))</f>
        <v>H</v>
      </c>
      <c r="K3710" s="52" t="str">
        <f t="shared" ref="K3710" si="1604">IF(H3710="","",IF(J3710=D3710,"SIM","NÃO"))</f>
        <v>SIM</v>
      </c>
      <c r="L3710" s="52">
        <f>IF(H3710="","",IF(C3710="","",G3704*C3710))</f>
        <v>0.77759999999999996</v>
      </c>
      <c r="M3710" s="117" t="str">
        <f>IF(A3710="","",VLOOKUP(A3710,'6.A'!$A$11:$C$564,2,FALSE))</f>
        <v>ARMADOR COM ENCARGOS COMPLEMENTARES</v>
      </c>
      <c r="N3710" s="57" t="str">
        <f t="shared" ref="N3710" si="1605">IF(A3710="","",IF(M3710=B3710,"si","no"))</f>
        <v>si</v>
      </c>
      <c r="O3710" s="56"/>
      <c r="P3710" s="56"/>
      <c r="Q3710" s="48"/>
      <c r="R3710" s="48"/>
      <c r="S3710" s="65"/>
      <c r="T3710" s="2"/>
      <c r="U3710" s="2"/>
      <c r="V3710" s="2"/>
    </row>
    <row r="3711" spans="1:22" s="137" customFormat="1" ht="12.75" customHeight="1" x14ac:dyDescent="0.2">
      <c r="A3711" s="155">
        <f>'6.A'!$A$12</f>
        <v>88238</v>
      </c>
      <c r="B3711" s="138" t="str">
        <f>IF(A3711="","",VLOOKUP(A3711,'6.A'!$A$11:$G$180,2,FALSE))</f>
        <v xml:space="preserve">AJUDANTE DE ARMADOR COM ENCARGOS COMPLEMENTARES </v>
      </c>
      <c r="C3711" s="156">
        <f>(3.6*0.013)</f>
        <v>4.6800000000000001E-2</v>
      </c>
      <c r="D3711" s="157" t="str">
        <f>IF(A3711="","",VLOOKUP(A3711,'6.A'!$A$11:$G$180,4,FALSE))</f>
        <v>H</v>
      </c>
      <c r="E3711" s="158">
        <f>IF(A3711="","",VLOOKUP(A3711,'6.A'!$A$11:$G$180,5,FALSE))</f>
        <v>0</v>
      </c>
      <c r="F3711" s="159">
        <f t="shared" si="1600"/>
        <v>0</v>
      </c>
      <c r="G3711" s="52"/>
      <c r="H3711" s="52">
        <f>IF(A3711="","",VLOOKUP(A3711,'6.A'!$A$11:$E$7984,5,FALSE))</f>
        <v>0</v>
      </c>
      <c r="I3711" s="52" t="str">
        <f>IF(H3711="","",IF(E3711=H3711,"SIM","NÃO"))</f>
        <v>SIM</v>
      </c>
      <c r="J3711" s="52" t="str">
        <f>IF(H3711="","",VLOOKUP(A3711,'6.A'!$A$11:$E$564,4,FALSE))</f>
        <v>H</v>
      </c>
      <c r="K3711" s="52" t="str">
        <f>IF(H3711="","",IF(J3711=D3711,"SIM","NÃO"))</f>
        <v>SIM</v>
      </c>
      <c r="L3711" s="52">
        <f>IF(H3711="","",IF(C3711="","",G3704*C3711))</f>
        <v>0.28079999999999999</v>
      </c>
      <c r="M3711" s="117" t="str">
        <f>IF(A3711="","",VLOOKUP(A3711,'6.A'!$A$11:$C$564,2,FALSE))</f>
        <v xml:space="preserve">AJUDANTE DE ARMADOR COM ENCARGOS COMPLEMENTARES </v>
      </c>
      <c r="N3711" s="57" t="str">
        <f>IF(A3711="","",IF(M3711=B3711,"si","no"))</f>
        <v>si</v>
      </c>
      <c r="O3711" s="56"/>
      <c r="P3711" s="56"/>
      <c r="Q3711" s="48"/>
      <c r="R3711" s="48"/>
      <c r="S3711" s="65"/>
      <c r="T3711" s="2"/>
      <c r="U3711" s="2"/>
      <c r="V3711" s="2"/>
    </row>
    <row r="3712" spans="1:22" s="137" customFormat="1" ht="12.75" customHeight="1" x14ac:dyDescent="0.2">
      <c r="A3712" s="155"/>
      <c r="B3712" s="138" t="str">
        <f>IF(A3712="","",VLOOKUP(A3712,'6.A'!$A$11:$G$180,2,FALSE))</f>
        <v/>
      </c>
      <c r="C3712" s="156"/>
      <c r="D3712" s="141" t="str">
        <f>IF(A3712="","",VLOOKUP(A3712,'6.A'!$A$11:$G$180,4,FALSE))</f>
        <v/>
      </c>
      <c r="E3712" s="160" t="str">
        <f>IF(A3712="","",VLOOKUP(A3712,'6.A'!$A$11:$G$180,5,FALSE))</f>
        <v/>
      </c>
      <c r="F3712" s="159" t="str">
        <f t="shared" si="1600"/>
        <v>0,00</v>
      </c>
      <c r="G3712" s="52"/>
      <c r="H3712" s="52" t="str">
        <f>IF(A3712="","",VLOOKUP(A3712,'6.A'!$A$11:$E$7984,5,FALSE))</f>
        <v/>
      </c>
      <c r="I3712" s="52" t="str">
        <f>IF(H3712="","",IF(E3712=H3712,"SIM","NÃO"))</f>
        <v/>
      </c>
      <c r="J3712" s="52" t="str">
        <f>IF(H3712="","",VLOOKUP(A3712,'6.A'!$A$11:$E$564,4,FALSE))</f>
        <v/>
      </c>
      <c r="K3712" s="52" t="str">
        <f>IF(H3712="","",IF(J3712=D3712,"SIM","NÃO"))</f>
        <v/>
      </c>
      <c r="L3712" s="52" t="str">
        <f>IF(H3712="","",IF(C3712="","",G3704*C3712))</f>
        <v/>
      </c>
      <c r="M3712" s="117" t="str">
        <f>IF(A3712="","",VLOOKUP(A3712,'6.A'!$A$11:$C$564,2,FALSE))</f>
        <v/>
      </c>
      <c r="N3712" s="57" t="str">
        <f>IF(A3712="","",IF(M3712=B3712,"si","no"))</f>
        <v/>
      </c>
      <c r="O3712" s="56"/>
      <c r="P3712" s="56"/>
      <c r="Q3712" s="48"/>
      <c r="R3712" s="48"/>
      <c r="S3712" s="65"/>
      <c r="T3712" s="2"/>
      <c r="U3712" s="2"/>
      <c r="V3712" s="2"/>
    </row>
    <row r="3713" spans="1:22" s="137" customFormat="1" ht="12.75" customHeight="1" x14ac:dyDescent="0.2">
      <c r="A3713" s="155"/>
      <c r="B3713" s="138" t="str">
        <f>IF(A3713="","",VLOOKUP(A3713,'6.A'!$A$11:$G$180,2,FALSE))</f>
        <v/>
      </c>
      <c r="C3713" s="156"/>
      <c r="D3713" s="141" t="str">
        <f>IF(A3713="","",VLOOKUP(A3713,'6.A'!$A$11:$G$180,4,FALSE))</f>
        <v/>
      </c>
      <c r="E3713" s="158" t="str">
        <f>IF(A3713="","",VLOOKUP(A3713,'6.A'!$A$11:$G$180,5,FALSE))</f>
        <v/>
      </c>
      <c r="F3713" s="159" t="str">
        <f t="shared" si="1600"/>
        <v>0,00</v>
      </c>
      <c r="G3713" s="52"/>
      <c r="H3713" s="52" t="str">
        <f>IF(A3713="","",VLOOKUP(A3713,'6.A'!$A$11:$E$7984,5,FALSE))</f>
        <v/>
      </c>
      <c r="I3713" s="52" t="str">
        <f t="shared" ref="I3713" si="1606">IF(H3713="","",IF(E3713=H3713,"SIM","NÃO"))</f>
        <v/>
      </c>
      <c r="J3713" s="52" t="str">
        <f>IF(H3713="","",VLOOKUP(A3713,'6.A'!$A$11:$E$564,4,FALSE))</f>
        <v/>
      </c>
      <c r="K3713" s="52" t="str">
        <f t="shared" ref="K3713" si="1607">IF(H3713="","",IF(J3713=D3713,"SIM","NÃO"))</f>
        <v/>
      </c>
      <c r="L3713" s="52" t="str">
        <f>IF(H3713="","",IF(C3713="","",G3704*C3713))</f>
        <v/>
      </c>
      <c r="M3713" s="117" t="str">
        <f>IF(A3713="","",VLOOKUP(A3713,'6.A'!$A$11:$C$564,2,FALSE))</f>
        <v/>
      </c>
      <c r="N3713" s="57" t="str">
        <f t="shared" ref="N3713" si="1608">IF(A3713="","",IF(M3713=B3713,"si","no"))</f>
        <v/>
      </c>
      <c r="O3713" s="56"/>
      <c r="P3713" s="56"/>
      <c r="Q3713" s="48"/>
      <c r="R3713" s="48"/>
      <c r="S3713" s="65"/>
      <c r="T3713" s="2"/>
      <c r="U3713" s="2"/>
      <c r="V3713" s="2"/>
    </row>
    <row r="3714" spans="1:22" s="137" customFormat="1" ht="12.75" customHeight="1" x14ac:dyDescent="0.2">
      <c r="A3714" s="155"/>
      <c r="B3714" s="138" t="str">
        <f>IF(A3714="","",VLOOKUP(A3714,'6.A'!$A$11:$G$180,2,FALSE))</f>
        <v/>
      </c>
      <c r="C3714" s="156"/>
      <c r="D3714" s="141" t="str">
        <f>IF(A3714="","",VLOOKUP(A3714,'6.A'!$A$11:$G$180,4,FALSE))</f>
        <v/>
      </c>
      <c r="E3714" s="158" t="str">
        <f>IF(A3714="","",VLOOKUP(A3714,'6.A'!$A$11:$G$180,5,FALSE))</f>
        <v/>
      </c>
      <c r="F3714" s="159" t="str">
        <f t="shared" si="1600"/>
        <v>0,00</v>
      </c>
      <c r="G3714" s="52"/>
      <c r="H3714" s="52" t="str">
        <f>IF(A3714="","",VLOOKUP(A3714,'6.A'!$A$11:$E$7984,5,FALSE))</f>
        <v/>
      </c>
      <c r="I3714" s="52" t="str">
        <f>IF(H3714="","",IF(E3714=H3714,"SIM","NÃO"))</f>
        <v/>
      </c>
      <c r="J3714" s="52" t="str">
        <f>IF(H3714="","",VLOOKUP(A3714,'6.A'!$A$11:$E$564,4,FALSE))</f>
        <v/>
      </c>
      <c r="K3714" s="52" t="str">
        <f>IF(H3714="","",IF(J3714=D3714,"SIM","NÃO"))</f>
        <v/>
      </c>
      <c r="L3714" s="52" t="str">
        <f>IF(H3714="","",IF(C3714="","",G3704*C3714))</f>
        <v/>
      </c>
      <c r="M3714" s="117" t="str">
        <f>IF(A3714="","",VLOOKUP(A3714,'6.A'!$A$11:$C$564,2,FALSE))</f>
        <v/>
      </c>
      <c r="N3714" s="57" t="str">
        <f>IF(A3714="","",IF(M3714=B3714,"si","no"))</f>
        <v/>
      </c>
      <c r="O3714" s="56"/>
      <c r="P3714" s="56"/>
      <c r="Q3714" s="48"/>
      <c r="R3714" s="48"/>
      <c r="S3714" s="65"/>
      <c r="T3714" s="2"/>
      <c r="U3714" s="2"/>
      <c r="V3714" s="2"/>
    </row>
    <row r="3715" spans="1:22" s="137" customFormat="1" ht="12.75" customHeight="1" x14ac:dyDescent="0.2">
      <c r="A3715" s="155"/>
      <c r="B3715" s="138" t="str">
        <f>IF(A3715="","",VLOOKUP(A3715,'6.A'!$A$11:$G$180,2,FALSE))</f>
        <v/>
      </c>
      <c r="C3715" s="156"/>
      <c r="D3715" s="161" t="str">
        <f>IF(A3715="","",VLOOKUP(A3715,'6.A'!$A$11:$G$180,4,FALSE))</f>
        <v/>
      </c>
      <c r="E3715" s="158" t="str">
        <f>IF(A3715="","",VLOOKUP(A3715,'6.A'!$A$11:$G$180,5,FALSE))</f>
        <v/>
      </c>
      <c r="F3715" s="159" t="str">
        <f t="shared" si="1600"/>
        <v>0,00</v>
      </c>
      <c r="G3715" s="52"/>
      <c r="H3715" s="52" t="str">
        <f>IF(A3715="","",VLOOKUP(A3715,'6.A'!$A$11:$E$7984,5,FALSE))</f>
        <v/>
      </c>
      <c r="I3715" s="52" t="str">
        <f t="shared" ref="I3715" si="1609">IF(H3715="","",IF(E3715=H3715,"SIM","NÃO"))</f>
        <v/>
      </c>
      <c r="J3715" s="52" t="str">
        <f>IF(H3715="","",VLOOKUP(A3715,'6.A'!$A$11:$E$564,4,FALSE))</f>
        <v/>
      </c>
      <c r="K3715" s="52" t="str">
        <f t="shared" ref="K3715" si="1610">IF(H3715="","",IF(J3715=D3715,"SIM","NÃO"))</f>
        <v/>
      </c>
      <c r="L3715" s="52" t="str">
        <f>IF(H3715="","",IF(C3715="","",G3704*C3715))</f>
        <v/>
      </c>
      <c r="M3715" s="117" t="str">
        <f>IF(A3715="","",VLOOKUP(A3715,'6.A'!$A$11:$C$564,2,FALSE))</f>
        <v/>
      </c>
      <c r="N3715" s="57" t="str">
        <f t="shared" ref="N3715" si="1611">IF(A3715="","",IF(M3715=B3715,"si","no"))</f>
        <v/>
      </c>
      <c r="O3715" s="56"/>
      <c r="P3715" s="56"/>
      <c r="Q3715" s="48"/>
      <c r="R3715" s="48"/>
      <c r="S3715" s="65"/>
      <c r="T3715" s="2"/>
      <c r="U3715" s="2"/>
      <c r="V3715" s="2"/>
    </row>
    <row r="3716" spans="1:22" s="137" customFormat="1" ht="12.75" customHeight="1" x14ac:dyDescent="0.2">
      <c r="A3716" s="152"/>
      <c r="B3716" s="26" t="str">
        <f>$A$8</f>
        <v>LEIS SOCIAIS HORISTA - JORNADA NORMAL</v>
      </c>
      <c r="C3716" s="27">
        <f>$C$8</f>
        <v>0</v>
      </c>
      <c r="D3716" s="141"/>
      <c r="E3716" s="147"/>
      <c r="F3716" s="162">
        <f>ROUND(SUM(F3706:F3715)*C3716,2)</f>
        <v>0</v>
      </c>
      <c r="G3716" s="63"/>
      <c r="H3716" s="52"/>
      <c r="I3716" s="57"/>
      <c r="J3716" s="57"/>
      <c r="K3716" s="57"/>
      <c r="L3716" s="52"/>
      <c r="M3716" s="62"/>
      <c r="N3716" s="57"/>
      <c r="O3716" s="56"/>
      <c r="P3716" s="56"/>
      <c r="Q3716" s="48"/>
      <c r="R3716" s="48"/>
      <c r="S3716" s="65"/>
      <c r="T3716" s="2"/>
      <c r="U3716" s="2"/>
      <c r="V3716" s="2"/>
    </row>
    <row r="3717" spans="1:22" s="137" customFormat="1" ht="12.75" customHeight="1" x14ac:dyDescent="0.2">
      <c r="A3717" s="155"/>
      <c r="B3717" s="26" t="str">
        <f>$A$9</f>
        <v>BDI</v>
      </c>
      <c r="C3717" s="27">
        <f>$C$9</f>
        <v>0</v>
      </c>
      <c r="D3717" s="136"/>
      <c r="E3717" s="147"/>
      <c r="F3717" s="162">
        <f>ROUND(SUM(F3706:F3716)*C3717,2)</f>
        <v>0</v>
      </c>
      <c r="G3717" s="63"/>
      <c r="H3717" s="52"/>
      <c r="I3717" s="57"/>
      <c r="J3717" s="57"/>
      <c r="K3717" s="57"/>
      <c r="L3717" s="52"/>
      <c r="M3717" s="62"/>
      <c r="N3717" s="57"/>
      <c r="O3717" s="56"/>
      <c r="P3717" s="56"/>
      <c r="Q3717" s="48"/>
      <c r="R3717" s="48"/>
      <c r="S3717" s="65"/>
      <c r="T3717" s="2"/>
      <c r="U3717" s="2"/>
      <c r="V3717" s="2"/>
    </row>
    <row r="3718" spans="1:22" s="149" customFormat="1" ht="12.75" customHeight="1" x14ac:dyDescent="0.2">
      <c r="A3718" s="163"/>
      <c r="B3718" s="164" t="s">
        <v>56</v>
      </c>
      <c r="C3718" s="165"/>
      <c r="D3718" s="166"/>
      <c r="E3718" s="167"/>
      <c r="F3718" s="168">
        <f>ROUND(SUM(F3706:F3717),2)</f>
        <v>0</v>
      </c>
      <c r="G3718" s="63"/>
      <c r="H3718" s="52"/>
      <c r="I3718" s="57"/>
      <c r="J3718" s="57"/>
      <c r="K3718" s="57"/>
      <c r="L3718" s="52"/>
      <c r="M3718" s="62"/>
      <c r="N3718" s="57"/>
      <c r="O3718" s="56"/>
      <c r="P3718" s="56"/>
      <c r="Q3718" s="48"/>
      <c r="R3718" s="48"/>
      <c r="S3718" s="65"/>
      <c r="T3718" s="2"/>
      <c r="U3718" s="2"/>
      <c r="V3718" s="2"/>
    </row>
    <row r="3719" spans="1:22" s="149" customFormat="1" ht="12.75" customHeight="1" x14ac:dyDescent="0.2">
      <c r="A3719" s="152" t="s">
        <v>5</v>
      </c>
      <c r="B3719" s="153" t="s">
        <v>130</v>
      </c>
      <c r="C3719" s="140" t="s">
        <v>59</v>
      </c>
      <c r="D3719" s="140" t="s">
        <v>16</v>
      </c>
      <c r="E3719" s="154" t="s">
        <v>60</v>
      </c>
      <c r="F3719" s="148" t="s">
        <v>61</v>
      </c>
      <c r="G3719" s="21"/>
      <c r="H3719" s="52"/>
      <c r="I3719" s="57"/>
      <c r="J3719" s="57"/>
      <c r="K3719" s="57"/>
      <c r="L3719" s="52"/>
      <c r="M3719" s="62"/>
      <c r="N3719" s="57"/>
      <c r="O3719" s="56"/>
      <c r="P3719" s="56"/>
      <c r="Q3719" s="48"/>
      <c r="R3719" s="48"/>
      <c r="S3719" s="65"/>
      <c r="T3719" s="2"/>
      <c r="U3719" s="2"/>
      <c r="V3719" s="2"/>
    </row>
    <row r="3720" spans="1:22" s="149" customFormat="1" ht="12.75" customHeight="1" x14ac:dyDescent="0.2">
      <c r="A3720" s="155">
        <f>'6.A'!$A$37</f>
        <v>91534</v>
      </c>
      <c r="B3720" s="138" t="str">
        <f>IF(A3720="","",VLOOKUP(A3720,'6.A'!$A$11:$G$180,2,FALSE))</f>
        <v>COMPACTADOR DE SOLOS DE PERCUSSÃO COM MOTOR A GASOLINA 4 TEMPOS, POTÊNCIA 4 CV - CHI</v>
      </c>
      <c r="C3720" s="156">
        <f>(0.1*0.03)+(1*0.042)</f>
        <v>4.5000000000000005E-2</v>
      </c>
      <c r="D3720" s="157" t="str">
        <f>IF(A3720="","",VLOOKUP(A3720,'6.A'!$A$11:$G$180,4,FALSE))</f>
        <v>CHI</v>
      </c>
      <c r="E3720" s="158">
        <f>IF(A3720="","",VLOOKUP(A3720,'6.A'!$A$11:$G$180,5,FALSE))</f>
        <v>0</v>
      </c>
      <c r="F3720" s="159">
        <f t="shared" ref="F3720:F3721" si="1612">IF(A3720="","0,00",ROUND(C3720*E3720,2))</f>
        <v>0</v>
      </c>
      <c r="G3720" s="52"/>
      <c r="H3720" s="52">
        <f>IF(A3720="","",VLOOKUP(A3720,'6.A'!$A$11:$E$7984,5,FALSE))</f>
        <v>0</v>
      </c>
      <c r="I3720" s="52" t="str">
        <f t="shared" ref="I3720:I3721" si="1613">IF(H3720="","",IF(E3720=H3720,"SIM","NÃO"))</f>
        <v>SIM</v>
      </c>
      <c r="J3720" s="52" t="str">
        <f>IF(H3720="","",VLOOKUP(A3720,'6.A'!$A$11:$E$564,4,FALSE))</f>
        <v>CHI</v>
      </c>
      <c r="K3720" s="52" t="str">
        <f t="shared" ref="K3720:K3721" si="1614">IF(H3720="","",IF(J3720=D3720,"SIM","NÃO"))</f>
        <v>SIM</v>
      </c>
      <c r="L3720" s="52">
        <f>IF(H3720="","",IF(C3720="","",G3704*C3720))</f>
        <v>0.27</v>
      </c>
      <c r="M3720" s="117" t="str">
        <f>IF(A3720="","",VLOOKUP(A3720,'6.A'!$A$11:$C$564,2,FALSE))</f>
        <v>COMPACTADOR DE SOLOS DE PERCUSSÃO COM MOTOR A GASOLINA 4 TEMPOS, POTÊNCIA 4 CV - CHI</v>
      </c>
      <c r="N3720" s="57" t="str">
        <f t="shared" ref="N3720:N3721" si="1615">IF(A3720="","",IF(M3720=B3720,"si","no"))</f>
        <v>si</v>
      </c>
      <c r="O3720" s="56"/>
      <c r="P3720" s="56"/>
      <c r="Q3720" s="48"/>
      <c r="R3720" s="48"/>
      <c r="S3720" s="65"/>
      <c r="T3720" s="2"/>
      <c r="U3720" s="2"/>
      <c r="V3720" s="2"/>
    </row>
    <row r="3721" spans="1:22" s="149" customFormat="1" ht="12.75" customHeight="1" x14ac:dyDescent="0.2">
      <c r="A3721" s="155">
        <f>'6.A'!$A$36</f>
        <v>91533</v>
      </c>
      <c r="B3721" s="138" t="str">
        <f>IF(A3721="","",VLOOKUP(A3721,'6.A'!$A$11:$G$180,2,FALSE))</f>
        <v>COMPACTADOR DE SOLOS DE PERCUSSÃO COM MOTOR A GASOLINA 4 TEMPOS, POTÊNCIA 4 CV - CHP</v>
      </c>
      <c r="C3721" s="156">
        <f>(0.1*0.032)+(1*0.025)</f>
        <v>2.8200000000000003E-2</v>
      </c>
      <c r="D3721" s="157" t="str">
        <f>IF(A3721="","",VLOOKUP(A3721,'6.A'!$A$11:$G$180,4,FALSE))</f>
        <v>CHP</v>
      </c>
      <c r="E3721" s="158">
        <f>IF(A3721="","",VLOOKUP(A3721,'6.A'!$A$11:$G$180,5,FALSE))</f>
        <v>0</v>
      </c>
      <c r="F3721" s="159">
        <f t="shared" si="1612"/>
        <v>0</v>
      </c>
      <c r="G3721" s="52"/>
      <c r="H3721" s="52">
        <f>IF(A3721="","",VLOOKUP(A3721,'6.A'!$A$11:$E$7984,5,FALSE))</f>
        <v>0</v>
      </c>
      <c r="I3721" s="52" t="str">
        <f t="shared" si="1613"/>
        <v>SIM</v>
      </c>
      <c r="J3721" s="52" t="str">
        <f>IF(H3721="","",VLOOKUP(A3721,'6.A'!$A$11:$E$564,4,FALSE))</f>
        <v>CHP</v>
      </c>
      <c r="K3721" s="52" t="str">
        <f t="shared" si="1614"/>
        <v>SIM</v>
      </c>
      <c r="L3721" s="52">
        <f>IF(H3721="","",IF(C3721="","",G3704*C3721))</f>
        <v>0.16920000000000002</v>
      </c>
      <c r="M3721" s="117" t="str">
        <f>IF(A3721="","",VLOOKUP(A3721,'6.A'!$A$11:$C$564,2,FALSE))</f>
        <v>COMPACTADOR DE SOLOS DE PERCUSSÃO COM MOTOR A GASOLINA 4 TEMPOS, POTÊNCIA 4 CV - CHP</v>
      </c>
      <c r="N3721" s="57" t="str">
        <f t="shared" si="1615"/>
        <v>si</v>
      </c>
      <c r="O3721" s="56"/>
      <c r="P3721" s="56"/>
      <c r="Q3721" s="48"/>
      <c r="R3721" s="48"/>
      <c r="S3721" s="65"/>
      <c r="T3721" s="2"/>
      <c r="U3721" s="2"/>
      <c r="V3721" s="2"/>
    </row>
    <row r="3722" spans="1:22" s="149" customFormat="1" ht="12.75" customHeight="1" x14ac:dyDescent="0.2">
      <c r="A3722" s="155">
        <f>'6.A'!$A$35</f>
        <v>90587</v>
      </c>
      <c r="B3722" s="138" t="str">
        <f>IF(A3722="","",VLOOKUP(A3722,'6.A'!$A$11:$G$180,2,FALSE))</f>
        <v>VIBRADOR DE IMERSÃO, DIÂMETRO DE PONTEIRA 45MM, MOTOR ELÉTRICO TRIFÁSICO POTÊNCIA DE 2 CV - CHI</v>
      </c>
      <c r="C3722" s="156">
        <f>(0.135*0.049)</f>
        <v>6.6150000000000011E-3</v>
      </c>
      <c r="D3722" s="157" t="str">
        <f>IF(A3722="","",VLOOKUP(A3722,'6.A'!$A$11:$G$180,4,FALSE))</f>
        <v>CHI</v>
      </c>
      <c r="E3722" s="158">
        <f>IF(A3722="","",VLOOKUP(A3722,'6.A'!$A$11:$G$180,5,FALSE))</f>
        <v>0</v>
      </c>
      <c r="F3722" s="159">
        <f>IF(A3722="","0,00",ROUND(C3722*E3722,2))</f>
        <v>0</v>
      </c>
      <c r="G3722" s="52"/>
      <c r="H3722" s="52">
        <f>IF(A3722="","",VLOOKUP(A3722,'6.A'!$A$11:$E$7984,5,FALSE))</f>
        <v>0</v>
      </c>
      <c r="I3722" s="52" t="str">
        <f>IF(H3722="","",IF(E3722=H3722,"SIM","NÃO"))</f>
        <v>SIM</v>
      </c>
      <c r="J3722" s="52" t="str">
        <f>IF(H3722="","",VLOOKUP(A3722,'6.A'!$A$11:$E$564,4,FALSE))</f>
        <v>CHI</v>
      </c>
      <c r="K3722" s="52" t="str">
        <f>IF(H3722="","",IF(J3722=D3722,"SIM","NÃO"))</f>
        <v>SIM</v>
      </c>
      <c r="L3722" s="52">
        <f>IF(H3722="","",IF(C3722="","",G3704*C3722))</f>
        <v>3.9690000000000003E-2</v>
      </c>
      <c r="M3722" s="117" t="str">
        <f>IF(A3722="","",VLOOKUP(A3722,'6.A'!$A$11:$C$564,2,FALSE))</f>
        <v>VIBRADOR DE IMERSÃO, DIÂMETRO DE PONTEIRA 45MM, MOTOR ELÉTRICO TRIFÁSICO POTÊNCIA DE 2 CV - CHI</v>
      </c>
      <c r="N3722" s="57" t="str">
        <f>IF(A3722="","",IF(M3722=B3722,"si","no"))</f>
        <v>si</v>
      </c>
      <c r="O3722" s="56"/>
      <c r="P3722" s="56"/>
      <c r="Q3722" s="48"/>
      <c r="R3722" s="48"/>
      <c r="S3722" s="65"/>
      <c r="T3722" s="2"/>
      <c r="U3722" s="2"/>
      <c r="V3722" s="2"/>
    </row>
    <row r="3723" spans="1:22" s="149" customFormat="1" ht="12.75" customHeight="1" x14ac:dyDescent="0.2">
      <c r="A3723" s="155">
        <f>'6.A'!$A$34</f>
        <v>90586</v>
      </c>
      <c r="B3723" s="176" t="str">
        <f>IF(A3723="","",VLOOKUP(A3723,'6.A'!$A$11:$G$180,2,FALSE))</f>
        <v>VIBRADOR DE IMERSÃO, DIÂMETRO DE PONTEIRA 45MM, MOTOR ELÉTRICO TRIFÁSICO POTÊNCIA DE 2 CV - CHP</v>
      </c>
      <c r="C3723" s="156">
        <f>(0.135*0.053)</f>
        <v>7.1549999999999999E-3</v>
      </c>
      <c r="D3723" s="141" t="str">
        <f>IF(A3723="","",VLOOKUP(A3723,'6.A'!$A$11:$G$180,4,FALSE))</f>
        <v>CHP</v>
      </c>
      <c r="E3723" s="160">
        <f>IF(A3723="","",VLOOKUP(A3723,'6.A'!$A$11:$G$180,5,FALSE))</f>
        <v>0</v>
      </c>
      <c r="F3723" s="159">
        <f t="shared" ref="F3723:F3729" si="1616">IF(A3723="","0,00",ROUND(C3723*E3723,2))</f>
        <v>0</v>
      </c>
      <c r="G3723" s="52"/>
      <c r="H3723" s="52">
        <f>IF(A3723="","",VLOOKUP(A3723,'6.A'!$A$11:$E$7984,5,FALSE))</f>
        <v>0</v>
      </c>
      <c r="I3723" s="52" t="str">
        <f t="shared" ref="I3723:I3729" si="1617">IF(H3723="","",IF(E3723=H3723,"SIM","NÃO"))</f>
        <v>SIM</v>
      </c>
      <c r="J3723" s="52" t="str">
        <f>IF(H3723="","",VLOOKUP(A3723,'6.A'!$A$11:$E$564,4,FALSE))</f>
        <v>CHP</v>
      </c>
      <c r="K3723" s="52" t="str">
        <f t="shared" ref="K3723:K3729" si="1618">IF(H3723="","",IF(J3723=D3723,"SIM","NÃO"))</f>
        <v>SIM</v>
      </c>
      <c r="L3723" s="52">
        <f>IF(H3723="","",IF(C3723="","",G3704*C3723))</f>
        <v>4.2929999999999996E-2</v>
      </c>
      <c r="M3723" s="117" t="str">
        <f>IF(A3723="","",VLOOKUP(A3723,'6.A'!$A$11:$C$564,2,FALSE))</f>
        <v>VIBRADOR DE IMERSÃO, DIÂMETRO DE PONTEIRA 45MM, MOTOR ELÉTRICO TRIFÁSICO POTÊNCIA DE 2 CV - CHP</v>
      </c>
      <c r="N3723" s="57" t="str">
        <f t="shared" ref="N3723:N3725" si="1619">IF(A3723="","",IF(M3723=B3723,"si","no"))</f>
        <v>si</v>
      </c>
      <c r="O3723" s="56"/>
      <c r="P3723" s="56"/>
      <c r="Q3723" s="48"/>
      <c r="R3723" s="48"/>
      <c r="S3723" s="65"/>
      <c r="T3723" s="2"/>
      <c r="U3723" s="2"/>
      <c r="V3723" s="2"/>
    </row>
    <row r="3724" spans="1:22" s="149" customFormat="1" ht="12.75" customHeight="1" x14ac:dyDescent="0.2">
      <c r="A3724" s="155"/>
      <c r="B3724" s="176" t="str">
        <f>IF(A3724="","",VLOOKUP(A3724,'6.A'!$A$11:$G$180,2,FALSE))</f>
        <v/>
      </c>
      <c r="C3724" s="156"/>
      <c r="D3724" s="141" t="str">
        <f>IF(A3724="","",VLOOKUP(A3724,'6.A'!$A$11:$G$180,4,FALSE))</f>
        <v/>
      </c>
      <c r="E3724" s="160" t="str">
        <f>IF(A3724="","",VLOOKUP(A3724,'6.A'!$A$11:$G$180,5,FALSE))</f>
        <v/>
      </c>
      <c r="F3724" s="159" t="str">
        <f t="shared" si="1616"/>
        <v>0,00</v>
      </c>
      <c r="G3724" s="52"/>
      <c r="H3724" s="52" t="str">
        <f>IF(A3724="","",VLOOKUP(A3724,'6.A'!$A$11:$E$7984,5,FALSE))</f>
        <v/>
      </c>
      <c r="I3724" s="52" t="str">
        <f t="shared" si="1617"/>
        <v/>
      </c>
      <c r="J3724" s="52" t="str">
        <f>IF(H3724="","",VLOOKUP(A3724,'6.A'!$A$11:$E$564,4,FALSE))</f>
        <v/>
      </c>
      <c r="K3724" s="52" t="str">
        <f t="shared" si="1618"/>
        <v/>
      </c>
      <c r="L3724" s="52" t="str">
        <f>IF(H3724="","",IF(C3724="","",G3704*C3724))</f>
        <v/>
      </c>
      <c r="M3724" s="117" t="str">
        <f>IF(A3724="","",VLOOKUP(A3724,'6.A'!$A$11:$C$564,2,FALSE))</f>
        <v/>
      </c>
      <c r="N3724" s="57" t="str">
        <f t="shared" si="1619"/>
        <v/>
      </c>
      <c r="O3724" s="56"/>
      <c r="P3724" s="56"/>
      <c r="Q3724" s="48"/>
      <c r="R3724" s="48"/>
      <c r="S3724" s="65"/>
      <c r="T3724" s="2"/>
      <c r="U3724" s="2"/>
      <c r="V3724" s="2"/>
    </row>
    <row r="3725" spans="1:22" s="149" customFormat="1" ht="12.75" customHeight="1" x14ac:dyDescent="0.2">
      <c r="A3725" s="155"/>
      <c r="B3725" s="176" t="str">
        <f>IF(A3725="","",VLOOKUP(A3725,'6.A'!$A$11:$G$180,2,FALSE))</f>
        <v/>
      </c>
      <c r="C3725" s="156"/>
      <c r="D3725" s="141" t="str">
        <f>IF(A3725="","",VLOOKUP(A3725,'6.A'!$A$11:$G$180,4,FALSE))</f>
        <v/>
      </c>
      <c r="E3725" s="160" t="str">
        <f>IF(A3725="","",VLOOKUP(A3725,'6.A'!$A$11:$G$180,5,FALSE))</f>
        <v/>
      </c>
      <c r="F3725" s="159" t="str">
        <f t="shared" si="1616"/>
        <v>0,00</v>
      </c>
      <c r="G3725" s="52"/>
      <c r="H3725" s="52" t="str">
        <f>IF(A3725="","",VLOOKUP(A3725,'6.A'!$A$11:$E$7984,5,FALSE))</f>
        <v/>
      </c>
      <c r="I3725" s="52" t="str">
        <f t="shared" si="1617"/>
        <v/>
      </c>
      <c r="J3725" s="52" t="str">
        <f>IF(H3725="","",VLOOKUP(A3725,'6.A'!$A$11:$E$564,4,FALSE))</f>
        <v/>
      </c>
      <c r="K3725" s="52" t="str">
        <f t="shared" si="1618"/>
        <v/>
      </c>
      <c r="L3725" s="52" t="str">
        <f>IF(H3725="","",IF(C3725="","",G3704*C3725))</f>
        <v/>
      </c>
      <c r="M3725" s="117" t="str">
        <f>IF(A3725="","",VLOOKUP(A3725,'6.A'!$A$11:$C$564,2,FALSE))</f>
        <v/>
      </c>
      <c r="N3725" s="57" t="str">
        <f t="shared" si="1619"/>
        <v/>
      </c>
      <c r="O3725" s="56"/>
      <c r="P3725" s="56"/>
      <c r="Q3725" s="48"/>
      <c r="R3725" s="48"/>
      <c r="S3725" s="65"/>
      <c r="T3725" s="2"/>
      <c r="U3725" s="2"/>
      <c r="V3725" s="2"/>
    </row>
    <row r="3726" spans="1:22" s="149" customFormat="1" ht="12.75" customHeight="1" x14ac:dyDescent="0.2">
      <c r="A3726" s="155"/>
      <c r="B3726" s="176" t="str">
        <f>IF(A3726="","",VLOOKUP(A3726,'6.A'!$A$11:$G$180,2,FALSE))</f>
        <v/>
      </c>
      <c r="C3726" s="156"/>
      <c r="D3726" s="141" t="str">
        <f>IF(A3726="","",VLOOKUP(A3726,'6.A'!$A$11:$G$180,4,FALSE))</f>
        <v/>
      </c>
      <c r="E3726" s="160" t="str">
        <f>IF(A3726="","",VLOOKUP(A3726,'6.A'!$A$11:$G$180,5,FALSE))</f>
        <v/>
      </c>
      <c r="F3726" s="159" t="str">
        <f t="shared" si="1616"/>
        <v>0,00</v>
      </c>
      <c r="G3726" s="52"/>
      <c r="H3726" s="52" t="str">
        <f>IF(A3726="","",VLOOKUP(A3726,'6.A'!$A$11:$E$7984,5,FALSE))</f>
        <v/>
      </c>
      <c r="I3726" s="52" t="str">
        <f t="shared" si="1617"/>
        <v/>
      </c>
      <c r="J3726" s="52" t="str">
        <f>IF(H3726="","",VLOOKUP(A3726,'6.A'!$A$11:$E$564,4,FALSE))</f>
        <v/>
      </c>
      <c r="K3726" s="52" t="str">
        <f t="shared" si="1618"/>
        <v/>
      </c>
      <c r="L3726" s="52" t="str">
        <f>IF(H3726="","",IF(C3726="","",G3704*C3726))</f>
        <v/>
      </c>
      <c r="M3726" s="117" t="str">
        <f>IF(A3726="","",VLOOKUP(A3726,'6.A'!$A$11:$C$564,2,FALSE))</f>
        <v/>
      </c>
      <c r="N3726" s="57" t="str">
        <f>IF(A3726="","",IF(M3726=B3726,"si","no"))</f>
        <v/>
      </c>
      <c r="O3726" s="56"/>
      <c r="P3726" s="56"/>
      <c r="Q3726" s="48"/>
      <c r="R3726" s="48"/>
      <c r="S3726" s="65"/>
      <c r="T3726" s="2"/>
      <c r="U3726" s="2"/>
      <c r="V3726" s="2"/>
    </row>
    <row r="3727" spans="1:22" s="149" customFormat="1" ht="12.75" customHeight="1" x14ac:dyDescent="0.2">
      <c r="A3727" s="155"/>
      <c r="B3727" s="138" t="str">
        <f>IF(A3727="","",VLOOKUP(A3727,'6.A'!$A$11:$G$180,2,FALSE))</f>
        <v/>
      </c>
      <c r="C3727" s="156"/>
      <c r="D3727" s="141" t="str">
        <f>IF(A3727="","",VLOOKUP(A3727,'6.A'!$A$11:$G$180,4,FALSE))</f>
        <v/>
      </c>
      <c r="E3727" s="160" t="str">
        <f>IF(A3727="","",VLOOKUP(A3727,'6.A'!$A$11:$G$180,5,FALSE))</f>
        <v/>
      </c>
      <c r="F3727" s="159" t="str">
        <f t="shared" si="1616"/>
        <v>0,00</v>
      </c>
      <c r="G3727" s="52"/>
      <c r="H3727" s="52" t="str">
        <f>IF(A3727="","",VLOOKUP(A3727,'6.A'!$A$11:$E$7984,5,FALSE))</f>
        <v/>
      </c>
      <c r="I3727" s="52" t="str">
        <f t="shared" si="1617"/>
        <v/>
      </c>
      <c r="J3727" s="52" t="str">
        <f>IF(H3727="","",VLOOKUP(A3727,'6.A'!$A$11:$E$564,4,FALSE))</f>
        <v/>
      </c>
      <c r="K3727" s="52" t="str">
        <f t="shared" si="1618"/>
        <v/>
      </c>
      <c r="L3727" s="52" t="str">
        <f>IF(H3727="","",IF(C3727="","",G3704*C3727))</f>
        <v/>
      </c>
      <c r="M3727" s="117" t="str">
        <f>IF(A3727="","",VLOOKUP(A3727,'6.A'!$A$11:$C$564,2,FALSE))</f>
        <v/>
      </c>
      <c r="N3727" s="57" t="str">
        <f>IF(A3727="","",IF(M3727=B3727,"si","no"))</f>
        <v/>
      </c>
      <c r="O3727" s="56"/>
      <c r="P3727" s="56"/>
      <c r="Q3727" s="48"/>
      <c r="R3727" s="48"/>
      <c r="S3727" s="65"/>
      <c r="T3727" s="2"/>
      <c r="U3727" s="2"/>
      <c r="V3727" s="2"/>
    </row>
    <row r="3728" spans="1:22" s="149" customFormat="1" ht="12.75" customHeight="1" x14ac:dyDescent="0.2">
      <c r="A3728" s="155"/>
      <c r="B3728" s="138" t="str">
        <f>IF(A3728="","",VLOOKUP(A3728,'6.A'!$A$11:$G$180,2,FALSE))</f>
        <v/>
      </c>
      <c r="C3728" s="156"/>
      <c r="D3728" s="141" t="str">
        <f>IF(A3728="","",VLOOKUP(A3728,'6.A'!$A$11:$G$180,4,FALSE))</f>
        <v/>
      </c>
      <c r="E3728" s="160" t="str">
        <f>IF(A3728="","",VLOOKUP(A3728,'6.A'!$A$11:$G$180,5,FALSE))</f>
        <v/>
      </c>
      <c r="F3728" s="159" t="str">
        <f t="shared" si="1616"/>
        <v>0,00</v>
      </c>
      <c r="G3728" s="52"/>
      <c r="H3728" s="52" t="str">
        <f>IF(A3728="","",VLOOKUP(A3728,'6.A'!$A$11:$E$7984,5,FALSE))</f>
        <v/>
      </c>
      <c r="I3728" s="52" t="str">
        <f t="shared" si="1617"/>
        <v/>
      </c>
      <c r="J3728" s="52" t="str">
        <f>IF(H3728="","",VLOOKUP(A3728,'6.A'!$A$11:$E$564,4,FALSE))</f>
        <v/>
      </c>
      <c r="K3728" s="52" t="str">
        <f t="shared" si="1618"/>
        <v/>
      </c>
      <c r="L3728" s="52" t="str">
        <f>IF(H3728="","",IF(C3728="","",G3704*C3728))</f>
        <v/>
      </c>
      <c r="M3728" s="117" t="str">
        <f>IF(A3728="","",VLOOKUP(A3728,'6.A'!$A$11:$C$564,2,FALSE))</f>
        <v/>
      </c>
      <c r="N3728" s="57" t="str">
        <f t="shared" ref="N3728:N3729" si="1620">IF(A3728="","",IF(M3728=B3728,"si","no"))</f>
        <v/>
      </c>
      <c r="O3728" s="56"/>
      <c r="P3728" s="56"/>
      <c r="Q3728" s="48"/>
      <c r="R3728" s="48"/>
      <c r="S3728" s="65"/>
      <c r="T3728" s="2"/>
      <c r="U3728" s="2"/>
      <c r="V3728" s="2"/>
    </row>
    <row r="3729" spans="1:22" s="149" customFormat="1" ht="12.75" customHeight="1" x14ac:dyDescent="0.2">
      <c r="A3729" s="155"/>
      <c r="B3729" s="138" t="str">
        <f>IF(A3729="","",VLOOKUP(A3729,'6.A'!$A$11:$G$180,2,FALSE))</f>
        <v/>
      </c>
      <c r="C3729" s="156"/>
      <c r="D3729" s="141" t="str">
        <f>IF(A3729="","",VLOOKUP(A3729,'6.A'!$A$11:$G$180,4,FALSE))</f>
        <v/>
      </c>
      <c r="E3729" s="160" t="str">
        <f>IF(A3729="","",VLOOKUP(A3729,'6.A'!$A$11:$G$180,5,FALSE))</f>
        <v/>
      </c>
      <c r="F3729" s="159" t="str">
        <f t="shared" si="1616"/>
        <v>0,00</v>
      </c>
      <c r="G3729" s="52"/>
      <c r="H3729" s="52" t="str">
        <f>IF(A3729="","",VLOOKUP(A3729,'6.A'!$A$11:$E$7984,5,FALSE))</f>
        <v/>
      </c>
      <c r="I3729" s="52" t="str">
        <f t="shared" si="1617"/>
        <v/>
      </c>
      <c r="J3729" s="52" t="str">
        <f>IF(H3729="","",VLOOKUP(A3729,'6.A'!$A$11:$E$564,4,FALSE))</f>
        <v/>
      </c>
      <c r="K3729" s="52" t="str">
        <f t="shared" si="1618"/>
        <v/>
      </c>
      <c r="L3729" s="52" t="str">
        <f>IF(H3729="","",IF(C3729="","",G3704*C3729))</f>
        <v/>
      </c>
      <c r="M3729" s="117" t="str">
        <f>IF(A3729="","",VLOOKUP(A3729,'6.A'!$A$11:$C$564,2,FALSE))</f>
        <v/>
      </c>
      <c r="N3729" s="57" t="str">
        <f t="shared" si="1620"/>
        <v/>
      </c>
      <c r="O3729" s="56"/>
      <c r="P3729" s="56"/>
      <c r="Q3729" s="48"/>
      <c r="R3729" s="48"/>
      <c r="S3729" s="65"/>
      <c r="T3729" s="2"/>
      <c r="U3729" s="2"/>
      <c r="V3729" s="2"/>
    </row>
    <row r="3730" spans="1:22" s="149" customFormat="1" ht="12.75" customHeight="1" x14ac:dyDescent="0.2">
      <c r="A3730" s="155"/>
      <c r="B3730" s="26" t="str">
        <f>$A$9</f>
        <v>BDI</v>
      </c>
      <c r="C3730" s="27">
        <f>$C$9</f>
        <v>0</v>
      </c>
      <c r="D3730" s="141"/>
      <c r="E3730" s="147"/>
      <c r="F3730" s="162">
        <f>ROUND(SUM(F3720:F3729)*C3730,2)</f>
        <v>0</v>
      </c>
      <c r="G3730" s="63"/>
      <c r="H3730" s="52"/>
      <c r="I3730" s="57"/>
      <c r="J3730" s="57"/>
      <c r="K3730" s="57"/>
      <c r="L3730" s="52"/>
      <c r="M3730" s="62"/>
      <c r="N3730" s="57"/>
      <c r="O3730" s="56"/>
      <c r="P3730" s="56"/>
      <c r="Q3730" s="48"/>
      <c r="R3730" s="48"/>
      <c r="S3730" s="65"/>
      <c r="T3730" s="2"/>
      <c r="U3730" s="2"/>
      <c r="V3730" s="2"/>
    </row>
    <row r="3731" spans="1:22" s="149" customFormat="1" ht="12.75" customHeight="1" x14ac:dyDescent="0.2">
      <c r="A3731" s="163"/>
      <c r="B3731" s="31" t="s">
        <v>117</v>
      </c>
      <c r="C3731" s="36"/>
      <c r="D3731" s="169"/>
      <c r="E3731" s="170"/>
      <c r="F3731" s="168">
        <f>ROUND(SUM(F3720:F3730),2)</f>
        <v>0</v>
      </c>
      <c r="G3731" s="63"/>
      <c r="H3731" s="52"/>
      <c r="I3731" s="57"/>
      <c r="J3731" s="57"/>
      <c r="K3731" s="57"/>
      <c r="L3731" s="52"/>
      <c r="M3731" s="62"/>
      <c r="N3731" s="57"/>
      <c r="O3731" s="56"/>
      <c r="P3731" s="56"/>
      <c r="Q3731" s="48"/>
      <c r="R3731" s="48"/>
      <c r="S3731" s="65"/>
      <c r="T3731" s="2"/>
      <c r="U3731" s="2"/>
      <c r="V3731" s="2"/>
    </row>
    <row r="3732" spans="1:22" s="149" customFormat="1" ht="12.75" customHeight="1" x14ac:dyDescent="0.2">
      <c r="A3732" s="152" t="s">
        <v>6</v>
      </c>
      <c r="B3732" s="153" t="s">
        <v>17</v>
      </c>
      <c r="C3732" s="140" t="s">
        <v>59</v>
      </c>
      <c r="D3732" s="140" t="s">
        <v>16</v>
      </c>
      <c r="E3732" s="154" t="s">
        <v>60</v>
      </c>
      <c r="F3732" s="148" t="s">
        <v>61</v>
      </c>
      <c r="G3732" s="21"/>
      <c r="H3732" s="52"/>
      <c r="I3732" s="57"/>
      <c r="J3732" s="57"/>
      <c r="K3732" s="57"/>
      <c r="L3732" s="52"/>
      <c r="M3732" s="62"/>
      <c r="N3732" s="57"/>
      <c r="O3732" s="56"/>
      <c r="P3732" s="56"/>
      <c r="Q3732" s="48"/>
      <c r="R3732" s="48"/>
      <c r="S3732" s="65"/>
      <c r="T3732" s="2"/>
      <c r="U3732" s="2"/>
      <c r="V3732" s="2"/>
    </row>
    <row r="3733" spans="1:22" s="149" customFormat="1" ht="12.75" customHeight="1" x14ac:dyDescent="0.2">
      <c r="A3733" s="155" t="str">
        <f>'6.A'!$A$55</f>
        <v>CV00210</v>
      </c>
      <c r="B3733" s="138" t="str">
        <f>IF(A3733="","",VLOOKUP(A3733,'6.A'!$A$11:$G$180,2,FALSE))</f>
        <v>PEDRA BRITADA Nº 2 GRANULOMETRIA ENTRE (21,0 E 32,0 MM)</v>
      </c>
      <c r="C3733" s="156">
        <f>(0.1*1.19)</f>
        <v>0.11899999999999999</v>
      </c>
      <c r="D3733" s="157" t="str">
        <f>IF(A3733="","",VLOOKUP(A3733,'6.A'!$A$11:$G$180,4,FALSE))</f>
        <v>M3</v>
      </c>
      <c r="E3733" s="158">
        <f>IF(A3733="","",VLOOKUP(A3733,'6.A'!$A$11:$G$180,5,FALSE))</f>
        <v>0</v>
      </c>
      <c r="F3733" s="159">
        <f t="shared" ref="F3733:F3752" si="1621">IF(A3733="","0,00",ROUND(C3733*E3733,2))</f>
        <v>0</v>
      </c>
      <c r="G3733" s="52"/>
      <c r="H3733" s="52">
        <f>IF(A3733="","",VLOOKUP(A3733,'6.A'!$A$11:$E$7984,5,FALSE))</f>
        <v>0</v>
      </c>
      <c r="I3733" s="52" t="str">
        <f t="shared" ref="I3733:I3752" si="1622">IF(H3733="","",IF(E3733=H3733,"SIM","NÃO"))</f>
        <v>SIM</v>
      </c>
      <c r="J3733" s="52" t="str">
        <f>IF(H3733="","",VLOOKUP(A3733,'6.A'!$A$11:$E$564,4,FALSE))</f>
        <v>M3</v>
      </c>
      <c r="K3733" s="52" t="str">
        <f t="shared" ref="K3733:K3752" si="1623">IF(H3733="","",IF(J3733=D3733,"SIM","NÃO"))</f>
        <v>SIM</v>
      </c>
      <c r="L3733" s="52">
        <f>IF(H3733="","",IF(C3733="","",G3704*C3733))</f>
        <v>0.71399999999999997</v>
      </c>
      <c r="M3733" s="117" t="str">
        <f>IF(A3733="","",VLOOKUP(A3733,'6.A'!$A$11:$C$564,2,FALSE))</f>
        <v>PEDRA BRITADA Nº 2 GRANULOMETRIA ENTRE (21,0 E 32,0 MM)</v>
      </c>
      <c r="N3733" s="57" t="str">
        <f t="shared" ref="N3733:N3752" si="1624">IF(A3733="","",IF(M3733=B3733,"si","no"))</f>
        <v>si</v>
      </c>
      <c r="O3733" s="56"/>
      <c r="P3733" s="56"/>
      <c r="Q3733" s="48"/>
      <c r="R3733" s="48"/>
      <c r="S3733" s="65"/>
      <c r="T3733" s="2"/>
      <c r="U3733" s="2"/>
      <c r="V3733" s="2"/>
    </row>
    <row r="3734" spans="1:22" s="149" customFormat="1" ht="12.75" customHeight="1" x14ac:dyDescent="0.2">
      <c r="A3734" s="155">
        <f>'6.A'!$A$114</f>
        <v>6193</v>
      </c>
      <c r="B3734" s="138" t="str">
        <f>IF(A3734="","",VLOOKUP(A3734,'6.A'!$A$11:$G$180,2,FALSE))</f>
        <v>TABUA NAO APARELHADA *2,5 X 20* CM, EM MACARANDUBA/MASSARANDUBA, ANGELIM OU EQUIVALENTE DA REGIAO - BRUTA</v>
      </c>
      <c r="C3734" s="156">
        <f>(0.08*1.38)</f>
        <v>0.1104</v>
      </c>
      <c r="D3734" s="157" t="str">
        <f>IF(A3734="","",VLOOKUP(A3734,'6.A'!$A$11:$G$180,4,FALSE))</f>
        <v>M</v>
      </c>
      <c r="E3734" s="158">
        <f>IF(A3734="","",VLOOKUP(A3734,'6.A'!$A$11:$G$180,5,FALSE))</f>
        <v>0</v>
      </c>
      <c r="F3734" s="159">
        <f t="shared" si="1621"/>
        <v>0</v>
      </c>
      <c r="G3734" s="52"/>
      <c r="H3734" s="52">
        <f>IF(A3734="","",VLOOKUP(A3734,'6.A'!$A$11:$E$7984,5,FALSE))</f>
        <v>0</v>
      </c>
      <c r="I3734" s="52" t="str">
        <f t="shared" si="1622"/>
        <v>SIM</v>
      </c>
      <c r="J3734" s="52" t="str">
        <f>IF(H3734="","",VLOOKUP(A3734,'6.A'!$A$11:$E$564,4,FALSE))</f>
        <v>M</v>
      </c>
      <c r="K3734" s="52" t="str">
        <f t="shared" si="1623"/>
        <v>SIM</v>
      </c>
      <c r="L3734" s="52">
        <f>IF(H3734="","",IF(C3734="","",G3704*C3734))</f>
        <v>0.66239999999999999</v>
      </c>
      <c r="M3734" s="117" t="str">
        <f>IF(A3734="","",VLOOKUP(A3734,'6.A'!$A$11:$C$564,2,FALSE))</f>
        <v>TABUA NAO APARELHADA *2,5 X 20* CM, EM MACARANDUBA/MASSARANDUBA, ANGELIM OU EQUIVALENTE DA REGIAO - BRUTA</v>
      </c>
      <c r="N3734" s="57" t="str">
        <f t="shared" si="1624"/>
        <v>si</v>
      </c>
      <c r="O3734" s="56"/>
      <c r="P3734" s="56"/>
      <c r="Q3734" s="48"/>
      <c r="R3734" s="48"/>
      <c r="S3734" s="65"/>
      <c r="T3734" s="2"/>
      <c r="U3734" s="2"/>
      <c r="V3734" s="2"/>
    </row>
    <row r="3735" spans="1:22" s="149" customFormat="1" ht="12.75" customHeight="1" x14ac:dyDescent="0.2">
      <c r="A3735" s="155" t="str">
        <f>'6.A'!$A$59</f>
        <v>CV00521</v>
      </c>
      <c r="B3735" s="138" t="str">
        <f>IF(A3735="","",VLOOKUP(A3735,'6.A'!$A$11:$G$180,2,FALSE))</f>
        <v>PREGO COM CABEÇA AÇO GALV (MÉDIA DAS BITOLAS)</v>
      </c>
      <c r="C3735" s="156">
        <f>(0.08*0.095)</f>
        <v>7.6E-3</v>
      </c>
      <c r="D3735" s="157" t="str">
        <f>IF(A3735="","",VLOOKUP(A3735,'6.A'!$A$11:$G$180,4,FALSE))</f>
        <v>KG</v>
      </c>
      <c r="E3735" s="158">
        <f>IF(A3735="","",VLOOKUP(A3735,'6.A'!$A$11:$G$180,5,FALSE))</f>
        <v>0</v>
      </c>
      <c r="F3735" s="159">
        <f t="shared" si="1621"/>
        <v>0</v>
      </c>
      <c r="G3735" s="52"/>
      <c r="H3735" s="52">
        <f>IF(A3735="","",VLOOKUP(A3735,'6.A'!$A$11:$E$7984,5,FALSE))</f>
        <v>0</v>
      </c>
      <c r="I3735" s="52" t="str">
        <f t="shared" si="1622"/>
        <v>SIM</v>
      </c>
      <c r="J3735" s="52" t="str">
        <f>IF(H3735="","",VLOOKUP(A3735,'6.A'!$A$11:$E$564,4,FALSE))</f>
        <v>KG</v>
      </c>
      <c r="K3735" s="52" t="str">
        <f t="shared" si="1623"/>
        <v>SIM</v>
      </c>
      <c r="L3735" s="52">
        <f>IF(H3735="","",IF(C3735="","",G3704*C3735))</f>
        <v>4.5600000000000002E-2</v>
      </c>
      <c r="M3735" s="117" t="str">
        <f>IF(A3735="","",VLOOKUP(A3735,'6.A'!$A$11:$C$564,2,FALSE))</f>
        <v>PREGO COM CABEÇA AÇO GALV (MÉDIA DAS BITOLAS)</v>
      </c>
      <c r="N3735" s="57" t="str">
        <f t="shared" si="1624"/>
        <v>si</v>
      </c>
      <c r="O3735" s="56"/>
      <c r="P3735" s="56"/>
      <c r="Q3735" s="48"/>
      <c r="R3735" s="48"/>
      <c r="S3735" s="65"/>
      <c r="T3735" s="2"/>
      <c r="U3735" s="2"/>
      <c r="V3735" s="2"/>
    </row>
    <row r="3736" spans="1:22" s="149" customFormat="1" ht="12.75" customHeight="1" x14ac:dyDescent="0.2">
      <c r="A3736" s="155">
        <f>'6.A'!$A$110</f>
        <v>4517</v>
      </c>
      <c r="B3736" s="138" t="str">
        <f>IF(A3736="","",VLOOKUP(A3736,'6.A'!$A$11:$G$180,2,FALSE))</f>
        <v>SARRAFO 2,5 X 7,5 CM EM PINUS, MISTA OU EQUIVALENTE DA REGIAO - BRUTA</v>
      </c>
      <c r="C3736" s="156">
        <f>(0.08*0.44)</f>
        <v>3.5200000000000002E-2</v>
      </c>
      <c r="D3736" s="157" t="str">
        <f>IF(A3736="","",VLOOKUP(A3736,'6.A'!$A$11:$G$180,4,FALSE))</f>
        <v>M</v>
      </c>
      <c r="E3736" s="158">
        <f>IF(A3736="","",VLOOKUP(A3736,'6.A'!$A$11:$G$180,5,FALSE))</f>
        <v>0</v>
      </c>
      <c r="F3736" s="159">
        <f t="shared" si="1621"/>
        <v>0</v>
      </c>
      <c r="G3736" s="52"/>
      <c r="H3736" s="52">
        <f>IF(A3736="","",VLOOKUP(A3736,'6.A'!$A$11:$E$7984,5,FALSE))</f>
        <v>0</v>
      </c>
      <c r="I3736" s="52" t="str">
        <f t="shared" si="1622"/>
        <v>SIM</v>
      </c>
      <c r="J3736" s="52" t="str">
        <f>IF(H3736="","",VLOOKUP(A3736,'6.A'!$A$11:$E$564,4,FALSE))</f>
        <v>M</v>
      </c>
      <c r="K3736" s="52" t="str">
        <f t="shared" si="1623"/>
        <v>SIM</v>
      </c>
      <c r="L3736" s="52">
        <f>IF(H3736="","",IF(C3736="","",G3704*C3736))</f>
        <v>0.2112</v>
      </c>
      <c r="M3736" s="117" t="str">
        <f>IF(A3736="","",VLOOKUP(A3736,'6.A'!$A$11:$C$564,2,FALSE))</f>
        <v>SARRAFO 2,5 X 7,5 CM EM PINUS, MISTA OU EQUIVALENTE DA REGIAO - BRUTA</v>
      </c>
      <c r="N3736" s="57" t="str">
        <f t="shared" si="1624"/>
        <v>si</v>
      </c>
      <c r="O3736" s="56"/>
      <c r="P3736" s="56"/>
      <c r="Q3736" s="48"/>
      <c r="R3736" s="48"/>
      <c r="S3736" s="65"/>
      <c r="T3736" s="2"/>
      <c r="U3736" s="2"/>
      <c r="V3736" s="2"/>
    </row>
    <row r="3737" spans="1:22" s="149" customFormat="1" ht="12.75" customHeight="1" x14ac:dyDescent="0.2">
      <c r="A3737" s="155">
        <f>'6.A'!$A$108</f>
        <v>4491</v>
      </c>
      <c r="B3737" s="138" t="str">
        <f>IF(A3737="","",VLOOKUP(A3737,'6.A'!$A$11:$G$180,2,FALSE))</f>
        <v>PONTALETE *7,5 X 7,5* CM EM PINUS, MISTA OU EQUIVALENTE DA REGIAO - BRUTA</v>
      </c>
      <c r="C3737" s="156">
        <f>(0.08*0.37)</f>
        <v>2.9600000000000001E-2</v>
      </c>
      <c r="D3737" s="141" t="str">
        <f>IF(A3737="","",VLOOKUP(A3737,'6.A'!$A$11:$G$180,4,FALSE))</f>
        <v>M</v>
      </c>
      <c r="E3737" s="160">
        <f>IF(A3737="","",VLOOKUP(A3737,'6.A'!$A$11:$G$180,5,FALSE))</f>
        <v>0</v>
      </c>
      <c r="F3737" s="159">
        <f t="shared" si="1621"/>
        <v>0</v>
      </c>
      <c r="G3737" s="52"/>
      <c r="H3737" s="52">
        <f>IF(A3737="","",VLOOKUP(A3737,'6.A'!$A$11:$E$7984,5,FALSE))</f>
        <v>0</v>
      </c>
      <c r="I3737" s="52" t="str">
        <f t="shared" si="1622"/>
        <v>SIM</v>
      </c>
      <c r="J3737" s="52" t="str">
        <f>IF(H3737="","",VLOOKUP(A3737,'6.A'!$A$11:$E$564,4,FALSE))</f>
        <v>M</v>
      </c>
      <c r="K3737" s="52" t="str">
        <f t="shared" si="1623"/>
        <v>SIM</v>
      </c>
      <c r="L3737" s="52">
        <f>IF(H3737="","",IF(C3737="","",G3704*C3737))</f>
        <v>0.17760000000000001</v>
      </c>
      <c r="M3737" s="117" t="str">
        <f>IF(A3737="","",VLOOKUP(A3737,'6.A'!$A$11:$C$564,2,FALSE))</f>
        <v>PONTALETE *7,5 X 7,5* CM EM PINUS, MISTA OU EQUIVALENTE DA REGIAO - BRUTA</v>
      </c>
      <c r="N3737" s="57" t="str">
        <f t="shared" si="1624"/>
        <v>si</v>
      </c>
      <c r="O3737" s="56"/>
      <c r="P3737" s="56"/>
      <c r="Q3737" s="48"/>
      <c r="R3737" s="48"/>
      <c r="S3737" s="65"/>
      <c r="T3737" s="2"/>
      <c r="U3737" s="2"/>
      <c r="V3737" s="2"/>
    </row>
    <row r="3738" spans="1:22" s="149" customFormat="1" ht="12.75" customHeight="1" x14ac:dyDescent="0.2">
      <c r="A3738" s="155">
        <f>'6.A'!$A$103</f>
        <v>2692</v>
      </c>
      <c r="B3738" s="138" t="str">
        <f>IF(A3738="","",VLOOKUP(A3738,'6.A'!$A$11:$G$180,2,FALSE))</f>
        <v>DESMOLDANTE PROTETOR PARA FORMAS DE MADEIRA, DE BASE OLEOSA EMULSIONADA EM ÁGUA</v>
      </c>
      <c r="C3738" s="156">
        <f>(0.08*0.17)</f>
        <v>1.3600000000000001E-2</v>
      </c>
      <c r="D3738" s="141" t="str">
        <f>IF(A3738="","",VLOOKUP(A3738,'6.A'!$A$11:$G$180,4,FALSE))</f>
        <v>L</v>
      </c>
      <c r="E3738" s="160">
        <f>IF(A3738="","",VLOOKUP(A3738,'6.A'!$A$11:$G$180,5,FALSE))</f>
        <v>0</v>
      </c>
      <c r="F3738" s="159">
        <f t="shared" si="1621"/>
        <v>0</v>
      </c>
      <c r="G3738" s="52"/>
      <c r="H3738" s="52">
        <f>IF(A3738="","",VLOOKUP(A3738,'6.A'!$A$11:$E$7984,5,FALSE))</f>
        <v>0</v>
      </c>
      <c r="I3738" s="52" t="str">
        <f t="shared" si="1622"/>
        <v>SIM</v>
      </c>
      <c r="J3738" s="52" t="str">
        <f>IF(H3738="","",VLOOKUP(A3738,'6.A'!$A$11:$E$564,4,FALSE))</f>
        <v>L</v>
      </c>
      <c r="K3738" s="52" t="str">
        <f t="shared" si="1623"/>
        <v>SIM</v>
      </c>
      <c r="L3738" s="52">
        <f>IF(H3738="","",IF(C3738="","",G3704*C3738))</f>
        <v>8.1600000000000006E-2</v>
      </c>
      <c r="M3738" s="117" t="str">
        <f>IF(A3738="","",VLOOKUP(A3738,'6.A'!$A$11:$C$564,2,FALSE))</f>
        <v>DESMOLDANTE PROTETOR PARA FORMAS DE MADEIRA, DE BASE OLEOSA EMULSIONADA EM ÁGUA</v>
      </c>
      <c r="N3738" s="57" t="str">
        <f t="shared" si="1624"/>
        <v>si</v>
      </c>
      <c r="O3738" s="56"/>
      <c r="P3738" s="56"/>
      <c r="Q3738" s="48"/>
      <c r="R3738" s="48"/>
      <c r="S3738" s="65"/>
      <c r="T3738" s="2"/>
      <c r="U3738" s="2"/>
      <c r="V3738" s="2"/>
    </row>
    <row r="3739" spans="1:22" s="149" customFormat="1" ht="12.75" customHeight="1" x14ac:dyDescent="0.2">
      <c r="A3739" s="155">
        <f>'6.A'!$A$157</f>
        <v>43132</v>
      </c>
      <c r="B3739" s="138" t="str">
        <f>IF(A3739="","",VLOOKUP(A3739,'6.A'!$A$11:$G$180,2,FALSE))</f>
        <v>ARAME RECOZIDO 16 BWG, D = 1,65 MM (0,016 KG/M) OU 18 BWG, D = 1,25 MM (0,01 KG/M)</v>
      </c>
      <c r="C3739" s="156">
        <f>(3.6*0.011)</f>
        <v>3.9599999999999996E-2</v>
      </c>
      <c r="D3739" s="157" t="str">
        <f>IF(A3739="","",VLOOKUP(A3739,'6.A'!$A$11:$G$180,4,FALSE))</f>
        <v>KG</v>
      </c>
      <c r="E3739" s="158">
        <f>IF(A3739="","",VLOOKUP(A3739,'6.A'!$A$11:$G$180,5,FALSE))</f>
        <v>0</v>
      </c>
      <c r="F3739" s="159">
        <f t="shared" si="1621"/>
        <v>0</v>
      </c>
      <c r="G3739" s="52"/>
      <c r="H3739" s="52">
        <f>IF(A3739="","",VLOOKUP(A3739,'6.A'!$A$11:$E$7984,5,FALSE))</f>
        <v>0</v>
      </c>
      <c r="I3739" s="52" t="str">
        <f t="shared" si="1622"/>
        <v>SIM</v>
      </c>
      <c r="J3739" s="52" t="str">
        <f>IF(H3739="","",VLOOKUP(A3739,'6.A'!$A$11:$E$564,4,FALSE))</f>
        <v>KG</v>
      </c>
      <c r="K3739" s="52" t="str">
        <f t="shared" si="1623"/>
        <v>SIM</v>
      </c>
      <c r="L3739" s="52">
        <f>IF(H3739="","",IF(C3739="","",G3704*C3739))</f>
        <v>0.23759999999999998</v>
      </c>
      <c r="M3739" s="117" t="str">
        <f>IF(A3739="","",VLOOKUP(A3739,'6.A'!$A$11:$C$564,2,FALSE))</f>
        <v>ARAME RECOZIDO 16 BWG, D = 1,65 MM (0,016 KG/M) OU 18 BWG, D = 1,25 MM (0,01 KG/M)</v>
      </c>
      <c r="N3739" s="57" t="str">
        <f t="shared" si="1624"/>
        <v>si</v>
      </c>
      <c r="O3739" s="56"/>
      <c r="P3739" s="56"/>
      <c r="Q3739" s="48"/>
      <c r="R3739" s="48"/>
      <c r="S3739" s="65"/>
      <c r="T3739" s="2"/>
      <c r="U3739" s="2"/>
      <c r="V3739" s="2"/>
    </row>
    <row r="3740" spans="1:22" s="149" customFormat="1" ht="12.75" customHeight="1" x14ac:dyDescent="0.2">
      <c r="A3740" s="155">
        <f>'6.A'!$A$155</f>
        <v>42407</v>
      </c>
      <c r="B3740" s="138" t="str">
        <f>IF(A3740="","",VLOOKUP(A3740,'6.A'!$A$11:$G$180,2,FALSE))</f>
        <v>TRELICA NERVURADA (ESPACADOR), ALTURA = 120,0 MM, DIAMETRO DOS BANZOS INFERIORES E SUPERIOR = 6,0 MM, DIAMETRO DA DIAGONAL = 4,2 MM</v>
      </c>
      <c r="C3740" s="156">
        <f>(3.6*0.556)</f>
        <v>2.0016000000000003</v>
      </c>
      <c r="D3740" s="157" t="str">
        <f>IF(A3740="","",VLOOKUP(A3740,'6.A'!$A$11:$G$180,4,FALSE))</f>
        <v>M</v>
      </c>
      <c r="E3740" s="158">
        <f>IF(A3740="","",VLOOKUP(A3740,'6.A'!$A$11:$G$180,5,FALSE))</f>
        <v>0</v>
      </c>
      <c r="F3740" s="159">
        <f t="shared" si="1621"/>
        <v>0</v>
      </c>
      <c r="G3740" s="52"/>
      <c r="H3740" s="52">
        <f>IF(A3740="","",VLOOKUP(A3740,'6.A'!$A$11:$E$7984,5,FALSE))</f>
        <v>0</v>
      </c>
      <c r="I3740" s="52" t="str">
        <f t="shared" si="1622"/>
        <v>SIM</v>
      </c>
      <c r="J3740" s="52" t="str">
        <f>IF(H3740="","",VLOOKUP(A3740,'6.A'!$A$11:$E$564,4,FALSE))</f>
        <v>M</v>
      </c>
      <c r="K3740" s="52" t="str">
        <f t="shared" si="1623"/>
        <v>SIM</v>
      </c>
      <c r="L3740" s="52">
        <f>IF(H3740="","",IF(C3740="","",G3704*C3740))</f>
        <v>12.009600000000002</v>
      </c>
      <c r="M3740" s="117" t="str">
        <f>IF(A3740="","",VLOOKUP(A3740,'6.A'!$A$11:$C$564,2,FALSE))</f>
        <v>TRELICA NERVURADA (ESPACADOR), ALTURA = 120,0 MM, DIAMETRO DOS BANZOS INFERIORES E SUPERIOR = 6,0 MM, DIAMETRO DA DIAGONAL = 4,2 MM</v>
      </c>
      <c r="N3740" s="57" t="str">
        <f t="shared" si="1624"/>
        <v>si</v>
      </c>
      <c r="O3740" s="56"/>
      <c r="P3740" s="56"/>
      <c r="Q3740" s="48"/>
      <c r="R3740" s="48"/>
      <c r="S3740" s="65"/>
      <c r="T3740" s="2"/>
      <c r="U3740" s="2"/>
      <c r="V3740" s="2"/>
    </row>
    <row r="3741" spans="1:22" s="149" customFormat="1" ht="12.75" customHeight="1" x14ac:dyDescent="0.2">
      <c r="A3741" s="155">
        <f>'6.A'!$A$146</f>
        <v>39507</v>
      </c>
      <c r="B3741" s="138" t="str">
        <f>IF(A3741="","",VLOOKUP(A3741,'6.A'!$A$11:$G$180,2,FALSE))</f>
        <v>TELA DE ACO SOLDADA NERVURADA, CA-60, Q-113, (1,8 KG/M2), DIAMETRO DO FIO = 3,8 MM, LARGURA = 2,45 M, ESPACAMENTO DA MALHA = 10 X 10 CM</v>
      </c>
      <c r="C3741" s="156">
        <f>(3.6*0.678)</f>
        <v>2.4408000000000003</v>
      </c>
      <c r="D3741" s="141" t="str">
        <f>IF(A3741="","",VLOOKUP(A3741,'6.A'!$A$11:$G$180,4,FALSE))</f>
        <v>M2</v>
      </c>
      <c r="E3741" s="160">
        <f>IF(A3741="","",VLOOKUP(A3741,'6.A'!$A$11:$G$180,5,FALSE))</f>
        <v>0</v>
      </c>
      <c r="F3741" s="159">
        <f t="shared" si="1621"/>
        <v>0</v>
      </c>
      <c r="G3741" s="52"/>
      <c r="H3741" s="52">
        <f>IF(A3741="","",VLOOKUP(A3741,'6.A'!$A$11:$E$7984,5,FALSE))</f>
        <v>0</v>
      </c>
      <c r="I3741" s="52" t="str">
        <f t="shared" si="1622"/>
        <v>SIM</v>
      </c>
      <c r="J3741" s="52" t="str">
        <f>IF(H3741="","",VLOOKUP(A3741,'6.A'!$A$11:$E$564,4,FALSE))</f>
        <v>M2</v>
      </c>
      <c r="K3741" s="52" t="str">
        <f t="shared" si="1623"/>
        <v>SIM</v>
      </c>
      <c r="L3741" s="52">
        <f>IF(H3741="","",IF(C3741="","",G3704*C3741))</f>
        <v>14.644800000000002</v>
      </c>
      <c r="M3741" s="117" t="str">
        <f>IF(A3741="","",VLOOKUP(A3741,'6.A'!$A$11:$C$564,2,FALSE))</f>
        <v>TELA DE ACO SOLDADA NERVURADA, CA-60, Q-113, (1,8 KG/M2), DIAMETRO DO FIO = 3,8 MM, LARGURA = 2,45 M, ESPACAMENTO DA MALHA = 10 X 10 CM</v>
      </c>
      <c r="N3741" s="57" t="str">
        <f t="shared" si="1624"/>
        <v>si</v>
      </c>
      <c r="O3741" s="56"/>
      <c r="P3741" s="56"/>
      <c r="Q3741" s="48"/>
      <c r="R3741" s="48"/>
      <c r="S3741" s="65"/>
      <c r="T3741" s="2"/>
      <c r="U3741" s="2"/>
      <c r="V3741" s="2"/>
    </row>
    <row r="3742" spans="1:22" s="149" customFormat="1" ht="12.75" customHeight="1" x14ac:dyDescent="0.2">
      <c r="A3742" s="155" t="str">
        <f>'6.A'!$A$53</f>
        <v>CV00201</v>
      </c>
      <c r="B3742" s="138" t="str">
        <f>IF(A3742="","",VLOOKUP(A3742,'6.A'!$A$11:$G$180,2,FALSE))</f>
        <v>CONCRETO ESTRUTURAL USINADO FCK 25 MPA</v>
      </c>
      <c r="C3742" s="156">
        <f>(0.135*1.06)</f>
        <v>0.1431</v>
      </c>
      <c r="D3742" s="141" t="str">
        <f>IF(A3742="","",VLOOKUP(A3742,'6.A'!$A$11:$G$180,4,FALSE))</f>
        <v>M3</v>
      </c>
      <c r="E3742" s="160">
        <f>IF(A3742="","",VLOOKUP(A3742,'6.A'!$A$11:$G$180,5,FALSE))</f>
        <v>0</v>
      </c>
      <c r="F3742" s="159">
        <f t="shared" si="1621"/>
        <v>0</v>
      </c>
      <c r="G3742" s="52"/>
      <c r="H3742" s="52">
        <f>IF(A3742="","",VLOOKUP(A3742,'6.A'!$A$11:$E$7984,5,FALSE))</f>
        <v>0</v>
      </c>
      <c r="I3742" s="52" t="str">
        <f t="shared" si="1622"/>
        <v>SIM</v>
      </c>
      <c r="J3742" s="52" t="str">
        <f>IF(H3742="","",VLOOKUP(A3742,'6.A'!$A$11:$E$564,4,FALSE))</f>
        <v>M3</v>
      </c>
      <c r="K3742" s="52" t="str">
        <f t="shared" si="1623"/>
        <v>SIM</v>
      </c>
      <c r="L3742" s="52">
        <f>IF(H3742="","",IF(C3742="","",G3704*C3742))</f>
        <v>0.85860000000000003</v>
      </c>
      <c r="M3742" s="117" t="str">
        <f>IF(A3742="","",VLOOKUP(A3742,'6.A'!$A$11:$C$564,2,FALSE))</f>
        <v>CONCRETO ESTRUTURAL USINADO FCK 25 MPA</v>
      </c>
      <c r="N3742" s="57" t="str">
        <f t="shared" si="1624"/>
        <v>si</v>
      </c>
      <c r="O3742" s="56"/>
      <c r="P3742" s="56"/>
      <c r="Q3742" s="48"/>
      <c r="R3742" s="48"/>
      <c r="S3742" s="65"/>
      <c r="T3742" s="2"/>
      <c r="U3742" s="2"/>
      <c r="V3742" s="2"/>
    </row>
    <row r="3743" spans="1:22" s="149" customFormat="1" ht="12.75" customHeight="1" x14ac:dyDescent="0.2">
      <c r="A3743" s="155"/>
      <c r="B3743" s="138" t="str">
        <f>IF(A3743="","",VLOOKUP(A3743,'6.A'!$A$11:$G$180,2,FALSE))</f>
        <v/>
      </c>
      <c r="C3743" s="156"/>
      <c r="D3743" s="141" t="str">
        <f>IF(A3743="","",VLOOKUP(A3743,'6.A'!$A$11:$G$180,4,FALSE))</f>
        <v/>
      </c>
      <c r="E3743" s="160" t="str">
        <f>IF(A3743="","",VLOOKUP(A3743,'6.A'!$A$11:$G$180,5,FALSE))</f>
        <v/>
      </c>
      <c r="F3743" s="159" t="str">
        <f t="shared" si="1621"/>
        <v>0,00</v>
      </c>
      <c r="G3743" s="52"/>
      <c r="H3743" s="52" t="str">
        <f>IF(A3743="","",VLOOKUP(A3743,'6.A'!$A$11:$E$7984,5,FALSE))</f>
        <v/>
      </c>
      <c r="I3743" s="52" t="str">
        <f t="shared" si="1622"/>
        <v/>
      </c>
      <c r="J3743" s="52" t="str">
        <f>IF(H3743="","",VLOOKUP(A3743,'6.A'!$A$11:$E$564,4,FALSE))</f>
        <v/>
      </c>
      <c r="K3743" s="52" t="str">
        <f t="shared" si="1623"/>
        <v/>
      </c>
      <c r="L3743" s="52" t="str">
        <f>IF(H3743="","",IF(C3743="","",G3704*C3743))</f>
        <v/>
      </c>
      <c r="M3743" s="117" t="str">
        <f>IF(A3743="","",VLOOKUP(A3743,'6.A'!$A$11:$C$564,2,FALSE))</f>
        <v/>
      </c>
      <c r="N3743" s="57" t="str">
        <f t="shared" si="1624"/>
        <v/>
      </c>
      <c r="O3743" s="56"/>
      <c r="P3743" s="56"/>
      <c r="Q3743" s="48"/>
      <c r="R3743" s="48"/>
      <c r="S3743" s="65"/>
      <c r="T3743" s="2"/>
      <c r="U3743" s="2"/>
      <c r="V3743" s="2"/>
    </row>
    <row r="3744" spans="1:22" s="149" customFormat="1" ht="12.75" customHeight="1" x14ac:dyDescent="0.2">
      <c r="A3744" s="155"/>
      <c r="B3744" s="138" t="str">
        <f>IF(A3744="","",VLOOKUP(A3744,'6.A'!$A$11:$G$180,2,FALSE))</f>
        <v/>
      </c>
      <c r="C3744" s="156"/>
      <c r="D3744" s="141" t="str">
        <f>IF(A3744="","",VLOOKUP(A3744,'6.A'!$A$11:$G$180,4,FALSE))</f>
        <v/>
      </c>
      <c r="E3744" s="160" t="str">
        <f>IF(A3744="","",VLOOKUP(A3744,'6.A'!$A$11:$G$180,5,FALSE))</f>
        <v/>
      </c>
      <c r="F3744" s="159" t="str">
        <f t="shared" si="1621"/>
        <v>0,00</v>
      </c>
      <c r="G3744" s="52"/>
      <c r="H3744" s="52" t="str">
        <f>IF(A3744="","",VLOOKUP(A3744,'6.A'!$A$11:$E$7984,5,FALSE))</f>
        <v/>
      </c>
      <c r="I3744" s="52" t="str">
        <f t="shared" si="1622"/>
        <v/>
      </c>
      <c r="J3744" s="52" t="str">
        <f>IF(H3744="","",VLOOKUP(A3744,'6.A'!$A$11:$E$564,4,FALSE))</f>
        <v/>
      </c>
      <c r="K3744" s="52" t="str">
        <f t="shared" si="1623"/>
        <v/>
      </c>
      <c r="L3744" s="52" t="str">
        <f>IF(H3744="","",IF(C3744="","",G3704*C3744))</f>
        <v/>
      </c>
      <c r="M3744" s="117" t="str">
        <f>IF(A3744="","",VLOOKUP(A3744,'6.A'!$A$11:$C$564,2,FALSE))</f>
        <v/>
      </c>
      <c r="N3744" s="57" t="str">
        <f t="shared" si="1624"/>
        <v/>
      </c>
      <c r="O3744" s="56"/>
      <c r="P3744" s="56"/>
      <c r="Q3744" s="48"/>
      <c r="R3744" s="48"/>
      <c r="S3744" s="65"/>
      <c r="T3744" s="2"/>
      <c r="U3744" s="2"/>
      <c r="V3744" s="2"/>
    </row>
    <row r="3745" spans="1:22" s="149" customFormat="1" ht="12.75" customHeight="1" x14ac:dyDescent="0.2">
      <c r="A3745" s="155"/>
      <c r="B3745" s="138" t="str">
        <f>IF(A3745="","",VLOOKUP(A3745,'6.A'!$A$11:$G$180,2,FALSE))</f>
        <v/>
      </c>
      <c r="C3745" s="156"/>
      <c r="D3745" s="141" t="str">
        <f>IF(A3745="","",VLOOKUP(A3745,'6.A'!$A$11:$G$180,4,FALSE))</f>
        <v/>
      </c>
      <c r="E3745" s="160" t="str">
        <f>IF(A3745="","",VLOOKUP(A3745,'6.A'!$A$11:$G$180,5,FALSE))</f>
        <v/>
      </c>
      <c r="F3745" s="159" t="str">
        <f t="shared" si="1621"/>
        <v>0,00</v>
      </c>
      <c r="G3745" s="52"/>
      <c r="H3745" s="52" t="str">
        <f>IF(A3745="","",VLOOKUP(A3745,'6.A'!$A$11:$E$7984,5,FALSE))</f>
        <v/>
      </c>
      <c r="I3745" s="52" t="str">
        <f t="shared" si="1622"/>
        <v/>
      </c>
      <c r="J3745" s="52" t="str">
        <f>IF(H3745="","",VLOOKUP(A3745,'6.A'!$A$11:$E$564,4,FALSE))</f>
        <v/>
      </c>
      <c r="K3745" s="52" t="str">
        <f t="shared" si="1623"/>
        <v/>
      </c>
      <c r="L3745" s="52" t="str">
        <f>IF(H3745="","",IF(C3745="","",G3704*C3745))</f>
        <v/>
      </c>
      <c r="M3745" s="117" t="str">
        <f>IF(A3745="","",VLOOKUP(A3745,'6.A'!$A$11:$C$564,2,FALSE))</f>
        <v/>
      </c>
      <c r="N3745" s="57" t="str">
        <f t="shared" si="1624"/>
        <v/>
      </c>
      <c r="O3745" s="56"/>
      <c r="P3745" s="56"/>
      <c r="Q3745" s="48"/>
      <c r="R3745" s="48"/>
      <c r="S3745" s="65"/>
      <c r="T3745" s="2"/>
      <c r="U3745" s="2"/>
      <c r="V3745" s="2"/>
    </row>
    <row r="3746" spans="1:22" s="149" customFormat="1" ht="12.75" customHeight="1" x14ac:dyDescent="0.2">
      <c r="A3746" s="155"/>
      <c r="B3746" s="138" t="str">
        <f>IF(A3746="","",VLOOKUP(A3746,'6.A'!$A$11:$G$180,2,FALSE))</f>
        <v/>
      </c>
      <c r="C3746" s="156"/>
      <c r="D3746" s="141" t="str">
        <f>IF(A3746="","",VLOOKUP(A3746,'6.A'!$A$11:$G$180,4,FALSE))</f>
        <v/>
      </c>
      <c r="E3746" s="160" t="str">
        <f>IF(A3746="","",VLOOKUP(A3746,'6.A'!$A$11:$G$180,5,FALSE))</f>
        <v/>
      </c>
      <c r="F3746" s="159" t="str">
        <f t="shared" si="1621"/>
        <v>0,00</v>
      </c>
      <c r="G3746" s="52"/>
      <c r="H3746" s="52" t="str">
        <f>IF(A3746="","",VLOOKUP(A3746,'6.A'!$A$11:$E$7984,5,FALSE))</f>
        <v/>
      </c>
      <c r="I3746" s="52" t="str">
        <f t="shared" si="1622"/>
        <v/>
      </c>
      <c r="J3746" s="52" t="str">
        <f>IF(H3746="","",VLOOKUP(A3746,'6.A'!$A$11:$E$564,4,FALSE))</f>
        <v/>
      </c>
      <c r="K3746" s="52" t="str">
        <f t="shared" si="1623"/>
        <v/>
      </c>
      <c r="L3746" s="52" t="str">
        <f>IF(H3746="","",IF(C3746="","",G3704*C3746))</f>
        <v/>
      </c>
      <c r="M3746" s="117" t="str">
        <f>IF(A3746="","",VLOOKUP(A3746,'6.A'!$A$11:$C$564,2,FALSE))</f>
        <v/>
      </c>
      <c r="N3746" s="57" t="str">
        <f t="shared" si="1624"/>
        <v/>
      </c>
      <c r="O3746" s="56"/>
      <c r="P3746" s="56"/>
      <c r="Q3746" s="48"/>
      <c r="R3746" s="48"/>
      <c r="S3746" s="65"/>
      <c r="T3746" s="2"/>
      <c r="U3746" s="2"/>
      <c r="V3746" s="2"/>
    </row>
    <row r="3747" spans="1:22" s="149" customFormat="1" ht="12.75" customHeight="1" x14ac:dyDescent="0.2">
      <c r="A3747" s="155"/>
      <c r="B3747" s="138" t="str">
        <f>IF(A3747="","",VLOOKUP(A3747,'6.A'!$A$11:$G$180,2,FALSE))</f>
        <v/>
      </c>
      <c r="C3747" s="156"/>
      <c r="D3747" s="141" t="str">
        <f>IF(A3747="","",VLOOKUP(A3747,'6.A'!$A$11:$G$180,4,FALSE))</f>
        <v/>
      </c>
      <c r="E3747" s="160" t="str">
        <f>IF(A3747="","",VLOOKUP(A3747,'6.A'!$A$11:$G$180,5,FALSE))</f>
        <v/>
      </c>
      <c r="F3747" s="159" t="str">
        <f t="shared" si="1621"/>
        <v>0,00</v>
      </c>
      <c r="G3747" s="52"/>
      <c r="H3747" s="52" t="str">
        <f>IF(A3747="","",VLOOKUP(A3747,'6.A'!$A$11:$E$7984,5,FALSE))</f>
        <v/>
      </c>
      <c r="I3747" s="52" t="str">
        <f t="shared" si="1622"/>
        <v/>
      </c>
      <c r="J3747" s="52" t="str">
        <f>IF(H3747="","",VLOOKUP(A3747,'6.A'!$A$11:$E$564,4,FALSE))</f>
        <v/>
      </c>
      <c r="K3747" s="52" t="str">
        <f t="shared" si="1623"/>
        <v/>
      </c>
      <c r="L3747" s="52" t="str">
        <f>IF(H3747="","",IF(C3747="","",G3704*C3747))</f>
        <v/>
      </c>
      <c r="M3747" s="117" t="str">
        <f>IF(A3747="","",VLOOKUP(A3747,'6.A'!$A$11:$C$564,2,FALSE))</f>
        <v/>
      </c>
      <c r="N3747" s="57" t="str">
        <f t="shared" si="1624"/>
        <v/>
      </c>
      <c r="O3747" s="56"/>
      <c r="P3747" s="56"/>
      <c r="Q3747" s="48"/>
      <c r="R3747" s="48"/>
      <c r="S3747" s="65"/>
      <c r="T3747" s="2"/>
      <c r="U3747" s="2"/>
      <c r="V3747" s="2"/>
    </row>
    <row r="3748" spans="1:22" s="149" customFormat="1" ht="12.75" customHeight="1" x14ac:dyDescent="0.2">
      <c r="A3748" s="155"/>
      <c r="B3748" s="138" t="str">
        <f>IF(A3748="","",VLOOKUP(A3748,'6.A'!$A$11:$G$180,2,FALSE))</f>
        <v/>
      </c>
      <c r="C3748" s="156"/>
      <c r="D3748" s="141" t="str">
        <f>IF(A3748="","",VLOOKUP(A3748,'6.A'!$A$11:$G$180,4,FALSE))</f>
        <v/>
      </c>
      <c r="E3748" s="160" t="str">
        <f>IF(A3748="","",VLOOKUP(A3748,'6.A'!$A$11:$G$180,5,FALSE))</f>
        <v/>
      </c>
      <c r="F3748" s="159" t="str">
        <f t="shared" si="1621"/>
        <v>0,00</v>
      </c>
      <c r="G3748" s="52"/>
      <c r="H3748" s="52" t="str">
        <f>IF(A3748="","",VLOOKUP(A3748,'6.A'!$A$11:$E$7984,5,FALSE))</f>
        <v/>
      </c>
      <c r="I3748" s="52" t="str">
        <f t="shared" si="1622"/>
        <v/>
      </c>
      <c r="J3748" s="52" t="str">
        <f>IF(H3748="","",VLOOKUP(A3748,'6.A'!$A$11:$E$564,4,FALSE))</f>
        <v/>
      </c>
      <c r="K3748" s="52" t="str">
        <f t="shared" si="1623"/>
        <v/>
      </c>
      <c r="L3748" s="52" t="str">
        <f>IF(H3748="","",IF(C3748="","",G3704*C3748))</f>
        <v/>
      </c>
      <c r="M3748" s="117" t="str">
        <f>IF(A3748="","",VLOOKUP(A3748,'6.A'!$A$11:$C$564,2,FALSE))</f>
        <v/>
      </c>
      <c r="N3748" s="57" t="str">
        <f t="shared" si="1624"/>
        <v/>
      </c>
      <c r="O3748" s="56"/>
      <c r="P3748" s="56"/>
      <c r="Q3748" s="48"/>
      <c r="R3748" s="48"/>
      <c r="S3748" s="65"/>
      <c r="T3748" s="2"/>
      <c r="U3748" s="2"/>
      <c r="V3748" s="2"/>
    </row>
    <row r="3749" spans="1:22" s="137" customFormat="1" ht="12.75" customHeight="1" x14ac:dyDescent="0.2">
      <c r="A3749" s="155"/>
      <c r="B3749" s="171" t="str">
        <f>IF(A3749="","",VLOOKUP(A3749,'6.A'!$A$11:$G$180,2,FALSE))</f>
        <v/>
      </c>
      <c r="C3749" s="156"/>
      <c r="D3749" s="141" t="str">
        <f>IF(A3749="","",VLOOKUP(A3749,'6.A'!$A$11:$G$180,4,FALSE))</f>
        <v/>
      </c>
      <c r="E3749" s="160" t="str">
        <f>IF(A3749="","",VLOOKUP(A3749,'6.A'!$A$11:$G$180,5,FALSE))</f>
        <v/>
      </c>
      <c r="F3749" s="159" t="str">
        <f t="shared" si="1621"/>
        <v>0,00</v>
      </c>
      <c r="G3749" s="52"/>
      <c r="H3749" s="52" t="str">
        <f>IF(A3749="","",VLOOKUP(A3749,'6.A'!$A$11:$E$7984,5,FALSE))</f>
        <v/>
      </c>
      <c r="I3749" s="52" t="str">
        <f t="shared" si="1622"/>
        <v/>
      </c>
      <c r="J3749" s="52" t="str">
        <f>IF(H3749="","",VLOOKUP(A3749,'6.A'!$A$11:$E$564,4,FALSE))</f>
        <v/>
      </c>
      <c r="K3749" s="52" t="str">
        <f t="shared" si="1623"/>
        <v/>
      </c>
      <c r="L3749" s="52" t="str">
        <f>IF(H3749="","",IF(C3749="","",G3704*C3749))</f>
        <v/>
      </c>
      <c r="M3749" s="117" t="str">
        <f>IF(A3749="","",VLOOKUP(A3749,'6.A'!$A$11:$C$564,2,FALSE))</f>
        <v/>
      </c>
      <c r="N3749" s="57" t="str">
        <f t="shared" si="1624"/>
        <v/>
      </c>
      <c r="O3749" s="56"/>
      <c r="P3749" s="56"/>
      <c r="Q3749" s="48"/>
      <c r="R3749" s="48"/>
      <c r="S3749" s="65"/>
      <c r="T3749" s="2"/>
      <c r="U3749" s="2"/>
      <c r="V3749" s="2"/>
    </row>
    <row r="3750" spans="1:22" s="137" customFormat="1" ht="12.75" customHeight="1" x14ac:dyDescent="0.2">
      <c r="A3750" s="155"/>
      <c r="B3750" s="171" t="str">
        <f>IF(A3750="","",VLOOKUP(A3750,'6.A'!$A$11:$G$180,2,FALSE))</f>
        <v/>
      </c>
      <c r="C3750" s="156"/>
      <c r="D3750" s="141" t="str">
        <f>IF(A3750="","",VLOOKUP(A3750,'6.A'!$A$11:$G$180,4,FALSE))</f>
        <v/>
      </c>
      <c r="E3750" s="160" t="str">
        <f>IF(A3750="","",VLOOKUP(A3750,'6.A'!$A$11:$G$180,5,FALSE))</f>
        <v/>
      </c>
      <c r="F3750" s="159" t="str">
        <f t="shared" si="1621"/>
        <v>0,00</v>
      </c>
      <c r="G3750" s="52"/>
      <c r="H3750" s="52" t="str">
        <f>IF(A3750="","",VLOOKUP(A3750,'6.A'!$A$11:$E$7984,5,FALSE))</f>
        <v/>
      </c>
      <c r="I3750" s="52" t="str">
        <f t="shared" si="1622"/>
        <v/>
      </c>
      <c r="J3750" s="52" t="str">
        <f>IF(H3750="","",VLOOKUP(A3750,'6.A'!$A$11:$E$564,4,FALSE))</f>
        <v/>
      </c>
      <c r="K3750" s="52" t="str">
        <f t="shared" si="1623"/>
        <v/>
      </c>
      <c r="L3750" s="52" t="str">
        <f>IF(H3750="","",IF(C3750="","",G3704*C3750))</f>
        <v/>
      </c>
      <c r="M3750" s="117" t="str">
        <f>IF(A3750="","",VLOOKUP(A3750,'6.A'!$A$11:$C$564,2,FALSE))</f>
        <v/>
      </c>
      <c r="N3750" s="57" t="str">
        <f t="shared" si="1624"/>
        <v/>
      </c>
      <c r="O3750" s="56"/>
      <c r="P3750" s="56"/>
      <c r="Q3750" s="48"/>
      <c r="R3750" s="48"/>
      <c r="S3750" s="65"/>
      <c r="T3750" s="2"/>
      <c r="U3750" s="2"/>
      <c r="V3750" s="2"/>
    </row>
    <row r="3751" spans="1:22" s="137" customFormat="1" ht="12.75" customHeight="1" x14ac:dyDescent="0.2">
      <c r="A3751" s="155"/>
      <c r="B3751" s="171" t="str">
        <f>IF(A3751="","",VLOOKUP(A3751,'6.A'!$A$11:$G$180,2,FALSE))</f>
        <v/>
      </c>
      <c r="C3751" s="156"/>
      <c r="D3751" s="141" t="str">
        <f>IF(A3751="","",VLOOKUP(A3751,'6.A'!$A$11:$G$180,4,FALSE))</f>
        <v/>
      </c>
      <c r="E3751" s="160" t="str">
        <f>IF(A3751="","",VLOOKUP(A3751,'6.A'!$A$11:$G$180,5,FALSE))</f>
        <v/>
      </c>
      <c r="F3751" s="159" t="str">
        <f t="shared" si="1621"/>
        <v>0,00</v>
      </c>
      <c r="G3751" s="52"/>
      <c r="H3751" s="52" t="str">
        <f>IF(A3751="","",VLOOKUP(A3751,'6.A'!$A$11:$E$7984,5,FALSE))</f>
        <v/>
      </c>
      <c r="I3751" s="52" t="str">
        <f t="shared" si="1622"/>
        <v/>
      </c>
      <c r="J3751" s="52" t="str">
        <f>IF(H3751="","",VLOOKUP(A3751,'6.A'!$A$11:$E$564,4,FALSE))</f>
        <v/>
      </c>
      <c r="K3751" s="52" t="str">
        <f t="shared" si="1623"/>
        <v/>
      </c>
      <c r="L3751" s="52" t="str">
        <f>IF(H3751="","",IF(C3751="","",G3704*C3751))</f>
        <v/>
      </c>
      <c r="M3751" s="117" t="str">
        <f>IF(A3751="","",VLOOKUP(A3751,'6.A'!$A$11:$C$564,2,FALSE))</f>
        <v/>
      </c>
      <c r="N3751" s="57" t="str">
        <f t="shared" si="1624"/>
        <v/>
      </c>
      <c r="O3751" s="56"/>
      <c r="P3751" s="56"/>
      <c r="Q3751" s="48"/>
      <c r="R3751" s="48"/>
      <c r="S3751" s="65"/>
      <c r="T3751" s="2"/>
      <c r="U3751" s="2"/>
      <c r="V3751" s="2"/>
    </row>
    <row r="3752" spans="1:22" s="137" customFormat="1" ht="12.75" customHeight="1" x14ac:dyDescent="0.2">
      <c r="A3752" s="155"/>
      <c r="B3752" s="171" t="str">
        <f>IF(A3752="","",VLOOKUP(A3752,'6.A'!$A$11:$G$180,2,FALSE))</f>
        <v/>
      </c>
      <c r="C3752" s="156"/>
      <c r="D3752" s="141" t="str">
        <f>IF(A3752="","",VLOOKUP(A3752,'6.A'!$A$11:$G$180,4,FALSE))</f>
        <v/>
      </c>
      <c r="E3752" s="160" t="str">
        <f>IF(A3752="","",VLOOKUP(A3752,'6.A'!$A$11:$G$180,5,FALSE))</f>
        <v/>
      </c>
      <c r="F3752" s="159" t="str">
        <f t="shared" si="1621"/>
        <v>0,00</v>
      </c>
      <c r="G3752" s="52"/>
      <c r="H3752" s="52" t="str">
        <f>IF(A3752="","",VLOOKUP(A3752,'6.A'!$A$11:$E$7984,5,FALSE))</f>
        <v/>
      </c>
      <c r="I3752" s="52" t="str">
        <f t="shared" si="1622"/>
        <v/>
      </c>
      <c r="J3752" s="52" t="str">
        <f>IF(H3752="","",VLOOKUP(A3752,'6.A'!$A$11:$E$564,4,FALSE))</f>
        <v/>
      </c>
      <c r="K3752" s="52" t="str">
        <f t="shared" si="1623"/>
        <v/>
      </c>
      <c r="L3752" s="52" t="str">
        <f>IF(H3752="","",IF(C3752="","",G3704*C3752))</f>
        <v/>
      </c>
      <c r="M3752" s="117" t="str">
        <f>IF(A3752="","",VLOOKUP(A3752,'6.A'!$A$11:$C$564,2,FALSE))</f>
        <v/>
      </c>
      <c r="N3752" s="57" t="str">
        <f t="shared" si="1624"/>
        <v/>
      </c>
      <c r="O3752" s="56"/>
      <c r="P3752" s="56"/>
      <c r="Q3752" s="48"/>
      <c r="R3752" s="48"/>
      <c r="S3752" s="65"/>
      <c r="T3752" s="2"/>
      <c r="U3752" s="2"/>
      <c r="V3752" s="2"/>
    </row>
    <row r="3753" spans="1:22" s="137" customFormat="1" ht="12.75" customHeight="1" x14ac:dyDescent="0.2">
      <c r="A3753" s="155"/>
      <c r="B3753" s="26" t="str">
        <f>$A$9</f>
        <v>BDI</v>
      </c>
      <c r="C3753" s="40">
        <f>$C$9</f>
        <v>0</v>
      </c>
      <c r="D3753" s="141"/>
      <c r="E3753" s="147"/>
      <c r="F3753" s="162">
        <f>ROUND(SUM(F3733:F3752)*C3753,2)</f>
        <v>0</v>
      </c>
      <c r="G3753" s="63"/>
      <c r="H3753" s="52"/>
      <c r="I3753" s="57"/>
      <c r="J3753" s="57"/>
      <c r="K3753" s="57"/>
      <c r="L3753" s="52"/>
      <c r="M3753" s="57"/>
      <c r="N3753" s="57"/>
      <c r="O3753" s="56"/>
      <c r="P3753" s="56"/>
      <c r="Q3753" s="48"/>
      <c r="R3753" s="48"/>
      <c r="S3753" s="65"/>
      <c r="T3753" s="2"/>
      <c r="U3753" s="2"/>
      <c r="V3753" s="2"/>
    </row>
    <row r="3754" spans="1:22" s="137" customFormat="1" ht="12.75" customHeight="1" thickBot="1" x14ac:dyDescent="0.25">
      <c r="A3754" s="172"/>
      <c r="B3754" s="42" t="s">
        <v>57</v>
      </c>
      <c r="C3754" s="43"/>
      <c r="D3754" s="173"/>
      <c r="E3754" s="174"/>
      <c r="F3754" s="175">
        <f>ROUND(SUM(F3733:F3753),2)</f>
        <v>0</v>
      </c>
      <c r="G3754" s="63"/>
      <c r="H3754" s="52"/>
      <c r="I3754" s="57"/>
      <c r="J3754" s="57"/>
      <c r="K3754" s="57"/>
      <c r="L3754" s="52"/>
      <c r="M3754" s="57"/>
      <c r="N3754" s="57"/>
      <c r="O3754" s="56"/>
      <c r="P3754" s="56"/>
      <c r="Q3754" s="48"/>
      <c r="R3754" s="48"/>
      <c r="S3754" s="65"/>
      <c r="T3754" s="2"/>
      <c r="U3754" s="2"/>
      <c r="V3754" s="2"/>
    </row>
    <row r="3755" spans="1:22" s="149" customFormat="1" ht="12" customHeight="1" thickBot="1" x14ac:dyDescent="0.25">
      <c r="A3755" s="150"/>
      <c r="B3755" s="145"/>
      <c r="C3755" s="146"/>
      <c r="D3755" s="141"/>
      <c r="E3755" s="147"/>
      <c r="F3755" s="142"/>
      <c r="G3755" s="142"/>
      <c r="H3755" s="139"/>
      <c r="I3755" s="141"/>
      <c r="J3755" s="141"/>
      <c r="K3755" s="141"/>
      <c r="L3755" s="139"/>
      <c r="M3755" s="143"/>
      <c r="N3755" s="143"/>
      <c r="O3755" s="144"/>
      <c r="P3755" s="144"/>
      <c r="Q3755" s="135"/>
      <c r="R3755" s="135"/>
      <c r="T3755" s="137"/>
      <c r="U3755" s="137"/>
      <c r="V3755" s="137"/>
    </row>
    <row r="3756" spans="1:22" s="137" customFormat="1" ht="50.1" customHeight="1" x14ac:dyDescent="0.2">
      <c r="A3756" s="151" t="str">
        <f>'3.A'!$A$79</f>
        <v>3.5.2</v>
      </c>
      <c r="B3756" s="14" t="str">
        <f>IF(A3756="","",VLOOKUP(A3756,'3.A'!$A$17:$M$279,2,FALSE))</f>
        <v>ALVENARIA ESTRUTURAL DE BLOCOS CERÂMICOS 14X19X29, (ESPESSURA DE 14 CM), UTILIZANDO COLHER DE PEDREIRO E ARGAMASSA DE ASSENTAMENTO COM PREPARO MANUAL</v>
      </c>
      <c r="C3756" s="413" t="s">
        <v>62</v>
      </c>
      <c r="D3756" s="413"/>
      <c r="E3756" s="15" t="str">
        <f>IF(A3756="","",VLOOKUP(A3756,'3.A'!$A$17:$M$279,3,FALSE))</f>
        <v>M2</v>
      </c>
      <c r="F3756" s="16">
        <f>ROUND(F3770+F3783+F3806,2)</f>
        <v>0</v>
      </c>
      <c r="G3756" s="118">
        <f>VLOOKUP(A3756,'3.A'!$A$19:$I$279,4,FALSE)</f>
        <v>10</v>
      </c>
      <c r="H3756" s="47">
        <f>SUM(F3758:F3769)</f>
        <v>0</v>
      </c>
      <c r="I3756" s="47">
        <f>SUM(F3772:F3782)</f>
        <v>0</v>
      </c>
      <c r="J3756" s="47">
        <f>SUM(F3785:F3805)</f>
        <v>0</v>
      </c>
      <c r="K3756" s="47">
        <f>SUM(H3756:J3756)</f>
        <v>0</v>
      </c>
      <c r="L3756" s="47" t="str">
        <f>IF(K3756=F3756,"SIM","NÃO")</f>
        <v>SIM</v>
      </c>
      <c r="M3756" s="58">
        <f>ROUND(SUM(F3758:F3767)*C3768,2)+ROUND(SUM(F3758:F3768)*C3769,2)+ROUND(SUM(F3758:F3767),2)+ROUND(SUM(F3772:F3781)*C3782,2)+ROUND(SUM(F3772:F3781),2)+ROUND(SUM(F3785:F3804)*C3805,2)+ROUND(SUM(F3785:F3804),2)</f>
        <v>0</v>
      </c>
      <c r="N3756" s="50" t="str">
        <f>IF(M3756=F3756,"SIM","NÃO")</f>
        <v>SIM</v>
      </c>
      <c r="O3756" s="51" t="str">
        <f>VLOOKUP(A3756,'3.A'!$A$8:$E$279,3,FALSE)</f>
        <v>M2</v>
      </c>
      <c r="P3756" s="51" t="str">
        <f>IF(O3756=E3756,"SIM","NÃO")</f>
        <v>SIM</v>
      </c>
      <c r="Q3756" s="53">
        <f>ROUND(G3756*F3770,2)+ROUND(G3756*F3783,2)+ROUND(G3756*F3806,2)</f>
        <v>0</v>
      </c>
      <c r="R3756" s="59">
        <f>VLOOKUP(A3756,'3.A'!$A$17:$L$279,12,FALSE)</f>
        <v>0</v>
      </c>
      <c r="S3756" s="60" t="str">
        <f>IF(Q3756=R3756,"si","no")</f>
        <v>si</v>
      </c>
      <c r="T3756" s="61">
        <f>SUM(L3758:L3767)+SUM(L3772:L3781)+SUM(L3785:L3804)</f>
        <v>273.91055999999998</v>
      </c>
      <c r="U3756" s="52">
        <f>G3756*C3764+G3756*C3766+G3756*C3759+G3756*C3760+G3756*C3762+G3756*C3765+G3756*C3763+G3756*C3758+G3756*C3761+G3756*C3767+G3756*C3778+G3756*C3772+G3756*C3780+G3756*C3779+G3756*C3777+G3756*C3774+G3756*C3773+G3756*C3775+G3756*C3781+G3756*C3776+G3756*C3785+G3756*C3786+G3756*C3787+G3756*C3795+G3756*C3796+G3756*C3797+G3756*C3798+G3756*C3799+G3756*C3800+G3756*C3801+G3756*C3802+G3756*C3803+G3756*C3804+G3756*C3793+G3756*C3794+G3756*C3788+G3756*C3789+G3756*C3790+G3756*C3791+G3756*C3792</f>
        <v>273.91055999999998</v>
      </c>
      <c r="V3756" s="54" t="str">
        <f>IF(T3756=U3756,"si","no")</f>
        <v>si</v>
      </c>
    </row>
    <row r="3757" spans="1:22" s="137" customFormat="1" ht="12.75" customHeight="1" x14ac:dyDescent="0.2">
      <c r="A3757" s="152" t="s">
        <v>3</v>
      </c>
      <c r="B3757" s="153" t="s">
        <v>58</v>
      </c>
      <c r="C3757" s="140" t="s">
        <v>59</v>
      </c>
      <c r="D3757" s="140" t="s">
        <v>16</v>
      </c>
      <c r="E3757" s="154" t="s">
        <v>60</v>
      </c>
      <c r="F3757" s="148" t="s">
        <v>61</v>
      </c>
      <c r="G3757" s="21"/>
      <c r="H3757" s="52"/>
      <c r="I3757" s="57"/>
      <c r="J3757" s="57"/>
      <c r="K3757" s="57"/>
      <c r="L3757" s="52"/>
      <c r="M3757" s="57"/>
      <c r="N3757" s="57"/>
      <c r="O3757" s="56"/>
      <c r="P3757" s="56"/>
      <c r="Q3757" s="48"/>
      <c r="R3757" s="48"/>
      <c r="S3757" s="65"/>
      <c r="T3757" s="2"/>
      <c r="U3757" s="2"/>
      <c r="V3757" s="2"/>
    </row>
    <row r="3758" spans="1:22" s="137" customFormat="1" ht="12.75" customHeight="1" x14ac:dyDescent="0.2">
      <c r="A3758" s="155">
        <f>'6.A'!$A$20</f>
        <v>88309</v>
      </c>
      <c r="B3758" s="138" t="str">
        <f>IF(A3758="","",VLOOKUP(A3758,'6.A'!$A$11:$G$180,2,FALSE))</f>
        <v>PEDREIRO COM ENCARGOS COMPLEMENTARES</v>
      </c>
      <c r="C3758" s="156">
        <v>1.2</v>
      </c>
      <c r="D3758" s="157" t="str">
        <f>IF(A3758="","",VLOOKUP(A3758,'6.A'!$A$11:$G$180,4,FALSE))</f>
        <v>H</v>
      </c>
      <c r="E3758" s="158">
        <f>IF(A3758="","",VLOOKUP(A3758,'6.A'!$A$11:$G$180,5,FALSE))</f>
        <v>0</v>
      </c>
      <c r="F3758" s="159">
        <f t="shared" ref="F3758:F3767" si="1625">IF(A3758="","0,00",ROUND(C3758*E3758,2))</f>
        <v>0</v>
      </c>
      <c r="G3758" s="52"/>
      <c r="H3758" s="52">
        <f>IF(A3758="","",VLOOKUP(A3758,'6.A'!$A$11:$E$7984,5,FALSE))</f>
        <v>0</v>
      </c>
      <c r="I3758" s="52" t="str">
        <f>IF(H3758="","",IF(E3758=H3758,"SIM","NÃO"))</f>
        <v>SIM</v>
      </c>
      <c r="J3758" s="52" t="str">
        <f>IF(H3758="","",VLOOKUP(A3758,'6.A'!$A$11:$E$564,4,FALSE))</f>
        <v>H</v>
      </c>
      <c r="K3758" s="52" t="str">
        <f>IF(H3758="","",IF(J3758=D3758,"SIM","NÃO"))</f>
        <v>SIM</v>
      </c>
      <c r="L3758" s="52">
        <f>IF(H3758="","",IF(C3758="","",G3756*C3758))</f>
        <v>12</v>
      </c>
      <c r="M3758" s="117" t="str">
        <f>IF(A3758="","",VLOOKUP(A3758,'6.A'!$A$11:$C$564,2,FALSE))</f>
        <v>PEDREIRO COM ENCARGOS COMPLEMENTARES</v>
      </c>
      <c r="N3758" s="57" t="str">
        <f>IF(A3758="","",IF(M3758=B3758,"si","no"))</f>
        <v>si</v>
      </c>
      <c r="O3758" s="56"/>
      <c r="P3758" s="56"/>
      <c r="Q3758" s="48"/>
      <c r="R3758" s="48"/>
      <c r="S3758" s="65"/>
      <c r="T3758" s="2"/>
      <c r="U3758" s="2"/>
      <c r="V3758" s="2"/>
    </row>
    <row r="3759" spans="1:22" s="137" customFormat="1" ht="12.75" customHeight="1" x14ac:dyDescent="0.2">
      <c r="A3759" s="155">
        <f>'6.A'!$A$22</f>
        <v>88316</v>
      </c>
      <c r="B3759" s="138" t="str">
        <f>IF(A3759="","",VLOOKUP(A3759,'6.A'!$A$11:$G$180,2,FALSE))</f>
        <v>SERVENTE COM ENCARGOS COMPLEMENTARES</v>
      </c>
      <c r="C3759" s="156">
        <f>0.6+(0.0192*11.23)</f>
        <v>0.81561600000000001</v>
      </c>
      <c r="D3759" s="157" t="str">
        <f>IF(A3759="","",VLOOKUP(A3759,'6.A'!$A$11:$G$180,4,FALSE))</f>
        <v>H</v>
      </c>
      <c r="E3759" s="158">
        <f>IF(A3759="","",VLOOKUP(A3759,'6.A'!$A$11:$G$180,5,FALSE))</f>
        <v>0</v>
      </c>
      <c r="F3759" s="159">
        <f t="shared" si="1625"/>
        <v>0</v>
      </c>
      <c r="G3759" s="52"/>
      <c r="H3759" s="52">
        <f>IF(A3759="","",VLOOKUP(A3759,'6.A'!$A$11:$E$7984,5,FALSE))</f>
        <v>0</v>
      </c>
      <c r="I3759" s="52" t="str">
        <f>IF(H3759="","",IF(E3759=H3759,"SIM","NÃO"))</f>
        <v>SIM</v>
      </c>
      <c r="J3759" s="52" t="str">
        <f>IF(H3759="","",VLOOKUP(A3759,'6.A'!$A$11:$E$564,4,FALSE))</f>
        <v>H</v>
      </c>
      <c r="K3759" s="52" t="str">
        <f>IF(H3759="","",IF(J3759=D3759,"SIM","NÃO"))</f>
        <v>SIM</v>
      </c>
      <c r="L3759" s="52">
        <f>IF(H3759="","",IF(C3759="","",G3756*C3759))</f>
        <v>8.1561599999999999</v>
      </c>
      <c r="M3759" s="117" t="str">
        <f>IF(A3759="","",VLOOKUP(A3759,'6.A'!$A$11:$C$564,2,FALSE))</f>
        <v>SERVENTE COM ENCARGOS COMPLEMENTARES</v>
      </c>
      <c r="N3759" s="57" t="str">
        <f>IF(A3759="","",IF(M3759=B3759,"si","no"))</f>
        <v>si</v>
      </c>
      <c r="O3759" s="56"/>
      <c r="P3759" s="56"/>
      <c r="Q3759" s="48"/>
      <c r="R3759" s="48"/>
      <c r="S3759" s="65"/>
      <c r="T3759" s="2"/>
      <c r="U3759" s="2"/>
      <c r="V3759" s="2"/>
    </row>
    <row r="3760" spans="1:22" s="137" customFormat="1" ht="12.75" customHeight="1" x14ac:dyDescent="0.2">
      <c r="A3760" s="155"/>
      <c r="B3760" s="138" t="str">
        <f>IF(A3760="","",VLOOKUP(A3760,'6.A'!$A$11:$G$180,2,FALSE))</f>
        <v/>
      </c>
      <c r="C3760" s="156"/>
      <c r="D3760" s="157" t="str">
        <f>IF(A3760="","",VLOOKUP(A3760,'6.A'!$A$11:$G$180,4,FALSE))</f>
        <v/>
      </c>
      <c r="E3760" s="158" t="str">
        <f>IF(A3760="","",VLOOKUP(A3760,'6.A'!$A$11:$G$180,5,FALSE))</f>
        <v/>
      </c>
      <c r="F3760" s="159" t="str">
        <f t="shared" si="1625"/>
        <v>0,00</v>
      </c>
      <c r="G3760" s="52"/>
      <c r="H3760" s="52" t="str">
        <f>IF(A3760="","",VLOOKUP(A3760,'6.A'!$A$11:$E$7984,5,FALSE))</f>
        <v/>
      </c>
      <c r="I3760" s="52" t="str">
        <f>IF(H3760="","",IF(E3760=H3760,"SIM","NÃO"))</f>
        <v/>
      </c>
      <c r="J3760" s="52" t="str">
        <f>IF(H3760="","",VLOOKUP(A3760,'6.A'!$A$11:$E$564,4,FALSE))</f>
        <v/>
      </c>
      <c r="K3760" s="52" t="str">
        <f t="shared" ref="K3760" si="1626">IF(H3760="","",IF(J3760=D3760,"SIM","NÃO"))</f>
        <v/>
      </c>
      <c r="L3760" s="52" t="str">
        <f>IF(H3760="","",IF(C3760="","",G3756*C3760))</f>
        <v/>
      </c>
      <c r="M3760" s="117" t="str">
        <f>IF(A3760="","",VLOOKUP(A3760,'6.A'!$A$11:$C$564,2,FALSE))</f>
        <v/>
      </c>
      <c r="N3760" s="57" t="str">
        <f t="shared" ref="N3760" si="1627">IF(A3760="","",IF(M3760=B3760,"si","no"))</f>
        <v/>
      </c>
      <c r="O3760" s="56"/>
      <c r="P3760" s="56"/>
      <c r="Q3760" s="48"/>
      <c r="R3760" s="48"/>
      <c r="S3760" s="65"/>
      <c r="T3760" s="2"/>
      <c r="U3760" s="2"/>
      <c r="V3760" s="2"/>
    </row>
    <row r="3761" spans="1:22" s="137" customFormat="1" ht="12.75" customHeight="1" x14ac:dyDescent="0.2">
      <c r="A3761" s="155"/>
      <c r="B3761" s="138" t="str">
        <f>IF(A3761="","",VLOOKUP(A3761,'6.A'!$A$11:$G$180,2,FALSE))</f>
        <v/>
      </c>
      <c r="C3761" s="156"/>
      <c r="D3761" s="157" t="str">
        <f>IF(A3761="","",VLOOKUP(A3761,'6.A'!$A$11:$G$180,4,FALSE))</f>
        <v/>
      </c>
      <c r="E3761" s="158" t="str">
        <f>IF(A3761="","",VLOOKUP(A3761,'6.A'!$A$11:$G$180,5,FALSE))</f>
        <v/>
      </c>
      <c r="F3761" s="159" t="str">
        <f t="shared" si="1625"/>
        <v>0,00</v>
      </c>
      <c r="G3761" s="52"/>
      <c r="H3761" s="52" t="str">
        <f>IF(A3761="","",VLOOKUP(A3761,'6.A'!$A$11:$E$7984,5,FALSE))</f>
        <v/>
      </c>
      <c r="I3761" s="52" t="str">
        <f>IF(H3761="","",IF(E3761=H3761,"SIM","NÃO"))</f>
        <v/>
      </c>
      <c r="J3761" s="52" t="str">
        <f>IF(H3761="","",VLOOKUP(A3761,'6.A'!$A$11:$E$564,4,FALSE))</f>
        <v/>
      </c>
      <c r="K3761" s="52" t="str">
        <f>IF(H3761="","",IF(J3761=D3761,"SIM","NÃO"))</f>
        <v/>
      </c>
      <c r="L3761" s="52" t="str">
        <f>IF(H3761="","",IF(C3761="","",G3756*C3761))</f>
        <v/>
      </c>
      <c r="M3761" s="117" t="str">
        <f>IF(A3761="","",VLOOKUP(A3761,'6.A'!$A$11:$C$564,2,FALSE))</f>
        <v/>
      </c>
      <c r="N3761" s="57" t="str">
        <f>IF(A3761="","",IF(M3761=B3761,"si","no"))</f>
        <v/>
      </c>
      <c r="O3761" s="56"/>
      <c r="P3761" s="56"/>
      <c r="Q3761" s="48"/>
      <c r="R3761" s="48"/>
      <c r="S3761" s="65"/>
      <c r="T3761" s="2"/>
      <c r="U3761" s="2"/>
      <c r="V3761" s="2"/>
    </row>
    <row r="3762" spans="1:22" s="137" customFormat="1" ht="12.75" customHeight="1" x14ac:dyDescent="0.2">
      <c r="A3762" s="155"/>
      <c r="B3762" s="138" t="str">
        <f>IF(A3762="","",VLOOKUP(A3762,'6.A'!$A$11:$G$180,2,FALSE))</f>
        <v/>
      </c>
      <c r="C3762" s="156"/>
      <c r="D3762" s="157" t="str">
        <f>IF(A3762="","",VLOOKUP(A3762,'6.A'!$A$11:$G$180,4,FALSE))</f>
        <v/>
      </c>
      <c r="E3762" s="158" t="str">
        <f>IF(A3762="","",VLOOKUP(A3762,'6.A'!$A$11:$G$180,5,FALSE))</f>
        <v/>
      </c>
      <c r="F3762" s="159" t="str">
        <f t="shared" si="1625"/>
        <v>0,00</v>
      </c>
      <c r="G3762" s="52"/>
      <c r="H3762" s="52" t="str">
        <f>IF(A3762="","",VLOOKUP(A3762,'6.A'!$A$11:$E$7984,5,FALSE))</f>
        <v/>
      </c>
      <c r="I3762" s="52" t="str">
        <f t="shared" ref="I3762" si="1628">IF(H3762="","",IF(E3762=H3762,"SIM","NÃO"))</f>
        <v/>
      </c>
      <c r="J3762" s="52" t="str">
        <f>IF(H3762="","",VLOOKUP(A3762,'6.A'!$A$11:$E$564,4,FALSE))</f>
        <v/>
      </c>
      <c r="K3762" s="52" t="str">
        <f t="shared" ref="K3762" si="1629">IF(H3762="","",IF(J3762=D3762,"SIM","NÃO"))</f>
        <v/>
      </c>
      <c r="L3762" s="52" t="str">
        <f>IF(H3762="","",IF(C3762="","",G3756*C3762))</f>
        <v/>
      </c>
      <c r="M3762" s="117" t="str">
        <f>IF(A3762="","",VLOOKUP(A3762,'6.A'!$A$11:$C$564,2,FALSE))</f>
        <v/>
      </c>
      <c r="N3762" s="57" t="str">
        <f t="shared" ref="N3762" si="1630">IF(A3762="","",IF(M3762=B3762,"si","no"))</f>
        <v/>
      </c>
      <c r="O3762" s="56"/>
      <c r="P3762" s="56"/>
      <c r="Q3762" s="48"/>
      <c r="R3762" s="48"/>
      <c r="S3762" s="65"/>
      <c r="T3762" s="2"/>
      <c r="U3762" s="2"/>
      <c r="V3762" s="2"/>
    </row>
    <row r="3763" spans="1:22" s="137" customFormat="1" ht="12.75" customHeight="1" x14ac:dyDescent="0.2">
      <c r="A3763" s="155"/>
      <c r="B3763" s="138" t="str">
        <f>IF(A3763="","",VLOOKUP(A3763,'6.A'!$A$11:$G$180,2,FALSE))</f>
        <v/>
      </c>
      <c r="C3763" s="156"/>
      <c r="D3763" s="157" t="str">
        <f>IF(A3763="","",VLOOKUP(A3763,'6.A'!$A$11:$G$180,4,FALSE))</f>
        <v/>
      </c>
      <c r="E3763" s="158" t="str">
        <f>IF(A3763="","",VLOOKUP(A3763,'6.A'!$A$11:$G$180,5,FALSE))</f>
        <v/>
      </c>
      <c r="F3763" s="159" t="str">
        <f t="shared" si="1625"/>
        <v>0,00</v>
      </c>
      <c r="G3763" s="52"/>
      <c r="H3763" s="52" t="str">
        <f>IF(A3763="","",VLOOKUP(A3763,'6.A'!$A$11:$E$7984,5,FALSE))</f>
        <v/>
      </c>
      <c r="I3763" s="52" t="str">
        <f>IF(H3763="","",IF(E3763=H3763,"SIM","NÃO"))</f>
        <v/>
      </c>
      <c r="J3763" s="52" t="str">
        <f>IF(H3763="","",VLOOKUP(A3763,'6.A'!$A$11:$E$564,4,FALSE))</f>
        <v/>
      </c>
      <c r="K3763" s="52" t="str">
        <f>IF(H3763="","",IF(J3763=D3763,"SIM","NÃO"))</f>
        <v/>
      </c>
      <c r="L3763" s="52" t="str">
        <f>IF(H3763="","",IF(C3763="","",G3756*C3763))</f>
        <v/>
      </c>
      <c r="M3763" s="117" t="str">
        <f>IF(A3763="","",VLOOKUP(A3763,'6.A'!$A$11:$C$564,2,FALSE))</f>
        <v/>
      </c>
      <c r="N3763" s="57" t="str">
        <f>IF(A3763="","",IF(M3763=B3763,"si","no"))</f>
        <v/>
      </c>
      <c r="O3763" s="56"/>
      <c r="P3763" s="56"/>
      <c r="Q3763" s="48"/>
      <c r="R3763" s="48"/>
      <c r="S3763" s="65"/>
      <c r="T3763" s="2"/>
      <c r="U3763" s="2"/>
      <c r="V3763" s="2"/>
    </row>
    <row r="3764" spans="1:22" s="137" customFormat="1" ht="12.75" customHeight="1" x14ac:dyDescent="0.2">
      <c r="A3764" s="155"/>
      <c r="B3764" s="138" t="str">
        <f>IF(A3764="","",VLOOKUP(A3764,'6.A'!$A$11:$G$180,2,FALSE))</f>
        <v/>
      </c>
      <c r="C3764" s="156"/>
      <c r="D3764" s="141" t="str">
        <f>IF(A3764="","",VLOOKUP(A3764,'6.A'!$A$11:$G$180,4,FALSE))</f>
        <v/>
      </c>
      <c r="E3764" s="160" t="str">
        <f>IF(A3764="","",VLOOKUP(A3764,'6.A'!$A$11:$G$180,5,FALSE))</f>
        <v/>
      </c>
      <c r="F3764" s="159" t="str">
        <f t="shared" si="1625"/>
        <v>0,00</v>
      </c>
      <c r="G3764" s="52"/>
      <c r="H3764" s="52" t="str">
        <f>IF(A3764="","",VLOOKUP(A3764,'6.A'!$A$11:$E$7984,5,FALSE))</f>
        <v/>
      </c>
      <c r="I3764" s="52" t="str">
        <f>IF(H3764="","",IF(E3764=H3764,"SIM","NÃO"))</f>
        <v/>
      </c>
      <c r="J3764" s="52" t="str">
        <f>IF(H3764="","",VLOOKUP(A3764,'6.A'!$A$11:$E$564,4,FALSE))</f>
        <v/>
      </c>
      <c r="K3764" s="52" t="str">
        <f>IF(H3764="","",IF(J3764=D3764,"SIM","NÃO"))</f>
        <v/>
      </c>
      <c r="L3764" s="52" t="str">
        <f>IF(H3764="","",IF(C3764="","",G3756*C3764))</f>
        <v/>
      </c>
      <c r="M3764" s="117" t="str">
        <f>IF(A3764="","",VLOOKUP(A3764,'6.A'!$A$11:$C$564,2,FALSE))</f>
        <v/>
      </c>
      <c r="N3764" s="57" t="str">
        <f>IF(A3764="","",IF(M3764=B3764,"si","no"))</f>
        <v/>
      </c>
      <c r="O3764" s="56"/>
      <c r="P3764" s="56"/>
      <c r="Q3764" s="48"/>
      <c r="R3764" s="48"/>
      <c r="S3764" s="65"/>
      <c r="T3764" s="2"/>
      <c r="U3764" s="2"/>
      <c r="V3764" s="2"/>
    </row>
    <row r="3765" spans="1:22" s="137" customFormat="1" ht="12.75" customHeight="1" x14ac:dyDescent="0.2">
      <c r="A3765" s="155"/>
      <c r="B3765" s="138" t="str">
        <f>IF(A3765="","",VLOOKUP(A3765,'6.A'!$A$11:$G$180,2,FALSE))</f>
        <v/>
      </c>
      <c r="C3765" s="156"/>
      <c r="D3765" s="141" t="str">
        <f>IF(A3765="","",VLOOKUP(A3765,'6.A'!$A$11:$G$180,4,FALSE))</f>
        <v/>
      </c>
      <c r="E3765" s="158" t="str">
        <f>IF(A3765="","",VLOOKUP(A3765,'6.A'!$A$11:$G$180,5,FALSE))</f>
        <v/>
      </c>
      <c r="F3765" s="159" t="str">
        <f t="shared" si="1625"/>
        <v>0,00</v>
      </c>
      <c r="G3765" s="52"/>
      <c r="H3765" s="52" t="str">
        <f>IF(A3765="","",VLOOKUP(A3765,'6.A'!$A$11:$E$7984,5,FALSE))</f>
        <v/>
      </c>
      <c r="I3765" s="52" t="str">
        <f t="shared" ref="I3765" si="1631">IF(H3765="","",IF(E3765=H3765,"SIM","NÃO"))</f>
        <v/>
      </c>
      <c r="J3765" s="52" t="str">
        <f>IF(H3765="","",VLOOKUP(A3765,'6.A'!$A$11:$E$564,4,FALSE))</f>
        <v/>
      </c>
      <c r="K3765" s="52" t="str">
        <f t="shared" ref="K3765" si="1632">IF(H3765="","",IF(J3765=D3765,"SIM","NÃO"))</f>
        <v/>
      </c>
      <c r="L3765" s="52" t="str">
        <f>IF(H3765="","",IF(C3765="","",G3756*C3765))</f>
        <v/>
      </c>
      <c r="M3765" s="117" t="str">
        <f>IF(A3765="","",VLOOKUP(A3765,'6.A'!$A$11:$C$564,2,FALSE))</f>
        <v/>
      </c>
      <c r="N3765" s="57" t="str">
        <f t="shared" ref="N3765" si="1633">IF(A3765="","",IF(M3765=B3765,"si","no"))</f>
        <v/>
      </c>
      <c r="O3765" s="56"/>
      <c r="P3765" s="56"/>
      <c r="Q3765" s="48"/>
      <c r="R3765" s="48"/>
      <c r="S3765" s="65"/>
      <c r="T3765" s="2"/>
      <c r="U3765" s="2"/>
      <c r="V3765" s="2"/>
    </row>
    <row r="3766" spans="1:22" s="137" customFormat="1" ht="12.75" customHeight="1" x14ac:dyDescent="0.2">
      <c r="A3766" s="155"/>
      <c r="B3766" s="138" t="str">
        <f>IF(A3766="","",VLOOKUP(A3766,'6.A'!$A$11:$G$180,2,FALSE))</f>
        <v/>
      </c>
      <c r="C3766" s="156"/>
      <c r="D3766" s="141" t="str">
        <f>IF(A3766="","",VLOOKUP(A3766,'6.A'!$A$11:$G$180,4,FALSE))</f>
        <v/>
      </c>
      <c r="E3766" s="158" t="str">
        <f>IF(A3766="","",VLOOKUP(A3766,'6.A'!$A$11:$G$180,5,FALSE))</f>
        <v/>
      </c>
      <c r="F3766" s="159" t="str">
        <f t="shared" si="1625"/>
        <v>0,00</v>
      </c>
      <c r="G3766" s="52"/>
      <c r="H3766" s="52" t="str">
        <f>IF(A3766="","",VLOOKUP(A3766,'6.A'!$A$11:$E$7984,5,FALSE))</f>
        <v/>
      </c>
      <c r="I3766" s="52" t="str">
        <f>IF(H3766="","",IF(E3766=H3766,"SIM","NÃO"))</f>
        <v/>
      </c>
      <c r="J3766" s="52" t="str">
        <f>IF(H3766="","",VLOOKUP(A3766,'6.A'!$A$11:$E$564,4,FALSE))</f>
        <v/>
      </c>
      <c r="K3766" s="52" t="str">
        <f>IF(H3766="","",IF(J3766=D3766,"SIM","NÃO"))</f>
        <v/>
      </c>
      <c r="L3766" s="52" t="str">
        <f>IF(H3766="","",IF(C3766="","",G3756*C3766))</f>
        <v/>
      </c>
      <c r="M3766" s="117" t="str">
        <f>IF(A3766="","",VLOOKUP(A3766,'6.A'!$A$11:$C$564,2,FALSE))</f>
        <v/>
      </c>
      <c r="N3766" s="57" t="str">
        <f>IF(A3766="","",IF(M3766=B3766,"si","no"))</f>
        <v/>
      </c>
      <c r="O3766" s="56"/>
      <c r="P3766" s="56"/>
      <c r="Q3766" s="48"/>
      <c r="R3766" s="48"/>
      <c r="S3766" s="65"/>
      <c r="T3766" s="2"/>
      <c r="U3766" s="2"/>
      <c r="V3766" s="2"/>
    </row>
    <row r="3767" spans="1:22" s="137" customFormat="1" ht="12.75" customHeight="1" x14ac:dyDescent="0.2">
      <c r="A3767" s="155"/>
      <c r="B3767" s="138" t="str">
        <f>IF(A3767="","",VLOOKUP(A3767,'6.A'!$A$11:$G$180,2,FALSE))</f>
        <v/>
      </c>
      <c r="C3767" s="156"/>
      <c r="D3767" s="161" t="str">
        <f>IF(A3767="","",VLOOKUP(A3767,'6.A'!$A$11:$G$180,4,FALSE))</f>
        <v/>
      </c>
      <c r="E3767" s="158" t="str">
        <f>IF(A3767="","",VLOOKUP(A3767,'6.A'!$A$11:$G$180,5,FALSE))</f>
        <v/>
      </c>
      <c r="F3767" s="159" t="str">
        <f t="shared" si="1625"/>
        <v>0,00</v>
      </c>
      <c r="G3767" s="52"/>
      <c r="H3767" s="52" t="str">
        <f>IF(A3767="","",VLOOKUP(A3767,'6.A'!$A$11:$E$7984,5,FALSE))</f>
        <v/>
      </c>
      <c r="I3767" s="52" t="str">
        <f t="shared" ref="I3767" si="1634">IF(H3767="","",IF(E3767=H3767,"SIM","NÃO"))</f>
        <v/>
      </c>
      <c r="J3767" s="52" t="str">
        <f>IF(H3767="","",VLOOKUP(A3767,'6.A'!$A$11:$E$564,4,FALSE))</f>
        <v/>
      </c>
      <c r="K3767" s="52" t="str">
        <f t="shared" ref="K3767" si="1635">IF(H3767="","",IF(J3767=D3767,"SIM","NÃO"))</f>
        <v/>
      </c>
      <c r="L3767" s="52" t="str">
        <f>IF(H3767="","",IF(C3767="","",G3756*C3767))</f>
        <v/>
      </c>
      <c r="M3767" s="117" t="str">
        <f>IF(A3767="","",VLOOKUP(A3767,'6.A'!$A$11:$C$564,2,FALSE))</f>
        <v/>
      </c>
      <c r="N3767" s="57" t="str">
        <f t="shared" ref="N3767" si="1636">IF(A3767="","",IF(M3767=B3767,"si","no"))</f>
        <v/>
      </c>
      <c r="O3767" s="56"/>
      <c r="P3767" s="56"/>
      <c r="Q3767" s="48"/>
      <c r="R3767" s="48"/>
      <c r="S3767" s="65"/>
      <c r="T3767" s="2"/>
      <c r="U3767" s="2"/>
      <c r="V3767" s="2"/>
    </row>
    <row r="3768" spans="1:22" s="137" customFormat="1" ht="12.75" customHeight="1" x14ac:dyDescent="0.2">
      <c r="A3768" s="152"/>
      <c r="B3768" s="26" t="str">
        <f>$A$8</f>
        <v>LEIS SOCIAIS HORISTA - JORNADA NORMAL</v>
      </c>
      <c r="C3768" s="27">
        <f>$C$8</f>
        <v>0</v>
      </c>
      <c r="D3768" s="141"/>
      <c r="E3768" s="147"/>
      <c r="F3768" s="162">
        <f>ROUND(SUM(F3758:F3767)*C3768,2)</f>
        <v>0</v>
      </c>
      <c r="G3768" s="63"/>
      <c r="H3768" s="52"/>
      <c r="I3768" s="57"/>
      <c r="J3768" s="57"/>
      <c r="K3768" s="57"/>
      <c r="L3768" s="52"/>
      <c r="M3768" s="62"/>
      <c r="N3768" s="57"/>
      <c r="O3768" s="56"/>
      <c r="P3768" s="56"/>
      <c r="Q3768" s="48"/>
      <c r="R3768" s="48"/>
      <c r="S3768" s="65"/>
      <c r="T3768" s="2"/>
      <c r="U3768" s="2"/>
      <c r="V3768" s="2"/>
    </row>
    <row r="3769" spans="1:22" s="137" customFormat="1" ht="12.75" customHeight="1" x14ac:dyDescent="0.2">
      <c r="A3769" s="155"/>
      <c r="B3769" s="26" t="str">
        <f>$A$9</f>
        <v>BDI</v>
      </c>
      <c r="C3769" s="27">
        <f>$C$9</f>
        <v>0</v>
      </c>
      <c r="D3769" s="136"/>
      <c r="E3769" s="147"/>
      <c r="F3769" s="162">
        <f>ROUND(SUM(F3758:F3768)*C3769,2)</f>
        <v>0</v>
      </c>
      <c r="G3769" s="63"/>
      <c r="H3769" s="52"/>
      <c r="I3769" s="57"/>
      <c r="J3769" s="57"/>
      <c r="K3769" s="57"/>
      <c r="L3769" s="52"/>
      <c r="M3769" s="62"/>
      <c r="N3769" s="57"/>
      <c r="O3769" s="56"/>
      <c r="P3769" s="56"/>
      <c r="Q3769" s="48"/>
      <c r="R3769" s="48"/>
      <c r="S3769" s="65"/>
      <c r="T3769" s="2"/>
      <c r="U3769" s="2"/>
      <c r="V3769" s="2"/>
    </row>
    <row r="3770" spans="1:22" s="149" customFormat="1" ht="12.75" customHeight="1" x14ac:dyDescent="0.2">
      <c r="A3770" s="163"/>
      <c r="B3770" s="164" t="s">
        <v>56</v>
      </c>
      <c r="C3770" s="165"/>
      <c r="D3770" s="166"/>
      <c r="E3770" s="167"/>
      <c r="F3770" s="168">
        <f>ROUND(SUM(F3758:F3769),2)</f>
        <v>0</v>
      </c>
      <c r="G3770" s="63"/>
      <c r="H3770" s="52"/>
      <c r="I3770" s="57"/>
      <c r="J3770" s="57"/>
      <c r="K3770" s="57"/>
      <c r="L3770" s="52"/>
      <c r="M3770" s="62"/>
      <c r="N3770" s="57"/>
      <c r="O3770" s="56"/>
      <c r="P3770" s="56"/>
      <c r="Q3770" s="48"/>
      <c r="R3770" s="48"/>
      <c r="S3770" s="65"/>
      <c r="T3770" s="2"/>
      <c r="U3770" s="2"/>
      <c r="V3770" s="2"/>
    </row>
    <row r="3771" spans="1:22" s="149" customFormat="1" ht="12.75" customHeight="1" x14ac:dyDescent="0.2">
      <c r="A3771" s="152" t="s">
        <v>5</v>
      </c>
      <c r="B3771" s="153" t="s">
        <v>130</v>
      </c>
      <c r="C3771" s="140" t="s">
        <v>59</v>
      </c>
      <c r="D3771" s="140" t="s">
        <v>16</v>
      </c>
      <c r="E3771" s="154" t="s">
        <v>60</v>
      </c>
      <c r="F3771" s="148" t="s">
        <v>61</v>
      </c>
      <c r="G3771" s="21"/>
      <c r="H3771" s="52"/>
      <c r="I3771" s="57"/>
      <c r="J3771" s="57"/>
      <c r="K3771" s="57"/>
      <c r="L3771" s="52"/>
      <c r="M3771" s="62"/>
      <c r="N3771" s="57"/>
      <c r="O3771" s="56"/>
      <c r="P3771" s="56"/>
      <c r="Q3771" s="48"/>
      <c r="R3771" s="48"/>
      <c r="S3771" s="65"/>
      <c r="T3771" s="2"/>
      <c r="U3771" s="2"/>
      <c r="V3771" s="2"/>
    </row>
    <row r="3772" spans="1:22" s="149" customFormat="1" ht="12.75" customHeight="1" x14ac:dyDescent="0.2">
      <c r="A3772" s="155"/>
      <c r="B3772" s="138" t="str">
        <f>IF(A3772="","",VLOOKUP(A3772,'6.A'!$A$11:$G$180,2,FALSE))</f>
        <v/>
      </c>
      <c r="C3772" s="156"/>
      <c r="D3772" s="157" t="str">
        <f>IF(A3772="","",VLOOKUP(A3772,'6.A'!$A$11:$G$180,4,FALSE))</f>
        <v/>
      </c>
      <c r="E3772" s="158" t="str">
        <f>IF(A3772="","",VLOOKUP(A3772,'6.A'!$A$11:$G$180,5,FALSE))</f>
        <v/>
      </c>
      <c r="F3772" s="159" t="str">
        <f t="shared" ref="F3772:F3781" si="1637">IF(A3772="","0,00",ROUND(C3772*E3772,2))</f>
        <v>0,00</v>
      </c>
      <c r="G3772" s="52"/>
      <c r="H3772" s="52" t="str">
        <f>IF(A3772="","",VLOOKUP(A3772,'6.A'!$A$11:$E$7984,5,FALSE))</f>
        <v/>
      </c>
      <c r="I3772" s="52" t="str">
        <f t="shared" ref="I3772:I3781" si="1638">IF(H3772="","",IF(E3772=H3772,"SIM","NÃO"))</f>
        <v/>
      </c>
      <c r="J3772" s="52" t="str">
        <f>IF(H3772="","",VLOOKUP(A3772,'6.A'!$A$11:$E$564,4,FALSE))</f>
        <v/>
      </c>
      <c r="K3772" s="52" t="str">
        <f t="shared" ref="K3772:K3781" si="1639">IF(H3772="","",IF(J3772=D3772,"SIM","NÃO"))</f>
        <v/>
      </c>
      <c r="L3772" s="52" t="str">
        <f>IF(H3772="","",IF(C3772="","",G3756*C3772))</f>
        <v/>
      </c>
      <c r="M3772" s="117" t="str">
        <f>IF(A3772="","",VLOOKUP(A3772,'6.A'!$A$11:$C$564,2,FALSE))</f>
        <v/>
      </c>
      <c r="N3772" s="57" t="str">
        <f t="shared" ref="N3772:N3777" si="1640">IF(A3772="","",IF(M3772=B3772,"si","no"))</f>
        <v/>
      </c>
      <c r="O3772" s="56"/>
      <c r="P3772" s="56"/>
      <c r="Q3772" s="48"/>
      <c r="R3772" s="48"/>
      <c r="S3772" s="65"/>
      <c r="T3772" s="2"/>
      <c r="U3772" s="2"/>
      <c r="V3772" s="2"/>
    </row>
    <row r="3773" spans="1:22" s="149" customFormat="1" ht="12.75" customHeight="1" x14ac:dyDescent="0.2">
      <c r="A3773" s="155"/>
      <c r="B3773" s="138" t="str">
        <f>IF(A3773="","",VLOOKUP(A3773,'6.A'!$A$11:$G$180,2,FALSE))</f>
        <v/>
      </c>
      <c r="C3773" s="156"/>
      <c r="D3773" s="157" t="str">
        <f>IF(A3773="","",VLOOKUP(A3773,'6.A'!$A$11:$G$180,4,FALSE))</f>
        <v/>
      </c>
      <c r="E3773" s="158" t="str">
        <f>IF(A3773="","",VLOOKUP(A3773,'6.A'!$A$11:$G$180,5,FALSE))</f>
        <v/>
      </c>
      <c r="F3773" s="159" t="str">
        <f t="shared" si="1637"/>
        <v>0,00</v>
      </c>
      <c r="G3773" s="52"/>
      <c r="H3773" s="52" t="str">
        <f>IF(A3773="","",VLOOKUP(A3773,'6.A'!$A$11:$E$7984,5,FALSE))</f>
        <v/>
      </c>
      <c r="I3773" s="52" t="str">
        <f t="shared" si="1638"/>
        <v/>
      </c>
      <c r="J3773" s="52" t="str">
        <f>IF(H3773="","",VLOOKUP(A3773,'6.A'!$A$11:$E$564,4,FALSE))</f>
        <v/>
      </c>
      <c r="K3773" s="52" t="str">
        <f t="shared" si="1639"/>
        <v/>
      </c>
      <c r="L3773" s="52" t="str">
        <f>IF(H3773="","",IF(C3773="","",G3756*C3773))</f>
        <v/>
      </c>
      <c r="M3773" s="117" t="str">
        <f>IF(A3773="","",VLOOKUP(A3773,'6.A'!$A$11:$C$564,2,FALSE))</f>
        <v/>
      </c>
      <c r="N3773" s="57" t="str">
        <f t="shared" si="1640"/>
        <v/>
      </c>
      <c r="O3773" s="56"/>
      <c r="P3773" s="56"/>
      <c r="Q3773" s="48"/>
      <c r="R3773" s="48"/>
      <c r="S3773" s="65"/>
      <c r="T3773" s="2"/>
      <c r="U3773" s="2"/>
      <c r="V3773" s="2"/>
    </row>
    <row r="3774" spans="1:22" s="149" customFormat="1" ht="12.75" customHeight="1" x14ac:dyDescent="0.2">
      <c r="A3774" s="155"/>
      <c r="B3774" s="138" t="str">
        <f>IF(A3774="","",VLOOKUP(A3774,'6.A'!$A$11:$G$180,2,FALSE))</f>
        <v/>
      </c>
      <c r="C3774" s="156"/>
      <c r="D3774" s="157" t="str">
        <f>IF(A3774="","",VLOOKUP(A3774,'6.A'!$A$11:$G$180,4,FALSE))</f>
        <v/>
      </c>
      <c r="E3774" s="158" t="str">
        <f>IF(A3774="","",VLOOKUP(A3774,'6.A'!$A$11:$G$180,5,FALSE))</f>
        <v/>
      </c>
      <c r="F3774" s="159" t="str">
        <f t="shared" si="1637"/>
        <v>0,00</v>
      </c>
      <c r="G3774" s="52"/>
      <c r="H3774" s="52" t="str">
        <f>IF(A3774="","",VLOOKUP(A3774,'6.A'!$A$11:$E$7984,5,FALSE))</f>
        <v/>
      </c>
      <c r="I3774" s="52" t="str">
        <f t="shared" si="1638"/>
        <v/>
      </c>
      <c r="J3774" s="52" t="str">
        <f>IF(H3774="","",VLOOKUP(A3774,'6.A'!$A$11:$E$564,4,FALSE))</f>
        <v/>
      </c>
      <c r="K3774" s="52" t="str">
        <f t="shared" si="1639"/>
        <v/>
      </c>
      <c r="L3774" s="52" t="str">
        <f>IF(H3774="","",IF(C3774="","",G3756*C3774))</f>
        <v/>
      </c>
      <c r="M3774" s="117" t="str">
        <f>IF(A3774="","",VLOOKUP(A3774,'6.A'!$A$11:$C$564,2,FALSE))</f>
        <v/>
      </c>
      <c r="N3774" s="57" t="str">
        <f t="shared" si="1640"/>
        <v/>
      </c>
      <c r="O3774" s="56"/>
      <c r="P3774" s="56"/>
      <c r="Q3774" s="48"/>
      <c r="R3774" s="48"/>
      <c r="S3774" s="65"/>
      <c r="T3774" s="2"/>
      <c r="U3774" s="2"/>
      <c r="V3774" s="2"/>
    </row>
    <row r="3775" spans="1:22" s="149" customFormat="1" ht="12.75" customHeight="1" x14ac:dyDescent="0.2">
      <c r="A3775" s="155"/>
      <c r="B3775" s="176" t="str">
        <f>IF(A3775="","",VLOOKUP(A3775,'6.A'!$A$11:$G$180,2,FALSE))</f>
        <v/>
      </c>
      <c r="C3775" s="156"/>
      <c r="D3775" s="157" t="str">
        <f>IF(A3775="","",VLOOKUP(A3775,'6.A'!$A$11:$G$180,4,FALSE))</f>
        <v/>
      </c>
      <c r="E3775" s="158" t="str">
        <f>IF(A3775="","",VLOOKUP(A3775,'6.A'!$A$11:$G$180,5,FALSE))</f>
        <v/>
      </c>
      <c r="F3775" s="159" t="str">
        <f t="shared" si="1637"/>
        <v>0,00</v>
      </c>
      <c r="G3775" s="52"/>
      <c r="H3775" s="52" t="str">
        <f>IF(A3775="","",VLOOKUP(A3775,'6.A'!$A$11:$E$7984,5,FALSE))</f>
        <v/>
      </c>
      <c r="I3775" s="52" t="str">
        <f t="shared" si="1638"/>
        <v/>
      </c>
      <c r="J3775" s="52" t="str">
        <f>IF(H3775="","",VLOOKUP(A3775,'6.A'!$A$11:$E$564,4,FALSE))</f>
        <v/>
      </c>
      <c r="K3775" s="52" t="str">
        <f t="shared" si="1639"/>
        <v/>
      </c>
      <c r="L3775" s="52" t="str">
        <f>IF(H3775="","",IF(C3775="","",G3756*C3775))</f>
        <v/>
      </c>
      <c r="M3775" s="117" t="str">
        <f>IF(A3775="","",VLOOKUP(A3775,'6.A'!$A$11:$C$564,2,FALSE))</f>
        <v/>
      </c>
      <c r="N3775" s="57" t="str">
        <f t="shared" si="1640"/>
        <v/>
      </c>
      <c r="O3775" s="56"/>
      <c r="P3775" s="56"/>
      <c r="Q3775" s="48"/>
      <c r="R3775" s="48"/>
      <c r="S3775" s="65"/>
      <c r="T3775" s="2"/>
      <c r="U3775" s="2"/>
      <c r="V3775" s="2"/>
    </row>
    <row r="3776" spans="1:22" s="149" customFormat="1" ht="12.75" customHeight="1" x14ac:dyDescent="0.2">
      <c r="A3776" s="155"/>
      <c r="B3776" s="176" t="str">
        <f>IF(A3776="","",VLOOKUP(A3776,'6.A'!$A$11:$G$180,2,FALSE))</f>
        <v/>
      </c>
      <c r="C3776" s="156"/>
      <c r="D3776" s="141" t="str">
        <f>IF(A3776="","",VLOOKUP(A3776,'6.A'!$A$11:$G$180,4,FALSE))</f>
        <v/>
      </c>
      <c r="E3776" s="160" t="str">
        <f>IF(A3776="","",VLOOKUP(A3776,'6.A'!$A$11:$G$180,5,FALSE))</f>
        <v/>
      </c>
      <c r="F3776" s="159" t="str">
        <f t="shared" si="1637"/>
        <v>0,00</v>
      </c>
      <c r="G3776" s="52"/>
      <c r="H3776" s="52" t="str">
        <f>IF(A3776="","",VLOOKUP(A3776,'6.A'!$A$11:$E$7984,5,FALSE))</f>
        <v/>
      </c>
      <c r="I3776" s="52" t="str">
        <f t="shared" si="1638"/>
        <v/>
      </c>
      <c r="J3776" s="52" t="str">
        <f>IF(H3776="","",VLOOKUP(A3776,'6.A'!$A$11:$E$564,4,FALSE))</f>
        <v/>
      </c>
      <c r="K3776" s="52" t="str">
        <f t="shared" si="1639"/>
        <v/>
      </c>
      <c r="L3776" s="52" t="str">
        <f>IF(H3776="","",IF(C3776="","",G3756*C3776))</f>
        <v/>
      </c>
      <c r="M3776" s="117" t="str">
        <f>IF(A3776="","",VLOOKUP(A3776,'6.A'!$A$11:$C$564,2,FALSE))</f>
        <v/>
      </c>
      <c r="N3776" s="57" t="str">
        <f t="shared" si="1640"/>
        <v/>
      </c>
      <c r="O3776" s="56"/>
      <c r="P3776" s="56"/>
      <c r="Q3776" s="48"/>
      <c r="R3776" s="48"/>
      <c r="S3776" s="65"/>
      <c r="T3776" s="2"/>
      <c r="U3776" s="2"/>
      <c r="V3776" s="2"/>
    </row>
    <row r="3777" spans="1:22" s="149" customFormat="1" ht="12.75" customHeight="1" x14ac:dyDescent="0.2">
      <c r="A3777" s="155"/>
      <c r="B3777" s="176" t="str">
        <f>IF(A3777="","",VLOOKUP(A3777,'6.A'!$A$11:$G$180,2,FALSE))</f>
        <v/>
      </c>
      <c r="C3777" s="156"/>
      <c r="D3777" s="141" t="str">
        <f>IF(A3777="","",VLOOKUP(A3777,'6.A'!$A$11:$G$180,4,FALSE))</f>
        <v/>
      </c>
      <c r="E3777" s="160" t="str">
        <f>IF(A3777="","",VLOOKUP(A3777,'6.A'!$A$11:$G$180,5,FALSE))</f>
        <v/>
      </c>
      <c r="F3777" s="159" t="str">
        <f t="shared" si="1637"/>
        <v>0,00</v>
      </c>
      <c r="G3777" s="52"/>
      <c r="H3777" s="52" t="str">
        <f>IF(A3777="","",VLOOKUP(A3777,'6.A'!$A$11:$E$7984,5,FALSE))</f>
        <v/>
      </c>
      <c r="I3777" s="52" t="str">
        <f t="shared" si="1638"/>
        <v/>
      </c>
      <c r="J3777" s="52" t="str">
        <f>IF(H3777="","",VLOOKUP(A3777,'6.A'!$A$11:$E$564,4,FALSE))</f>
        <v/>
      </c>
      <c r="K3777" s="52" t="str">
        <f t="shared" si="1639"/>
        <v/>
      </c>
      <c r="L3777" s="52" t="str">
        <f>IF(H3777="","",IF(C3777="","",G3756*C3777))</f>
        <v/>
      </c>
      <c r="M3777" s="117" t="str">
        <f>IF(A3777="","",VLOOKUP(A3777,'6.A'!$A$11:$C$564,2,FALSE))</f>
        <v/>
      </c>
      <c r="N3777" s="57" t="str">
        <f t="shared" si="1640"/>
        <v/>
      </c>
      <c r="O3777" s="56"/>
      <c r="P3777" s="56"/>
      <c r="Q3777" s="48"/>
      <c r="R3777" s="48"/>
      <c r="S3777" s="65"/>
      <c r="T3777" s="2"/>
      <c r="U3777" s="2"/>
      <c r="V3777" s="2"/>
    </row>
    <row r="3778" spans="1:22" s="149" customFormat="1" ht="12.75" customHeight="1" x14ac:dyDescent="0.2">
      <c r="A3778" s="155"/>
      <c r="B3778" s="176" t="str">
        <f>IF(A3778="","",VLOOKUP(A3778,'6.A'!$A$11:$G$180,2,FALSE))</f>
        <v/>
      </c>
      <c r="C3778" s="156"/>
      <c r="D3778" s="141" t="str">
        <f>IF(A3778="","",VLOOKUP(A3778,'6.A'!$A$11:$G$180,4,FALSE))</f>
        <v/>
      </c>
      <c r="E3778" s="160" t="str">
        <f>IF(A3778="","",VLOOKUP(A3778,'6.A'!$A$11:$G$180,5,FALSE))</f>
        <v/>
      </c>
      <c r="F3778" s="159" t="str">
        <f t="shared" si="1637"/>
        <v>0,00</v>
      </c>
      <c r="G3778" s="52"/>
      <c r="H3778" s="52" t="str">
        <f>IF(A3778="","",VLOOKUP(A3778,'6.A'!$A$11:$E$7984,5,FALSE))</f>
        <v/>
      </c>
      <c r="I3778" s="52" t="str">
        <f t="shared" si="1638"/>
        <v/>
      </c>
      <c r="J3778" s="52" t="str">
        <f>IF(H3778="","",VLOOKUP(A3778,'6.A'!$A$11:$E$564,4,FALSE))</f>
        <v/>
      </c>
      <c r="K3778" s="52" t="str">
        <f t="shared" si="1639"/>
        <v/>
      </c>
      <c r="L3778" s="52" t="str">
        <f>IF(H3778="","",IF(C3778="","",G3756*C3778))</f>
        <v/>
      </c>
      <c r="M3778" s="117" t="str">
        <f>IF(A3778="","",VLOOKUP(A3778,'6.A'!$A$11:$C$564,2,FALSE))</f>
        <v/>
      </c>
      <c r="N3778" s="57" t="str">
        <f>IF(A3778="","",IF(M3778=B3778,"si","no"))</f>
        <v/>
      </c>
      <c r="O3778" s="56"/>
      <c r="P3778" s="56"/>
      <c r="Q3778" s="48"/>
      <c r="R3778" s="48"/>
      <c r="S3778" s="65"/>
      <c r="T3778" s="2"/>
      <c r="U3778" s="2"/>
      <c r="V3778" s="2"/>
    </row>
    <row r="3779" spans="1:22" s="149" customFormat="1" ht="12.75" customHeight="1" x14ac:dyDescent="0.2">
      <c r="A3779" s="155"/>
      <c r="B3779" s="138" t="str">
        <f>IF(A3779="","",VLOOKUP(A3779,'6.A'!$A$11:$G$180,2,FALSE))</f>
        <v/>
      </c>
      <c r="C3779" s="156"/>
      <c r="D3779" s="141" t="str">
        <f>IF(A3779="","",VLOOKUP(A3779,'6.A'!$A$11:$G$180,4,FALSE))</f>
        <v/>
      </c>
      <c r="E3779" s="160"/>
      <c r="F3779" s="159" t="str">
        <f t="shared" si="1637"/>
        <v>0,00</v>
      </c>
      <c r="G3779" s="52"/>
      <c r="H3779" s="52" t="str">
        <f>IF(A3779="","",VLOOKUP(A3779,'6.A'!$A$11:$E$7984,5,FALSE))</f>
        <v/>
      </c>
      <c r="I3779" s="52" t="str">
        <f t="shared" si="1638"/>
        <v/>
      </c>
      <c r="J3779" s="52" t="str">
        <f>IF(H3779="","",VLOOKUP(A3779,'6.A'!$A$11:$E$564,4,FALSE))</f>
        <v/>
      </c>
      <c r="K3779" s="52" t="str">
        <f t="shared" si="1639"/>
        <v/>
      </c>
      <c r="L3779" s="52" t="str">
        <f>IF(H3779="","",IF(C3779="","",G3756*C3779))</f>
        <v/>
      </c>
      <c r="M3779" s="117" t="str">
        <f>IF(A3779="","",VLOOKUP(A3779,'6.A'!$A$11:$C$564,2,FALSE))</f>
        <v/>
      </c>
      <c r="N3779" s="57" t="str">
        <f>IF(A3779="","",IF(M3779=B3779,"si","no"))</f>
        <v/>
      </c>
      <c r="O3779" s="56"/>
      <c r="P3779" s="56"/>
      <c r="Q3779" s="48"/>
      <c r="R3779" s="48"/>
      <c r="S3779" s="65"/>
      <c r="T3779" s="2"/>
      <c r="U3779" s="2"/>
      <c r="V3779" s="2"/>
    </row>
    <row r="3780" spans="1:22" s="149" customFormat="1" ht="12.75" customHeight="1" x14ac:dyDescent="0.2">
      <c r="A3780" s="155"/>
      <c r="B3780" s="138" t="str">
        <f>IF(A3780="","",VLOOKUP(A3780,'6.A'!$A$11:$G$180,2,FALSE))</f>
        <v/>
      </c>
      <c r="C3780" s="156"/>
      <c r="D3780" s="141" t="str">
        <f>IF(A3780="","",VLOOKUP(A3780,'6.A'!$A$11:$G$180,4,FALSE))</f>
        <v/>
      </c>
      <c r="E3780" s="160"/>
      <c r="F3780" s="159" t="str">
        <f t="shared" si="1637"/>
        <v>0,00</v>
      </c>
      <c r="G3780" s="52"/>
      <c r="H3780" s="52" t="str">
        <f>IF(A3780="","",VLOOKUP(A3780,'6.A'!$A$11:$E$7984,5,FALSE))</f>
        <v/>
      </c>
      <c r="I3780" s="52" t="str">
        <f t="shared" si="1638"/>
        <v/>
      </c>
      <c r="J3780" s="52" t="str">
        <f>IF(H3780="","",VLOOKUP(A3780,'6.A'!$A$11:$E$564,4,FALSE))</f>
        <v/>
      </c>
      <c r="K3780" s="52" t="str">
        <f t="shared" si="1639"/>
        <v/>
      </c>
      <c r="L3780" s="52" t="str">
        <f>IF(H3780="","",IF(C3780="","",G3756*C3780))</f>
        <v/>
      </c>
      <c r="M3780" s="117" t="str">
        <f>IF(A3780="","",VLOOKUP(A3780,'6.A'!$A$11:$C$564,2,FALSE))</f>
        <v/>
      </c>
      <c r="N3780" s="57" t="str">
        <f t="shared" ref="N3780:N3781" si="1641">IF(A3780="","",IF(M3780=B3780,"si","no"))</f>
        <v/>
      </c>
      <c r="O3780" s="56"/>
      <c r="P3780" s="56"/>
      <c r="Q3780" s="48"/>
      <c r="R3780" s="48"/>
      <c r="S3780" s="65"/>
      <c r="T3780" s="2"/>
      <c r="U3780" s="2"/>
      <c r="V3780" s="2"/>
    </row>
    <row r="3781" spans="1:22" s="149" customFormat="1" ht="12.75" customHeight="1" x14ac:dyDescent="0.2">
      <c r="A3781" s="155"/>
      <c r="B3781" s="138" t="str">
        <f>IF(A3781="","",VLOOKUP(A3781,'6.A'!$A$11:$G$180,2,FALSE))</f>
        <v/>
      </c>
      <c r="C3781" s="156"/>
      <c r="D3781" s="141" t="str">
        <f>IF(A3781="","",VLOOKUP(A3781,'6.A'!$A$11:$G$180,4,FALSE))</f>
        <v/>
      </c>
      <c r="E3781" s="160" t="str">
        <f>IF(A3781="","",VLOOKUP(A3781,'6.A'!$A$11:$G$180,5,FALSE))</f>
        <v/>
      </c>
      <c r="F3781" s="159" t="str">
        <f t="shared" si="1637"/>
        <v>0,00</v>
      </c>
      <c r="G3781" s="52"/>
      <c r="H3781" s="52" t="str">
        <f>IF(A3781="","",VLOOKUP(A3781,'6.A'!$A$11:$E$7984,5,FALSE))</f>
        <v/>
      </c>
      <c r="I3781" s="52" t="str">
        <f t="shared" si="1638"/>
        <v/>
      </c>
      <c r="J3781" s="52" t="str">
        <f>IF(H3781="","",VLOOKUP(A3781,'6.A'!$A$11:$E$564,4,FALSE))</f>
        <v/>
      </c>
      <c r="K3781" s="52" t="str">
        <f t="shared" si="1639"/>
        <v/>
      </c>
      <c r="L3781" s="52" t="str">
        <f>IF(H3781="","",IF(C3781="","",G3756*C3781))</f>
        <v/>
      </c>
      <c r="M3781" s="117" t="str">
        <f>IF(A3781="","",VLOOKUP(A3781,'6.A'!$A$11:$C$564,2,FALSE))</f>
        <v/>
      </c>
      <c r="N3781" s="57" t="str">
        <f t="shared" si="1641"/>
        <v/>
      </c>
      <c r="O3781" s="56"/>
      <c r="P3781" s="56"/>
      <c r="Q3781" s="48"/>
      <c r="R3781" s="48"/>
      <c r="S3781" s="65"/>
      <c r="T3781" s="2"/>
      <c r="U3781" s="2"/>
      <c r="V3781" s="2"/>
    </row>
    <row r="3782" spans="1:22" s="149" customFormat="1" ht="12.75" customHeight="1" x14ac:dyDescent="0.2">
      <c r="A3782" s="155"/>
      <c r="B3782" s="26" t="str">
        <f>$A$9</f>
        <v>BDI</v>
      </c>
      <c r="C3782" s="27">
        <f>$C$9</f>
        <v>0</v>
      </c>
      <c r="D3782" s="141"/>
      <c r="E3782" s="147"/>
      <c r="F3782" s="162">
        <f>ROUND(SUM(F3772:F3781)*C3782,2)</f>
        <v>0</v>
      </c>
      <c r="G3782" s="63"/>
      <c r="H3782" s="52"/>
      <c r="I3782" s="57"/>
      <c r="J3782" s="57"/>
      <c r="K3782" s="57"/>
      <c r="L3782" s="52"/>
      <c r="M3782" s="62"/>
      <c r="N3782" s="57"/>
      <c r="O3782" s="56"/>
      <c r="P3782" s="56"/>
      <c r="Q3782" s="48"/>
      <c r="R3782" s="48"/>
      <c r="S3782" s="65"/>
      <c r="T3782" s="2"/>
      <c r="U3782" s="2"/>
      <c r="V3782" s="2"/>
    </row>
    <row r="3783" spans="1:22" s="149" customFormat="1" ht="12.75" customHeight="1" x14ac:dyDescent="0.2">
      <c r="A3783" s="163"/>
      <c r="B3783" s="31" t="s">
        <v>117</v>
      </c>
      <c r="C3783" s="36"/>
      <c r="D3783" s="169"/>
      <c r="E3783" s="170"/>
      <c r="F3783" s="168">
        <f>ROUND(SUM(F3772:F3782),2)</f>
        <v>0</v>
      </c>
      <c r="G3783" s="63"/>
      <c r="H3783" s="52"/>
      <c r="I3783" s="57"/>
      <c r="J3783" s="57"/>
      <c r="K3783" s="57"/>
      <c r="L3783" s="52"/>
      <c r="M3783" s="62"/>
      <c r="N3783" s="57"/>
      <c r="O3783" s="56"/>
      <c r="P3783" s="56"/>
      <c r="Q3783" s="48"/>
      <c r="R3783" s="48"/>
      <c r="S3783" s="65"/>
      <c r="T3783" s="2"/>
      <c r="U3783" s="2"/>
      <c r="V3783" s="2"/>
    </row>
    <row r="3784" spans="1:22" s="149" customFormat="1" ht="12.75" customHeight="1" x14ac:dyDescent="0.2">
      <c r="A3784" s="152" t="s">
        <v>6</v>
      </c>
      <c r="B3784" s="153" t="s">
        <v>17</v>
      </c>
      <c r="C3784" s="140" t="s">
        <v>59</v>
      </c>
      <c r="D3784" s="140" t="s">
        <v>16</v>
      </c>
      <c r="E3784" s="154" t="s">
        <v>60</v>
      </c>
      <c r="F3784" s="148" t="s">
        <v>61</v>
      </c>
      <c r="G3784" s="21"/>
      <c r="H3784" s="52"/>
      <c r="I3784" s="57"/>
      <c r="J3784" s="57"/>
      <c r="K3784" s="57"/>
      <c r="L3784" s="52"/>
      <c r="M3784" s="62"/>
      <c r="N3784" s="57"/>
      <c r="O3784" s="56"/>
      <c r="P3784" s="56"/>
      <c r="Q3784" s="48"/>
      <c r="R3784" s="48"/>
      <c r="S3784" s="65"/>
      <c r="T3784" s="2"/>
      <c r="U3784" s="2"/>
      <c r="V3784" s="2"/>
    </row>
    <row r="3785" spans="1:22" s="149" customFormat="1" ht="12.75" customHeight="1" x14ac:dyDescent="0.2">
      <c r="A3785" s="155">
        <f>'6.A'!$A$126</f>
        <v>34586</v>
      </c>
      <c r="B3785" s="138" t="str">
        <f>IF(A3785="","",VLOOKUP(A3785,'6.A'!$A$11:$G$180,2,FALSE))</f>
        <v>BLOCO ESTRUTURAL CERAMICO DE 14 X 19 X 29 CM (L X A X C) E 6,0 MPA</v>
      </c>
      <c r="C3785" s="156">
        <v>15.29</v>
      </c>
      <c r="D3785" s="157" t="str">
        <f>IF(A3785="","",VLOOKUP(A3785,'6.A'!$A$11:$G$180,4,FALSE))</f>
        <v>UN</v>
      </c>
      <c r="E3785" s="158">
        <f>IF(A3785="","",VLOOKUP(A3785,'6.A'!$A$11:$G$180,5,FALSE))</f>
        <v>0</v>
      </c>
      <c r="F3785" s="159">
        <f t="shared" ref="F3785:F3804" si="1642">IF(A3785="","0,00",ROUND(C3785*E3785,2))</f>
        <v>0</v>
      </c>
      <c r="G3785" s="52"/>
      <c r="H3785" s="52">
        <f>IF(A3785="","",VLOOKUP(A3785,'6.A'!$A$11:$E$7984,5,FALSE))</f>
        <v>0</v>
      </c>
      <c r="I3785" s="52" t="str">
        <f t="shared" ref="I3785:I3804" si="1643">IF(H3785="","",IF(E3785=H3785,"SIM","NÃO"))</f>
        <v>SIM</v>
      </c>
      <c r="J3785" s="52" t="str">
        <f>IF(H3785="","",VLOOKUP(A3785,'6.A'!$A$11:$E$564,4,FALSE))</f>
        <v>UN</v>
      </c>
      <c r="K3785" s="52" t="str">
        <f t="shared" ref="K3785:K3804" si="1644">IF(H3785="","",IF(J3785=D3785,"SIM","NÃO"))</f>
        <v>SIM</v>
      </c>
      <c r="L3785" s="52">
        <f>IF(H3785="","",IF(C3785="","",G3756*C3785))</f>
        <v>152.89999999999998</v>
      </c>
      <c r="M3785" s="117" t="str">
        <f>IF(A3785="","",VLOOKUP(A3785,'6.A'!$A$11:$C$564,2,FALSE))</f>
        <v>BLOCO ESTRUTURAL CERAMICO DE 14 X 19 X 29 CM (L X A X C) E 6,0 MPA</v>
      </c>
      <c r="N3785" s="57" t="str">
        <f t="shared" ref="N3785:N3804" si="1645">IF(A3785="","",IF(M3785=B3785,"si","no"))</f>
        <v>si</v>
      </c>
      <c r="O3785" s="56"/>
      <c r="P3785" s="56"/>
      <c r="Q3785" s="48"/>
      <c r="R3785" s="48"/>
      <c r="S3785" s="65"/>
      <c r="T3785" s="2"/>
      <c r="U3785" s="2"/>
      <c r="V3785" s="2"/>
    </row>
    <row r="3786" spans="1:22" s="149" customFormat="1" ht="12.75" customHeight="1" x14ac:dyDescent="0.2">
      <c r="A3786" s="155">
        <f>'6.A'!$A$128</f>
        <v>34649</v>
      </c>
      <c r="B3786" s="138" t="str">
        <f>IF(A3786="","",VLOOKUP(A3786,'6.A'!$A$11:$G$180,2,FALSE))</f>
        <v>CANALETA ESTRUTURAL CERAMICA DE 14 X 19 X 29 CM (L X A X C) E 6,0 MPA</v>
      </c>
      <c r="C3786" s="156">
        <v>1.27</v>
      </c>
      <c r="D3786" s="157" t="str">
        <f>IF(A3786="","",VLOOKUP(A3786,'6.A'!$A$11:$G$180,4,FALSE))</f>
        <v>UN</v>
      </c>
      <c r="E3786" s="158">
        <f>IF(A3786="","",VLOOKUP(A3786,'6.A'!$A$11:$G$180,5,FALSE))</f>
        <v>0</v>
      </c>
      <c r="F3786" s="159">
        <f t="shared" si="1642"/>
        <v>0</v>
      </c>
      <c r="G3786" s="52"/>
      <c r="H3786" s="52">
        <f>IF(A3786="","",VLOOKUP(A3786,'6.A'!$A$11:$E$7984,5,FALSE))</f>
        <v>0</v>
      </c>
      <c r="I3786" s="52" t="str">
        <f t="shared" si="1643"/>
        <v>SIM</v>
      </c>
      <c r="J3786" s="52" t="str">
        <f>IF(H3786="","",VLOOKUP(A3786,'6.A'!$A$11:$E$564,4,FALSE))</f>
        <v>UN</v>
      </c>
      <c r="K3786" s="52" t="str">
        <f t="shared" si="1644"/>
        <v>SIM</v>
      </c>
      <c r="L3786" s="52">
        <f>IF(H3786="","",IF(C3786="","",G3756*C3786))</f>
        <v>12.7</v>
      </c>
      <c r="M3786" s="117" t="str">
        <f>IF(A3786="","",VLOOKUP(A3786,'6.A'!$A$11:$C$564,2,FALSE))</f>
        <v>CANALETA ESTRUTURAL CERAMICA DE 14 X 19 X 29 CM (L X A X C) E 6,0 MPA</v>
      </c>
      <c r="N3786" s="57" t="str">
        <f t="shared" si="1645"/>
        <v>si</v>
      </c>
      <c r="O3786" s="56"/>
      <c r="P3786" s="56"/>
      <c r="Q3786" s="48"/>
      <c r="R3786" s="48"/>
      <c r="S3786" s="65"/>
      <c r="T3786" s="2"/>
      <c r="U3786" s="2"/>
      <c r="V3786" s="2"/>
    </row>
    <row r="3787" spans="1:22" s="149" customFormat="1" ht="12.75" customHeight="1" x14ac:dyDescent="0.2">
      <c r="A3787" s="155">
        <f>'6.A'!$A$131</f>
        <v>34788</v>
      </c>
      <c r="B3787" s="138" t="str">
        <f>IF(A3787="","",VLOOKUP(A3787,'6.A'!$A$11:$G$180,2,FALSE))</f>
        <v>MEIO BLOCO ESTRUTURAL CERAMICO DE 14 X 19 X 14 CM (L X A X C) E 6,0 MPA</v>
      </c>
      <c r="C3787" s="156">
        <v>1.53</v>
      </c>
      <c r="D3787" s="157" t="str">
        <f>IF(A3787="","",VLOOKUP(A3787,'6.A'!$A$11:$G$180,4,FALSE))</f>
        <v>UN</v>
      </c>
      <c r="E3787" s="158">
        <f>IF(A3787="","",VLOOKUP(A3787,'6.A'!$A$11:$G$180,5,FALSE))</f>
        <v>0</v>
      </c>
      <c r="F3787" s="159">
        <f t="shared" si="1642"/>
        <v>0</v>
      </c>
      <c r="G3787" s="52"/>
      <c r="H3787" s="52">
        <f>IF(A3787="","",VLOOKUP(A3787,'6.A'!$A$11:$E$7984,5,FALSE))</f>
        <v>0</v>
      </c>
      <c r="I3787" s="52" t="str">
        <f t="shared" si="1643"/>
        <v>SIM</v>
      </c>
      <c r="J3787" s="52" t="str">
        <f>IF(H3787="","",VLOOKUP(A3787,'6.A'!$A$11:$E$564,4,FALSE))</f>
        <v>UN</v>
      </c>
      <c r="K3787" s="52" t="str">
        <f t="shared" si="1644"/>
        <v>SIM</v>
      </c>
      <c r="L3787" s="52">
        <f>IF(H3787="","",IF(C3787="","",G3756*C3787))</f>
        <v>15.3</v>
      </c>
      <c r="M3787" s="117" t="str">
        <f>IF(A3787="","",VLOOKUP(A3787,'6.A'!$A$11:$C$564,2,FALSE))</f>
        <v>MEIO BLOCO ESTRUTURAL CERAMICO DE 14 X 19 X 14 CM (L X A X C) E 6,0 MPA</v>
      </c>
      <c r="N3787" s="57" t="str">
        <f t="shared" si="1645"/>
        <v>si</v>
      </c>
      <c r="O3787" s="56"/>
      <c r="P3787" s="56"/>
      <c r="Q3787" s="48"/>
      <c r="R3787" s="48"/>
      <c r="S3787" s="65"/>
      <c r="T3787" s="2"/>
      <c r="U3787" s="2"/>
      <c r="V3787" s="2"/>
    </row>
    <row r="3788" spans="1:22" s="149" customFormat="1" ht="12.75" customHeight="1" x14ac:dyDescent="0.2">
      <c r="A3788" s="155" t="str">
        <f>'6.A'!$A$52</f>
        <v>CV00182</v>
      </c>
      <c r="B3788" s="138" t="str">
        <f>IF(A3788="","",VLOOKUP(A3788,'6.A'!$A$11:$G$180,2,FALSE))</f>
        <v>AREIA MÉDIA GRANULOMETRIA ENTRE (0,42 E 1,2 MM) LAVADA</v>
      </c>
      <c r="C3788" s="156">
        <f>0.0192*1.16</f>
        <v>2.2271999999999997E-2</v>
      </c>
      <c r="D3788" s="157" t="str">
        <f>IF(A3788="","",VLOOKUP(A3788,'6.A'!$A$11:$G$180,4,FALSE))</f>
        <v>M3</v>
      </c>
      <c r="E3788" s="158">
        <f>IF(A3788="","",VLOOKUP(A3788,'6.A'!$A$11:$G$180,5,FALSE))</f>
        <v>0</v>
      </c>
      <c r="F3788" s="159">
        <f t="shared" si="1642"/>
        <v>0</v>
      </c>
      <c r="G3788" s="52"/>
      <c r="H3788" s="52">
        <f>IF(A3788="","",VLOOKUP(A3788,'6.A'!$A$11:$E$7984,5,FALSE))</f>
        <v>0</v>
      </c>
      <c r="I3788" s="52" t="str">
        <f t="shared" si="1643"/>
        <v>SIM</v>
      </c>
      <c r="J3788" s="52" t="str">
        <f>IF(H3788="","",VLOOKUP(A3788,'6.A'!$A$11:$E$564,4,FALSE))</f>
        <v>M3</v>
      </c>
      <c r="K3788" s="52" t="str">
        <f t="shared" si="1644"/>
        <v>SIM</v>
      </c>
      <c r="L3788" s="52">
        <f>IF(H3788="","",IF(C3788="","",G3756*C3788))</f>
        <v>0.22271999999999997</v>
      </c>
      <c r="M3788" s="117" t="str">
        <f>IF(A3788="","",VLOOKUP(A3788,'6.A'!$A$11:$C$564,2,FALSE))</f>
        <v>AREIA MÉDIA GRANULOMETRIA ENTRE (0,42 E 1,2 MM) LAVADA</v>
      </c>
      <c r="N3788" s="57" t="str">
        <f t="shared" si="1645"/>
        <v>si</v>
      </c>
      <c r="O3788" s="56"/>
      <c r="P3788" s="56"/>
      <c r="Q3788" s="48"/>
      <c r="R3788" s="48"/>
      <c r="S3788" s="65"/>
      <c r="T3788" s="2"/>
      <c r="U3788" s="2"/>
      <c r="V3788" s="2"/>
    </row>
    <row r="3789" spans="1:22" s="149" customFormat="1" ht="12.75" customHeight="1" x14ac:dyDescent="0.2">
      <c r="A3789" s="155">
        <f>'6.A'!$A$82</f>
        <v>1106</v>
      </c>
      <c r="B3789" s="138" t="str">
        <f>IF(A3789="","",VLOOKUP(A3789,'6.A'!$A$11:$G$180,2,FALSE))</f>
        <v>CAL HIDRATADA CH-I PARA ARGAMASSAS</v>
      </c>
      <c r="C3789" s="156">
        <f>0.0192*116.4</f>
        <v>2.23488</v>
      </c>
      <c r="D3789" s="141" t="str">
        <f>IF(A3789="","",VLOOKUP(A3789,'6.A'!$A$11:$G$180,4,FALSE))</f>
        <v>KG</v>
      </c>
      <c r="E3789" s="160">
        <f>IF(A3789="","",VLOOKUP(A3789,'6.A'!$A$11:$G$180,5,FALSE))</f>
        <v>0</v>
      </c>
      <c r="F3789" s="159">
        <f t="shared" si="1642"/>
        <v>0</v>
      </c>
      <c r="G3789" s="52"/>
      <c r="H3789" s="52">
        <f>IF(A3789="","",VLOOKUP(A3789,'6.A'!$A$11:$E$7984,5,FALSE))</f>
        <v>0</v>
      </c>
      <c r="I3789" s="52" t="str">
        <f t="shared" si="1643"/>
        <v>SIM</v>
      </c>
      <c r="J3789" s="52" t="str">
        <f>IF(H3789="","",VLOOKUP(A3789,'6.A'!$A$11:$E$564,4,FALSE))</f>
        <v>KG</v>
      </c>
      <c r="K3789" s="52" t="str">
        <f t="shared" si="1644"/>
        <v>SIM</v>
      </c>
      <c r="L3789" s="52">
        <f>IF(H3789="","",IF(C3789="","",G3756*C3789))</f>
        <v>22.348800000000001</v>
      </c>
      <c r="M3789" s="117" t="str">
        <f>IF(A3789="","",VLOOKUP(A3789,'6.A'!$A$11:$C$564,2,FALSE))</f>
        <v>CAL HIDRATADA CH-I PARA ARGAMASSAS</v>
      </c>
      <c r="N3789" s="57" t="str">
        <f t="shared" si="1645"/>
        <v>si</v>
      </c>
      <c r="O3789" s="56"/>
      <c r="P3789" s="56"/>
      <c r="Q3789" s="48"/>
      <c r="R3789" s="48"/>
      <c r="S3789" s="65"/>
      <c r="T3789" s="2"/>
      <c r="U3789" s="2"/>
      <c r="V3789" s="2"/>
    </row>
    <row r="3790" spans="1:22" s="149" customFormat="1" ht="12.75" customHeight="1" x14ac:dyDescent="0.2">
      <c r="A3790" s="155">
        <f>'6.A'!$A$85</f>
        <v>1379</v>
      </c>
      <c r="B3790" s="138" t="str">
        <f>IF(A3790="","",VLOOKUP(A3790,'6.A'!$A$11:$G$180,2,FALSE))</f>
        <v>CIMENTO PORTLAND COMPOSTO CP II-32</v>
      </c>
      <c r="C3790" s="156">
        <f>0.0192*261.89</f>
        <v>5.028287999999999</v>
      </c>
      <c r="D3790" s="141" t="str">
        <f>IF(A3790="","",VLOOKUP(A3790,'6.A'!$A$11:$G$180,4,FALSE))</f>
        <v>KG</v>
      </c>
      <c r="E3790" s="160">
        <f>IF(A3790="","",VLOOKUP(A3790,'6.A'!$A$11:$G$180,5,FALSE))</f>
        <v>0</v>
      </c>
      <c r="F3790" s="159">
        <f t="shared" si="1642"/>
        <v>0</v>
      </c>
      <c r="G3790" s="52"/>
      <c r="H3790" s="52">
        <f>IF(A3790="","",VLOOKUP(A3790,'6.A'!$A$11:$E$7984,5,FALSE))</f>
        <v>0</v>
      </c>
      <c r="I3790" s="52" t="str">
        <f t="shared" si="1643"/>
        <v>SIM</v>
      </c>
      <c r="J3790" s="52" t="str">
        <f>IF(H3790="","",VLOOKUP(A3790,'6.A'!$A$11:$E$564,4,FALSE))</f>
        <v>KG</v>
      </c>
      <c r="K3790" s="52" t="str">
        <f t="shared" si="1644"/>
        <v>SIM</v>
      </c>
      <c r="L3790" s="52">
        <f>IF(H3790="","",IF(C3790="","",G3756*C3790))</f>
        <v>50.282879999999992</v>
      </c>
      <c r="M3790" s="117" t="str">
        <f>IF(A3790="","",VLOOKUP(A3790,'6.A'!$A$11:$C$564,2,FALSE))</f>
        <v>CIMENTO PORTLAND COMPOSTO CP II-32</v>
      </c>
      <c r="N3790" s="57" t="str">
        <f t="shared" si="1645"/>
        <v>si</v>
      </c>
      <c r="O3790" s="56"/>
      <c r="P3790" s="56"/>
      <c r="Q3790" s="48"/>
      <c r="R3790" s="48"/>
      <c r="S3790" s="65"/>
      <c r="T3790" s="2"/>
      <c r="U3790" s="2"/>
      <c r="V3790" s="2"/>
    </row>
    <row r="3791" spans="1:22" s="149" customFormat="1" ht="12.75" customHeight="1" x14ac:dyDescent="0.2">
      <c r="A3791" s="155"/>
      <c r="B3791" s="138" t="str">
        <f>IF(A3791="","",VLOOKUP(A3791,'6.A'!$A$11:$G$180,2,FALSE))</f>
        <v/>
      </c>
      <c r="C3791" s="156"/>
      <c r="D3791" s="157" t="str">
        <f>IF(A3791="","",VLOOKUP(A3791,'6.A'!$A$11:$G$180,4,FALSE))</f>
        <v/>
      </c>
      <c r="E3791" s="158" t="str">
        <f>IF(A3791="","",VLOOKUP(A3791,'6.A'!$A$11:$G$180,5,FALSE))</f>
        <v/>
      </c>
      <c r="F3791" s="159" t="str">
        <f t="shared" si="1642"/>
        <v>0,00</v>
      </c>
      <c r="G3791" s="52"/>
      <c r="H3791" s="52" t="str">
        <f>IF(A3791="","",VLOOKUP(A3791,'6.A'!$A$11:$E$7984,5,FALSE))</f>
        <v/>
      </c>
      <c r="I3791" s="52" t="str">
        <f t="shared" si="1643"/>
        <v/>
      </c>
      <c r="J3791" s="52" t="str">
        <f>IF(H3791="","",VLOOKUP(A3791,'6.A'!$A$11:$E$564,4,FALSE))</f>
        <v/>
      </c>
      <c r="K3791" s="52" t="str">
        <f t="shared" si="1644"/>
        <v/>
      </c>
      <c r="L3791" s="52" t="str">
        <f>IF(H3791="","",IF(C3791="","",G3756*C3791))</f>
        <v/>
      </c>
      <c r="M3791" s="117" t="str">
        <f>IF(A3791="","",VLOOKUP(A3791,'6.A'!$A$11:$C$564,2,FALSE))</f>
        <v/>
      </c>
      <c r="N3791" s="57" t="str">
        <f t="shared" si="1645"/>
        <v/>
      </c>
      <c r="O3791" s="56"/>
      <c r="P3791" s="56"/>
      <c r="Q3791" s="48"/>
      <c r="R3791" s="48"/>
      <c r="S3791" s="65"/>
      <c r="T3791" s="2"/>
      <c r="U3791" s="2"/>
      <c r="V3791" s="2"/>
    </row>
    <row r="3792" spans="1:22" s="149" customFormat="1" ht="12.75" customHeight="1" x14ac:dyDescent="0.2">
      <c r="A3792" s="155"/>
      <c r="B3792" s="138" t="str">
        <f>IF(A3792="","",VLOOKUP(A3792,'6.A'!$A$11:$G$180,2,FALSE))</f>
        <v/>
      </c>
      <c r="C3792" s="156"/>
      <c r="D3792" s="157" t="str">
        <f>IF(A3792="","",VLOOKUP(A3792,'6.A'!$A$11:$G$180,4,FALSE))</f>
        <v/>
      </c>
      <c r="E3792" s="158" t="str">
        <f>IF(A3792="","",VLOOKUP(A3792,'6.A'!$A$11:$G$180,5,FALSE))</f>
        <v/>
      </c>
      <c r="F3792" s="159" t="str">
        <f t="shared" si="1642"/>
        <v>0,00</v>
      </c>
      <c r="G3792" s="52"/>
      <c r="H3792" s="52" t="str">
        <f>IF(A3792="","",VLOOKUP(A3792,'6.A'!$A$11:$E$7984,5,FALSE))</f>
        <v/>
      </c>
      <c r="I3792" s="52" t="str">
        <f t="shared" si="1643"/>
        <v/>
      </c>
      <c r="J3792" s="52" t="str">
        <f>IF(H3792="","",VLOOKUP(A3792,'6.A'!$A$11:$E$564,4,FALSE))</f>
        <v/>
      </c>
      <c r="K3792" s="52" t="str">
        <f t="shared" si="1644"/>
        <v/>
      </c>
      <c r="L3792" s="52" t="str">
        <f>IF(H3792="","",IF(C3792="","",G3756*C3792))</f>
        <v/>
      </c>
      <c r="M3792" s="117" t="str">
        <f>IF(A3792="","",VLOOKUP(A3792,'6.A'!$A$11:$C$564,2,FALSE))</f>
        <v/>
      </c>
      <c r="N3792" s="57" t="str">
        <f t="shared" si="1645"/>
        <v/>
      </c>
      <c r="O3792" s="56"/>
      <c r="P3792" s="56"/>
      <c r="Q3792" s="48"/>
      <c r="R3792" s="48"/>
      <c r="S3792" s="65"/>
      <c r="T3792" s="2"/>
      <c r="U3792" s="2"/>
      <c r="V3792" s="2"/>
    </row>
    <row r="3793" spans="1:22" s="149" customFormat="1" ht="12.75" customHeight="1" x14ac:dyDescent="0.2">
      <c r="A3793" s="155"/>
      <c r="B3793" s="138" t="str">
        <f>IF(A3793="","",VLOOKUP(A3793,'6.A'!$A$11:$G$180,2,FALSE))</f>
        <v/>
      </c>
      <c r="C3793" s="156"/>
      <c r="D3793" s="141" t="str">
        <f>IF(A3793="","",VLOOKUP(A3793,'6.A'!$A$11:$G$180,4,FALSE))</f>
        <v/>
      </c>
      <c r="E3793" s="160" t="str">
        <f>IF(A3793="","",VLOOKUP(A3793,'6.A'!$A$11:$G$180,5,FALSE))</f>
        <v/>
      </c>
      <c r="F3793" s="159" t="str">
        <f t="shared" si="1642"/>
        <v>0,00</v>
      </c>
      <c r="G3793" s="52"/>
      <c r="H3793" s="52" t="str">
        <f>IF(A3793="","",VLOOKUP(A3793,'6.A'!$A$11:$E$7984,5,FALSE))</f>
        <v/>
      </c>
      <c r="I3793" s="52" t="str">
        <f t="shared" si="1643"/>
        <v/>
      </c>
      <c r="J3793" s="52" t="str">
        <f>IF(H3793="","",VLOOKUP(A3793,'6.A'!$A$11:$E$564,4,FALSE))</f>
        <v/>
      </c>
      <c r="K3793" s="52" t="str">
        <f t="shared" si="1644"/>
        <v/>
      </c>
      <c r="L3793" s="52" t="str">
        <f>IF(H3793="","",IF(C3793="","",G3756*C3793))</f>
        <v/>
      </c>
      <c r="M3793" s="117" t="str">
        <f>IF(A3793="","",VLOOKUP(A3793,'6.A'!$A$11:$C$564,2,FALSE))</f>
        <v/>
      </c>
      <c r="N3793" s="57" t="str">
        <f t="shared" si="1645"/>
        <v/>
      </c>
      <c r="O3793" s="56"/>
      <c r="P3793" s="56"/>
      <c r="Q3793" s="48"/>
      <c r="R3793" s="48"/>
      <c r="S3793" s="65"/>
      <c r="T3793" s="2"/>
      <c r="U3793" s="2"/>
      <c r="V3793" s="2"/>
    </row>
    <row r="3794" spans="1:22" s="149" customFormat="1" ht="12.75" customHeight="1" x14ac:dyDescent="0.2">
      <c r="A3794" s="155"/>
      <c r="B3794" s="138" t="str">
        <f>IF(A3794="","",VLOOKUP(A3794,'6.A'!$A$11:$G$180,2,FALSE))</f>
        <v/>
      </c>
      <c r="C3794" s="156"/>
      <c r="D3794" s="141" t="str">
        <f>IF(A3794="","",VLOOKUP(A3794,'6.A'!$A$11:$G$180,4,FALSE))</f>
        <v/>
      </c>
      <c r="E3794" s="160" t="str">
        <f>IF(A3794="","",VLOOKUP(A3794,'6.A'!$A$11:$G$180,5,FALSE))</f>
        <v/>
      </c>
      <c r="F3794" s="159" t="str">
        <f t="shared" si="1642"/>
        <v>0,00</v>
      </c>
      <c r="G3794" s="52"/>
      <c r="H3794" s="52" t="str">
        <f>IF(A3794="","",VLOOKUP(A3794,'6.A'!$A$11:$E$7984,5,FALSE))</f>
        <v/>
      </c>
      <c r="I3794" s="52" t="str">
        <f t="shared" si="1643"/>
        <v/>
      </c>
      <c r="J3794" s="52" t="str">
        <f>IF(H3794="","",VLOOKUP(A3794,'6.A'!$A$11:$E$564,4,FALSE))</f>
        <v/>
      </c>
      <c r="K3794" s="52" t="str">
        <f t="shared" si="1644"/>
        <v/>
      </c>
      <c r="L3794" s="52" t="str">
        <f>IF(H3794="","",IF(C3794="","",G3756*C3794))</f>
        <v/>
      </c>
      <c r="M3794" s="117" t="str">
        <f>IF(A3794="","",VLOOKUP(A3794,'6.A'!$A$11:$C$564,2,FALSE))</f>
        <v/>
      </c>
      <c r="N3794" s="57" t="str">
        <f t="shared" si="1645"/>
        <v/>
      </c>
      <c r="O3794" s="56"/>
      <c r="P3794" s="56"/>
      <c r="Q3794" s="48"/>
      <c r="R3794" s="48"/>
      <c r="S3794" s="65"/>
      <c r="T3794" s="2"/>
      <c r="U3794" s="2"/>
      <c r="V3794" s="2"/>
    </row>
    <row r="3795" spans="1:22" s="149" customFormat="1" ht="12.75" customHeight="1" x14ac:dyDescent="0.2">
      <c r="A3795" s="155"/>
      <c r="B3795" s="138" t="str">
        <f>IF(A3795="","",VLOOKUP(A3795,'6.A'!$A$11:$G$180,2,FALSE))</f>
        <v/>
      </c>
      <c r="C3795" s="156"/>
      <c r="D3795" s="141" t="str">
        <f>IF(A3795="","",VLOOKUP(A3795,'6.A'!$A$11:$G$180,4,FALSE))</f>
        <v/>
      </c>
      <c r="E3795" s="160" t="str">
        <f>IF(A3795="","",VLOOKUP(A3795,'6.A'!$A$11:$G$180,5,FALSE))</f>
        <v/>
      </c>
      <c r="F3795" s="159" t="str">
        <f t="shared" si="1642"/>
        <v>0,00</v>
      </c>
      <c r="G3795" s="52"/>
      <c r="H3795" s="52" t="str">
        <f>IF(A3795="","",VLOOKUP(A3795,'6.A'!$A$11:$E$7984,5,FALSE))</f>
        <v/>
      </c>
      <c r="I3795" s="52" t="str">
        <f t="shared" si="1643"/>
        <v/>
      </c>
      <c r="J3795" s="52" t="str">
        <f>IF(H3795="","",VLOOKUP(A3795,'6.A'!$A$11:$E$564,4,FALSE))</f>
        <v/>
      </c>
      <c r="K3795" s="52" t="str">
        <f t="shared" si="1644"/>
        <v/>
      </c>
      <c r="L3795" s="52" t="str">
        <f>IF(H3795="","",IF(C3795="","",G3756*C3795))</f>
        <v/>
      </c>
      <c r="M3795" s="117" t="str">
        <f>IF(A3795="","",VLOOKUP(A3795,'6.A'!$A$11:$C$564,2,FALSE))</f>
        <v/>
      </c>
      <c r="N3795" s="57" t="str">
        <f t="shared" si="1645"/>
        <v/>
      </c>
      <c r="O3795" s="56"/>
      <c r="P3795" s="56"/>
      <c r="Q3795" s="48"/>
      <c r="R3795" s="48"/>
      <c r="S3795" s="65"/>
      <c r="T3795" s="2"/>
      <c r="U3795" s="2"/>
      <c r="V3795" s="2"/>
    </row>
    <row r="3796" spans="1:22" s="149" customFormat="1" ht="12.75" customHeight="1" x14ac:dyDescent="0.2">
      <c r="A3796" s="155"/>
      <c r="B3796" s="138" t="str">
        <f>IF(A3796="","",VLOOKUP(A3796,'6.A'!$A$11:$G$180,2,FALSE))</f>
        <v/>
      </c>
      <c r="C3796" s="156"/>
      <c r="D3796" s="141" t="str">
        <f>IF(A3796="","",VLOOKUP(A3796,'6.A'!$A$11:$G$180,4,FALSE))</f>
        <v/>
      </c>
      <c r="E3796" s="160" t="str">
        <f>IF(A3796="","",VLOOKUP(A3796,'6.A'!$A$11:$G$180,5,FALSE))</f>
        <v/>
      </c>
      <c r="F3796" s="159" t="str">
        <f t="shared" si="1642"/>
        <v>0,00</v>
      </c>
      <c r="G3796" s="52"/>
      <c r="H3796" s="52" t="str">
        <f>IF(A3796="","",VLOOKUP(A3796,'6.A'!$A$11:$E$7984,5,FALSE))</f>
        <v/>
      </c>
      <c r="I3796" s="52" t="str">
        <f t="shared" si="1643"/>
        <v/>
      </c>
      <c r="J3796" s="52" t="str">
        <f>IF(H3796="","",VLOOKUP(A3796,'6.A'!$A$11:$E$564,4,FALSE))</f>
        <v/>
      </c>
      <c r="K3796" s="52" t="str">
        <f t="shared" si="1644"/>
        <v/>
      </c>
      <c r="L3796" s="52" t="str">
        <f>IF(H3796="","",IF(C3796="","",G3756*C3796))</f>
        <v/>
      </c>
      <c r="M3796" s="117" t="str">
        <f>IF(A3796="","",VLOOKUP(A3796,'6.A'!$A$11:$C$564,2,FALSE))</f>
        <v/>
      </c>
      <c r="N3796" s="57" t="str">
        <f t="shared" si="1645"/>
        <v/>
      </c>
      <c r="O3796" s="56"/>
      <c r="P3796" s="56"/>
      <c r="Q3796" s="48"/>
      <c r="R3796" s="48"/>
      <c r="S3796" s="65"/>
      <c r="T3796" s="2"/>
      <c r="U3796" s="2"/>
      <c r="V3796" s="2"/>
    </row>
    <row r="3797" spans="1:22" s="149" customFormat="1" ht="12.75" customHeight="1" x14ac:dyDescent="0.2">
      <c r="A3797" s="155"/>
      <c r="B3797" s="138" t="str">
        <f>IF(A3797="","",VLOOKUP(A3797,'6.A'!$A$11:$G$180,2,FALSE))</f>
        <v/>
      </c>
      <c r="C3797" s="156"/>
      <c r="D3797" s="141" t="str">
        <f>IF(A3797="","",VLOOKUP(A3797,'6.A'!$A$11:$G$180,4,FALSE))</f>
        <v/>
      </c>
      <c r="E3797" s="160" t="str">
        <f>IF(A3797="","",VLOOKUP(A3797,'6.A'!$A$11:$G$180,5,FALSE))</f>
        <v/>
      </c>
      <c r="F3797" s="159" t="str">
        <f t="shared" si="1642"/>
        <v>0,00</v>
      </c>
      <c r="G3797" s="52"/>
      <c r="H3797" s="52" t="str">
        <f>IF(A3797="","",VLOOKUP(A3797,'6.A'!$A$11:$E$7984,5,FALSE))</f>
        <v/>
      </c>
      <c r="I3797" s="52" t="str">
        <f t="shared" si="1643"/>
        <v/>
      </c>
      <c r="J3797" s="52" t="str">
        <f>IF(H3797="","",VLOOKUP(A3797,'6.A'!$A$11:$E$564,4,FALSE))</f>
        <v/>
      </c>
      <c r="K3797" s="52" t="str">
        <f t="shared" si="1644"/>
        <v/>
      </c>
      <c r="L3797" s="52" t="str">
        <f>IF(H3797="","",IF(C3797="","",G3756*C3797))</f>
        <v/>
      </c>
      <c r="M3797" s="117" t="str">
        <f>IF(A3797="","",VLOOKUP(A3797,'6.A'!$A$11:$C$564,2,FALSE))</f>
        <v/>
      </c>
      <c r="N3797" s="57" t="str">
        <f t="shared" si="1645"/>
        <v/>
      </c>
      <c r="O3797" s="56"/>
      <c r="P3797" s="56"/>
      <c r="Q3797" s="48"/>
      <c r="R3797" s="48"/>
      <c r="S3797" s="65"/>
      <c r="T3797" s="2"/>
      <c r="U3797" s="2"/>
      <c r="V3797" s="2"/>
    </row>
    <row r="3798" spans="1:22" s="149" customFormat="1" ht="12.75" customHeight="1" x14ac:dyDescent="0.2">
      <c r="A3798" s="155"/>
      <c r="B3798" s="138" t="str">
        <f>IF(A3798="","",VLOOKUP(A3798,'6.A'!$A$11:$G$180,2,FALSE))</f>
        <v/>
      </c>
      <c r="C3798" s="156"/>
      <c r="D3798" s="141" t="str">
        <f>IF(A3798="","",VLOOKUP(A3798,'6.A'!$A$11:$G$180,4,FALSE))</f>
        <v/>
      </c>
      <c r="E3798" s="160" t="str">
        <f>IF(A3798="","",VLOOKUP(A3798,'6.A'!$A$11:$G$180,5,FALSE))</f>
        <v/>
      </c>
      <c r="F3798" s="159" t="str">
        <f t="shared" si="1642"/>
        <v>0,00</v>
      </c>
      <c r="G3798" s="52"/>
      <c r="H3798" s="52" t="str">
        <f>IF(A3798="","",VLOOKUP(A3798,'6.A'!$A$11:$E$7984,5,FALSE))</f>
        <v/>
      </c>
      <c r="I3798" s="52" t="str">
        <f t="shared" si="1643"/>
        <v/>
      </c>
      <c r="J3798" s="52" t="str">
        <f>IF(H3798="","",VLOOKUP(A3798,'6.A'!$A$11:$E$564,4,FALSE))</f>
        <v/>
      </c>
      <c r="K3798" s="52" t="str">
        <f t="shared" si="1644"/>
        <v/>
      </c>
      <c r="L3798" s="52" t="str">
        <f>IF(H3798="","",IF(C3798="","",G3756*C3798))</f>
        <v/>
      </c>
      <c r="M3798" s="117" t="str">
        <f>IF(A3798="","",VLOOKUP(A3798,'6.A'!$A$11:$C$564,2,FALSE))</f>
        <v/>
      </c>
      <c r="N3798" s="57" t="str">
        <f t="shared" si="1645"/>
        <v/>
      </c>
      <c r="O3798" s="56"/>
      <c r="P3798" s="56"/>
      <c r="Q3798" s="48"/>
      <c r="R3798" s="48"/>
      <c r="S3798" s="65"/>
      <c r="T3798" s="2"/>
      <c r="U3798" s="2"/>
      <c r="V3798" s="2"/>
    </row>
    <row r="3799" spans="1:22" s="149" customFormat="1" ht="12.75" customHeight="1" x14ac:dyDescent="0.2">
      <c r="A3799" s="155"/>
      <c r="B3799" s="138" t="str">
        <f>IF(A3799="","",VLOOKUP(A3799,'6.A'!$A$11:$G$180,2,FALSE))</f>
        <v/>
      </c>
      <c r="C3799" s="156"/>
      <c r="D3799" s="141" t="str">
        <f>IF(A3799="","",VLOOKUP(A3799,'6.A'!$A$11:$G$180,4,FALSE))</f>
        <v/>
      </c>
      <c r="E3799" s="160" t="str">
        <f>IF(A3799="","",VLOOKUP(A3799,'6.A'!$A$11:$G$180,5,FALSE))</f>
        <v/>
      </c>
      <c r="F3799" s="159" t="str">
        <f t="shared" si="1642"/>
        <v>0,00</v>
      </c>
      <c r="G3799" s="52"/>
      <c r="H3799" s="52" t="str">
        <f>IF(A3799="","",VLOOKUP(A3799,'6.A'!$A$11:$E$7984,5,FALSE))</f>
        <v/>
      </c>
      <c r="I3799" s="52" t="str">
        <f t="shared" si="1643"/>
        <v/>
      </c>
      <c r="J3799" s="52" t="str">
        <f>IF(H3799="","",VLOOKUP(A3799,'6.A'!$A$11:$E$564,4,FALSE))</f>
        <v/>
      </c>
      <c r="K3799" s="52" t="str">
        <f t="shared" si="1644"/>
        <v/>
      </c>
      <c r="L3799" s="52" t="str">
        <f>IF(H3799="","",IF(C3799="","",G3756*C3799))</f>
        <v/>
      </c>
      <c r="M3799" s="117" t="str">
        <f>IF(A3799="","",VLOOKUP(A3799,'6.A'!$A$11:$C$564,2,FALSE))</f>
        <v/>
      </c>
      <c r="N3799" s="57" t="str">
        <f t="shared" si="1645"/>
        <v/>
      </c>
      <c r="O3799" s="56"/>
      <c r="P3799" s="56"/>
      <c r="Q3799" s="48"/>
      <c r="R3799" s="48"/>
      <c r="S3799" s="65"/>
      <c r="T3799" s="2"/>
      <c r="U3799" s="2"/>
      <c r="V3799" s="2"/>
    </row>
    <row r="3800" spans="1:22" s="149" customFormat="1" ht="12.75" customHeight="1" x14ac:dyDescent="0.2">
      <c r="A3800" s="155"/>
      <c r="B3800" s="138" t="str">
        <f>IF(A3800="","",VLOOKUP(A3800,'6.A'!$A$11:$G$180,2,FALSE))</f>
        <v/>
      </c>
      <c r="C3800" s="156"/>
      <c r="D3800" s="141" t="str">
        <f>IF(A3800="","",VLOOKUP(A3800,'6.A'!$A$11:$G$180,4,FALSE))</f>
        <v/>
      </c>
      <c r="E3800" s="160" t="str">
        <f>IF(A3800="","",VLOOKUP(A3800,'6.A'!$A$11:$G$180,5,FALSE))</f>
        <v/>
      </c>
      <c r="F3800" s="159" t="str">
        <f t="shared" si="1642"/>
        <v>0,00</v>
      </c>
      <c r="G3800" s="52"/>
      <c r="H3800" s="52" t="str">
        <f>IF(A3800="","",VLOOKUP(A3800,'6.A'!$A$11:$E$7984,5,FALSE))</f>
        <v/>
      </c>
      <c r="I3800" s="52" t="str">
        <f t="shared" si="1643"/>
        <v/>
      </c>
      <c r="J3800" s="52" t="str">
        <f>IF(H3800="","",VLOOKUP(A3800,'6.A'!$A$11:$E$564,4,FALSE))</f>
        <v/>
      </c>
      <c r="K3800" s="52" t="str">
        <f t="shared" si="1644"/>
        <v/>
      </c>
      <c r="L3800" s="52" t="str">
        <f>IF(H3800="","",IF(C3800="","",G3756*C3800))</f>
        <v/>
      </c>
      <c r="M3800" s="117" t="str">
        <f>IF(A3800="","",VLOOKUP(A3800,'6.A'!$A$11:$C$564,2,FALSE))</f>
        <v/>
      </c>
      <c r="N3800" s="57" t="str">
        <f t="shared" si="1645"/>
        <v/>
      </c>
      <c r="O3800" s="56"/>
      <c r="P3800" s="56"/>
      <c r="Q3800" s="48"/>
      <c r="R3800" s="48"/>
      <c r="S3800" s="65"/>
      <c r="T3800" s="2"/>
      <c r="U3800" s="2"/>
      <c r="V3800" s="2"/>
    </row>
    <row r="3801" spans="1:22" s="137" customFormat="1" ht="12.75" customHeight="1" x14ac:dyDescent="0.2">
      <c r="A3801" s="155"/>
      <c r="B3801" s="171" t="str">
        <f>IF(A3801="","",VLOOKUP(A3801,'6.A'!$A$11:$G$180,2,FALSE))</f>
        <v/>
      </c>
      <c r="C3801" s="156"/>
      <c r="D3801" s="141" t="str">
        <f>IF(A3801="","",VLOOKUP(A3801,'6.A'!$A$11:$G$180,4,FALSE))</f>
        <v/>
      </c>
      <c r="E3801" s="160" t="str">
        <f>IF(A3801="","",VLOOKUP(A3801,'6.A'!$A$11:$G$180,5,FALSE))</f>
        <v/>
      </c>
      <c r="F3801" s="159" t="str">
        <f t="shared" si="1642"/>
        <v>0,00</v>
      </c>
      <c r="G3801" s="52"/>
      <c r="H3801" s="52" t="str">
        <f>IF(A3801="","",VLOOKUP(A3801,'6.A'!$A$11:$E$7984,5,FALSE))</f>
        <v/>
      </c>
      <c r="I3801" s="52" t="str">
        <f t="shared" si="1643"/>
        <v/>
      </c>
      <c r="J3801" s="52" t="str">
        <f>IF(H3801="","",VLOOKUP(A3801,'6.A'!$A$11:$E$564,4,FALSE))</f>
        <v/>
      </c>
      <c r="K3801" s="52" t="str">
        <f t="shared" si="1644"/>
        <v/>
      </c>
      <c r="L3801" s="52" t="str">
        <f>IF(H3801="","",IF(C3801="","",G3756*C3801))</f>
        <v/>
      </c>
      <c r="M3801" s="117" t="str">
        <f>IF(A3801="","",VLOOKUP(A3801,'6.A'!$A$11:$C$564,2,FALSE))</f>
        <v/>
      </c>
      <c r="N3801" s="57" t="str">
        <f t="shared" si="1645"/>
        <v/>
      </c>
      <c r="O3801" s="56"/>
      <c r="P3801" s="56"/>
      <c r="Q3801" s="48"/>
      <c r="R3801" s="48"/>
      <c r="S3801" s="65"/>
      <c r="T3801" s="2"/>
      <c r="U3801" s="2"/>
      <c r="V3801" s="2"/>
    </row>
    <row r="3802" spans="1:22" s="137" customFormat="1" ht="12.75" customHeight="1" x14ac:dyDescent="0.2">
      <c r="A3802" s="155"/>
      <c r="B3802" s="171" t="str">
        <f>IF(A3802="","",VLOOKUP(A3802,'6.A'!$A$11:$G$180,2,FALSE))</f>
        <v/>
      </c>
      <c r="C3802" s="156"/>
      <c r="D3802" s="141" t="str">
        <f>IF(A3802="","",VLOOKUP(A3802,'6.A'!$A$11:$G$180,4,FALSE))</f>
        <v/>
      </c>
      <c r="E3802" s="160" t="str">
        <f>IF(A3802="","",VLOOKUP(A3802,'6.A'!$A$11:$G$180,5,FALSE))</f>
        <v/>
      </c>
      <c r="F3802" s="159" t="str">
        <f t="shared" si="1642"/>
        <v>0,00</v>
      </c>
      <c r="G3802" s="52"/>
      <c r="H3802" s="52" t="str">
        <f>IF(A3802="","",VLOOKUP(A3802,'6.A'!$A$11:$E$7984,5,FALSE))</f>
        <v/>
      </c>
      <c r="I3802" s="52" t="str">
        <f t="shared" si="1643"/>
        <v/>
      </c>
      <c r="J3802" s="52" t="str">
        <f>IF(H3802="","",VLOOKUP(A3802,'6.A'!$A$11:$E$564,4,FALSE))</f>
        <v/>
      </c>
      <c r="K3802" s="52" t="str">
        <f t="shared" si="1644"/>
        <v/>
      </c>
      <c r="L3802" s="52" t="str">
        <f>IF(H3802="","",IF(C3802="","",G3756*C3802))</f>
        <v/>
      </c>
      <c r="M3802" s="117" t="str">
        <f>IF(A3802="","",VLOOKUP(A3802,'6.A'!$A$11:$C$564,2,FALSE))</f>
        <v/>
      </c>
      <c r="N3802" s="57" t="str">
        <f t="shared" si="1645"/>
        <v/>
      </c>
      <c r="O3802" s="56"/>
      <c r="P3802" s="56"/>
      <c r="Q3802" s="48"/>
      <c r="R3802" s="48"/>
      <c r="S3802" s="65"/>
      <c r="T3802" s="2"/>
      <c r="U3802" s="2"/>
      <c r="V3802" s="2"/>
    </row>
    <row r="3803" spans="1:22" s="137" customFormat="1" ht="12.75" customHeight="1" x14ac:dyDescent="0.2">
      <c r="A3803" s="155"/>
      <c r="B3803" s="171" t="str">
        <f>IF(A3803="","",VLOOKUP(A3803,'6.A'!$A$11:$G$180,2,FALSE))</f>
        <v/>
      </c>
      <c r="C3803" s="156"/>
      <c r="D3803" s="141" t="str">
        <f>IF(A3803="","",VLOOKUP(A3803,'6.A'!$A$11:$G$180,4,FALSE))</f>
        <v/>
      </c>
      <c r="E3803" s="160" t="str">
        <f>IF(A3803="","",VLOOKUP(A3803,'6.A'!$A$11:$G$180,5,FALSE))</f>
        <v/>
      </c>
      <c r="F3803" s="159" t="str">
        <f t="shared" si="1642"/>
        <v>0,00</v>
      </c>
      <c r="G3803" s="52"/>
      <c r="H3803" s="52" t="str">
        <f>IF(A3803="","",VLOOKUP(A3803,'6.A'!$A$11:$E$7984,5,FALSE))</f>
        <v/>
      </c>
      <c r="I3803" s="52" t="str">
        <f t="shared" si="1643"/>
        <v/>
      </c>
      <c r="J3803" s="52" t="str">
        <f>IF(H3803="","",VLOOKUP(A3803,'6.A'!$A$11:$E$564,4,FALSE))</f>
        <v/>
      </c>
      <c r="K3803" s="52" t="str">
        <f t="shared" si="1644"/>
        <v/>
      </c>
      <c r="L3803" s="52" t="str">
        <f>IF(H3803="","",IF(C3803="","",G3756*C3803))</f>
        <v/>
      </c>
      <c r="M3803" s="117" t="str">
        <f>IF(A3803="","",VLOOKUP(A3803,'6.A'!$A$11:$C$564,2,FALSE))</f>
        <v/>
      </c>
      <c r="N3803" s="57" t="str">
        <f t="shared" si="1645"/>
        <v/>
      </c>
      <c r="O3803" s="56"/>
      <c r="P3803" s="56"/>
      <c r="Q3803" s="48"/>
      <c r="R3803" s="48"/>
      <c r="S3803" s="65"/>
      <c r="T3803" s="2"/>
      <c r="U3803" s="2"/>
      <c r="V3803" s="2"/>
    </row>
    <row r="3804" spans="1:22" s="137" customFormat="1" ht="12.75" customHeight="1" x14ac:dyDescent="0.2">
      <c r="A3804" s="155"/>
      <c r="B3804" s="171" t="str">
        <f>IF(A3804="","",VLOOKUP(A3804,'6.A'!$A$11:$G$180,2,FALSE))</f>
        <v/>
      </c>
      <c r="C3804" s="156"/>
      <c r="D3804" s="141" t="str">
        <f>IF(A3804="","",VLOOKUP(A3804,'6.A'!$A$11:$G$180,4,FALSE))</f>
        <v/>
      </c>
      <c r="E3804" s="160" t="str">
        <f>IF(A3804="","",VLOOKUP(A3804,'6.A'!$A$11:$G$180,5,FALSE))</f>
        <v/>
      </c>
      <c r="F3804" s="159" t="str">
        <f t="shared" si="1642"/>
        <v>0,00</v>
      </c>
      <c r="G3804" s="52"/>
      <c r="H3804" s="52" t="str">
        <f>IF(A3804="","",VLOOKUP(A3804,'6.A'!$A$11:$E$7984,5,FALSE))</f>
        <v/>
      </c>
      <c r="I3804" s="52" t="str">
        <f t="shared" si="1643"/>
        <v/>
      </c>
      <c r="J3804" s="52" t="str">
        <f>IF(H3804="","",VLOOKUP(A3804,'6.A'!$A$11:$E$564,4,FALSE))</f>
        <v/>
      </c>
      <c r="K3804" s="52" t="str">
        <f t="shared" si="1644"/>
        <v/>
      </c>
      <c r="L3804" s="52" t="str">
        <f>IF(H3804="","",IF(C3804="","",G3756*C3804))</f>
        <v/>
      </c>
      <c r="M3804" s="117" t="str">
        <f>IF(A3804="","",VLOOKUP(A3804,'6.A'!$A$11:$C$564,2,FALSE))</f>
        <v/>
      </c>
      <c r="N3804" s="57" t="str">
        <f t="shared" si="1645"/>
        <v/>
      </c>
      <c r="O3804" s="56"/>
      <c r="P3804" s="56"/>
      <c r="Q3804" s="48"/>
      <c r="R3804" s="48"/>
      <c r="S3804" s="65"/>
      <c r="T3804" s="2"/>
      <c r="U3804" s="2"/>
      <c r="V3804" s="2"/>
    </row>
    <row r="3805" spans="1:22" s="137" customFormat="1" ht="12.75" customHeight="1" x14ac:dyDescent="0.2">
      <c r="A3805" s="155"/>
      <c r="B3805" s="26" t="str">
        <f>$A$9</f>
        <v>BDI</v>
      </c>
      <c r="C3805" s="40">
        <f>$C$9</f>
        <v>0</v>
      </c>
      <c r="D3805" s="141"/>
      <c r="E3805" s="147"/>
      <c r="F3805" s="162">
        <f>ROUND(SUM(F3785:F3804)*C3805,2)</f>
        <v>0</v>
      </c>
      <c r="G3805" s="63"/>
      <c r="H3805" s="52"/>
      <c r="I3805" s="57"/>
      <c r="J3805" s="57"/>
      <c r="K3805" s="57"/>
      <c r="L3805" s="52"/>
      <c r="M3805" s="57"/>
      <c r="N3805" s="57"/>
      <c r="O3805" s="56"/>
      <c r="P3805" s="56"/>
      <c r="Q3805" s="48"/>
      <c r="R3805" s="48"/>
      <c r="S3805" s="65"/>
      <c r="T3805" s="2"/>
      <c r="U3805" s="2"/>
      <c r="V3805" s="2"/>
    </row>
    <row r="3806" spans="1:22" s="137" customFormat="1" ht="12.75" customHeight="1" thickBot="1" x14ac:dyDescent="0.25">
      <c r="A3806" s="172"/>
      <c r="B3806" s="42" t="s">
        <v>57</v>
      </c>
      <c r="C3806" s="43"/>
      <c r="D3806" s="173"/>
      <c r="E3806" s="174"/>
      <c r="F3806" s="175">
        <f>ROUND(SUM(F3785:F3805),2)</f>
        <v>0</v>
      </c>
      <c r="G3806" s="63"/>
      <c r="H3806" s="52"/>
      <c r="I3806" s="57"/>
      <c r="J3806" s="57"/>
      <c r="K3806" s="57"/>
      <c r="L3806" s="52"/>
      <c r="M3806" s="57"/>
      <c r="N3806" s="57"/>
      <c r="O3806" s="56"/>
      <c r="P3806" s="56"/>
      <c r="Q3806" s="48"/>
      <c r="R3806" s="48"/>
      <c r="S3806" s="65"/>
      <c r="T3806" s="2"/>
      <c r="U3806" s="2"/>
      <c r="V3806" s="2"/>
    </row>
    <row r="3807" spans="1:22" s="149" customFormat="1" ht="12" customHeight="1" thickBot="1" x14ac:dyDescent="0.25">
      <c r="A3807" s="150"/>
      <c r="B3807" s="145"/>
      <c r="C3807" s="146"/>
      <c r="D3807" s="141"/>
      <c r="E3807" s="147"/>
      <c r="F3807" s="142"/>
      <c r="G3807" s="142"/>
      <c r="H3807" s="139"/>
      <c r="I3807" s="141"/>
      <c r="J3807" s="141"/>
      <c r="K3807" s="141"/>
      <c r="L3807" s="139"/>
      <c r="M3807" s="143"/>
      <c r="N3807" s="143"/>
      <c r="O3807" s="144"/>
      <c r="P3807" s="144"/>
      <c r="Q3807" s="135"/>
      <c r="R3807" s="135"/>
      <c r="T3807" s="137"/>
      <c r="U3807" s="137"/>
      <c r="V3807" s="137"/>
    </row>
    <row r="3808" spans="1:22" s="137" customFormat="1" ht="50.1" customHeight="1" x14ac:dyDescent="0.2">
      <c r="A3808" s="151" t="str">
        <f>'3.A'!$A$80</f>
        <v>3.5.3</v>
      </c>
      <c r="B3808" s="14" t="str">
        <f>IF(A3808="","",VLOOKUP(A3808,'3.A'!$A$17:$M$279,2,FALSE))</f>
        <v>PISO CIMENTADO, TRAÇO 1:3 (CIMENTO E AREIA), ACABAMENTO LISO, ESPESSURA 2,0 CM, PREPARO MECÂNICO DA ARGAMASSA</v>
      </c>
      <c r="C3808" s="413" t="s">
        <v>62</v>
      </c>
      <c r="D3808" s="413"/>
      <c r="E3808" s="15" t="str">
        <f>IF(A3808="","",VLOOKUP(A3808,'3.A'!$A$17:$M$279,3,FALSE))</f>
        <v>M2</v>
      </c>
      <c r="F3808" s="16">
        <f>ROUND(F3822+F3835+F3858,2)</f>
        <v>0</v>
      </c>
      <c r="G3808" s="118">
        <f>VLOOKUP(A3808,'3.A'!$A$19:$I$279,4,FALSE)</f>
        <v>3</v>
      </c>
      <c r="H3808" s="47">
        <f>SUM(F3810:F3821)</f>
        <v>0</v>
      </c>
      <c r="I3808" s="47">
        <f>SUM(F3824:F3834)</f>
        <v>0</v>
      </c>
      <c r="J3808" s="47">
        <f>SUM(F3837:F3857)</f>
        <v>0</v>
      </c>
      <c r="K3808" s="47">
        <f>SUM(H3808:J3808)</f>
        <v>0</v>
      </c>
      <c r="L3808" s="47" t="str">
        <f>IF(K3808=F3808,"SIM","NÃO")</f>
        <v>SIM</v>
      </c>
      <c r="M3808" s="58">
        <f>ROUND(SUM(F3810:F3819)*C3820,2)+ROUND(SUM(F3810:F3820)*C3821,2)+ROUND(SUM(F3810:F3819),2)+ROUND(SUM(F3824:F3833)*C3834,2)+ROUND(SUM(F3824:F3833),2)+ROUND(SUM(F3837:F3856)*C3857,2)+ROUND(SUM(F3837:F3856),2)</f>
        <v>0</v>
      </c>
      <c r="N3808" s="50" t="str">
        <f>IF(M3808=F3808,"SIM","NÃO")</f>
        <v>SIM</v>
      </c>
      <c r="O3808" s="51" t="str">
        <f>VLOOKUP(A3808,'3.A'!$A$8:$E$279,3,FALSE)</f>
        <v>M2</v>
      </c>
      <c r="P3808" s="51" t="str">
        <f>IF(O3808=E3808,"SIM","NÃO")</f>
        <v>SIM</v>
      </c>
      <c r="Q3808" s="53">
        <f>ROUND(G3808*F3822,2)+ROUND(G3808*F3835,2)+ROUND(G3808*F3858,2)</f>
        <v>0</v>
      </c>
      <c r="R3808" s="59">
        <f>VLOOKUP(A3808,'3.A'!$A$17:$L$279,12,FALSE)</f>
        <v>0</v>
      </c>
      <c r="S3808" s="60" t="str">
        <f>IF(Q3808=R3808,"si","no")</f>
        <v>si</v>
      </c>
      <c r="T3808" s="61">
        <f>SUM(L3810:L3819)+SUM(L3824:L3833)+SUM(L3837:L3856)</f>
        <v>34.470359999999999</v>
      </c>
      <c r="U3808" s="52">
        <f>G3808*C3816+G3808*C3818+G3808*C3811+G3808*C3812+G3808*C3814+G3808*C3817+G3808*C3815+G3808*C3810+G3808*C3813+G3808*C3819+G3808*C3830+G3808*C3824+G3808*C3832+G3808*C3831+G3808*C3829+G3808*C3826+G3808*C3825+G3808*C3827+G3808*C3833+G3808*C3828+G3808*C3837+G3808*C3838+G3808*C3839+G3808*C3847+G3808*C3848+G3808*C3849+G3808*C3850+G3808*C3851+G3808*C3852+G3808*C3853+G3808*C3854+G3808*C3855+G3808*C3856+G3808*C3845+G3808*C3846+G3808*C3840+G3808*C3841+G3808*C3842+G3808*C3843+G3808*C3844</f>
        <v>34.470359999999999</v>
      </c>
      <c r="V3808" s="54" t="str">
        <f>IF(T3808=U3808,"si","no")</f>
        <v>si</v>
      </c>
    </row>
    <row r="3809" spans="1:22" s="137" customFormat="1" ht="12.75" customHeight="1" x14ac:dyDescent="0.2">
      <c r="A3809" s="152" t="s">
        <v>3</v>
      </c>
      <c r="B3809" s="153" t="s">
        <v>58</v>
      </c>
      <c r="C3809" s="140" t="s">
        <v>59</v>
      </c>
      <c r="D3809" s="140" t="s">
        <v>16</v>
      </c>
      <c r="E3809" s="154" t="s">
        <v>60</v>
      </c>
      <c r="F3809" s="148" t="s">
        <v>61</v>
      </c>
      <c r="G3809" s="21"/>
      <c r="H3809" s="52"/>
      <c r="I3809" s="57"/>
      <c r="J3809" s="57"/>
      <c r="K3809" s="57"/>
      <c r="L3809" s="52"/>
      <c r="M3809" s="57"/>
      <c r="N3809" s="57"/>
      <c r="O3809" s="56"/>
      <c r="P3809" s="56"/>
      <c r="Q3809" s="48"/>
      <c r="R3809" s="48"/>
      <c r="S3809" s="65"/>
      <c r="T3809" s="2"/>
      <c r="U3809" s="2"/>
      <c r="V3809" s="2"/>
    </row>
    <row r="3810" spans="1:22" s="137" customFormat="1" ht="12.75" customHeight="1" x14ac:dyDescent="0.2">
      <c r="A3810" s="155">
        <f>'6.A'!$A$20</f>
        <v>88309</v>
      </c>
      <c r="B3810" s="138" t="str">
        <f>IF(A3810="","",VLOOKUP(A3810,'6.A'!$A$11:$G$180,2,FALSE))</f>
        <v>PEDREIRO COM ENCARGOS COMPLEMENTARES</v>
      </c>
      <c r="C3810" s="156">
        <v>0.35399999999999998</v>
      </c>
      <c r="D3810" s="157" t="str">
        <f>IF(A3810="","",VLOOKUP(A3810,'6.A'!$A$11:$G$180,4,FALSE))</f>
        <v>H</v>
      </c>
      <c r="E3810" s="158">
        <f>IF(A3810="","",VLOOKUP(A3810,'6.A'!$A$11:$G$180,5,FALSE))</f>
        <v>0</v>
      </c>
      <c r="F3810" s="159">
        <f t="shared" ref="F3810:F3819" si="1646">IF(A3810="","0,00",ROUND(C3810*E3810,2))</f>
        <v>0</v>
      </c>
      <c r="G3810" s="52"/>
      <c r="H3810" s="52">
        <f>IF(A3810="","",VLOOKUP(A3810,'6.A'!$A$11:$E$7984,5,FALSE))</f>
        <v>0</v>
      </c>
      <c r="I3810" s="52" t="str">
        <f>IF(H3810="","",IF(E3810=H3810,"SIM","NÃO"))</f>
        <v>SIM</v>
      </c>
      <c r="J3810" s="52" t="str">
        <f>IF(H3810="","",VLOOKUP(A3810,'6.A'!$A$11:$E$564,4,FALSE))</f>
        <v>H</v>
      </c>
      <c r="K3810" s="52" t="str">
        <f>IF(H3810="","",IF(J3810=D3810,"SIM","NÃO"))</f>
        <v>SIM</v>
      </c>
      <c r="L3810" s="52">
        <f>IF(H3810="","",IF(C3810="","",G3808*C3810))</f>
        <v>1.0619999999999998</v>
      </c>
      <c r="M3810" s="117" t="str">
        <f>IF(A3810="","",VLOOKUP(A3810,'6.A'!$A$11:$C$564,2,FALSE))</f>
        <v>PEDREIRO COM ENCARGOS COMPLEMENTARES</v>
      </c>
      <c r="N3810" s="57" t="str">
        <f>IF(A3810="","",IF(M3810=B3810,"si","no"))</f>
        <v>si</v>
      </c>
      <c r="O3810" s="56"/>
      <c r="P3810" s="56"/>
      <c r="Q3810" s="48"/>
      <c r="R3810" s="48"/>
      <c r="S3810" s="65"/>
      <c r="T3810" s="2"/>
      <c r="U3810" s="2"/>
      <c r="V3810" s="2"/>
    </row>
    <row r="3811" spans="1:22" s="137" customFormat="1" ht="12.75" customHeight="1" x14ac:dyDescent="0.2">
      <c r="A3811" s="155">
        <f>'6.A'!$A$22</f>
        <v>88316</v>
      </c>
      <c r="B3811" s="138" t="str">
        <f>IF(A3811="","",VLOOKUP(A3811,'6.A'!$A$11:$G$180,2,FALSE))</f>
        <v>SERVENTE COM ENCARGOS COMPLEMENTARES</v>
      </c>
      <c r="C3811" s="156">
        <v>0.17699999999999999</v>
      </c>
      <c r="D3811" s="157" t="str">
        <f>IF(A3811="","",VLOOKUP(A3811,'6.A'!$A$11:$G$180,4,FALSE))</f>
        <v>H</v>
      </c>
      <c r="E3811" s="158">
        <f>IF(A3811="","",VLOOKUP(A3811,'6.A'!$A$11:$G$180,5,FALSE))</f>
        <v>0</v>
      </c>
      <c r="F3811" s="159">
        <f t="shared" si="1646"/>
        <v>0</v>
      </c>
      <c r="G3811" s="52"/>
      <c r="H3811" s="52">
        <f>IF(A3811="","",VLOOKUP(A3811,'6.A'!$A$11:$E$7984,5,FALSE))</f>
        <v>0</v>
      </c>
      <c r="I3811" s="52" t="str">
        <f>IF(H3811="","",IF(E3811=H3811,"SIM","NÃO"))</f>
        <v>SIM</v>
      </c>
      <c r="J3811" s="52" t="str">
        <f>IF(H3811="","",VLOOKUP(A3811,'6.A'!$A$11:$E$564,4,FALSE))</f>
        <v>H</v>
      </c>
      <c r="K3811" s="52" t="str">
        <f>IF(H3811="","",IF(J3811=D3811,"SIM","NÃO"))</f>
        <v>SIM</v>
      </c>
      <c r="L3811" s="52">
        <f>IF(H3811="","",IF(C3811="","",G3808*C3811))</f>
        <v>0.53099999999999992</v>
      </c>
      <c r="M3811" s="117" t="str">
        <f>IF(A3811="","",VLOOKUP(A3811,'6.A'!$A$11:$C$564,2,FALSE))</f>
        <v>SERVENTE COM ENCARGOS COMPLEMENTARES</v>
      </c>
      <c r="N3811" s="57" t="str">
        <f>IF(A3811="","",IF(M3811=B3811,"si","no"))</f>
        <v>si</v>
      </c>
      <c r="O3811" s="56"/>
      <c r="P3811" s="56"/>
      <c r="Q3811" s="48"/>
      <c r="R3811" s="48"/>
      <c r="S3811" s="65"/>
      <c r="T3811" s="2"/>
      <c r="U3811" s="2"/>
      <c r="V3811" s="2"/>
    </row>
    <row r="3812" spans="1:22" s="137" customFormat="1" ht="12.75" customHeight="1" x14ac:dyDescent="0.2">
      <c r="A3812" s="155">
        <f>'6.A'!$A$23</f>
        <v>88377</v>
      </c>
      <c r="B3812" s="138" t="str">
        <f>IF(A3812="","",VLOOKUP(A3812,'6.A'!$A$11:$G$180,2,FALSE))</f>
        <v>OPERADOR DE BETONEIRA ESTACIONÁRIA/MISTURADOR COM ENCARGOS COMPLEMENTARES</v>
      </c>
      <c r="C3812" s="156">
        <f>(0.031*4.42)</f>
        <v>0.13702</v>
      </c>
      <c r="D3812" s="157" t="str">
        <f>IF(A3812="","",VLOOKUP(A3812,'6.A'!$A$11:$G$180,4,FALSE))</f>
        <v>H</v>
      </c>
      <c r="E3812" s="158">
        <f>IF(A3812="","",VLOOKUP(A3812,'6.A'!$A$11:$G$180,5,FALSE))</f>
        <v>0</v>
      </c>
      <c r="F3812" s="159">
        <f t="shared" si="1646"/>
        <v>0</v>
      </c>
      <c r="G3812" s="52"/>
      <c r="H3812" s="52">
        <f>IF(A3812="","",VLOOKUP(A3812,'6.A'!$A$11:$E$7984,5,FALSE))</f>
        <v>0</v>
      </c>
      <c r="I3812" s="52" t="str">
        <f>IF(H3812="","",IF(E3812=H3812,"SIM","NÃO"))</f>
        <v>SIM</v>
      </c>
      <c r="J3812" s="52" t="str">
        <f>IF(H3812="","",VLOOKUP(A3812,'6.A'!$A$11:$E$564,4,FALSE))</f>
        <v>H</v>
      </c>
      <c r="K3812" s="52" t="str">
        <f t="shared" ref="K3812" si="1647">IF(H3812="","",IF(J3812=D3812,"SIM","NÃO"))</f>
        <v>SIM</v>
      </c>
      <c r="L3812" s="52">
        <f>IF(H3812="","",IF(C3812="","",G3808*C3812))</f>
        <v>0.41105999999999998</v>
      </c>
      <c r="M3812" s="117" t="str">
        <f>IF(A3812="","",VLOOKUP(A3812,'6.A'!$A$11:$C$564,2,FALSE))</f>
        <v>OPERADOR DE BETONEIRA ESTACIONÁRIA/MISTURADOR COM ENCARGOS COMPLEMENTARES</v>
      </c>
      <c r="N3812" s="57" t="str">
        <f t="shared" ref="N3812" si="1648">IF(A3812="","",IF(M3812=B3812,"si","no"))</f>
        <v>si</v>
      </c>
      <c r="O3812" s="56"/>
      <c r="P3812" s="56"/>
      <c r="Q3812" s="48"/>
      <c r="R3812" s="48"/>
      <c r="S3812" s="65"/>
      <c r="T3812" s="2"/>
      <c r="U3812" s="2"/>
      <c r="V3812" s="2"/>
    </row>
    <row r="3813" spans="1:22" s="137" customFormat="1" ht="12.75" customHeight="1" x14ac:dyDescent="0.2">
      <c r="A3813" s="155"/>
      <c r="B3813" s="138" t="str">
        <f>IF(A3813="","",VLOOKUP(A3813,'6.A'!$A$11:$G$180,2,FALSE))</f>
        <v/>
      </c>
      <c r="C3813" s="156"/>
      <c r="D3813" s="157" t="str">
        <f>IF(A3813="","",VLOOKUP(A3813,'6.A'!$A$11:$G$180,4,FALSE))</f>
        <v/>
      </c>
      <c r="E3813" s="158" t="str">
        <f>IF(A3813="","",VLOOKUP(A3813,'6.A'!$A$11:$G$180,5,FALSE))</f>
        <v/>
      </c>
      <c r="F3813" s="159" t="str">
        <f t="shared" si="1646"/>
        <v>0,00</v>
      </c>
      <c r="G3813" s="52"/>
      <c r="H3813" s="52" t="str">
        <f>IF(A3813="","",VLOOKUP(A3813,'6.A'!$A$11:$E$7984,5,FALSE))</f>
        <v/>
      </c>
      <c r="I3813" s="52" t="str">
        <f>IF(H3813="","",IF(E3813=H3813,"SIM","NÃO"))</f>
        <v/>
      </c>
      <c r="J3813" s="52" t="str">
        <f>IF(H3813="","",VLOOKUP(A3813,'6.A'!$A$11:$E$564,4,FALSE))</f>
        <v/>
      </c>
      <c r="K3813" s="52" t="str">
        <f>IF(H3813="","",IF(J3813=D3813,"SIM","NÃO"))</f>
        <v/>
      </c>
      <c r="L3813" s="52" t="str">
        <f>IF(H3813="","",IF(C3813="","",G3808*C3813))</f>
        <v/>
      </c>
      <c r="M3813" s="117" t="str">
        <f>IF(A3813="","",VLOOKUP(A3813,'6.A'!$A$11:$C$564,2,FALSE))</f>
        <v/>
      </c>
      <c r="N3813" s="57" t="str">
        <f>IF(A3813="","",IF(M3813=B3813,"si","no"))</f>
        <v/>
      </c>
      <c r="O3813" s="56"/>
      <c r="P3813" s="56"/>
      <c r="Q3813" s="48"/>
      <c r="R3813" s="48"/>
      <c r="S3813" s="65"/>
      <c r="T3813" s="2"/>
      <c r="U3813" s="2"/>
      <c r="V3813" s="2"/>
    </row>
    <row r="3814" spans="1:22" s="137" customFormat="1" ht="12.75" customHeight="1" x14ac:dyDescent="0.2">
      <c r="A3814" s="155"/>
      <c r="B3814" s="138" t="str">
        <f>IF(A3814="","",VLOOKUP(A3814,'6.A'!$A$11:$G$180,2,FALSE))</f>
        <v/>
      </c>
      <c r="C3814" s="156"/>
      <c r="D3814" s="157" t="str">
        <f>IF(A3814="","",VLOOKUP(A3814,'6.A'!$A$11:$G$180,4,FALSE))</f>
        <v/>
      </c>
      <c r="E3814" s="158" t="str">
        <f>IF(A3814="","",VLOOKUP(A3814,'6.A'!$A$11:$G$180,5,FALSE))</f>
        <v/>
      </c>
      <c r="F3814" s="159" t="str">
        <f t="shared" si="1646"/>
        <v>0,00</v>
      </c>
      <c r="G3814" s="52"/>
      <c r="H3814" s="52" t="str">
        <f>IF(A3814="","",VLOOKUP(A3814,'6.A'!$A$11:$E$7984,5,FALSE))</f>
        <v/>
      </c>
      <c r="I3814" s="52" t="str">
        <f t="shared" ref="I3814" si="1649">IF(H3814="","",IF(E3814=H3814,"SIM","NÃO"))</f>
        <v/>
      </c>
      <c r="J3814" s="52" t="str">
        <f>IF(H3814="","",VLOOKUP(A3814,'6.A'!$A$11:$E$564,4,FALSE))</f>
        <v/>
      </c>
      <c r="K3814" s="52" t="str">
        <f t="shared" ref="K3814" si="1650">IF(H3814="","",IF(J3814=D3814,"SIM","NÃO"))</f>
        <v/>
      </c>
      <c r="L3814" s="52" t="str">
        <f>IF(H3814="","",IF(C3814="","",G3808*C3814))</f>
        <v/>
      </c>
      <c r="M3814" s="117" t="str">
        <f>IF(A3814="","",VLOOKUP(A3814,'6.A'!$A$11:$C$564,2,FALSE))</f>
        <v/>
      </c>
      <c r="N3814" s="57" t="str">
        <f t="shared" ref="N3814" si="1651">IF(A3814="","",IF(M3814=B3814,"si","no"))</f>
        <v/>
      </c>
      <c r="O3814" s="56"/>
      <c r="P3814" s="56"/>
      <c r="Q3814" s="48"/>
      <c r="R3814" s="48"/>
      <c r="S3814" s="65"/>
      <c r="T3814" s="2"/>
      <c r="U3814" s="2"/>
      <c r="V3814" s="2"/>
    </row>
    <row r="3815" spans="1:22" s="137" customFormat="1" ht="12.75" customHeight="1" x14ac:dyDescent="0.2">
      <c r="A3815" s="155"/>
      <c r="B3815" s="138" t="str">
        <f>IF(A3815="","",VLOOKUP(A3815,'6.A'!$A$11:$G$180,2,FALSE))</f>
        <v/>
      </c>
      <c r="C3815" s="156"/>
      <c r="D3815" s="157" t="str">
        <f>IF(A3815="","",VLOOKUP(A3815,'6.A'!$A$11:$G$180,4,FALSE))</f>
        <v/>
      </c>
      <c r="E3815" s="158" t="str">
        <f>IF(A3815="","",VLOOKUP(A3815,'6.A'!$A$11:$G$180,5,FALSE))</f>
        <v/>
      </c>
      <c r="F3815" s="159" t="str">
        <f t="shared" si="1646"/>
        <v>0,00</v>
      </c>
      <c r="G3815" s="52"/>
      <c r="H3815" s="52" t="str">
        <f>IF(A3815="","",VLOOKUP(A3815,'6.A'!$A$11:$E$7984,5,FALSE))</f>
        <v/>
      </c>
      <c r="I3815" s="52" t="str">
        <f>IF(H3815="","",IF(E3815=H3815,"SIM","NÃO"))</f>
        <v/>
      </c>
      <c r="J3815" s="52" t="str">
        <f>IF(H3815="","",VLOOKUP(A3815,'6.A'!$A$11:$E$564,4,FALSE))</f>
        <v/>
      </c>
      <c r="K3815" s="52" t="str">
        <f>IF(H3815="","",IF(J3815=D3815,"SIM","NÃO"))</f>
        <v/>
      </c>
      <c r="L3815" s="52" t="str">
        <f>IF(H3815="","",IF(C3815="","",G3808*C3815))</f>
        <v/>
      </c>
      <c r="M3815" s="117" t="str">
        <f>IF(A3815="","",VLOOKUP(A3815,'6.A'!$A$11:$C$564,2,FALSE))</f>
        <v/>
      </c>
      <c r="N3815" s="57" t="str">
        <f>IF(A3815="","",IF(M3815=B3815,"si","no"))</f>
        <v/>
      </c>
      <c r="O3815" s="56"/>
      <c r="P3815" s="56"/>
      <c r="Q3815" s="48"/>
      <c r="R3815" s="48"/>
      <c r="S3815" s="65"/>
      <c r="T3815" s="2"/>
      <c r="U3815" s="2"/>
      <c r="V3815" s="2"/>
    </row>
    <row r="3816" spans="1:22" s="137" customFormat="1" ht="12.75" customHeight="1" x14ac:dyDescent="0.2">
      <c r="A3816" s="155"/>
      <c r="B3816" s="138" t="str">
        <f>IF(A3816="","",VLOOKUP(A3816,'6.A'!$A$11:$G$180,2,FALSE))</f>
        <v/>
      </c>
      <c r="C3816" s="156"/>
      <c r="D3816" s="141" t="str">
        <f>IF(A3816="","",VLOOKUP(A3816,'6.A'!$A$11:$G$180,4,FALSE))</f>
        <v/>
      </c>
      <c r="E3816" s="160" t="str">
        <f>IF(A3816="","",VLOOKUP(A3816,'6.A'!$A$11:$G$180,5,FALSE))</f>
        <v/>
      </c>
      <c r="F3816" s="159" t="str">
        <f t="shared" si="1646"/>
        <v>0,00</v>
      </c>
      <c r="G3816" s="52"/>
      <c r="H3816" s="52" t="str">
        <f>IF(A3816="","",VLOOKUP(A3816,'6.A'!$A$11:$E$7984,5,FALSE))</f>
        <v/>
      </c>
      <c r="I3816" s="52" t="str">
        <f>IF(H3816="","",IF(E3816=H3816,"SIM","NÃO"))</f>
        <v/>
      </c>
      <c r="J3816" s="52" t="str">
        <f>IF(H3816="","",VLOOKUP(A3816,'6.A'!$A$11:$E$564,4,FALSE))</f>
        <v/>
      </c>
      <c r="K3816" s="52" t="str">
        <f>IF(H3816="","",IF(J3816=D3816,"SIM","NÃO"))</f>
        <v/>
      </c>
      <c r="L3816" s="52" t="str">
        <f>IF(H3816="","",IF(C3816="","",G3808*C3816))</f>
        <v/>
      </c>
      <c r="M3816" s="117" t="str">
        <f>IF(A3816="","",VLOOKUP(A3816,'6.A'!$A$11:$C$564,2,FALSE))</f>
        <v/>
      </c>
      <c r="N3816" s="57" t="str">
        <f>IF(A3816="","",IF(M3816=B3816,"si","no"))</f>
        <v/>
      </c>
      <c r="O3816" s="56"/>
      <c r="P3816" s="56"/>
      <c r="Q3816" s="48"/>
      <c r="R3816" s="48"/>
      <c r="S3816" s="65"/>
      <c r="T3816" s="2"/>
      <c r="U3816" s="2"/>
      <c r="V3816" s="2"/>
    </row>
    <row r="3817" spans="1:22" s="137" customFormat="1" ht="12.75" customHeight="1" x14ac:dyDescent="0.2">
      <c r="A3817" s="155"/>
      <c r="B3817" s="138" t="str">
        <f>IF(A3817="","",VLOOKUP(A3817,'6.A'!$A$11:$G$180,2,FALSE))</f>
        <v/>
      </c>
      <c r="C3817" s="156"/>
      <c r="D3817" s="141" t="str">
        <f>IF(A3817="","",VLOOKUP(A3817,'6.A'!$A$11:$G$180,4,FALSE))</f>
        <v/>
      </c>
      <c r="E3817" s="158" t="str">
        <f>IF(A3817="","",VLOOKUP(A3817,'6.A'!$A$11:$G$180,5,FALSE))</f>
        <v/>
      </c>
      <c r="F3817" s="159" t="str">
        <f t="shared" si="1646"/>
        <v>0,00</v>
      </c>
      <c r="G3817" s="52"/>
      <c r="H3817" s="52" t="str">
        <f>IF(A3817="","",VLOOKUP(A3817,'6.A'!$A$11:$E$7984,5,FALSE))</f>
        <v/>
      </c>
      <c r="I3817" s="52" t="str">
        <f t="shared" ref="I3817" si="1652">IF(H3817="","",IF(E3817=H3817,"SIM","NÃO"))</f>
        <v/>
      </c>
      <c r="J3817" s="52" t="str">
        <f>IF(H3817="","",VLOOKUP(A3817,'6.A'!$A$11:$E$564,4,FALSE))</f>
        <v/>
      </c>
      <c r="K3817" s="52" t="str">
        <f t="shared" ref="K3817" si="1653">IF(H3817="","",IF(J3817=D3817,"SIM","NÃO"))</f>
        <v/>
      </c>
      <c r="L3817" s="52" t="str">
        <f>IF(H3817="","",IF(C3817="","",G3808*C3817))</f>
        <v/>
      </c>
      <c r="M3817" s="117" t="str">
        <f>IF(A3817="","",VLOOKUP(A3817,'6.A'!$A$11:$C$564,2,FALSE))</f>
        <v/>
      </c>
      <c r="N3817" s="57" t="str">
        <f t="shared" ref="N3817" si="1654">IF(A3817="","",IF(M3817=B3817,"si","no"))</f>
        <v/>
      </c>
      <c r="O3817" s="56"/>
      <c r="P3817" s="56"/>
      <c r="Q3817" s="48"/>
      <c r="R3817" s="48"/>
      <c r="S3817" s="65"/>
      <c r="T3817" s="2"/>
      <c r="U3817" s="2"/>
      <c r="V3817" s="2"/>
    </row>
    <row r="3818" spans="1:22" s="137" customFormat="1" ht="12.75" customHeight="1" x14ac:dyDescent="0.2">
      <c r="A3818" s="155"/>
      <c r="B3818" s="138" t="str">
        <f>IF(A3818="","",VLOOKUP(A3818,'6.A'!$A$11:$G$180,2,FALSE))</f>
        <v/>
      </c>
      <c r="C3818" s="156"/>
      <c r="D3818" s="141" t="str">
        <f>IF(A3818="","",VLOOKUP(A3818,'6.A'!$A$11:$G$180,4,FALSE))</f>
        <v/>
      </c>
      <c r="E3818" s="158" t="str">
        <f>IF(A3818="","",VLOOKUP(A3818,'6.A'!$A$11:$G$180,5,FALSE))</f>
        <v/>
      </c>
      <c r="F3818" s="159" t="str">
        <f t="shared" si="1646"/>
        <v>0,00</v>
      </c>
      <c r="G3818" s="52"/>
      <c r="H3818" s="52" t="str">
        <f>IF(A3818="","",VLOOKUP(A3818,'6.A'!$A$11:$E$7984,5,FALSE))</f>
        <v/>
      </c>
      <c r="I3818" s="52" t="str">
        <f>IF(H3818="","",IF(E3818=H3818,"SIM","NÃO"))</f>
        <v/>
      </c>
      <c r="J3818" s="52" t="str">
        <f>IF(H3818="","",VLOOKUP(A3818,'6.A'!$A$11:$E$564,4,FALSE))</f>
        <v/>
      </c>
      <c r="K3818" s="52" t="str">
        <f>IF(H3818="","",IF(J3818=D3818,"SIM","NÃO"))</f>
        <v/>
      </c>
      <c r="L3818" s="52" t="str">
        <f>IF(H3818="","",IF(C3818="","",G3808*C3818))</f>
        <v/>
      </c>
      <c r="M3818" s="117" t="str">
        <f>IF(A3818="","",VLOOKUP(A3818,'6.A'!$A$11:$C$564,2,FALSE))</f>
        <v/>
      </c>
      <c r="N3818" s="57" t="str">
        <f>IF(A3818="","",IF(M3818=B3818,"si","no"))</f>
        <v/>
      </c>
      <c r="O3818" s="56"/>
      <c r="P3818" s="56"/>
      <c r="Q3818" s="48"/>
      <c r="R3818" s="48"/>
      <c r="S3818" s="65"/>
      <c r="T3818" s="2"/>
      <c r="U3818" s="2"/>
      <c r="V3818" s="2"/>
    </row>
    <row r="3819" spans="1:22" s="137" customFormat="1" ht="12.75" customHeight="1" x14ac:dyDescent="0.2">
      <c r="A3819" s="155"/>
      <c r="B3819" s="138" t="str">
        <f>IF(A3819="","",VLOOKUP(A3819,'6.A'!$A$11:$G$180,2,FALSE))</f>
        <v/>
      </c>
      <c r="C3819" s="156"/>
      <c r="D3819" s="161" t="str">
        <f>IF(A3819="","",VLOOKUP(A3819,'6.A'!$A$11:$G$180,4,FALSE))</f>
        <v/>
      </c>
      <c r="E3819" s="158" t="str">
        <f>IF(A3819="","",VLOOKUP(A3819,'6.A'!$A$11:$G$180,5,FALSE))</f>
        <v/>
      </c>
      <c r="F3819" s="159" t="str">
        <f t="shared" si="1646"/>
        <v>0,00</v>
      </c>
      <c r="G3819" s="52"/>
      <c r="H3819" s="52" t="str">
        <f>IF(A3819="","",VLOOKUP(A3819,'6.A'!$A$11:$E$7984,5,FALSE))</f>
        <v/>
      </c>
      <c r="I3819" s="52" t="str">
        <f t="shared" ref="I3819" si="1655">IF(H3819="","",IF(E3819=H3819,"SIM","NÃO"))</f>
        <v/>
      </c>
      <c r="J3819" s="52" t="str">
        <f>IF(H3819="","",VLOOKUP(A3819,'6.A'!$A$11:$E$564,4,FALSE))</f>
        <v/>
      </c>
      <c r="K3819" s="52" t="str">
        <f t="shared" ref="K3819" si="1656">IF(H3819="","",IF(J3819=D3819,"SIM","NÃO"))</f>
        <v/>
      </c>
      <c r="L3819" s="52" t="str">
        <f>IF(H3819="","",IF(C3819="","",G3808*C3819))</f>
        <v/>
      </c>
      <c r="M3819" s="117" t="str">
        <f>IF(A3819="","",VLOOKUP(A3819,'6.A'!$A$11:$C$564,2,FALSE))</f>
        <v/>
      </c>
      <c r="N3819" s="57" t="str">
        <f t="shared" ref="N3819" si="1657">IF(A3819="","",IF(M3819=B3819,"si","no"))</f>
        <v/>
      </c>
      <c r="O3819" s="56"/>
      <c r="P3819" s="56"/>
      <c r="Q3819" s="48"/>
      <c r="R3819" s="48"/>
      <c r="S3819" s="65"/>
      <c r="T3819" s="2"/>
      <c r="U3819" s="2"/>
      <c r="V3819" s="2"/>
    </row>
    <row r="3820" spans="1:22" s="137" customFormat="1" ht="12.75" customHeight="1" x14ac:dyDescent="0.2">
      <c r="A3820" s="152"/>
      <c r="B3820" s="26" t="str">
        <f>$A$8</f>
        <v>LEIS SOCIAIS HORISTA - JORNADA NORMAL</v>
      </c>
      <c r="C3820" s="27">
        <f>$C$8</f>
        <v>0</v>
      </c>
      <c r="D3820" s="141"/>
      <c r="E3820" s="147"/>
      <c r="F3820" s="162">
        <f>ROUND(SUM(F3810:F3819)*C3820,2)</f>
        <v>0</v>
      </c>
      <c r="G3820" s="63"/>
      <c r="H3820" s="52"/>
      <c r="I3820" s="57"/>
      <c r="J3820" s="57"/>
      <c r="K3820" s="57"/>
      <c r="L3820" s="52"/>
      <c r="M3820" s="62"/>
      <c r="N3820" s="57"/>
      <c r="O3820" s="56"/>
      <c r="P3820" s="56"/>
      <c r="Q3820" s="48"/>
      <c r="R3820" s="48"/>
      <c r="S3820" s="65"/>
      <c r="T3820" s="2"/>
      <c r="U3820" s="2"/>
      <c r="V3820" s="2"/>
    </row>
    <row r="3821" spans="1:22" s="137" customFormat="1" ht="12.75" customHeight="1" x14ac:dyDescent="0.2">
      <c r="A3821" s="155"/>
      <c r="B3821" s="26" t="str">
        <f>$A$9</f>
        <v>BDI</v>
      </c>
      <c r="C3821" s="27">
        <f>$C$9</f>
        <v>0</v>
      </c>
      <c r="D3821" s="136"/>
      <c r="E3821" s="147"/>
      <c r="F3821" s="162">
        <f>ROUND(SUM(F3810:F3820)*C3821,2)</f>
        <v>0</v>
      </c>
      <c r="G3821" s="63"/>
      <c r="H3821" s="52"/>
      <c r="I3821" s="57"/>
      <c r="J3821" s="57"/>
      <c r="K3821" s="57"/>
      <c r="L3821" s="52"/>
      <c r="M3821" s="62"/>
      <c r="N3821" s="57"/>
      <c r="O3821" s="56"/>
      <c r="P3821" s="56"/>
      <c r="Q3821" s="48"/>
      <c r="R3821" s="48"/>
      <c r="S3821" s="65"/>
      <c r="T3821" s="2"/>
      <c r="U3821" s="2"/>
      <c r="V3821" s="2"/>
    </row>
    <row r="3822" spans="1:22" s="149" customFormat="1" ht="12.75" customHeight="1" x14ac:dyDescent="0.2">
      <c r="A3822" s="163"/>
      <c r="B3822" s="164" t="s">
        <v>56</v>
      </c>
      <c r="C3822" s="165"/>
      <c r="D3822" s="166"/>
      <c r="E3822" s="167"/>
      <c r="F3822" s="168">
        <f>ROUND(SUM(F3810:F3821),2)</f>
        <v>0</v>
      </c>
      <c r="G3822" s="63"/>
      <c r="H3822" s="52"/>
      <c r="I3822" s="57"/>
      <c r="J3822" s="57"/>
      <c r="K3822" s="57"/>
      <c r="L3822" s="52"/>
      <c r="M3822" s="62"/>
      <c r="N3822" s="57"/>
      <c r="O3822" s="56"/>
      <c r="P3822" s="56"/>
      <c r="Q3822" s="48"/>
      <c r="R3822" s="48"/>
      <c r="S3822" s="65"/>
      <c r="T3822" s="2"/>
      <c r="U3822" s="2"/>
      <c r="V3822" s="2"/>
    </row>
    <row r="3823" spans="1:22" s="149" customFormat="1" ht="12.75" customHeight="1" x14ac:dyDescent="0.2">
      <c r="A3823" s="152" t="s">
        <v>5</v>
      </c>
      <c r="B3823" s="153" t="s">
        <v>130</v>
      </c>
      <c r="C3823" s="140" t="s">
        <v>59</v>
      </c>
      <c r="D3823" s="140" t="s">
        <v>16</v>
      </c>
      <c r="E3823" s="154" t="s">
        <v>60</v>
      </c>
      <c r="F3823" s="148" t="s">
        <v>61</v>
      </c>
      <c r="G3823" s="21"/>
      <c r="H3823" s="52"/>
      <c r="I3823" s="57"/>
      <c r="J3823" s="57"/>
      <c r="K3823" s="57"/>
      <c r="L3823" s="52"/>
      <c r="M3823" s="62"/>
      <c r="N3823" s="57"/>
      <c r="O3823" s="56"/>
      <c r="P3823" s="56"/>
      <c r="Q3823" s="48"/>
      <c r="R3823" s="48"/>
      <c r="S3823" s="65"/>
      <c r="T3823" s="2"/>
      <c r="U3823" s="2"/>
      <c r="V3823" s="2"/>
    </row>
    <row r="3824" spans="1:22" s="149" customFormat="1" ht="12.75" customHeight="1" x14ac:dyDescent="0.2">
      <c r="A3824" s="155">
        <f>'6.A'!$A$32</f>
        <v>88830</v>
      </c>
      <c r="B3824" s="138" t="str">
        <f>IF(A3824="","",VLOOKUP(A3824,'6.A'!$A$11:$G$180,2,FALSE))</f>
        <v>BETONEIRA CAPACIDADE 400 L, CAPACIDADE DE MISTURA 280 L, MOTOR ELÉTRICO POTÊNCIA 2 CV - CHP</v>
      </c>
      <c r="C3824" s="156">
        <f>(0.031*1.03)</f>
        <v>3.193E-2</v>
      </c>
      <c r="D3824" s="157" t="str">
        <f>IF(A3824="","",VLOOKUP(A3824,'6.A'!$A$11:$G$180,4,FALSE))</f>
        <v>CHP</v>
      </c>
      <c r="E3824" s="158">
        <f>IF(A3824="","",VLOOKUP(A3824,'6.A'!$A$11:$G$180,5,FALSE))</f>
        <v>0</v>
      </c>
      <c r="F3824" s="159">
        <f t="shared" ref="F3824:F3833" si="1658">IF(A3824="","0,00",ROUND(C3824*E3824,2))</f>
        <v>0</v>
      </c>
      <c r="G3824" s="52"/>
      <c r="H3824" s="52">
        <f>IF(A3824="","",VLOOKUP(A3824,'6.A'!$A$11:$E$7984,5,FALSE))</f>
        <v>0</v>
      </c>
      <c r="I3824" s="52" t="str">
        <f t="shared" ref="I3824:I3833" si="1659">IF(H3824="","",IF(E3824=H3824,"SIM","NÃO"))</f>
        <v>SIM</v>
      </c>
      <c r="J3824" s="52" t="str">
        <f>IF(H3824="","",VLOOKUP(A3824,'6.A'!$A$11:$E$564,4,FALSE))</f>
        <v>CHP</v>
      </c>
      <c r="K3824" s="52" t="str">
        <f t="shared" ref="K3824:K3833" si="1660">IF(H3824="","",IF(J3824=D3824,"SIM","NÃO"))</f>
        <v>SIM</v>
      </c>
      <c r="L3824" s="52">
        <f>IF(H3824="","",IF(C3824="","",G3808*C3824))</f>
        <v>9.579E-2</v>
      </c>
      <c r="M3824" s="117" t="str">
        <f>IF(A3824="","",VLOOKUP(A3824,'6.A'!$A$11:$C$564,2,FALSE))</f>
        <v>BETONEIRA CAPACIDADE 400 L, CAPACIDADE DE MISTURA 280 L, MOTOR ELÉTRICO POTÊNCIA 2 CV - CHP</v>
      </c>
      <c r="N3824" s="57" t="str">
        <f t="shared" ref="N3824:N3829" si="1661">IF(A3824="","",IF(M3824=B3824,"si","no"))</f>
        <v>si</v>
      </c>
      <c r="O3824" s="56"/>
      <c r="P3824" s="56"/>
      <c r="Q3824" s="48"/>
      <c r="R3824" s="48"/>
      <c r="S3824" s="65"/>
      <c r="T3824" s="2"/>
      <c r="U3824" s="2"/>
      <c r="V3824" s="2"/>
    </row>
    <row r="3825" spans="1:22" s="149" customFormat="1" ht="12.75" customHeight="1" x14ac:dyDescent="0.2">
      <c r="A3825" s="155">
        <f>'6.A'!$A$33</f>
        <v>88831</v>
      </c>
      <c r="B3825" s="138" t="str">
        <f>IF(A3825="","",VLOOKUP(A3825,'6.A'!$A$11:$G$180,2,FALSE))</f>
        <v>BETONEIRA CAPACIDADE 400 L, CAPACIDADE DE MISTURA 280 L, MOTOR ELÉTRICO POTÊNCIA 2 CV - CHI</v>
      </c>
      <c r="C3825" s="156">
        <f>(0.031*3.36)</f>
        <v>0.10415999999999999</v>
      </c>
      <c r="D3825" s="157" t="str">
        <f>IF(A3825="","",VLOOKUP(A3825,'6.A'!$A$11:$G$180,4,FALSE))</f>
        <v>CHI</v>
      </c>
      <c r="E3825" s="158">
        <f>IF(A3825="","",VLOOKUP(A3825,'6.A'!$A$11:$G$180,5,FALSE))</f>
        <v>0</v>
      </c>
      <c r="F3825" s="159">
        <f t="shared" si="1658"/>
        <v>0</v>
      </c>
      <c r="G3825" s="52"/>
      <c r="H3825" s="52">
        <f>IF(A3825="","",VLOOKUP(A3825,'6.A'!$A$11:$E$7984,5,FALSE))</f>
        <v>0</v>
      </c>
      <c r="I3825" s="52" t="str">
        <f t="shared" si="1659"/>
        <v>SIM</v>
      </c>
      <c r="J3825" s="52" t="str">
        <f>IF(H3825="","",VLOOKUP(A3825,'6.A'!$A$11:$E$564,4,FALSE))</f>
        <v>CHI</v>
      </c>
      <c r="K3825" s="52" t="str">
        <f t="shared" si="1660"/>
        <v>SIM</v>
      </c>
      <c r="L3825" s="52">
        <f>IF(H3825="","",IF(C3825="","",G3808*C3825))</f>
        <v>0.31247999999999998</v>
      </c>
      <c r="M3825" s="117" t="str">
        <f>IF(A3825="","",VLOOKUP(A3825,'6.A'!$A$11:$C$564,2,FALSE))</f>
        <v>BETONEIRA CAPACIDADE 400 L, CAPACIDADE DE MISTURA 280 L, MOTOR ELÉTRICO POTÊNCIA 2 CV - CHI</v>
      </c>
      <c r="N3825" s="57" t="str">
        <f t="shared" si="1661"/>
        <v>si</v>
      </c>
      <c r="O3825" s="56"/>
      <c r="P3825" s="56"/>
      <c r="Q3825" s="48"/>
      <c r="R3825" s="48"/>
      <c r="S3825" s="65"/>
      <c r="T3825" s="2"/>
      <c r="U3825" s="2"/>
      <c r="V3825" s="2"/>
    </row>
    <row r="3826" spans="1:22" s="149" customFormat="1" ht="12.75" customHeight="1" x14ac:dyDescent="0.2">
      <c r="A3826" s="155"/>
      <c r="B3826" s="138" t="str">
        <f>IF(A3826="","",VLOOKUP(A3826,'6.A'!$A$11:$G$180,2,FALSE))</f>
        <v/>
      </c>
      <c r="C3826" s="156"/>
      <c r="D3826" s="157" t="str">
        <f>IF(A3826="","",VLOOKUP(A3826,'6.A'!$A$11:$G$180,4,FALSE))</f>
        <v/>
      </c>
      <c r="E3826" s="158" t="str">
        <f>IF(A3826="","",VLOOKUP(A3826,'6.A'!$A$11:$G$180,5,FALSE))</f>
        <v/>
      </c>
      <c r="F3826" s="159" t="str">
        <f t="shared" si="1658"/>
        <v>0,00</v>
      </c>
      <c r="G3826" s="52"/>
      <c r="H3826" s="52" t="str">
        <f>IF(A3826="","",VLOOKUP(A3826,'6.A'!$A$11:$E$7984,5,FALSE))</f>
        <v/>
      </c>
      <c r="I3826" s="52" t="str">
        <f t="shared" si="1659"/>
        <v/>
      </c>
      <c r="J3826" s="52" t="str">
        <f>IF(H3826="","",VLOOKUP(A3826,'6.A'!$A$11:$E$564,4,FALSE))</f>
        <v/>
      </c>
      <c r="K3826" s="52" t="str">
        <f t="shared" si="1660"/>
        <v/>
      </c>
      <c r="L3826" s="52" t="str">
        <f>IF(H3826="","",IF(C3826="","",G3808*C3826))</f>
        <v/>
      </c>
      <c r="M3826" s="117" t="str">
        <f>IF(A3826="","",VLOOKUP(A3826,'6.A'!$A$11:$C$564,2,FALSE))</f>
        <v/>
      </c>
      <c r="N3826" s="57" t="str">
        <f t="shared" si="1661"/>
        <v/>
      </c>
      <c r="O3826" s="56"/>
      <c r="P3826" s="56"/>
      <c r="Q3826" s="48"/>
      <c r="R3826" s="48"/>
      <c r="S3826" s="65"/>
      <c r="T3826" s="2"/>
      <c r="U3826" s="2"/>
      <c r="V3826" s="2"/>
    </row>
    <row r="3827" spans="1:22" s="149" customFormat="1" ht="12.75" customHeight="1" x14ac:dyDescent="0.2">
      <c r="A3827" s="155"/>
      <c r="B3827" s="176" t="str">
        <f>IF(A3827="","",VLOOKUP(A3827,'6.A'!$A$11:$G$180,2,FALSE))</f>
        <v/>
      </c>
      <c r="C3827" s="156"/>
      <c r="D3827" s="141" t="str">
        <f>IF(A3827="","",VLOOKUP(A3827,'6.A'!$A$11:$G$180,4,FALSE))</f>
        <v/>
      </c>
      <c r="E3827" s="160" t="str">
        <f>IF(A3827="","",VLOOKUP(A3827,'6.A'!$A$11:$G$180,5,FALSE))</f>
        <v/>
      </c>
      <c r="F3827" s="159" t="str">
        <f t="shared" si="1658"/>
        <v>0,00</v>
      </c>
      <c r="G3827" s="52"/>
      <c r="H3827" s="52" t="str">
        <f>IF(A3827="","",VLOOKUP(A3827,'6.A'!$A$11:$E$7984,5,FALSE))</f>
        <v/>
      </c>
      <c r="I3827" s="52" t="str">
        <f t="shared" si="1659"/>
        <v/>
      </c>
      <c r="J3827" s="52" t="str">
        <f>IF(H3827="","",VLOOKUP(A3827,'6.A'!$A$11:$E$564,4,FALSE))</f>
        <v/>
      </c>
      <c r="K3827" s="52" t="str">
        <f t="shared" si="1660"/>
        <v/>
      </c>
      <c r="L3827" s="52" t="str">
        <f>IF(H3827="","",IF(C3827="","",G3808*C3827))</f>
        <v/>
      </c>
      <c r="M3827" s="117" t="str">
        <f>IF(A3827="","",VLOOKUP(A3827,'6.A'!$A$11:$C$564,2,FALSE))</f>
        <v/>
      </c>
      <c r="N3827" s="57" t="str">
        <f t="shared" si="1661"/>
        <v/>
      </c>
      <c r="O3827" s="56"/>
      <c r="P3827" s="56"/>
      <c r="Q3827" s="48"/>
      <c r="R3827" s="48"/>
      <c r="S3827" s="65"/>
      <c r="T3827" s="2"/>
      <c r="U3827" s="2"/>
      <c r="V3827" s="2"/>
    </row>
    <row r="3828" spans="1:22" s="149" customFormat="1" ht="12.75" customHeight="1" x14ac:dyDescent="0.2">
      <c r="A3828" s="155"/>
      <c r="B3828" s="176" t="str">
        <f>IF(A3828="","",VLOOKUP(A3828,'6.A'!$A$11:$G$180,2,FALSE))</f>
        <v/>
      </c>
      <c r="C3828" s="156"/>
      <c r="D3828" s="141" t="str">
        <f>IF(A3828="","",VLOOKUP(A3828,'6.A'!$A$11:$G$180,4,FALSE))</f>
        <v/>
      </c>
      <c r="E3828" s="160" t="str">
        <f>IF(A3828="","",VLOOKUP(A3828,'6.A'!$A$11:$G$180,5,FALSE))</f>
        <v/>
      </c>
      <c r="F3828" s="159" t="str">
        <f t="shared" si="1658"/>
        <v>0,00</v>
      </c>
      <c r="G3828" s="52"/>
      <c r="H3828" s="52" t="str">
        <f>IF(A3828="","",VLOOKUP(A3828,'6.A'!$A$11:$E$7984,5,FALSE))</f>
        <v/>
      </c>
      <c r="I3828" s="52" t="str">
        <f t="shared" si="1659"/>
        <v/>
      </c>
      <c r="J3828" s="52" t="str">
        <f>IF(H3828="","",VLOOKUP(A3828,'6.A'!$A$11:$E$564,4,FALSE))</f>
        <v/>
      </c>
      <c r="K3828" s="52" t="str">
        <f t="shared" si="1660"/>
        <v/>
      </c>
      <c r="L3828" s="52" t="str">
        <f>IF(H3828="","",IF(C3828="","",G3808*C3828))</f>
        <v/>
      </c>
      <c r="M3828" s="117" t="str">
        <f>IF(A3828="","",VLOOKUP(A3828,'6.A'!$A$11:$C$564,2,FALSE))</f>
        <v/>
      </c>
      <c r="N3828" s="57" t="str">
        <f t="shared" si="1661"/>
        <v/>
      </c>
      <c r="O3828" s="56"/>
      <c r="P3828" s="56"/>
      <c r="Q3828" s="48"/>
      <c r="R3828" s="48"/>
      <c r="S3828" s="65"/>
      <c r="T3828" s="2"/>
      <c r="U3828" s="2"/>
      <c r="V3828" s="2"/>
    </row>
    <row r="3829" spans="1:22" s="149" customFormat="1" ht="12.75" customHeight="1" x14ac:dyDescent="0.2">
      <c r="A3829" s="155"/>
      <c r="B3829" s="176" t="str">
        <f>IF(A3829="","",VLOOKUP(A3829,'6.A'!$A$11:$G$180,2,FALSE))</f>
        <v/>
      </c>
      <c r="C3829" s="156"/>
      <c r="D3829" s="141" t="str">
        <f>IF(A3829="","",VLOOKUP(A3829,'6.A'!$A$11:$G$180,4,FALSE))</f>
        <v/>
      </c>
      <c r="E3829" s="160" t="str">
        <f>IF(A3829="","",VLOOKUP(A3829,'6.A'!$A$11:$G$180,5,FALSE))</f>
        <v/>
      </c>
      <c r="F3829" s="159" t="str">
        <f t="shared" si="1658"/>
        <v>0,00</v>
      </c>
      <c r="G3829" s="52"/>
      <c r="H3829" s="52" t="str">
        <f>IF(A3829="","",VLOOKUP(A3829,'6.A'!$A$11:$E$7984,5,FALSE))</f>
        <v/>
      </c>
      <c r="I3829" s="52" t="str">
        <f t="shared" si="1659"/>
        <v/>
      </c>
      <c r="J3829" s="52" t="str">
        <f>IF(H3829="","",VLOOKUP(A3829,'6.A'!$A$11:$E$564,4,FALSE))</f>
        <v/>
      </c>
      <c r="K3829" s="52" t="str">
        <f t="shared" si="1660"/>
        <v/>
      </c>
      <c r="L3829" s="52" t="str">
        <f>IF(H3829="","",IF(C3829="","",G3808*C3829))</f>
        <v/>
      </c>
      <c r="M3829" s="117" t="str">
        <f>IF(A3829="","",VLOOKUP(A3829,'6.A'!$A$11:$C$564,2,FALSE))</f>
        <v/>
      </c>
      <c r="N3829" s="57" t="str">
        <f t="shared" si="1661"/>
        <v/>
      </c>
      <c r="O3829" s="56"/>
      <c r="P3829" s="56"/>
      <c r="Q3829" s="48"/>
      <c r="R3829" s="48"/>
      <c r="S3829" s="65"/>
      <c r="T3829" s="2"/>
      <c r="U3829" s="2"/>
      <c r="V3829" s="2"/>
    </row>
    <row r="3830" spans="1:22" s="149" customFormat="1" ht="12.75" customHeight="1" x14ac:dyDescent="0.2">
      <c r="A3830" s="155"/>
      <c r="B3830" s="176" t="str">
        <f>IF(A3830="","",VLOOKUP(A3830,'6.A'!$A$11:$G$180,2,FALSE))</f>
        <v/>
      </c>
      <c r="C3830" s="156"/>
      <c r="D3830" s="141" t="str">
        <f>IF(A3830="","",VLOOKUP(A3830,'6.A'!$A$11:$G$180,4,FALSE))</f>
        <v/>
      </c>
      <c r="E3830" s="160" t="str">
        <f>IF(A3830="","",VLOOKUP(A3830,'6.A'!$A$11:$G$180,5,FALSE))</f>
        <v/>
      </c>
      <c r="F3830" s="159" t="str">
        <f t="shared" si="1658"/>
        <v>0,00</v>
      </c>
      <c r="G3830" s="52"/>
      <c r="H3830" s="52" t="str">
        <f>IF(A3830="","",VLOOKUP(A3830,'6.A'!$A$11:$E$7984,5,FALSE))</f>
        <v/>
      </c>
      <c r="I3830" s="52" t="str">
        <f t="shared" si="1659"/>
        <v/>
      </c>
      <c r="J3830" s="52" t="str">
        <f>IF(H3830="","",VLOOKUP(A3830,'6.A'!$A$11:$E$564,4,FALSE))</f>
        <v/>
      </c>
      <c r="K3830" s="52" t="str">
        <f t="shared" si="1660"/>
        <v/>
      </c>
      <c r="L3830" s="52" t="str">
        <f>IF(H3830="","",IF(C3830="","",G3808*C3830))</f>
        <v/>
      </c>
      <c r="M3830" s="117" t="str">
        <f>IF(A3830="","",VLOOKUP(A3830,'6.A'!$A$11:$C$564,2,FALSE))</f>
        <v/>
      </c>
      <c r="N3830" s="57" t="str">
        <f>IF(A3830="","",IF(M3830=B3830,"si","no"))</f>
        <v/>
      </c>
      <c r="O3830" s="56"/>
      <c r="P3830" s="56"/>
      <c r="Q3830" s="48"/>
      <c r="R3830" s="48"/>
      <c r="S3830" s="65"/>
      <c r="T3830" s="2"/>
      <c r="U3830" s="2"/>
      <c r="V3830" s="2"/>
    </row>
    <row r="3831" spans="1:22" s="149" customFormat="1" ht="12.75" customHeight="1" x14ac:dyDescent="0.2">
      <c r="A3831" s="155"/>
      <c r="B3831" s="138" t="str">
        <f>IF(A3831="","",VLOOKUP(A3831,'6.A'!$A$11:$G$180,2,FALSE))</f>
        <v/>
      </c>
      <c r="C3831" s="156"/>
      <c r="D3831" s="141" t="str">
        <f>IF(A3831="","",VLOOKUP(A3831,'6.A'!$A$11:$G$180,4,FALSE))</f>
        <v/>
      </c>
      <c r="E3831" s="160" t="str">
        <f>IF(A3831="","",VLOOKUP(A3831,'6.A'!$A$11:$G$180,5,FALSE))</f>
        <v/>
      </c>
      <c r="F3831" s="159" t="str">
        <f t="shared" si="1658"/>
        <v>0,00</v>
      </c>
      <c r="G3831" s="52"/>
      <c r="H3831" s="52" t="str">
        <f>IF(A3831="","",VLOOKUP(A3831,'6.A'!$A$11:$E$7984,5,FALSE))</f>
        <v/>
      </c>
      <c r="I3831" s="52" t="str">
        <f t="shared" si="1659"/>
        <v/>
      </c>
      <c r="J3831" s="52" t="str">
        <f>IF(H3831="","",VLOOKUP(A3831,'6.A'!$A$11:$E$564,4,FALSE))</f>
        <v/>
      </c>
      <c r="K3831" s="52" t="str">
        <f t="shared" si="1660"/>
        <v/>
      </c>
      <c r="L3831" s="52" t="str">
        <f>IF(H3831="","",IF(C3831="","",G3808*C3831))</f>
        <v/>
      </c>
      <c r="M3831" s="117" t="str">
        <f>IF(A3831="","",VLOOKUP(A3831,'6.A'!$A$11:$C$564,2,FALSE))</f>
        <v/>
      </c>
      <c r="N3831" s="57" t="str">
        <f>IF(A3831="","",IF(M3831=B3831,"si","no"))</f>
        <v/>
      </c>
      <c r="O3831" s="56"/>
      <c r="P3831" s="56"/>
      <c r="Q3831" s="48"/>
      <c r="R3831" s="48"/>
      <c r="S3831" s="65"/>
      <c r="T3831" s="2"/>
      <c r="U3831" s="2"/>
      <c r="V3831" s="2"/>
    </row>
    <row r="3832" spans="1:22" s="149" customFormat="1" ht="12.75" customHeight="1" x14ac:dyDescent="0.2">
      <c r="A3832" s="155"/>
      <c r="B3832" s="138" t="str">
        <f>IF(A3832="","",VLOOKUP(A3832,'6.A'!$A$11:$G$180,2,FALSE))</f>
        <v/>
      </c>
      <c r="C3832" s="156"/>
      <c r="D3832" s="141" t="str">
        <f>IF(A3832="","",VLOOKUP(A3832,'6.A'!$A$11:$G$180,4,FALSE))</f>
        <v/>
      </c>
      <c r="E3832" s="160" t="str">
        <f>IF(A3832="","",VLOOKUP(A3832,'6.A'!$A$11:$G$180,5,FALSE))</f>
        <v/>
      </c>
      <c r="F3832" s="159" t="str">
        <f t="shared" si="1658"/>
        <v>0,00</v>
      </c>
      <c r="G3832" s="52"/>
      <c r="H3832" s="52" t="str">
        <f>IF(A3832="","",VLOOKUP(A3832,'6.A'!$A$11:$E$7984,5,FALSE))</f>
        <v/>
      </c>
      <c r="I3832" s="52" t="str">
        <f t="shared" si="1659"/>
        <v/>
      </c>
      <c r="J3832" s="52" t="str">
        <f>IF(H3832="","",VLOOKUP(A3832,'6.A'!$A$11:$E$564,4,FALSE))</f>
        <v/>
      </c>
      <c r="K3832" s="52" t="str">
        <f t="shared" si="1660"/>
        <v/>
      </c>
      <c r="L3832" s="52" t="str">
        <f>IF(H3832="","",IF(C3832="","",G3808*C3832))</f>
        <v/>
      </c>
      <c r="M3832" s="117" t="str">
        <f>IF(A3832="","",VLOOKUP(A3832,'6.A'!$A$11:$C$564,2,FALSE))</f>
        <v/>
      </c>
      <c r="N3832" s="57" t="str">
        <f t="shared" ref="N3832:N3833" si="1662">IF(A3832="","",IF(M3832=B3832,"si","no"))</f>
        <v/>
      </c>
      <c r="O3832" s="56"/>
      <c r="P3832" s="56"/>
      <c r="Q3832" s="48"/>
      <c r="R3832" s="48"/>
      <c r="S3832" s="65"/>
      <c r="T3832" s="2"/>
      <c r="U3832" s="2"/>
      <c r="V3832" s="2"/>
    </row>
    <row r="3833" spans="1:22" s="149" customFormat="1" ht="12.75" customHeight="1" x14ac:dyDescent="0.2">
      <c r="A3833" s="155"/>
      <c r="B3833" s="138" t="str">
        <f>IF(A3833="","",VLOOKUP(A3833,'6.A'!$A$11:$G$180,2,FALSE))</f>
        <v/>
      </c>
      <c r="C3833" s="156"/>
      <c r="D3833" s="141" t="str">
        <f>IF(A3833="","",VLOOKUP(A3833,'6.A'!$A$11:$G$180,4,FALSE))</f>
        <v/>
      </c>
      <c r="E3833" s="160" t="str">
        <f>IF(A3833="","",VLOOKUP(A3833,'6.A'!$A$11:$G$180,5,FALSE))</f>
        <v/>
      </c>
      <c r="F3833" s="159" t="str">
        <f t="shared" si="1658"/>
        <v>0,00</v>
      </c>
      <c r="G3833" s="52"/>
      <c r="H3833" s="52" t="str">
        <f>IF(A3833="","",VLOOKUP(A3833,'6.A'!$A$11:$E$7984,5,FALSE))</f>
        <v/>
      </c>
      <c r="I3833" s="52" t="str">
        <f t="shared" si="1659"/>
        <v/>
      </c>
      <c r="J3833" s="52" t="str">
        <f>IF(H3833="","",VLOOKUP(A3833,'6.A'!$A$11:$E$564,4,FALSE))</f>
        <v/>
      </c>
      <c r="K3833" s="52" t="str">
        <f t="shared" si="1660"/>
        <v/>
      </c>
      <c r="L3833" s="52" t="str">
        <f>IF(H3833="","",IF(C3833="","",G3808*C3833))</f>
        <v/>
      </c>
      <c r="M3833" s="117" t="str">
        <f>IF(A3833="","",VLOOKUP(A3833,'6.A'!$A$11:$C$564,2,FALSE))</f>
        <v/>
      </c>
      <c r="N3833" s="57" t="str">
        <f t="shared" si="1662"/>
        <v/>
      </c>
      <c r="O3833" s="56"/>
      <c r="P3833" s="56"/>
      <c r="Q3833" s="48"/>
      <c r="R3833" s="48"/>
      <c r="S3833" s="65"/>
      <c r="T3833" s="2"/>
      <c r="U3833" s="2"/>
      <c r="V3833" s="2"/>
    </row>
    <row r="3834" spans="1:22" s="149" customFormat="1" ht="12.75" customHeight="1" x14ac:dyDescent="0.2">
      <c r="A3834" s="155"/>
      <c r="B3834" s="26" t="str">
        <f>$A$9</f>
        <v>BDI</v>
      </c>
      <c r="C3834" s="27">
        <f>$C$9</f>
        <v>0</v>
      </c>
      <c r="D3834" s="141"/>
      <c r="E3834" s="147"/>
      <c r="F3834" s="162">
        <f>ROUND(SUM(F3824:F3833)*C3834,2)</f>
        <v>0</v>
      </c>
      <c r="G3834" s="63"/>
      <c r="H3834" s="52"/>
      <c r="I3834" s="57"/>
      <c r="J3834" s="57"/>
      <c r="K3834" s="57"/>
      <c r="L3834" s="52"/>
      <c r="M3834" s="62"/>
      <c r="N3834" s="57"/>
      <c r="O3834" s="56"/>
      <c r="P3834" s="56"/>
      <c r="Q3834" s="48"/>
      <c r="R3834" s="48"/>
      <c r="S3834" s="65"/>
      <c r="T3834" s="2"/>
      <c r="U3834" s="2"/>
      <c r="V3834" s="2"/>
    </row>
    <row r="3835" spans="1:22" s="149" customFormat="1" ht="12.75" customHeight="1" x14ac:dyDescent="0.2">
      <c r="A3835" s="163"/>
      <c r="B3835" s="31" t="s">
        <v>117</v>
      </c>
      <c r="C3835" s="36"/>
      <c r="D3835" s="169"/>
      <c r="E3835" s="170"/>
      <c r="F3835" s="168">
        <f>ROUND(SUM(F3824:F3834),2)</f>
        <v>0</v>
      </c>
      <c r="G3835" s="63"/>
      <c r="H3835" s="52"/>
      <c r="I3835" s="57"/>
      <c r="J3835" s="57"/>
      <c r="K3835" s="57"/>
      <c r="L3835" s="52"/>
      <c r="M3835" s="62"/>
      <c r="N3835" s="57"/>
      <c r="O3835" s="56"/>
      <c r="P3835" s="56"/>
      <c r="Q3835" s="48"/>
      <c r="R3835" s="48"/>
      <c r="S3835" s="65"/>
      <c r="T3835" s="2"/>
      <c r="U3835" s="2"/>
      <c r="V3835" s="2"/>
    </row>
    <row r="3836" spans="1:22" s="149" customFormat="1" ht="12.75" customHeight="1" x14ac:dyDescent="0.2">
      <c r="A3836" s="152" t="s">
        <v>6</v>
      </c>
      <c r="B3836" s="153" t="s">
        <v>17</v>
      </c>
      <c r="C3836" s="140" t="s">
        <v>59</v>
      </c>
      <c r="D3836" s="140" t="s">
        <v>16</v>
      </c>
      <c r="E3836" s="154" t="s">
        <v>60</v>
      </c>
      <c r="F3836" s="148" t="s">
        <v>61</v>
      </c>
      <c r="G3836" s="21"/>
      <c r="H3836" s="52"/>
      <c r="I3836" s="57"/>
      <c r="J3836" s="57"/>
      <c r="K3836" s="57"/>
      <c r="L3836" s="52"/>
      <c r="M3836" s="62"/>
      <c r="N3836" s="57"/>
      <c r="O3836" s="56"/>
      <c r="P3836" s="56"/>
      <c r="Q3836" s="48"/>
      <c r="R3836" s="48"/>
      <c r="S3836" s="65"/>
      <c r="T3836" s="2"/>
      <c r="U3836" s="2"/>
      <c r="V3836" s="2"/>
    </row>
    <row r="3837" spans="1:22" s="149" customFormat="1" ht="12.75" customHeight="1" x14ac:dyDescent="0.2">
      <c r="A3837" s="155">
        <f>'6.A'!$A$85</f>
        <v>1379</v>
      </c>
      <c r="B3837" s="138" t="str">
        <f>IF(A3837="","",VLOOKUP(A3837,'6.A'!$A$11:$G$180,2,FALSE))</f>
        <v>CIMENTO PORTLAND COMPOSTO CP II-32</v>
      </c>
      <c r="C3837" s="156">
        <f>0.5+(0.031*273.44)</f>
        <v>8.9766399999999997</v>
      </c>
      <c r="D3837" s="157" t="str">
        <f>IF(A3837="","",VLOOKUP(A3837,'6.A'!$A$11:$G$180,4,FALSE))</f>
        <v>KG</v>
      </c>
      <c r="E3837" s="158">
        <f>IF(A3837="","",VLOOKUP(A3837,'6.A'!$A$11:$G$180,5,FALSE))</f>
        <v>0</v>
      </c>
      <c r="F3837" s="159">
        <f t="shared" ref="F3837:F3856" si="1663">IF(A3837="","0,00",ROUND(C3837*E3837,2))</f>
        <v>0</v>
      </c>
      <c r="G3837" s="52"/>
      <c r="H3837" s="52">
        <f>IF(A3837="","",VLOOKUP(A3837,'6.A'!$A$11:$E$7984,5,FALSE))</f>
        <v>0</v>
      </c>
      <c r="I3837" s="52" t="str">
        <f t="shared" ref="I3837:I3856" si="1664">IF(H3837="","",IF(E3837=H3837,"SIM","NÃO"))</f>
        <v>SIM</v>
      </c>
      <c r="J3837" s="52" t="str">
        <f>IF(H3837="","",VLOOKUP(A3837,'6.A'!$A$11:$E$564,4,FALSE))</f>
        <v>KG</v>
      </c>
      <c r="K3837" s="52" t="str">
        <f t="shared" ref="K3837:K3856" si="1665">IF(H3837="","",IF(J3837=D3837,"SIM","NÃO"))</f>
        <v>SIM</v>
      </c>
      <c r="L3837" s="52">
        <f>IF(H3837="","",IF(C3837="","",G3808*C3837))</f>
        <v>26.929919999999999</v>
      </c>
      <c r="M3837" s="117" t="str">
        <f>IF(A3837="","",VLOOKUP(A3837,'6.A'!$A$11:$C$564,2,FALSE))</f>
        <v>CIMENTO PORTLAND COMPOSTO CP II-32</v>
      </c>
      <c r="N3837" s="57" t="str">
        <f t="shared" ref="N3837:N3856" si="1666">IF(A3837="","",IF(M3837=B3837,"si","no"))</f>
        <v>si</v>
      </c>
      <c r="O3837" s="56"/>
      <c r="P3837" s="56"/>
      <c r="Q3837" s="48"/>
      <c r="R3837" s="48"/>
      <c r="S3837" s="65"/>
      <c r="T3837" s="2"/>
      <c r="U3837" s="2"/>
      <c r="V3837" s="2"/>
    </row>
    <row r="3838" spans="1:22" s="149" customFormat="1" ht="12.75" customHeight="1" x14ac:dyDescent="0.2">
      <c r="A3838" s="155">
        <f>'6.A'!$A$106</f>
        <v>3671</v>
      </c>
      <c r="B3838" s="138" t="str">
        <f>IF(A3838="","",VLOOKUP(A3838,'6.A'!$A$11:$G$180,2,FALSE))</f>
        <v>JUNTA PLASTICA DE DILATACAO PARA PISOS, COR CINZA, 17 X 3 MM (ALTURA X ESPESSURA)</v>
      </c>
      <c r="C3838" s="156">
        <v>1.67</v>
      </c>
      <c r="D3838" s="157" t="str">
        <f>IF(A3838="","",VLOOKUP(A3838,'6.A'!$A$11:$G$180,4,FALSE))</f>
        <v>M</v>
      </c>
      <c r="E3838" s="158">
        <f>IF(A3838="","",VLOOKUP(A3838,'6.A'!$A$11:$G$180,5,FALSE))</f>
        <v>0</v>
      </c>
      <c r="F3838" s="159">
        <f t="shared" si="1663"/>
        <v>0</v>
      </c>
      <c r="G3838" s="52"/>
      <c r="H3838" s="52">
        <f>IF(A3838="","",VLOOKUP(A3838,'6.A'!$A$11:$E$7984,5,FALSE))</f>
        <v>0</v>
      </c>
      <c r="I3838" s="52" t="str">
        <f t="shared" si="1664"/>
        <v>SIM</v>
      </c>
      <c r="J3838" s="52" t="str">
        <f>IF(H3838="","",VLOOKUP(A3838,'6.A'!$A$11:$E$564,4,FALSE))</f>
        <v>M</v>
      </c>
      <c r="K3838" s="52" t="str">
        <f t="shared" si="1665"/>
        <v>SIM</v>
      </c>
      <c r="L3838" s="52">
        <f>IF(H3838="","",IF(C3838="","",G3808*C3838))</f>
        <v>5.01</v>
      </c>
      <c r="M3838" s="117" t="str">
        <f>IF(A3838="","",VLOOKUP(A3838,'6.A'!$A$11:$C$564,2,FALSE))</f>
        <v>JUNTA PLASTICA DE DILATACAO PARA PISOS, COR CINZA, 17 X 3 MM (ALTURA X ESPESSURA)</v>
      </c>
      <c r="N3838" s="57" t="str">
        <f t="shared" si="1666"/>
        <v>si</v>
      </c>
      <c r="O3838" s="56"/>
      <c r="P3838" s="56"/>
      <c r="Q3838" s="48"/>
      <c r="R3838" s="48"/>
      <c r="S3838" s="65"/>
      <c r="T3838" s="2"/>
      <c r="U3838" s="2"/>
      <c r="V3838" s="2"/>
    </row>
    <row r="3839" spans="1:22" s="149" customFormat="1" ht="12.75" customHeight="1" x14ac:dyDescent="0.2">
      <c r="A3839" s="155" t="str">
        <f>'6.A'!$A$52</f>
        <v>CV00182</v>
      </c>
      <c r="B3839" s="138" t="str">
        <f>IF(A3839="","",VLOOKUP(A3839,'6.A'!$A$11:$G$180,2,FALSE))</f>
        <v>AREIA MÉDIA GRANULOMETRIA ENTRE (0,42 E 1,2 MM) LAVADA</v>
      </c>
      <c r="C3839" s="156">
        <f>0.031*1.27</f>
        <v>3.9370000000000002E-2</v>
      </c>
      <c r="D3839" s="157" t="str">
        <f>IF(A3839="","",VLOOKUP(A3839,'6.A'!$A$11:$G$180,4,FALSE))</f>
        <v>M3</v>
      </c>
      <c r="E3839" s="158">
        <f>IF(A3839="","",VLOOKUP(A3839,'6.A'!$A$11:$G$180,5,FALSE))</f>
        <v>0</v>
      </c>
      <c r="F3839" s="159">
        <f t="shared" si="1663"/>
        <v>0</v>
      </c>
      <c r="G3839" s="52"/>
      <c r="H3839" s="52">
        <f>IF(A3839="","",VLOOKUP(A3839,'6.A'!$A$11:$E$7984,5,FALSE))</f>
        <v>0</v>
      </c>
      <c r="I3839" s="52" t="str">
        <f t="shared" si="1664"/>
        <v>SIM</v>
      </c>
      <c r="J3839" s="52" t="str">
        <f>IF(H3839="","",VLOOKUP(A3839,'6.A'!$A$11:$E$564,4,FALSE))</f>
        <v>M3</v>
      </c>
      <c r="K3839" s="52" t="str">
        <f t="shared" si="1665"/>
        <v>SIM</v>
      </c>
      <c r="L3839" s="52">
        <f>IF(H3839="","",IF(C3839="","",G3808*C3839))</f>
        <v>0.11811000000000001</v>
      </c>
      <c r="M3839" s="117" t="str">
        <f>IF(A3839="","",VLOOKUP(A3839,'6.A'!$A$11:$C$564,2,FALSE))</f>
        <v>AREIA MÉDIA GRANULOMETRIA ENTRE (0,42 E 1,2 MM) LAVADA</v>
      </c>
      <c r="N3839" s="57" t="str">
        <f t="shared" si="1666"/>
        <v>si</v>
      </c>
      <c r="O3839" s="56"/>
      <c r="P3839" s="56"/>
      <c r="Q3839" s="48"/>
      <c r="R3839" s="48"/>
      <c r="S3839" s="65"/>
      <c r="T3839" s="2"/>
      <c r="U3839" s="2"/>
      <c r="V3839" s="2"/>
    </row>
    <row r="3840" spans="1:22" s="149" customFormat="1" ht="12.75" customHeight="1" x14ac:dyDescent="0.2">
      <c r="A3840" s="155"/>
      <c r="B3840" s="138" t="str">
        <f>IF(A3840="","",VLOOKUP(A3840,'6.A'!$A$11:$G$180,2,FALSE))</f>
        <v/>
      </c>
      <c r="C3840" s="156"/>
      <c r="D3840" s="157" t="str">
        <f>IF(A3840="","",VLOOKUP(A3840,'6.A'!$A$11:$G$180,4,FALSE))</f>
        <v/>
      </c>
      <c r="E3840" s="158" t="str">
        <f>IF(A3840="","",VLOOKUP(A3840,'6.A'!$A$11:$G$180,5,FALSE))</f>
        <v/>
      </c>
      <c r="F3840" s="159" t="str">
        <f t="shared" si="1663"/>
        <v>0,00</v>
      </c>
      <c r="G3840" s="52"/>
      <c r="H3840" s="52" t="str">
        <f>IF(A3840="","",VLOOKUP(A3840,'6.A'!$A$11:$E$7984,5,FALSE))</f>
        <v/>
      </c>
      <c r="I3840" s="52" t="str">
        <f t="shared" si="1664"/>
        <v/>
      </c>
      <c r="J3840" s="52" t="str">
        <f>IF(H3840="","",VLOOKUP(A3840,'6.A'!$A$11:$E$564,4,FALSE))</f>
        <v/>
      </c>
      <c r="K3840" s="52" t="str">
        <f t="shared" si="1665"/>
        <v/>
      </c>
      <c r="L3840" s="52" t="str">
        <f>IF(H3840="","",IF(C3840="","",G3808*C3840))</f>
        <v/>
      </c>
      <c r="M3840" s="117" t="str">
        <f>IF(A3840="","",VLOOKUP(A3840,'6.A'!$A$11:$C$564,2,FALSE))</f>
        <v/>
      </c>
      <c r="N3840" s="57" t="str">
        <f t="shared" si="1666"/>
        <v/>
      </c>
      <c r="O3840" s="56"/>
      <c r="P3840" s="56"/>
      <c r="Q3840" s="48"/>
      <c r="R3840" s="48"/>
      <c r="S3840" s="65"/>
      <c r="T3840" s="2"/>
      <c r="U3840" s="2"/>
      <c r="V3840" s="2"/>
    </row>
    <row r="3841" spans="1:22" s="149" customFormat="1" ht="12.75" customHeight="1" x14ac:dyDescent="0.2">
      <c r="A3841" s="155"/>
      <c r="B3841" s="138" t="str">
        <f>IF(A3841="","",VLOOKUP(A3841,'6.A'!$A$11:$G$180,2,FALSE))</f>
        <v/>
      </c>
      <c r="C3841" s="156"/>
      <c r="D3841" s="141" t="str">
        <f>IF(A3841="","",VLOOKUP(A3841,'6.A'!$A$11:$G$180,4,FALSE))</f>
        <v/>
      </c>
      <c r="E3841" s="160" t="str">
        <f>IF(A3841="","",VLOOKUP(A3841,'6.A'!$A$11:$G$180,5,FALSE))</f>
        <v/>
      </c>
      <c r="F3841" s="159" t="str">
        <f t="shared" si="1663"/>
        <v>0,00</v>
      </c>
      <c r="G3841" s="52"/>
      <c r="H3841" s="52" t="str">
        <f>IF(A3841="","",VLOOKUP(A3841,'6.A'!$A$11:$E$7984,5,FALSE))</f>
        <v/>
      </c>
      <c r="I3841" s="52" t="str">
        <f t="shared" si="1664"/>
        <v/>
      </c>
      <c r="J3841" s="52" t="str">
        <f>IF(H3841="","",VLOOKUP(A3841,'6.A'!$A$11:$E$564,4,FALSE))</f>
        <v/>
      </c>
      <c r="K3841" s="52" t="str">
        <f t="shared" si="1665"/>
        <v/>
      </c>
      <c r="L3841" s="52" t="str">
        <f>IF(H3841="","",IF(C3841="","",G3808*C3841))</f>
        <v/>
      </c>
      <c r="M3841" s="117" t="str">
        <f>IF(A3841="","",VLOOKUP(A3841,'6.A'!$A$11:$C$564,2,FALSE))</f>
        <v/>
      </c>
      <c r="N3841" s="57" t="str">
        <f t="shared" si="1666"/>
        <v/>
      </c>
      <c r="O3841" s="56"/>
      <c r="P3841" s="56"/>
      <c r="Q3841" s="48"/>
      <c r="R3841" s="48"/>
      <c r="S3841" s="65"/>
      <c r="T3841" s="2"/>
      <c r="U3841" s="2"/>
      <c r="V3841" s="2"/>
    </row>
    <row r="3842" spans="1:22" s="149" customFormat="1" ht="12.75" customHeight="1" x14ac:dyDescent="0.2">
      <c r="A3842" s="155"/>
      <c r="B3842" s="138" t="str">
        <f>IF(A3842="","",VLOOKUP(A3842,'6.A'!$A$11:$G$180,2,FALSE))</f>
        <v/>
      </c>
      <c r="C3842" s="156"/>
      <c r="D3842" s="141" t="str">
        <f>IF(A3842="","",VLOOKUP(A3842,'6.A'!$A$11:$G$180,4,FALSE))</f>
        <v/>
      </c>
      <c r="E3842" s="160" t="str">
        <f>IF(A3842="","",VLOOKUP(A3842,'6.A'!$A$11:$G$180,5,FALSE))</f>
        <v/>
      </c>
      <c r="F3842" s="159" t="str">
        <f t="shared" si="1663"/>
        <v>0,00</v>
      </c>
      <c r="G3842" s="52"/>
      <c r="H3842" s="52" t="str">
        <f>IF(A3842="","",VLOOKUP(A3842,'6.A'!$A$11:$E$7984,5,FALSE))</f>
        <v/>
      </c>
      <c r="I3842" s="52" t="str">
        <f t="shared" si="1664"/>
        <v/>
      </c>
      <c r="J3842" s="52" t="str">
        <f>IF(H3842="","",VLOOKUP(A3842,'6.A'!$A$11:$E$564,4,FALSE))</f>
        <v/>
      </c>
      <c r="K3842" s="52" t="str">
        <f t="shared" si="1665"/>
        <v/>
      </c>
      <c r="L3842" s="52" t="str">
        <f>IF(H3842="","",IF(C3842="","",G3808*C3842))</f>
        <v/>
      </c>
      <c r="M3842" s="117" t="str">
        <f>IF(A3842="","",VLOOKUP(A3842,'6.A'!$A$11:$C$564,2,FALSE))</f>
        <v/>
      </c>
      <c r="N3842" s="57" t="str">
        <f t="shared" si="1666"/>
        <v/>
      </c>
      <c r="O3842" s="56"/>
      <c r="P3842" s="56"/>
      <c r="Q3842" s="48"/>
      <c r="R3842" s="48"/>
      <c r="S3842" s="65"/>
      <c r="T3842" s="2"/>
      <c r="U3842" s="2"/>
      <c r="V3842" s="2"/>
    </row>
    <row r="3843" spans="1:22" s="149" customFormat="1" ht="12.75" customHeight="1" x14ac:dyDescent="0.2">
      <c r="A3843" s="155"/>
      <c r="B3843" s="138" t="str">
        <f>IF(A3843="","",VLOOKUP(A3843,'6.A'!$A$11:$G$180,2,FALSE))</f>
        <v/>
      </c>
      <c r="C3843" s="156"/>
      <c r="D3843" s="157" t="str">
        <f>IF(A3843="","",VLOOKUP(A3843,'6.A'!$A$11:$G$180,4,FALSE))</f>
        <v/>
      </c>
      <c r="E3843" s="158" t="str">
        <f>IF(A3843="","",VLOOKUP(A3843,'6.A'!$A$11:$G$180,5,FALSE))</f>
        <v/>
      </c>
      <c r="F3843" s="159" t="str">
        <f t="shared" si="1663"/>
        <v>0,00</v>
      </c>
      <c r="G3843" s="52"/>
      <c r="H3843" s="52" t="str">
        <f>IF(A3843="","",VLOOKUP(A3843,'6.A'!$A$11:$E$7984,5,FALSE))</f>
        <v/>
      </c>
      <c r="I3843" s="52" t="str">
        <f t="shared" si="1664"/>
        <v/>
      </c>
      <c r="J3843" s="52" t="str">
        <f>IF(H3843="","",VLOOKUP(A3843,'6.A'!$A$11:$E$564,4,FALSE))</f>
        <v/>
      </c>
      <c r="K3843" s="52" t="str">
        <f t="shared" si="1665"/>
        <v/>
      </c>
      <c r="L3843" s="52" t="str">
        <f>IF(H3843="","",IF(C3843="","",G3808*C3843))</f>
        <v/>
      </c>
      <c r="M3843" s="117" t="str">
        <f>IF(A3843="","",VLOOKUP(A3843,'6.A'!$A$11:$C$564,2,FALSE))</f>
        <v/>
      </c>
      <c r="N3843" s="57" t="str">
        <f t="shared" si="1666"/>
        <v/>
      </c>
      <c r="O3843" s="56"/>
      <c r="P3843" s="56"/>
      <c r="Q3843" s="48"/>
      <c r="R3843" s="48"/>
      <c r="S3843" s="65"/>
      <c r="T3843" s="2"/>
      <c r="U3843" s="2"/>
      <c r="V3843" s="2"/>
    </row>
    <row r="3844" spans="1:22" s="149" customFormat="1" ht="12.75" customHeight="1" x14ac:dyDescent="0.2">
      <c r="A3844" s="155"/>
      <c r="B3844" s="138" t="str">
        <f>IF(A3844="","",VLOOKUP(A3844,'6.A'!$A$11:$G$180,2,FALSE))</f>
        <v/>
      </c>
      <c r="C3844" s="156"/>
      <c r="D3844" s="157" t="str">
        <f>IF(A3844="","",VLOOKUP(A3844,'6.A'!$A$11:$G$180,4,FALSE))</f>
        <v/>
      </c>
      <c r="E3844" s="158" t="str">
        <f>IF(A3844="","",VLOOKUP(A3844,'6.A'!$A$11:$G$180,5,FALSE))</f>
        <v/>
      </c>
      <c r="F3844" s="159" t="str">
        <f t="shared" si="1663"/>
        <v>0,00</v>
      </c>
      <c r="G3844" s="52"/>
      <c r="H3844" s="52" t="str">
        <f>IF(A3844="","",VLOOKUP(A3844,'6.A'!$A$11:$E$7984,5,FALSE))</f>
        <v/>
      </c>
      <c r="I3844" s="52" t="str">
        <f t="shared" si="1664"/>
        <v/>
      </c>
      <c r="J3844" s="52" t="str">
        <f>IF(H3844="","",VLOOKUP(A3844,'6.A'!$A$11:$E$564,4,FALSE))</f>
        <v/>
      </c>
      <c r="K3844" s="52" t="str">
        <f t="shared" si="1665"/>
        <v/>
      </c>
      <c r="L3844" s="52" t="str">
        <f>IF(H3844="","",IF(C3844="","",G3808*C3844))</f>
        <v/>
      </c>
      <c r="M3844" s="117" t="str">
        <f>IF(A3844="","",VLOOKUP(A3844,'6.A'!$A$11:$C$564,2,FALSE))</f>
        <v/>
      </c>
      <c r="N3844" s="57" t="str">
        <f t="shared" si="1666"/>
        <v/>
      </c>
      <c r="O3844" s="56"/>
      <c r="P3844" s="56"/>
      <c r="Q3844" s="48"/>
      <c r="R3844" s="48"/>
      <c r="S3844" s="65"/>
      <c r="T3844" s="2"/>
      <c r="U3844" s="2"/>
      <c r="V3844" s="2"/>
    </row>
    <row r="3845" spans="1:22" s="149" customFormat="1" ht="12.75" customHeight="1" x14ac:dyDescent="0.2">
      <c r="A3845" s="155"/>
      <c r="B3845" s="138" t="str">
        <f>IF(A3845="","",VLOOKUP(A3845,'6.A'!$A$11:$G$180,2,FALSE))</f>
        <v/>
      </c>
      <c r="C3845" s="156"/>
      <c r="D3845" s="141" t="str">
        <f>IF(A3845="","",VLOOKUP(A3845,'6.A'!$A$11:$G$180,4,FALSE))</f>
        <v/>
      </c>
      <c r="E3845" s="160" t="str">
        <f>IF(A3845="","",VLOOKUP(A3845,'6.A'!$A$11:$G$180,5,FALSE))</f>
        <v/>
      </c>
      <c r="F3845" s="159" t="str">
        <f t="shared" si="1663"/>
        <v>0,00</v>
      </c>
      <c r="G3845" s="52"/>
      <c r="H3845" s="52" t="str">
        <f>IF(A3845="","",VLOOKUP(A3845,'6.A'!$A$11:$E$7984,5,FALSE))</f>
        <v/>
      </c>
      <c r="I3845" s="52" t="str">
        <f t="shared" si="1664"/>
        <v/>
      </c>
      <c r="J3845" s="52" t="str">
        <f>IF(H3845="","",VLOOKUP(A3845,'6.A'!$A$11:$E$564,4,FALSE))</f>
        <v/>
      </c>
      <c r="K3845" s="52" t="str">
        <f t="shared" si="1665"/>
        <v/>
      </c>
      <c r="L3845" s="52" t="str">
        <f>IF(H3845="","",IF(C3845="","",G3808*C3845))</f>
        <v/>
      </c>
      <c r="M3845" s="117" t="str">
        <f>IF(A3845="","",VLOOKUP(A3845,'6.A'!$A$11:$C$564,2,FALSE))</f>
        <v/>
      </c>
      <c r="N3845" s="57" t="str">
        <f t="shared" si="1666"/>
        <v/>
      </c>
      <c r="O3845" s="56"/>
      <c r="P3845" s="56"/>
      <c r="Q3845" s="48"/>
      <c r="R3845" s="48"/>
      <c r="S3845" s="65"/>
      <c r="T3845" s="2"/>
      <c r="U3845" s="2"/>
      <c r="V3845" s="2"/>
    </row>
    <row r="3846" spans="1:22" s="149" customFormat="1" ht="12.75" customHeight="1" x14ac:dyDescent="0.2">
      <c r="A3846" s="155"/>
      <c r="B3846" s="138" t="str">
        <f>IF(A3846="","",VLOOKUP(A3846,'6.A'!$A$11:$G$180,2,FALSE))</f>
        <v/>
      </c>
      <c r="C3846" s="156"/>
      <c r="D3846" s="141" t="str">
        <f>IF(A3846="","",VLOOKUP(A3846,'6.A'!$A$11:$G$180,4,FALSE))</f>
        <v/>
      </c>
      <c r="E3846" s="160" t="str">
        <f>IF(A3846="","",VLOOKUP(A3846,'6.A'!$A$11:$G$180,5,FALSE))</f>
        <v/>
      </c>
      <c r="F3846" s="159" t="str">
        <f t="shared" si="1663"/>
        <v>0,00</v>
      </c>
      <c r="G3846" s="52"/>
      <c r="H3846" s="52" t="str">
        <f>IF(A3846="","",VLOOKUP(A3846,'6.A'!$A$11:$E$7984,5,FALSE))</f>
        <v/>
      </c>
      <c r="I3846" s="52" t="str">
        <f t="shared" si="1664"/>
        <v/>
      </c>
      <c r="J3846" s="52" t="str">
        <f>IF(H3846="","",VLOOKUP(A3846,'6.A'!$A$11:$E$564,4,FALSE))</f>
        <v/>
      </c>
      <c r="K3846" s="52" t="str">
        <f t="shared" si="1665"/>
        <v/>
      </c>
      <c r="L3846" s="52" t="str">
        <f>IF(H3846="","",IF(C3846="","",G3808*C3846))</f>
        <v/>
      </c>
      <c r="M3846" s="117" t="str">
        <f>IF(A3846="","",VLOOKUP(A3846,'6.A'!$A$11:$C$564,2,FALSE))</f>
        <v/>
      </c>
      <c r="N3846" s="57" t="str">
        <f t="shared" si="1666"/>
        <v/>
      </c>
      <c r="O3846" s="56"/>
      <c r="P3846" s="56"/>
      <c r="Q3846" s="48"/>
      <c r="R3846" s="48"/>
      <c r="S3846" s="65"/>
      <c r="T3846" s="2"/>
      <c r="U3846" s="2"/>
      <c r="V3846" s="2"/>
    </row>
    <row r="3847" spans="1:22" s="149" customFormat="1" ht="12.75" customHeight="1" x14ac:dyDescent="0.2">
      <c r="A3847" s="155"/>
      <c r="B3847" s="138" t="str">
        <f>IF(A3847="","",VLOOKUP(A3847,'6.A'!$A$11:$G$180,2,FALSE))</f>
        <v/>
      </c>
      <c r="C3847" s="156"/>
      <c r="D3847" s="141" t="str">
        <f>IF(A3847="","",VLOOKUP(A3847,'6.A'!$A$11:$G$180,4,FALSE))</f>
        <v/>
      </c>
      <c r="E3847" s="160" t="str">
        <f>IF(A3847="","",VLOOKUP(A3847,'6.A'!$A$11:$G$180,5,FALSE))</f>
        <v/>
      </c>
      <c r="F3847" s="159" t="str">
        <f t="shared" si="1663"/>
        <v>0,00</v>
      </c>
      <c r="G3847" s="52"/>
      <c r="H3847" s="52" t="str">
        <f>IF(A3847="","",VLOOKUP(A3847,'6.A'!$A$11:$E$7984,5,FALSE))</f>
        <v/>
      </c>
      <c r="I3847" s="52" t="str">
        <f t="shared" si="1664"/>
        <v/>
      </c>
      <c r="J3847" s="52" t="str">
        <f>IF(H3847="","",VLOOKUP(A3847,'6.A'!$A$11:$E$564,4,FALSE))</f>
        <v/>
      </c>
      <c r="K3847" s="52" t="str">
        <f t="shared" si="1665"/>
        <v/>
      </c>
      <c r="L3847" s="52" t="str">
        <f>IF(H3847="","",IF(C3847="","",G3808*C3847))</f>
        <v/>
      </c>
      <c r="M3847" s="117" t="str">
        <f>IF(A3847="","",VLOOKUP(A3847,'6.A'!$A$11:$C$564,2,FALSE))</f>
        <v/>
      </c>
      <c r="N3847" s="57" t="str">
        <f t="shared" si="1666"/>
        <v/>
      </c>
      <c r="O3847" s="56"/>
      <c r="P3847" s="56"/>
      <c r="Q3847" s="48"/>
      <c r="R3847" s="48"/>
      <c r="S3847" s="65"/>
      <c r="T3847" s="2"/>
      <c r="U3847" s="2"/>
      <c r="V3847" s="2"/>
    </row>
    <row r="3848" spans="1:22" s="149" customFormat="1" ht="12.75" customHeight="1" x14ac:dyDescent="0.2">
      <c r="A3848" s="155"/>
      <c r="B3848" s="138" t="str">
        <f>IF(A3848="","",VLOOKUP(A3848,'6.A'!$A$11:$G$180,2,FALSE))</f>
        <v/>
      </c>
      <c r="C3848" s="156"/>
      <c r="D3848" s="141" t="str">
        <f>IF(A3848="","",VLOOKUP(A3848,'6.A'!$A$11:$G$180,4,FALSE))</f>
        <v/>
      </c>
      <c r="E3848" s="160" t="str">
        <f>IF(A3848="","",VLOOKUP(A3848,'6.A'!$A$11:$G$180,5,FALSE))</f>
        <v/>
      </c>
      <c r="F3848" s="159" t="str">
        <f t="shared" si="1663"/>
        <v>0,00</v>
      </c>
      <c r="G3848" s="52"/>
      <c r="H3848" s="52" t="str">
        <f>IF(A3848="","",VLOOKUP(A3848,'6.A'!$A$11:$E$7984,5,FALSE))</f>
        <v/>
      </c>
      <c r="I3848" s="52" t="str">
        <f t="shared" si="1664"/>
        <v/>
      </c>
      <c r="J3848" s="52" t="str">
        <f>IF(H3848="","",VLOOKUP(A3848,'6.A'!$A$11:$E$564,4,FALSE))</f>
        <v/>
      </c>
      <c r="K3848" s="52" t="str">
        <f t="shared" si="1665"/>
        <v/>
      </c>
      <c r="L3848" s="52" t="str">
        <f>IF(H3848="","",IF(C3848="","",G3808*C3848))</f>
        <v/>
      </c>
      <c r="M3848" s="117" t="str">
        <f>IF(A3848="","",VLOOKUP(A3848,'6.A'!$A$11:$C$564,2,FALSE))</f>
        <v/>
      </c>
      <c r="N3848" s="57" t="str">
        <f t="shared" si="1666"/>
        <v/>
      </c>
      <c r="O3848" s="56"/>
      <c r="P3848" s="56"/>
      <c r="Q3848" s="48"/>
      <c r="R3848" s="48"/>
      <c r="S3848" s="65"/>
      <c r="T3848" s="2"/>
      <c r="U3848" s="2"/>
      <c r="V3848" s="2"/>
    </row>
    <row r="3849" spans="1:22" s="149" customFormat="1" ht="12.75" customHeight="1" x14ac:dyDescent="0.2">
      <c r="A3849" s="155"/>
      <c r="B3849" s="138" t="str">
        <f>IF(A3849="","",VLOOKUP(A3849,'6.A'!$A$11:$G$180,2,FALSE))</f>
        <v/>
      </c>
      <c r="C3849" s="156"/>
      <c r="D3849" s="141" t="str">
        <f>IF(A3849="","",VLOOKUP(A3849,'6.A'!$A$11:$G$180,4,FALSE))</f>
        <v/>
      </c>
      <c r="E3849" s="160" t="str">
        <f>IF(A3849="","",VLOOKUP(A3849,'6.A'!$A$11:$G$180,5,FALSE))</f>
        <v/>
      </c>
      <c r="F3849" s="159" t="str">
        <f t="shared" si="1663"/>
        <v>0,00</v>
      </c>
      <c r="G3849" s="52"/>
      <c r="H3849" s="52" t="str">
        <f>IF(A3849="","",VLOOKUP(A3849,'6.A'!$A$11:$E$7984,5,FALSE))</f>
        <v/>
      </c>
      <c r="I3849" s="52" t="str">
        <f t="shared" si="1664"/>
        <v/>
      </c>
      <c r="J3849" s="52" t="str">
        <f>IF(H3849="","",VLOOKUP(A3849,'6.A'!$A$11:$E$564,4,FALSE))</f>
        <v/>
      </c>
      <c r="K3849" s="52" t="str">
        <f t="shared" si="1665"/>
        <v/>
      </c>
      <c r="L3849" s="52" t="str">
        <f>IF(H3849="","",IF(C3849="","",G3808*C3849))</f>
        <v/>
      </c>
      <c r="M3849" s="117" t="str">
        <f>IF(A3849="","",VLOOKUP(A3849,'6.A'!$A$11:$C$564,2,FALSE))</f>
        <v/>
      </c>
      <c r="N3849" s="57" t="str">
        <f t="shared" si="1666"/>
        <v/>
      </c>
      <c r="O3849" s="56"/>
      <c r="P3849" s="56"/>
      <c r="Q3849" s="48"/>
      <c r="R3849" s="48"/>
      <c r="S3849" s="65"/>
      <c r="T3849" s="2"/>
      <c r="U3849" s="2"/>
      <c r="V3849" s="2"/>
    </row>
    <row r="3850" spans="1:22" s="149" customFormat="1" ht="12.75" customHeight="1" x14ac:dyDescent="0.2">
      <c r="A3850" s="155"/>
      <c r="B3850" s="138" t="str">
        <f>IF(A3850="","",VLOOKUP(A3850,'6.A'!$A$11:$G$180,2,FALSE))</f>
        <v/>
      </c>
      <c r="C3850" s="156"/>
      <c r="D3850" s="141" t="str">
        <f>IF(A3850="","",VLOOKUP(A3850,'6.A'!$A$11:$G$180,4,FALSE))</f>
        <v/>
      </c>
      <c r="E3850" s="160" t="str">
        <f>IF(A3850="","",VLOOKUP(A3850,'6.A'!$A$11:$G$180,5,FALSE))</f>
        <v/>
      </c>
      <c r="F3850" s="159" t="str">
        <f t="shared" si="1663"/>
        <v>0,00</v>
      </c>
      <c r="G3850" s="52"/>
      <c r="H3850" s="52" t="str">
        <f>IF(A3850="","",VLOOKUP(A3850,'6.A'!$A$11:$E$7984,5,FALSE))</f>
        <v/>
      </c>
      <c r="I3850" s="52" t="str">
        <f t="shared" si="1664"/>
        <v/>
      </c>
      <c r="J3850" s="52" t="str">
        <f>IF(H3850="","",VLOOKUP(A3850,'6.A'!$A$11:$E$564,4,FALSE))</f>
        <v/>
      </c>
      <c r="K3850" s="52" t="str">
        <f t="shared" si="1665"/>
        <v/>
      </c>
      <c r="L3850" s="52" t="str">
        <f>IF(H3850="","",IF(C3850="","",G3808*C3850))</f>
        <v/>
      </c>
      <c r="M3850" s="117" t="str">
        <f>IF(A3850="","",VLOOKUP(A3850,'6.A'!$A$11:$C$564,2,FALSE))</f>
        <v/>
      </c>
      <c r="N3850" s="57" t="str">
        <f t="shared" si="1666"/>
        <v/>
      </c>
      <c r="O3850" s="56"/>
      <c r="P3850" s="56"/>
      <c r="Q3850" s="48"/>
      <c r="R3850" s="48"/>
      <c r="S3850" s="65"/>
      <c r="T3850" s="2"/>
      <c r="U3850" s="2"/>
      <c r="V3850" s="2"/>
    </row>
    <row r="3851" spans="1:22" s="149" customFormat="1" ht="12.75" customHeight="1" x14ac:dyDescent="0.2">
      <c r="A3851" s="155"/>
      <c r="B3851" s="138" t="str">
        <f>IF(A3851="","",VLOOKUP(A3851,'6.A'!$A$11:$G$180,2,FALSE))</f>
        <v/>
      </c>
      <c r="C3851" s="156"/>
      <c r="D3851" s="141" t="str">
        <f>IF(A3851="","",VLOOKUP(A3851,'6.A'!$A$11:$G$180,4,FALSE))</f>
        <v/>
      </c>
      <c r="E3851" s="160" t="str">
        <f>IF(A3851="","",VLOOKUP(A3851,'6.A'!$A$11:$G$180,5,FALSE))</f>
        <v/>
      </c>
      <c r="F3851" s="159" t="str">
        <f t="shared" si="1663"/>
        <v>0,00</v>
      </c>
      <c r="G3851" s="52"/>
      <c r="H3851" s="52" t="str">
        <f>IF(A3851="","",VLOOKUP(A3851,'6.A'!$A$11:$E$7984,5,FALSE))</f>
        <v/>
      </c>
      <c r="I3851" s="52" t="str">
        <f t="shared" si="1664"/>
        <v/>
      </c>
      <c r="J3851" s="52" t="str">
        <f>IF(H3851="","",VLOOKUP(A3851,'6.A'!$A$11:$E$564,4,FALSE))</f>
        <v/>
      </c>
      <c r="K3851" s="52" t="str">
        <f t="shared" si="1665"/>
        <v/>
      </c>
      <c r="L3851" s="52" t="str">
        <f>IF(H3851="","",IF(C3851="","",G3808*C3851))</f>
        <v/>
      </c>
      <c r="M3851" s="117" t="str">
        <f>IF(A3851="","",VLOOKUP(A3851,'6.A'!$A$11:$C$564,2,FALSE))</f>
        <v/>
      </c>
      <c r="N3851" s="57" t="str">
        <f t="shared" si="1666"/>
        <v/>
      </c>
      <c r="O3851" s="56"/>
      <c r="P3851" s="56"/>
      <c r="Q3851" s="48"/>
      <c r="R3851" s="48"/>
      <c r="S3851" s="65"/>
      <c r="T3851" s="2"/>
      <c r="U3851" s="2"/>
      <c r="V3851" s="2"/>
    </row>
    <row r="3852" spans="1:22" s="149" customFormat="1" ht="12.75" customHeight="1" x14ac:dyDescent="0.2">
      <c r="A3852" s="155"/>
      <c r="B3852" s="138" t="str">
        <f>IF(A3852="","",VLOOKUP(A3852,'6.A'!$A$11:$G$180,2,FALSE))</f>
        <v/>
      </c>
      <c r="C3852" s="156"/>
      <c r="D3852" s="141" t="str">
        <f>IF(A3852="","",VLOOKUP(A3852,'6.A'!$A$11:$G$180,4,FALSE))</f>
        <v/>
      </c>
      <c r="E3852" s="160" t="str">
        <f>IF(A3852="","",VLOOKUP(A3852,'6.A'!$A$11:$G$180,5,FALSE))</f>
        <v/>
      </c>
      <c r="F3852" s="159" t="str">
        <f t="shared" si="1663"/>
        <v>0,00</v>
      </c>
      <c r="G3852" s="52"/>
      <c r="H3852" s="52" t="str">
        <f>IF(A3852="","",VLOOKUP(A3852,'6.A'!$A$11:$E$7984,5,FALSE))</f>
        <v/>
      </c>
      <c r="I3852" s="52" t="str">
        <f t="shared" si="1664"/>
        <v/>
      </c>
      <c r="J3852" s="52" t="str">
        <f>IF(H3852="","",VLOOKUP(A3852,'6.A'!$A$11:$E$564,4,FALSE))</f>
        <v/>
      </c>
      <c r="K3852" s="52" t="str">
        <f t="shared" si="1665"/>
        <v/>
      </c>
      <c r="L3852" s="52" t="str">
        <f>IF(H3852="","",IF(C3852="","",G3808*C3852))</f>
        <v/>
      </c>
      <c r="M3852" s="117" t="str">
        <f>IF(A3852="","",VLOOKUP(A3852,'6.A'!$A$11:$C$564,2,FALSE))</f>
        <v/>
      </c>
      <c r="N3852" s="57" t="str">
        <f t="shared" si="1666"/>
        <v/>
      </c>
      <c r="O3852" s="56"/>
      <c r="P3852" s="56"/>
      <c r="Q3852" s="48"/>
      <c r="R3852" s="48"/>
      <c r="S3852" s="65"/>
      <c r="T3852" s="2"/>
      <c r="U3852" s="2"/>
      <c r="V3852" s="2"/>
    </row>
    <row r="3853" spans="1:22" s="137" customFormat="1" ht="12.75" customHeight="1" x14ac:dyDescent="0.2">
      <c r="A3853" s="155"/>
      <c r="B3853" s="171" t="str">
        <f>IF(A3853="","",VLOOKUP(A3853,'6.A'!$A$11:$G$180,2,FALSE))</f>
        <v/>
      </c>
      <c r="C3853" s="156"/>
      <c r="D3853" s="141" t="str">
        <f>IF(A3853="","",VLOOKUP(A3853,'6.A'!$A$11:$G$180,4,FALSE))</f>
        <v/>
      </c>
      <c r="E3853" s="160" t="str">
        <f>IF(A3853="","",VLOOKUP(A3853,'6.A'!$A$11:$G$180,5,FALSE))</f>
        <v/>
      </c>
      <c r="F3853" s="159" t="str">
        <f t="shared" si="1663"/>
        <v>0,00</v>
      </c>
      <c r="G3853" s="52"/>
      <c r="H3853" s="52" t="str">
        <f>IF(A3853="","",VLOOKUP(A3853,'6.A'!$A$11:$E$7984,5,FALSE))</f>
        <v/>
      </c>
      <c r="I3853" s="52" t="str">
        <f t="shared" si="1664"/>
        <v/>
      </c>
      <c r="J3853" s="52" t="str">
        <f>IF(H3853="","",VLOOKUP(A3853,'6.A'!$A$11:$E$564,4,FALSE))</f>
        <v/>
      </c>
      <c r="K3853" s="52" t="str">
        <f t="shared" si="1665"/>
        <v/>
      </c>
      <c r="L3853" s="52" t="str">
        <f>IF(H3853="","",IF(C3853="","",G3808*C3853))</f>
        <v/>
      </c>
      <c r="M3853" s="117" t="str">
        <f>IF(A3853="","",VLOOKUP(A3853,'6.A'!$A$11:$C$564,2,FALSE))</f>
        <v/>
      </c>
      <c r="N3853" s="57" t="str">
        <f t="shared" si="1666"/>
        <v/>
      </c>
      <c r="O3853" s="56"/>
      <c r="P3853" s="56"/>
      <c r="Q3853" s="48"/>
      <c r="R3853" s="48"/>
      <c r="S3853" s="65"/>
      <c r="T3853" s="2"/>
      <c r="U3853" s="2"/>
      <c r="V3853" s="2"/>
    </row>
    <row r="3854" spans="1:22" s="137" customFormat="1" ht="12.75" customHeight="1" x14ac:dyDescent="0.2">
      <c r="A3854" s="155"/>
      <c r="B3854" s="171" t="str">
        <f>IF(A3854="","",VLOOKUP(A3854,'6.A'!$A$11:$G$180,2,FALSE))</f>
        <v/>
      </c>
      <c r="C3854" s="156"/>
      <c r="D3854" s="141" t="str">
        <f>IF(A3854="","",VLOOKUP(A3854,'6.A'!$A$11:$G$180,4,FALSE))</f>
        <v/>
      </c>
      <c r="E3854" s="160" t="str">
        <f>IF(A3854="","",VLOOKUP(A3854,'6.A'!$A$11:$G$180,5,FALSE))</f>
        <v/>
      </c>
      <c r="F3854" s="159" t="str">
        <f t="shared" si="1663"/>
        <v>0,00</v>
      </c>
      <c r="G3854" s="52"/>
      <c r="H3854" s="52" t="str">
        <f>IF(A3854="","",VLOOKUP(A3854,'6.A'!$A$11:$E$7984,5,FALSE))</f>
        <v/>
      </c>
      <c r="I3854" s="52" t="str">
        <f t="shared" si="1664"/>
        <v/>
      </c>
      <c r="J3854" s="52" t="str">
        <f>IF(H3854="","",VLOOKUP(A3854,'6.A'!$A$11:$E$564,4,FALSE))</f>
        <v/>
      </c>
      <c r="K3854" s="52" t="str">
        <f t="shared" si="1665"/>
        <v/>
      </c>
      <c r="L3854" s="52" t="str">
        <f>IF(H3854="","",IF(C3854="","",G3808*C3854))</f>
        <v/>
      </c>
      <c r="M3854" s="117" t="str">
        <f>IF(A3854="","",VLOOKUP(A3854,'6.A'!$A$11:$C$564,2,FALSE))</f>
        <v/>
      </c>
      <c r="N3854" s="57" t="str">
        <f t="shared" si="1666"/>
        <v/>
      </c>
      <c r="O3854" s="56"/>
      <c r="P3854" s="56"/>
      <c r="Q3854" s="48"/>
      <c r="R3854" s="48"/>
      <c r="S3854" s="65"/>
      <c r="T3854" s="2"/>
      <c r="U3854" s="2"/>
      <c r="V3854" s="2"/>
    </row>
    <row r="3855" spans="1:22" s="137" customFormat="1" ht="12.75" customHeight="1" x14ac:dyDescent="0.2">
      <c r="A3855" s="155"/>
      <c r="B3855" s="171" t="str">
        <f>IF(A3855="","",VLOOKUP(A3855,'6.A'!$A$11:$G$180,2,FALSE))</f>
        <v/>
      </c>
      <c r="C3855" s="156"/>
      <c r="D3855" s="141" t="str">
        <f>IF(A3855="","",VLOOKUP(A3855,'6.A'!$A$11:$G$180,4,FALSE))</f>
        <v/>
      </c>
      <c r="E3855" s="160" t="str">
        <f>IF(A3855="","",VLOOKUP(A3855,'6.A'!$A$11:$G$180,5,FALSE))</f>
        <v/>
      </c>
      <c r="F3855" s="159" t="str">
        <f t="shared" si="1663"/>
        <v>0,00</v>
      </c>
      <c r="G3855" s="52"/>
      <c r="H3855" s="52" t="str">
        <f>IF(A3855="","",VLOOKUP(A3855,'6.A'!$A$11:$E$7984,5,FALSE))</f>
        <v/>
      </c>
      <c r="I3855" s="52" t="str">
        <f t="shared" si="1664"/>
        <v/>
      </c>
      <c r="J3855" s="52" t="str">
        <f>IF(H3855="","",VLOOKUP(A3855,'6.A'!$A$11:$E$564,4,FALSE))</f>
        <v/>
      </c>
      <c r="K3855" s="52" t="str">
        <f t="shared" si="1665"/>
        <v/>
      </c>
      <c r="L3855" s="52" t="str">
        <f>IF(H3855="","",IF(C3855="","",G3808*C3855))</f>
        <v/>
      </c>
      <c r="M3855" s="117" t="str">
        <f>IF(A3855="","",VLOOKUP(A3855,'6.A'!$A$11:$C$564,2,FALSE))</f>
        <v/>
      </c>
      <c r="N3855" s="57" t="str">
        <f t="shared" si="1666"/>
        <v/>
      </c>
      <c r="O3855" s="56"/>
      <c r="P3855" s="56"/>
      <c r="Q3855" s="48"/>
      <c r="R3855" s="48"/>
      <c r="S3855" s="65"/>
      <c r="T3855" s="2"/>
      <c r="U3855" s="2"/>
      <c r="V3855" s="2"/>
    </row>
    <row r="3856" spans="1:22" s="137" customFormat="1" ht="12.75" customHeight="1" x14ac:dyDescent="0.2">
      <c r="A3856" s="155"/>
      <c r="B3856" s="171" t="str">
        <f>IF(A3856="","",VLOOKUP(A3856,'6.A'!$A$11:$G$180,2,FALSE))</f>
        <v/>
      </c>
      <c r="C3856" s="156"/>
      <c r="D3856" s="141" t="str">
        <f>IF(A3856="","",VLOOKUP(A3856,'6.A'!$A$11:$G$180,4,FALSE))</f>
        <v/>
      </c>
      <c r="E3856" s="160" t="str">
        <f>IF(A3856="","",VLOOKUP(A3856,'6.A'!$A$11:$G$180,5,FALSE))</f>
        <v/>
      </c>
      <c r="F3856" s="159" t="str">
        <f t="shared" si="1663"/>
        <v>0,00</v>
      </c>
      <c r="G3856" s="52"/>
      <c r="H3856" s="52" t="str">
        <f>IF(A3856="","",VLOOKUP(A3856,'6.A'!$A$11:$E$7984,5,FALSE))</f>
        <v/>
      </c>
      <c r="I3856" s="52" t="str">
        <f t="shared" si="1664"/>
        <v/>
      </c>
      <c r="J3856" s="52" t="str">
        <f>IF(H3856="","",VLOOKUP(A3856,'6.A'!$A$11:$E$564,4,FALSE))</f>
        <v/>
      </c>
      <c r="K3856" s="52" t="str">
        <f t="shared" si="1665"/>
        <v/>
      </c>
      <c r="L3856" s="52" t="str">
        <f>IF(H3856="","",IF(C3856="","",G3808*C3856))</f>
        <v/>
      </c>
      <c r="M3856" s="117" t="str">
        <f>IF(A3856="","",VLOOKUP(A3856,'6.A'!$A$11:$C$564,2,FALSE))</f>
        <v/>
      </c>
      <c r="N3856" s="57" t="str">
        <f t="shared" si="1666"/>
        <v/>
      </c>
      <c r="O3856" s="56"/>
      <c r="P3856" s="56"/>
      <c r="Q3856" s="48"/>
      <c r="R3856" s="48"/>
      <c r="S3856" s="65"/>
      <c r="T3856" s="2"/>
      <c r="U3856" s="2"/>
      <c r="V3856" s="2"/>
    </row>
    <row r="3857" spans="1:22" s="137" customFormat="1" ht="12.75" customHeight="1" x14ac:dyDescent="0.2">
      <c r="A3857" s="155"/>
      <c r="B3857" s="26" t="str">
        <f>$A$9</f>
        <v>BDI</v>
      </c>
      <c r="C3857" s="40">
        <f>$C$9</f>
        <v>0</v>
      </c>
      <c r="D3857" s="141"/>
      <c r="E3857" s="147"/>
      <c r="F3857" s="162">
        <f>ROUND(SUM(F3837:F3856)*C3857,2)</f>
        <v>0</v>
      </c>
      <c r="G3857" s="63"/>
      <c r="H3857" s="52"/>
      <c r="I3857" s="57"/>
      <c r="J3857" s="57"/>
      <c r="K3857" s="57"/>
      <c r="L3857" s="52"/>
      <c r="M3857" s="57"/>
      <c r="N3857" s="57"/>
      <c r="O3857" s="56"/>
      <c r="P3857" s="56"/>
      <c r="Q3857" s="48"/>
      <c r="R3857" s="48"/>
      <c r="S3857" s="65"/>
      <c r="T3857" s="2"/>
      <c r="U3857" s="2"/>
      <c r="V3857" s="2"/>
    </row>
    <row r="3858" spans="1:22" s="137" customFormat="1" ht="12.75" customHeight="1" thickBot="1" x14ac:dyDescent="0.25">
      <c r="A3858" s="172"/>
      <c r="B3858" s="42" t="s">
        <v>57</v>
      </c>
      <c r="C3858" s="43"/>
      <c r="D3858" s="173"/>
      <c r="E3858" s="174"/>
      <c r="F3858" s="175">
        <f>ROUND(SUM(F3837:F3857),2)</f>
        <v>0</v>
      </c>
      <c r="G3858" s="63"/>
      <c r="H3858" s="52"/>
      <c r="I3858" s="57"/>
      <c r="J3858" s="57"/>
      <c r="K3858" s="57"/>
      <c r="L3858" s="52"/>
      <c r="M3858" s="57"/>
      <c r="N3858" s="57"/>
      <c r="O3858" s="56"/>
      <c r="P3858" s="56"/>
      <c r="Q3858" s="48"/>
      <c r="R3858" s="48"/>
      <c r="S3858" s="65"/>
      <c r="T3858" s="2"/>
      <c r="U3858" s="2"/>
      <c r="V3858" s="2"/>
    </row>
    <row r="3859" spans="1:22" s="149" customFormat="1" ht="12" customHeight="1" thickBot="1" x14ac:dyDescent="0.25">
      <c r="A3859" s="150"/>
      <c r="B3859" s="145"/>
      <c r="C3859" s="146"/>
      <c r="D3859" s="141"/>
      <c r="E3859" s="147"/>
      <c r="F3859" s="142"/>
      <c r="G3859" s="142"/>
      <c r="H3859" s="139"/>
      <c r="I3859" s="141"/>
      <c r="J3859" s="141"/>
      <c r="K3859" s="141"/>
      <c r="L3859" s="139"/>
      <c r="M3859" s="143"/>
      <c r="N3859" s="143"/>
      <c r="O3859" s="144"/>
      <c r="P3859" s="144"/>
      <c r="Q3859" s="135"/>
      <c r="R3859" s="135"/>
      <c r="T3859" s="137"/>
      <c r="U3859" s="137"/>
      <c r="V3859" s="137"/>
    </row>
    <row r="3860" spans="1:22" s="137" customFormat="1" ht="50.1" customHeight="1" x14ac:dyDescent="0.2">
      <c r="A3860" s="151" t="str">
        <f>'3.A'!$A$81</f>
        <v>3.5.4</v>
      </c>
      <c r="B3860" s="14" t="str">
        <f>IF(A3860="","",VLOOKUP(A3860,'3.A'!$A$17:$M$279,2,FALSE))</f>
        <v>LAJE PRÉ-MOLDADA UNIDIRECIONAL, BIAPOIADA, PARA FORRO, ENCHIMENTO EM CERÂMICA, VIGOTA CONVENCIONAL, ALTURA TOTAL DA LAJE (ENCHIMENTO+CAPA) = (8+3)</v>
      </c>
      <c r="C3860" s="413" t="s">
        <v>62</v>
      </c>
      <c r="D3860" s="413"/>
      <c r="E3860" s="15" t="str">
        <f>IF(A3860="","",VLOOKUP(A3860,'3.A'!$A$17:$M$279,3,FALSE))</f>
        <v>M2</v>
      </c>
      <c r="F3860" s="16">
        <f>ROUND(F3874+F3887+F3910,2)</f>
        <v>0</v>
      </c>
      <c r="G3860" s="118">
        <f>VLOOKUP(A3860,'3.A'!$A$19:$I$279,4,FALSE)</f>
        <v>3</v>
      </c>
      <c r="H3860" s="47">
        <f>SUM(F3862:F3873)</f>
        <v>0</v>
      </c>
      <c r="I3860" s="47">
        <f>SUM(F3876:F3886)</f>
        <v>0</v>
      </c>
      <c r="J3860" s="47">
        <f>SUM(F3889:F3909)</f>
        <v>0</v>
      </c>
      <c r="K3860" s="47">
        <f>SUM(H3860:J3860)</f>
        <v>0</v>
      </c>
      <c r="L3860" s="47" t="str">
        <f>IF(K3860=F3860,"SIM","NÃO")</f>
        <v>SIM</v>
      </c>
      <c r="M3860" s="58">
        <f>ROUND(SUM(F3862:F3871)*C3872,2)+ROUND(SUM(F3862:F3872)*C3873,2)+ROUND(SUM(F3862:F3871),2)+ROUND(SUM(F3876:F3885)*C3886,2)+ROUND(SUM(F3876:F3885),2)+ROUND(SUM(F3889:F3908)*C3909,2)+ROUND(SUM(F3889:F3908),2)</f>
        <v>0</v>
      </c>
      <c r="N3860" s="50" t="str">
        <f>IF(M3860=F3860,"SIM","NÃO")</f>
        <v>SIM</v>
      </c>
      <c r="O3860" s="51" t="str">
        <f>VLOOKUP(A3860,'3.A'!$A$8:$E$279,3,FALSE)</f>
        <v>M2</v>
      </c>
      <c r="P3860" s="51" t="str">
        <f>IF(O3860=E3860,"SIM","NÃO")</f>
        <v>SIM</v>
      </c>
      <c r="Q3860" s="53">
        <f>ROUND(G3860*F3874,2)+ROUND(G3860*F3887,2)+ROUND(G3860*F3910,2)</f>
        <v>0</v>
      </c>
      <c r="R3860" s="59">
        <f>VLOOKUP(A3860,'3.A'!$A$17:$L$279,12,FALSE)</f>
        <v>0</v>
      </c>
      <c r="S3860" s="60" t="str">
        <f>IF(Q3860=R3860,"si","no")</f>
        <v>si</v>
      </c>
      <c r="T3860" s="61">
        <f>SUM(L3862:L3871)+SUM(L3876:L3885)+SUM(L3889:L3908)</f>
        <v>26.969912099999995</v>
      </c>
      <c r="U3860" s="52">
        <f>G3860*C3868+G3860*C3870+G3860*C3863+G3860*C3864+G3860*C3866+G3860*C3869+G3860*C3867+G3860*C3862+G3860*C3865+G3860*C3871+G3860*C3882+G3860*C3876+G3860*C3884+G3860*C3883+G3860*C3881+G3860*C3878+G3860*C3877+G3860*C3879+G3860*C3885+G3860*C3880+G3860*C3889+G3860*C3890+G3860*C3891+G3860*C3899+G3860*C3900+G3860*C3901+G3860*C3902+G3860*C3903+G3860*C3904+G3860*C3905+G3860*C3906+G3860*C3907+G3860*C3908+G3860*C3897+G3860*C3898+G3860*C3892+G3860*C3893+G3860*C3894+G3860*C3895+G3860*C3896</f>
        <v>26.969912099999995</v>
      </c>
      <c r="V3860" s="54" t="str">
        <f>IF(T3860=U3860,"si","no")</f>
        <v>si</v>
      </c>
    </row>
    <row r="3861" spans="1:22" s="137" customFormat="1" ht="12.75" customHeight="1" x14ac:dyDescent="0.2">
      <c r="A3861" s="152" t="s">
        <v>3</v>
      </c>
      <c r="B3861" s="153" t="s">
        <v>58</v>
      </c>
      <c r="C3861" s="140" t="s">
        <v>59</v>
      </c>
      <c r="D3861" s="140" t="s">
        <v>16</v>
      </c>
      <c r="E3861" s="154" t="s">
        <v>60</v>
      </c>
      <c r="F3861" s="148" t="s">
        <v>61</v>
      </c>
      <c r="G3861" s="21"/>
      <c r="H3861" s="52"/>
      <c r="I3861" s="57"/>
      <c r="J3861" s="57"/>
      <c r="K3861" s="57"/>
      <c r="L3861" s="52"/>
      <c r="M3861" s="57"/>
      <c r="N3861" s="57"/>
      <c r="O3861" s="56"/>
      <c r="P3861" s="56"/>
      <c r="Q3861" s="48"/>
      <c r="R3861" s="48"/>
      <c r="S3861" s="65"/>
      <c r="T3861" s="2"/>
      <c r="U3861" s="2"/>
      <c r="V3861" s="2"/>
    </row>
    <row r="3862" spans="1:22" s="137" customFormat="1" ht="12.75" customHeight="1" x14ac:dyDescent="0.2">
      <c r="A3862" s="155">
        <f>'6.A'!$A$17</f>
        <v>88262</v>
      </c>
      <c r="B3862" s="138" t="str">
        <f>IF(A3862="","",VLOOKUP(A3862,'6.A'!$A$11:$G$180,2,FALSE))</f>
        <v>CARPINTEIRO DE FORMAS COM ENCARGOS COMPLEMENTARES</v>
      </c>
      <c r="C3862" s="156">
        <f>0.52+(1.16*0.091)+(0.054*0.186)</f>
        <v>0.63560400000000006</v>
      </c>
      <c r="D3862" s="57" t="str">
        <f>IF(A3862="","",VLOOKUP(A3862,'6.A'!$A$11:$G$180,4,FALSE))</f>
        <v>H</v>
      </c>
      <c r="E3862" s="100">
        <f>IF(A3862="","",VLOOKUP(A3862,'6.A'!$A$11:$G$180,5,FALSE))</f>
        <v>0</v>
      </c>
      <c r="F3862" s="159">
        <f t="shared" ref="F3862:F3871" si="1667">IF(A3862="","0,00",ROUND(C3862*E3862,2))</f>
        <v>0</v>
      </c>
      <c r="G3862" s="52"/>
      <c r="H3862" s="52">
        <f>IF(A3862="","",VLOOKUP(A3862,'6.A'!$A$11:$E$7984,5,FALSE))</f>
        <v>0</v>
      </c>
      <c r="I3862" s="52" t="str">
        <f>IF(H3862="","",IF(E3862=H3862,"SIM","NÃO"))</f>
        <v>SIM</v>
      </c>
      <c r="J3862" s="52" t="str">
        <f>IF(H3862="","",VLOOKUP(A3862,'6.A'!$A$11:$E$564,4,FALSE))</f>
        <v>H</v>
      </c>
      <c r="K3862" s="52" t="str">
        <f>IF(H3862="","",IF(J3862=D3862,"SIM","NÃO"))</f>
        <v>SIM</v>
      </c>
      <c r="L3862" s="52">
        <f>IF(H3862="","",IF(C3862="","",G3860*C3862))</f>
        <v>1.9068120000000002</v>
      </c>
      <c r="M3862" s="117" t="str">
        <f>IF(A3862="","",VLOOKUP(A3862,'6.A'!$A$11:$C$564,2,FALSE))</f>
        <v>CARPINTEIRO DE FORMAS COM ENCARGOS COMPLEMENTARES</v>
      </c>
      <c r="N3862" s="57" t="str">
        <f>IF(A3862="","",IF(M3862=B3862,"si","no"))</f>
        <v>si</v>
      </c>
      <c r="O3862" s="56"/>
      <c r="P3862" s="56"/>
      <c r="Q3862" s="48"/>
      <c r="R3862" s="48"/>
      <c r="S3862" s="65"/>
      <c r="T3862" s="2"/>
      <c r="U3862" s="2"/>
      <c r="V3862" s="2"/>
    </row>
    <row r="3863" spans="1:22" s="137" customFormat="1" ht="12.75" customHeight="1" x14ac:dyDescent="0.2">
      <c r="A3863" s="155">
        <f>'6.A'!$A$22</f>
        <v>88316</v>
      </c>
      <c r="B3863" s="138" t="str">
        <f>IF(A3863="","",VLOOKUP(A3863,'6.A'!$A$11:$G$180,2,FALSE))</f>
        <v>SERVENTE COM ENCARGOS COMPLEMENTARES</v>
      </c>
      <c r="C3863" s="156">
        <f>0.39+(0.054*1.192)</f>
        <v>0.45436799999999999</v>
      </c>
      <c r="D3863" s="57" t="str">
        <f>IF(A3863="","",VLOOKUP(A3863,'6.A'!$A$11:$G$180,4,FALSE))</f>
        <v>H</v>
      </c>
      <c r="E3863" s="100">
        <f>IF(A3863="","",VLOOKUP(A3863,'6.A'!$A$11:$G$180,5,FALSE))</f>
        <v>0</v>
      </c>
      <c r="F3863" s="159">
        <f t="shared" si="1667"/>
        <v>0</v>
      </c>
      <c r="G3863" s="52"/>
      <c r="H3863" s="52">
        <f>IF(A3863="","",VLOOKUP(A3863,'6.A'!$A$11:$E$7984,5,FALSE))</f>
        <v>0</v>
      </c>
      <c r="I3863" s="52" t="str">
        <f>IF(H3863="","",IF(E3863=H3863,"SIM","NÃO"))</f>
        <v>SIM</v>
      </c>
      <c r="J3863" s="52" t="str">
        <f>IF(H3863="","",VLOOKUP(A3863,'6.A'!$A$11:$E$564,4,FALSE))</f>
        <v>H</v>
      </c>
      <c r="K3863" s="52" t="str">
        <f>IF(H3863="","",IF(J3863=D3863,"SIM","NÃO"))</f>
        <v>SIM</v>
      </c>
      <c r="L3863" s="52">
        <f>IF(H3863="","",IF(C3863="","",G3860*C3863))</f>
        <v>1.3631039999999999</v>
      </c>
      <c r="M3863" s="117" t="str">
        <f>IF(A3863="","",VLOOKUP(A3863,'6.A'!$A$11:$C$564,2,FALSE))</f>
        <v>SERVENTE COM ENCARGOS COMPLEMENTARES</v>
      </c>
      <c r="N3863" s="57" t="str">
        <f>IF(A3863="","",IF(M3863=B3863,"si","no"))</f>
        <v>si</v>
      </c>
      <c r="O3863" s="56"/>
      <c r="P3863" s="56"/>
      <c r="Q3863" s="48"/>
      <c r="R3863" s="48"/>
      <c r="S3863" s="65"/>
      <c r="T3863" s="2"/>
      <c r="U3863" s="2"/>
      <c r="V3863" s="2"/>
    </row>
    <row r="3864" spans="1:22" s="137" customFormat="1" ht="12.75" customHeight="1" x14ac:dyDescent="0.2">
      <c r="A3864" s="155">
        <f>'6.A'!$A$13</f>
        <v>88239</v>
      </c>
      <c r="B3864" s="138" t="str">
        <f>IF(A3864="","",VLOOKUP(A3864,'6.A'!$A$11:$G$180,2,FALSE))</f>
        <v>AJUDANTE DE CARPINTEIRO COM ENCARGOS COMPLEMENTARES</v>
      </c>
      <c r="C3864" s="156">
        <f>(1.16*0.021)</f>
        <v>2.436E-2</v>
      </c>
      <c r="D3864" s="57" t="str">
        <f>IF(A3864="","",VLOOKUP(A3864,'6.A'!$A$11:$G$180,4,FALSE))</f>
        <v>H</v>
      </c>
      <c r="E3864" s="100">
        <f>IF(A3864="","",VLOOKUP(A3864,'6.A'!$A$11:$G$180,5,FALSE))</f>
        <v>0</v>
      </c>
      <c r="F3864" s="159">
        <f t="shared" si="1667"/>
        <v>0</v>
      </c>
      <c r="G3864" s="52"/>
      <c r="H3864" s="52">
        <f>IF(A3864="","",VLOOKUP(A3864,'6.A'!$A$11:$E$7984,5,FALSE))</f>
        <v>0</v>
      </c>
      <c r="I3864" s="52" t="str">
        <f>IF(H3864="","",IF(E3864=H3864,"SIM","NÃO"))</f>
        <v>SIM</v>
      </c>
      <c r="J3864" s="52" t="str">
        <f>IF(H3864="","",VLOOKUP(A3864,'6.A'!$A$11:$E$564,4,FALSE))</f>
        <v>H</v>
      </c>
      <c r="K3864" s="52" t="str">
        <f t="shared" ref="K3864" si="1668">IF(H3864="","",IF(J3864=D3864,"SIM","NÃO"))</f>
        <v>SIM</v>
      </c>
      <c r="L3864" s="52">
        <f>IF(H3864="","",IF(C3864="","",G3860*C3864))</f>
        <v>7.3080000000000006E-2</v>
      </c>
      <c r="M3864" s="117" t="str">
        <f>IF(A3864="","",VLOOKUP(A3864,'6.A'!$A$11:$C$564,2,FALSE))</f>
        <v>AJUDANTE DE CARPINTEIRO COM ENCARGOS COMPLEMENTARES</v>
      </c>
      <c r="N3864" s="57" t="str">
        <f t="shared" ref="N3864" si="1669">IF(A3864="","",IF(M3864=B3864,"si","no"))</f>
        <v>si</v>
      </c>
      <c r="O3864" s="56"/>
      <c r="P3864" s="56"/>
      <c r="Q3864" s="48"/>
      <c r="R3864" s="48"/>
      <c r="S3864" s="65"/>
      <c r="T3864" s="2"/>
      <c r="U3864" s="2"/>
      <c r="V3864" s="2"/>
    </row>
    <row r="3865" spans="1:22" s="137" customFormat="1" ht="12.75" customHeight="1" x14ac:dyDescent="0.2">
      <c r="A3865" s="155">
        <f>'6.A'!$A$12</f>
        <v>88238</v>
      </c>
      <c r="B3865" s="138" t="str">
        <f>IF(A3865="","",VLOOKUP(A3865,'6.A'!$A$11:$G$180,2,FALSE))</f>
        <v xml:space="preserve">AJUDANTE DE ARMADOR COM ENCARGOS COMPLEMENTARES </v>
      </c>
      <c r="C3865" s="156">
        <f>(0.991*0.0172)</f>
        <v>1.70452E-2</v>
      </c>
      <c r="D3865" s="57" t="str">
        <f>IF(A3865="","",VLOOKUP(A3865,'6.A'!$A$11:$G$180,4,FALSE))</f>
        <v>H</v>
      </c>
      <c r="E3865" s="100">
        <f>IF(A3865="","",VLOOKUP(A3865,'6.A'!$A$11:$G$180,5,FALSE))</f>
        <v>0</v>
      </c>
      <c r="F3865" s="159">
        <f t="shared" si="1667"/>
        <v>0</v>
      </c>
      <c r="G3865" s="52"/>
      <c r="H3865" s="52">
        <f>IF(A3865="","",VLOOKUP(A3865,'6.A'!$A$11:$E$7984,5,FALSE))</f>
        <v>0</v>
      </c>
      <c r="I3865" s="52" t="str">
        <f>IF(H3865="","",IF(E3865=H3865,"SIM","NÃO"))</f>
        <v>SIM</v>
      </c>
      <c r="J3865" s="52" t="str">
        <f>IF(H3865="","",VLOOKUP(A3865,'6.A'!$A$11:$E$564,4,FALSE))</f>
        <v>H</v>
      </c>
      <c r="K3865" s="52" t="str">
        <f>IF(H3865="","",IF(J3865=D3865,"SIM","NÃO"))</f>
        <v>SIM</v>
      </c>
      <c r="L3865" s="52">
        <f>IF(H3865="","",IF(C3865="","",G3860*C3865))</f>
        <v>5.1135600000000003E-2</v>
      </c>
      <c r="M3865" s="117" t="str">
        <f>IF(A3865="","",VLOOKUP(A3865,'6.A'!$A$11:$C$564,2,FALSE))</f>
        <v xml:space="preserve">AJUDANTE DE ARMADOR COM ENCARGOS COMPLEMENTARES </v>
      </c>
      <c r="N3865" s="57" t="str">
        <f>IF(A3865="","",IF(M3865=B3865,"si","no"))</f>
        <v>si</v>
      </c>
      <c r="O3865" s="56"/>
      <c r="P3865" s="56"/>
      <c r="Q3865" s="48"/>
      <c r="R3865" s="48"/>
      <c r="S3865" s="65"/>
      <c r="T3865" s="2"/>
      <c r="U3865" s="2"/>
      <c r="V3865" s="2"/>
    </row>
    <row r="3866" spans="1:22" s="137" customFormat="1" ht="12.75" customHeight="1" x14ac:dyDescent="0.2">
      <c r="A3866" s="155">
        <f>'6.A'!$A$14</f>
        <v>88245</v>
      </c>
      <c r="B3866" s="138" t="str">
        <f>IF(A3866="","",VLOOKUP(A3866,'6.A'!$A$11:$G$180,2,FALSE))</f>
        <v>ARMADOR COM ENCARGOS COMPLEMENTARES</v>
      </c>
      <c r="C3866" s="156">
        <f>(0.991*0.1055)</f>
        <v>0.10455049999999999</v>
      </c>
      <c r="D3866" s="57" t="str">
        <f>IF(A3866="","",VLOOKUP(A3866,'6.A'!$A$11:$G$180,4,FALSE))</f>
        <v>H</v>
      </c>
      <c r="E3866" s="100">
        <f>IF(A3866="","",VLOOKUP(A3866,'6.A'!$A$11:$G$180,5,FALSE))</f>
        <v>0</v>
      </c>
      <c r="F3866" s="159">
        <f t="shared" si="1667"/>
        <v>0</v>
      </c>
      <c r="G3866" s="52"/>
      <c r="H3866" s="52">
        <f>IF(A3866="","",VLOOKUP(A3866,'6.A'!$A$11:$E$7984,5,FALSE))</f>
        <v>0</v>
      </c>
      <c r="I3866" s="52" t="str">
        <f t="shared" ref="I3866" si="1670">IF(H3866="","",IF(E3866=H3866,"SIM","NÃO"))</f>
        <v>SIM</v>
      </c>
      <c r="J3866" s="52" t="str">
        <f>IF(H3866="","",VLOOKUP(A3866,'6.A'!$A$11:$E$564,4,FALSE))</f>
        <v>H</v>
      </c>
      <c r="K3866" s="52" t="str">
        <f t="shared" ref="K3866" si="1671">IF(H3866="","",IF(J3866=D3866,"SIM","NÃO"))</f>
        <v>SIM</v>
      </c>
      <c r="L3866" s="52">
        <f>IF(H3866="","",IF(C3866="","",G3860*C3866))</f>
        <v>0.31365149999999997</v>
      </c>
      <c r="M3866" s="117" t="str">
        <f>IF(A3866="","",VLOOKUP(A3866,'6.A'!$A$11:$C$564,2,FALSE))</f>
        <v>ARMADOR COM ENCARGOS COMPLEMENTARES</v>
      </c>
      <c r="N3866" s="57" t="str">
        <f t="shared" ref="N3866" si="1672">IF(A3866="","",IF(M3866=B3866,"si","no"))</f>
        <v>si</v>
      </c>
      <c r="O3866" s="56"/>
      <c r="P3866" s="56"/>
      <c r="Q3866" s="48"/>
      <c r="R3866" s="48"/>
      <c r="S3866" s="65"/>
      <c r="T3866" s="2"/>
      <c r="U3866" s="2"/>
      <c r="V3866" s="2"/>
    </row>
    <row r="3867" spans="1:22" s="137" customFormat="1" ht="12.75" customHeight="1" x14ac:dyDescent="0.2">
      <c r="A3867" s="155">
        <f>'6.A'!$A$20</f>
        <v>88309</v>
      </c>
      <c r="B3867" s="138" t="str">
        <f>IF(A3867="","",VLOOKUP(A3867,'6.A'!$A$11:$G$180,2,FALSE))</f>
        <v>PEDREIRO COM ENCARGOS COMPLEMENTARES</v>
      </c>
      <c r="C3867" s="156">
        <f>(0.054*1.119)</f>
        <v>6.0426000000000001E-2</v>
      </c>
      <c r="D3867" s="57" t="str">
        <f>IF(A3867="","",VLOOKUP(A3867,'6.A'!$A$11:$G$180,4,FALSE))</f>
        <v>H</v>
      </c>
      <c r="E3867" s="101">
        <f>IF(A3867="","",VLOOKUP(A3867,'6.A'!$A$11:$G$180,5,FALSE))</f>
        <v>0</v>
      </c>
      <c r="F3867" s="159">
        <f t="shared" si="1667"/>
        <v>0</v>
      </c>
      <c r="G3867" s="52"/>
      <c r="H3867" s="52">
        <f>IF(A3867="","",VLOOKUP(A3867,'6.A'!$A$11:$E$7984,5,FALSE))</f>
        <v>0</v>
      </c>
      <c r="I3867" s="52" t="str">
        <f>IF(H3867="","",IF(E3867=H3867,"SIM","NÃO"))</f>
        <v>SIM</v>
      </c>
      <c r="J3867" s="52" t="str">
        <f>IF(H3867="","",VLOOKUP(A3867,'6.A'!$A$11:$E$564,4,FALSE))</f>
        <v>H</v>
      </c>
      <c r="K3867" s="52" t="str">
        <f>IF(H3867="","",IF(J3867=D3867,"SIM","NÃO"))</f>
        <v>SIM</v>
      </c>
      <c r="L3867" s="52">
        <f>IF(H3867="","",IF(C3867="","",G3860*C3867))</f>
        <v>0.18127799999999999</v>
      </c>
      <c r="M3867" s="117" t="str">
        <f>IF(A3867="","",VLOOKUP(A3867,'6.A'!$A$11:$C$564,2,FALSE))</f>
        <v>PEDREIRO COM ENCARGOS COMPLEMENTARES</v>
      </c>
      <c r="N3867" s="57" t="str">
        <f>IF(A3867="","",IF(M3867=B3867,"si","no"))</f>
        <v>si</v>
      </c>
      <c r="O3867" s="56"/>
      <c r="P3867" s="56"/>
      <c r="Q3867" s="48"/>
      <c r="R3867" s="48"/>
      <c r="S3867" s="65"/>
      <c r="T3867" s="2"/>
      <c r="U3867" s="2"/>
      <c r="V3867" s="2"/>
    </row>
    <row r="3868" spans="1:22" s="137" customFormat="1" ht="12.75" customHeight="1" x14ac:dyDescent="0.2">
      <c r="A3868" s="155"/>
      <c r="B3868" s="138" t="str">
        <f>IF(A3868="","",VLOOKUP(A3868,'6.A'!$A$11:$G$180,2,FALSE))</f>
        <v/>
      </c>
      <c r="C3868" s="156"/>
      <c r="D3868" s="57" t="str">
        <f>IF(A3868="","",VLOOKUP(A3868,'6.A'!$A$11:$G$180,4,FALSE))</f>
        <v/>
      </c>
      <c r="E3868" s="100" t="str">
        <f>IF(A3868="","",VLOOKUP(A3868,'6.A'!$A$11:$G$180,5,FALSE))</f>
        <v/>
      </c>
      <c r="F3868" s="159" t="str">
        <f t="shared" si="1667"/>
        <v>0,00</v>
      </c>
      <c r="G3868" s="52"/>
      <c r="H3868" s="52" t="str">
        <f>IF(A3868="","",VLOOKUP(A3868,'6.A'!$A$11:$E$7984,5,FALSE))</f>
        <v/>
      </c>
      <c r="I3868" s="52" t="str">
        <f>IF(H3868="","",IF(E3868=H3868,"SIM","NÃO"))</f>
        <v/>
      </c>
      <c r="J3868" s="52" t="str">
        <f>IF(H3868="","",VLOOKUP(A3868,'6.A'!$A$11:$E$564,4,FALSE))</f>
        <v/>
      </c>
      <c r="K3868" s="52" t="str">
        <f>IF(H3868="","",IF(J3868=D3868,"SIM","NÃO"))</f>
        <v/>
      </c>
      <c r="L3868" s="52" t="str">
        <f>IF(H3868="","",IF(C3868="","",G3860*C3868))</f>
        <v/>
      </c>
      <c r="M3868" s="117" t="str">
        <f>IF(A3868="","",VLOOKUP(A3868,'6.A'!$A$11:$C$564,2,FALSE))</f>
        <v/>
      </c>
      <c r="N3868" s="57" t="str">
        <f>IF(A3868="","",IF(M3868=B3868,"si","no"))</f>
        <v/>
      </c>
      <c r="O3868" s="56"/>
      <c r="P3868" s="56"/>
      <c r="Q3868" s="48"/>
      <c r="R3868" s="48"/>
      <c r="S3868" s="65"/>
      <c r="T3868" s="2"/>
      <c r="U3868" s="2"/>
      <c r="V3868" s="2"/>
    </row>
    <row r="3869" spans="1:22" s="137" customFormat="1" ht="12.75" customHeight="1" x14ac:dyDescent="0.2">
      <c r="A3869" s="155"/>
      <c r="B3869" s="138" t="str">
        <f>IF(A3869="","",VLOOKUP(A3869,'6.A'!$A$11:$G$180,2,FALSE))</f>
        <v/>
      </c>
      <c r="C3869" s="156"/>
      <c r="D3869" s="57" t="str">
        <f>IF(A3869="","",VLOOKUP(A3869,'6.A'!$A$11:$G$180,4,FALSE))</f>
        <v/>
      </c>
      <c r="E3869" s="100" t="str">
        <f>IF(A3869="","",VLOOKUP(A3869,'6.A'!$A$11:$G$180,5,FALSE))</f>
        <v/>
      </c>
      <c r="F3869" s="159" t="str">
        <f t="shared" si="1667"/>
        <v>0,00</v>
      </c>
      <c r="G3869" s="52"/>
      <c r="H3869" s="52" t="str">
        <f>IF(A3869="","",VLOOKUP(A3869,'6.A'!$A$11:$E$7984,5,FALSE))</f>
        <v/>
      </c>
      <c r="I3869" s="52" t="str">
        <f t="shared" ref="I3869" si="1673">IF(H3869="","",IF(E3869=H3869,"SIM","NÃO"))</f>
        <v/>
      </c>
      <c r="J3869" s="52" t="str">
        <f>IF(H3869="","",VLOOKUP(A3869,'6.A'!$A$11:$E$564,4,FALSE))</f>
        <v/>
      </c>
      <c r="K3869" s="52" t="str">
        <f t="shared" ref="K3869" si="1674">IF(H3869="","",IF(J3869=D3869,"SIM","NÃO"))</f>
        <v/>
      </c>
      <c r="L3869" s="52" t="str">
        <f>IF(H3869="","",IF(C3869="","",G3860*C3869))</f>
        <v/>
      </c>
      <c r="M3869" s="117" t="str">
        <f>IF(A3869="","",VLOOKUP(A3869,'6.A'!$A$11:$C$564,2,FALSE))</f>
        <v/>
      </c>
      <c r="N3869" s="57" t="str">
        <f t="shared" ref="N3869" si="1675">IF(A3869="","",IF(M3869=B3869,"si","no"))</f>
        <v/>
      </c>
      <c r="O3869" s="56"/>
      <c r="P3869" s="56"/>
      <c r="Q3869" s="48"/>
      <c r="R3869" s="48"/>
      <c r="S3869" s="65"/>
      <c r="T3869" s="2"/>
      <c r="U3869" s="2"/>
      <c r="V3869" s="2"/>
    </row>
    <row r="3870" spans="1:22" s="137" customFormat="1" ht="12.75" customHeight="1" x14ac:dyDescent="0.2">
      <c r="A3870" s="155"/>
      <c r="B3870" s="138" t="str">
        <f>IF(A3870="","",VLOOKUP(A3870,'6.A'!$A$11:$G$180,2,FALSE))</f>
        <v/>
      </c>
      <c r="C3870" s="156"/>
      <c r="D3870" s="73" t="str">
        <f>IF(A3870="","",VLOOKUP(A3870,'6.A'!$A$11:$G$180,4,FALSE))</f>
        <v/>
      </c>
      <c r="E3870" s="101" t="str">
        <f>IF(A3870="","",VLOOKUP(A3870,'6.A'!$A$11:$G$180,5,FALSE))</f>
        <v/>
      </c>
      <c r="F3870" s="159" t="str">
        <f t="shared" si="1667"/>
        <v>0,00</v>
      </c>
      <c r="G3870" s="52"/>
      <c r="H3870" s="52" t="str">
        <f>IF(A3870="","",VLOOKUP(A3870,'6.A'!$A$11:$E$7984,5,FALSE))</f>
        <v/>
      </c>
      <c r="I3870" s="52" t="str">
        <f>IF(H3870="","",IF(E3870=H3870,"SIM","NÃO"))</f>
        <v/>
      </c>
      <c r="J3870" s="52" t="str">
        <f>IF(H3870="","",VLOOKUP(A3870,'6.A'!$A$11:$E$564,4,FALSE))</f>
        <v/>
      </c>
      <c r="K3870" s="52" t="str">
        <f>IF(H3870="","",IF(J3870=D3870,"SIM","NÃO"))</f>
        <v/>
      </c>
      <c r="L3870" s="52" t="str">
        <f>IF(H3870="","",IF(C3870="","",G3860*C3870))</f>
        <v/>
      </c>
      <c r="M3870" s="117" t="str">
        <f>IF(A3870="","",VLOOKUP(A3870,'6.A'!$A$11:$C$564,2,FALSE))</f>
        <v/>
      </c>
      <c r="N3870" s="57" t="str">
        <f>IF(A3870="","",IF(M3870=B3870,"si","no"))</f>
        <v/>
      </c>
      <c r="O3870" s="56"/>
      <c r="P3870" s="56"/>
      <c r="Q3870" s="48"/>
      <c r="R3870" s="48"/>
      <c r="S3870" s="65"/>
      <c r="T3870" s="2"/>
      <c r="U3870" s="2"/>
      <c r="V3870" s="2"/>
    </row>
    <row r="3871" spans="1:22" s="137" customFormat="1" ht="12.75" customHeight="1" x14ac:dyDescent="0.2">
      <c r="A3871" s="155"/>
      <c r="B3871" s="138" t="str">
        <f>IF(A3871="","",VLOOKUP(A3871,'6.A'!$A$11:$G$180,2,FALSE))</f>
        <v/>
      </c>
      <c r="C3871" s="156"/>
      <c r="D3871" s="25" t="str">
        <f>IF(A3871="","",VLOOKUP(A3871,'6.A'!$A$11:$G$180,4,FALSE))</f>
        <v/>
      </c>
      <c r="E3871" s="101" t="str">
        <f>IF(A3871="","",VLOOKUP(A3871,'6.A'!$A$11:$G$180,5,FALSE))</f>
        <v/>
      </c>
      <c r="F3871" s="159" t="str">
        <f t="shared" si="1667"/>
        <v>0,00</v>
      </c>
      <c r="G3871" s="52"/>
      <c r="H3871" s="52" t="str">
        <f>IF(A3871="","",VLOOKUP(A3871,'6.A'!$A$11:$E$7984,5,FALSE))</f>
        <v/>
      </c>
      <c r="I3871" s="52" t="str">
        <f t="shared" ref="I3871" si="1676">IF(H3871="","",IF(E3871=H3871,"SIM","NÃO"))</f>
        <v/>
      </c>
      <c r="J3871" s="52" t="str">
        <f>IF(H3871="","",VLOOKUP(A3871,'6.A'!$A$11:$E$564,4,FALSE))</f>
        <v/>
      </c>
      <c r="K3871" s="52" t="str">
        <f t="shared" ref="K3871" si="1677">IF(H3871="","",IF(J3871=D3871,"SIM","NÃO"))</f>
        <v/>
      </c>
      <c r="L3871" s="52" t="str">
        <f>IF(H3871="","",IF(C3871="","",G3860*C3871))</f>
        <v/>
      </c>
      <c r="M3871" s="117" t="str">
        <f>IF(A3871="","",VLOOKUP(A3871,'6.A'!$A$11:$C$564,2,FALSE))</f>
        <v/>
      </c>
      <c r="N3871" s="57" t="str">
        <f t="shared" ref="N3871" si="1678">IF(A3871="","",IF(M3871=B3871,"si","no"))</f>
        <v/>
      </c>
      <c r="O3871" s="56"/>
      <c r="P3871" s="56"/>
      <c r="Q3871" s="48"/>
      <c r="R3871" s="48"/>
      <c r="S3871" s="65"/>
      <c r="T3871" s="2"/>
      <c r="U3871" s="2"/>
      <c r="V3871" s="2"/>
    </row>
    <row r="3872" spans="1:22" s="137" customFormat="1" ht="12.75" customHeight="1" x14ac:dyDescent="0.2">
      <c r="A3872" s="152"/>
      <c r="B3872" s="26" t="str">
        <f>$A$8</f>
        <v>LEIS SOCIAIS HORISTA - JORNADA NORMAL</v>
      </c>
      <c r="C3872" s="27">
        <f>$C$8</f>
        <v>0</v>
      </c>
      <c r="D3872" s="57"/>
      <c r="E3872" s="11"/>
      <c r="F3872" s="162">
        <f>ROUND(SUM(F3862:F3871)*C3872,2)</f>
        <v>0</v>
      </c>
      <c r="G3872" s="63"/>
      <c r="H3872" s="52"/>
      <c r="I3872" s="57"/>
      <c r="J3872" s="57"/>
      <c r="K3872" s="57"/>
      <c r="L3872" s="52"/>
      <c r="M3872" s="62"/>
      <c r="N3872" s="57"/>
      <c r="O3872" s="56"/>
      <c r="P3872" s="56"/>
      <c r="Q3872" s="48"/>
      <c r="R3872" s="48"/>
      <c r="S3872" s="65"/>
      <c r="T3872" s="2"/>
      <c r="U3872" s="2"/>
      <c r="V3872" s="2"/>
    </row>
    <row r="3873" spans="1:22" s="137" customFormat="1" ht="12.75" customHeight="1" x14ac:dyDescent="0.2">
      <c r="A3873" s="155"/>
      <c r="B3873" s="26" t="str">
        <f>$A$9</f>
        <v>BDI</v>
      </c>
      <c r="C3873" s="27">
        <f>$C$9</f>
        <v>0</v>
      </c>
      <c r="D3873" s="29"/>
      <c r="E3873" s="11"/>
      <c r="F3873" s="162">
        <f>ROUND(SUM(F3862:F3872)*C3873,2)</f>
        <v>0</v>
      </c>
      <c r="G3873" s="63"/>
      <c r="H3873" s="52"/>
      <c r="I3873" s="57"/>
      <c r="J3873" s="57"/>
      <c r="K3873" s="57"/>
      <c r="L3873" s="52"/>
      <c r="M3873" s="62"/>
      <c r="N3873" s="57"/>
      <c r="O3873" s="56"/>
      <c r="P3873" s="56"/>
      <c r="Q3873" s="48"/>
      <c r="R3873" s="48"/>
      <c r="S3873" s="65"/>
      <c r="T3873" s="2"/>
      <c r="U3873" s="2"/>
      <c r="V3873" s="2"/>
    </row>
    <row r="3874" spans="1:22" s="149" customFormat="1" ht="12.75" customHeight="1" x14ac:dyDescent="0.2">
      <c r="A3874" s="163"/>
      <c r="B3874" s="164" t="s">
        <v>56</v>
      </c>
      <c r="C3874" s="165"/>
      <c r="D3874" s="33"/>
      <c r="E3874" s="34"/>
      <c r="F3874" s="168">
        <f>ROUND(SUM(F3862:F3873),2)</f>
        <v>0</v>
      </c>
      <c r="G3874" s="63"/>
      <c r="H3874" s="52"/>
      <c r="I3874" s="57"/>
      <c r="J3874" s="57"/>
      <c r="K3874" s="57"/>
      <c r="L3874" s="52"/>
      <c r="M3874" s="62"/>
      <c r="N3874" s="57"/>
      <c r="O3874" s="56"/>
      <c r="P3874" s="56"/>
      <c r="Q3874" s="48"/>
      <c r="R3874" s="48"/>
      <c r="S3874" s="65"/>
      <c r="T3874" s="2"/>
      <c r="U3874" s="2"/>
      <c r="V3874" s="2"/>
    </row>
    <row r="3875" spans="1:22" s="149" customFormat="1" ht="12.75" customHeight="1" x14ac:dyDescent="0.2">
      <c r="A3875" s="152" t="s">
        <v>5</v>
      </c>
      <c r="B3875" s="153" t="s">
        <v>130</v>
      </c>
      <c r="C3875" s="140" t="s">
        <v>59</v>
      </c>
      <c r="D3875" s="56" t="s">
        <v>16</v>
      </c>
      <c r="E3875" s="19" t="s">
        <v>60</v>
      </c>
      <c r="F3875" s="148" t="s">
        <v>61</v>
      </c>
      <c r="G3875" s="21"/>
      <c r="H3875" s="52"/>
      <c r="I3875" s="57"/>
      <c r="J3875" s="57"/>
      <c r="K3875" s="57"/>
      <c r="L3875" s="52"/>
      <c r="M3875" s="62"/>
      <c r="N3875" s="57"/>
      <c r="O3875" s="56"/>
      <c r="P3875" s="56"/>
      <c r="Q3875" s="48"/>
      <c r="R3875" s="48"/>
      <c r="S3875" s="65"/>
      <c r="T3875" s="2"/>
      <c r="U3875" s="2"/>
      <c r="V3875" s="2"/>
    </row>
    <row r="3876" spans="1:22" s="149" customFormat="1" ht="12.75" customHeight="1" x14ac:dyDescent="0.2">
      <c r="A3876" s="155">
        <f>'6.A'!$A$38</f>
        <v>91692</v>
      </c>
      <c r="B3876" s="138" t="str">
        <f>IF(A3876="","",VLOOKUP(A3876,'6.A'!$A$11:$G$180,2,FALSE))</f>
        <v>SERRA CIRCULAR DE BANCADA COM MOTOR ELÉTRICO POTÊNCIA DE 5HP, COM COIFA PARA DISCO 10" - CHP DIURNO</v>
      </c>
      <c r="C3876" s="156">
        <f>(1.16*0.007)</f>
        <v>8.1199999999999987E-3</v>
      </c>
      <c r="D3876" s="57" t="str">
        <f>IF(A3876="","",VLOOKUP(A3876,'6.A'!$A$11:$G$180,4,FALSE))</f>
        <v>CHP</v>
      </c>
      <c r="E3876" s="100">
        <f>IF(A3876="","",VLOOKUP(A3876,'6.A'!$A$11:$G$180,5,FALSE))</f>
        <v>0</v>
      </c>
      <c r="F3876" s="159">
        <f t="shared" ref="F3876:F3885" si="1679">IF(A3876="","0,00",ROUND(C3876*E3876,2))</f>
        <v>0</v>
      </c>
      <c r="G3876" s="52"/>
      <c r="H3876" s="52">
        <f>IF(A3876="","",VLOOKUP(A3876,'6.A'!$A$11:$E$7984,5,FALSE))</f>
        <v>0</v>
      </c>
      <c r="I3876" s="52" t="str">
        <f t="shared" ref="I3876:I3885" si="1680">IF(H3876="","",IF(E3876=H3876,"SIM","NÃO"))</f>
        <v>SIM</v>
      </c>
      <c r="J3876" s="52" t="str">
        <f>IF(H3876="","",VLOOKUP(A3876,'6.A'!$A$11:$E$564,4,FALSE))</f>
        <v>CHP</v>
      </c>
      <c r="K3876" s="52" t="str">
        <f t="shared" ref="K3876:K3885" si="1681">IF(H3876="","",IF(J3876=D3876,"SIM","NÃO"))</f>
        <v>SIM</v>
      </c>
      <c r="L3876" s="52">
        <f>IF(H3876="","",IF(C3876="","",G3860*C3876))</f>
        <v>2.4359999999999996E-2</v>
      </c>
      <c r="M3876" s="117" t="str">
        <f>IF(A3876="","",VLOOKUP(A3876,'6.A'!$A$11:$C$564,2,FALSE))</f>
        <v>SERRA CIRCULAR DE BANCADA COM MOTOR ELÉTRICO POTÊNCIA DE 5HP, COM COIFA PARA DISCO 10" - CHP DIURNO</v>
      </c>
      <c r="N3876" s="57" t="str">
        <f t="shared" ref="N3876:N3881" si="1682">IF(A3876="","",IF(M3876=B3876,"si","no"))</f>
        <v>si</v>
      </c>
      <c r="O3876" s="56"/>
      <c r="P3876" s="56"/>
      <c r="Q3876" s="48"/>
      <c r="R3876" s="48"/>
      <c r="S3876" s="65"/>
      <c r="T3876" s="2"/>
      <c r="U3876" s="2"/>
      <c r="V3876" s="2"/>
    </row>
    <row r="3877" spans="1:22" s="149" customFormat="1" ht="12.75" customHeight="1" x14ac:dyDescent="0.2">
      <c r="A3877" s="155">
        <f>'6.A'!$A$39</f>
        <v>91693</v>
      </c>
      <c r="B3877" s="138" t="str">
        <f>IF(A3877="","",VLOOKUP(A3877,'6.A'!$A$11:$G$180,2,FALSE))</f>
        <v>SERRA CIRCULAR DE BANCADA COM MOTOR ELÉTRICO POTÊNCIA DE 5HP, COM COIFA PARA DISCO 10" - CHI DIURNO</v>
      </c>
      <c r="C3877" s="156">
        <f>(1.16*0.03)</f>
        <v>3.4799999999999998E-2</v>
      </c>
      <c r="D3877" s="57" t="str">
        <f>IF(A3877="","",VLOOKUP(A3877,'6.A'!$A$11:$G$180,4,FALSE))</f>
        <v>CHI</v>
      </c>
      <c r="E3877" s="100">
        <f>IF(A3877="","",VLOOKUP(A3877,'6.A'!$A$11:$G$180,5,FALSE))</f>
        <v>0</v>
      </c>
      <c r="F3877" s="159">
        <f t="shared" si="1679"/>
        <v>0</v>
      </c>
      <c r="G3877" s="52"/>
      <c r="H3877" s="52">
        <f>IF(A3877="","",VLOOKUP(A3877,'6.A'!$A$11:$E$7984,5,FALSE))</f>
        <v>0</v>
      </c>
      <c r="I3877" s="52" t="str">
        <f t="shared" si="1680"/>
        <v>SIM</v>
      </c>
      <c r="J3877" s="52" t="str">
        <f>IF(H3877="","",VLOOKUP(A3877,'6.A'!$A$11:$E$564,4,FALSE))</f>
        <v>CHI</v>
      </c>
      <c r="K3877" s="52" t="str">
        <f t="shared" si="1681"/>
        <v>SIM</v>
      </c>
      <c r="L3877" s="52">
        <f>IF(H3877="","",IF(C3877="","",G3860*C3877))</f>
        <v>0.10439999999999999</v>
      </c>
      <c r="M3877" s="117" t="str">
        <f>IF(A3877="","",VLOOKUP(A3877,'6.A'!$A$11:$C$564,2,FALSE))</f>
        <v>SERRA CIRCULAR DE BANCADA COM MOTOR ELÉTRICO POTÊNCIA DE 5HP, COM COIFA PARA DISCO 10" - CHI DIURNO</v>
      </c>
      <c r="N3877" s="57" t="str">
        <f t="shared" si="1682"/>
        <v>si</v>
      </c>
      <c r="O3877" s="56"/>
      <c r="P3877" s="56"/>
      <c r="Q3877" s="48"/>
      <c r="R3877" s="48"/>
      <c r="S3877" s="65"/>
      <c r="T3877" s="2"/>
      <c r="U3877" s="2"/>
      <c r="V3877" s="2"/>
    </row>
    <row r="3878" spans="1:22" s="149" customFormat="1" ht="12.75" customHeight="1" x14ac:dyDescent="0.2">
      <c r="A3878" s="155">
        <f>'6.A'!$A$34</f>
        <v>90586</v>
      </c>
      <c r="B3878" s="138" t="str">
        <f>IF(A3878="","",VLOOKUP(A3878,'6.A'!$A$11:$G$180,2,FALSE))</f>
        <v>VIBRADOR DE IMERSÃO, DIÂMETRO DE PONTEIRA 45MM, MOTOR ELÉTRICO TRIFÁSICO POTÊNCIA DE 2 CV - CHP</v>
      </c>
      <c r="C3878" s="156">
        <f>(0.054*0.194)</f>
        <v>1.0476000000000001E-2</v>
      </c>
      <c r="D3878" s="57" t="str">
        <f>IF(A3878="","",VLOOKUP(A3878,'6.A'!$A$11:$G$180,4,FALSE))</f>
        <v>CHP</v>
      </c>
      <c r="E3878" s="100">
        <f>IF(A3878="","",VLOOKUP(A3878,'6.A'!$A$11:$G$180,5,FALSE))</f>
        <v>0</v>
      </c>
      <c r="F3878" s="159">
        <f t="shared" si="1679"/>
        <v>0</v>
      </c>
      <c r="G3878" s="52"/>
      <c r="H3878" s="52">
        <f>IF(A3878="","",VLOOKUP(A3878,'6.A'!$A$11:$E$7984,5,FALSE))</f>
        <v>0</v>
      </c>
      <c r="I3878" s="52" t="str">
        <f t="shared" si="1680"/>
        <v>SIM</v>
      </c>
      <c r="J3878" s="52" t="str">
        <f>IF(H3878="","",VLOOKUP(A3878,'6.A'!$A$11:$E$564,4,FALSE))</f>
        <v>CHP</v>
      </c>
      <c r="K3878" s="52" t="str">
        <f t="shared" si="1681"/>
        <v>SIM</v>
      </c>
      <c r="L3878" s="52">
        <f>IF(H3878="","",IF(C3878="","",G3860*C3878))</f>
        <v>3.1428000000000005E-2</v>
      </c>
      <c r="M3878" s="117" t="str">
        <f>IF(A3878="","",VLOOKUP(A3878,'6.A'!$A$11:$C$564,2,FALSE))</f>
        <v>VIBRADOR DE IMERSÃO, DIÂMETRO DE PONTEIRA 45MM, MOTOR ELÉTRICO TRIFÁSICO POTÊNCIA DE 2 CV - CHP</v>
      </c>
      <c r="N3878" s="57" t="str">
        <f t="shared" si="1682"/>
        <v>si</v>
      </c>
      <c r="O3878" s="56"/>
      <c r="P3878" s="56"/>
      <c r="Q3878" s="48"/>
      <c r="R3878" s="48"/>
      <c r="S3878" s="65"/>
      <c r="T3878" s="2"/>
      <c r="U3878" s="2"/>
      <c r="V3878" s="2"/>
    </row>
    <row r="3879" spans="1:22" s="149" customFormat="1" ht="12.75" customHeight="1" x14ac:dyDescent="0.2">
      <c r="A3879" s="155">
        <f>'6.A'!$A$35</f>
        <v>90587</v>
      </c>
      <c r="B3879" s="176" t="str">
        <f>IF(A3879="","",VLOOKUP(A3879,'6.A'!$A$11:$G$180,2,FALSE))</f>
        <v>VIBRADOR DE IMERSÃO, DIÂMETRO DE PONTEIRA 45MM, MOTOR ELÉTRICO TRIFÁSICO POTÊNCIA DE 2 CV - CHI</v>
      </c>
      <c r="C3879" s="156">
        <f>(0.054*0.179)</f>
        <v>9.6659999999999992E-3</v>
      </c>
      <c r="D3879" s="57" t="str">
        <f>IF(A3879="","",VLOOKUP(A3879,'6.A'!$A$11:$G$180,4,FALSE))</f>
        <v>CHI</v>
      </c>
      <c r="E3879" s="100">
        <f>IF(A3879="","",VLOOKUP(A3879,'6.A'!$A$11:$G$180,5,FALSE))</f>
        <v>0</v>
      </c>
      <c r="F3879" s="159">
        <f t="shared" si="1679"/>
        <v>0</v>
      </c>
      <c r="G3879" s="52"/>
      <c r="H3879" s="52">
        <f>IF(A3879="","",VLOOKUP(A3879,'6.A'!$A$11:$E$7984,5,FALSE))</f>
        <v>0</v>
      </c>
      <c r="I3879" s="52" t="str">
        <f t="shared" si="1680"/>
        <v>SIM</v>
      </c>
      <c r="J3879" s="52" t="str">
        <f>IF(H3879="","",VLOOKUP(A3879,'6.A'!$A$11:$E$564,4,FALSE))</f>
        <v>CHI</v>
      </c>
      <c r="K3879" s="52" t="str">
        <f t="shared" si="1681"/>
        <v>SIM</v>
      </c>
      <c r="L3879" s="52">
        <f>IF(H3879="","",IF(C3879="","",G3860*C3879))</f>
        <v>2.8997999999999996E-2</v>
      </c>
      <c r="M3879" s="117" t="str">
        <f>IF(A3879="","",VLOOKUP(A3879,'6.A'!$A$11:$C$564,2,FALSE))</f>
        <v>VIBRADOR DE IMERSÃO, DIÂMETRO DE PONTEIRA 45MM, MOTOR ELÉTRICO TRIFÁSICO POTÊNCIA DE 2 CV - CHI</v>
      </c>
      <c r="N3879" s="57" t="str">
        <f t="shared" si="1682"/>
        <v>si</v>
      </c>
      <c r="O3879" s="56"/>
      <c r="P3879" s="56"/>
      <c r="Q3879" s="48"/>
      <c r="R3879" s="48"/>
      <c r="S3879" s="65"/>
      <c r="T3879" s="2"/>
      <c r="U3879" s="2"/>
      <c r="V3879" s="2"/>
    </row>
    <row r="3880" spans="1:22" s="149" customFormat="1" ht="12.75" customHeight="1" x14ac:dyDescent="0.2">
      <c r="A3880" s="155"/>
      <c r="B3880" s="176" t="str">
        <f>IF(A3880="","",VLOOKUP(A3880,'6.A'!$A$11:$G$180,2,FALSE))</f>
        <v/>
      </c>
      <c r="C3880" s="156"/>
      <c r="D3880" s="57" t="str">
        <f>IF(A3880="","",VLOOKUP(A3880,'6.A'!$A$11:$G$180,4,FALSE))</f>
        <v/>
      </c>
      <c r="E3880" s="100" t="str">
        <f>IF(A3880="","",VLOOKUP(A3880,'6.A'!$A$11:$G$180,5,FALSE))</f>
        <v/>
      </c>
      <c r="F3880" s="159" t="str">
        <f t="shared" si="1679"/>
        <v>0,00</v>
      </c>
      <c r="G3880" s="52"/>
      <c r="H3880" s="52" t="str">
        <f>IF(A3880="","",VLOOKUP(A3880,'6.A'!$A$11:$E$7984,5,FALSE))</f>
        <v/>
      </c>
      <c r="I3880" s="52" t="str">
        <f t="shared" si="1680"/>
        <v/>
      </c>
      <c r="J3880" s="52" t="str">
        <f>IF(H3880="","",VLOOKUP(A3880,'6.A'!$A$11:$E$564,4,FALSE))</f>
        <v/>
      </c>
      <c r="K3880" s="52" t="str">
        <f t="shared" si="1681"/>
        <v/>
      </c>
      <c r="L3880" s="52" t="str">
        <f>IF(H3880="","",IF(C3880="","",G3860*C3880))</f>
        <v/>
      </c>
      <c r="M3880" s="117" t="str">
        <f>IF(A3880="","",VLOOKUP(A3880,'6.A'!$A$11:$C$564,2,FALSE))</f>
        <v/>
      </c>
      <c r="N3880" s="57" t="str">
        <f t="shared" si="1682"/>
        <v/>
      </c>
      <c r="O3880" s="56"/>
      <c r="P3880" s="56"/>
      <c r="Q3880" s="48"/>
      <c r="R3880" s="48"/>
      <c r="S3880" s="65"/>
      <c r="T3880" s="2"/>
      <c r="U3880" s="2"/>
      <c r="V3880" s="2"/>
    </row>
    <row r="3881" spans="1:22" s="149" customFormat="1" ht="12.75" customHeight="1" x14ac:dyDescent="0.2">
      <c r="A3881" s="155"/>
      <c r="B3881" s="176" t="str">
        <f>IF(A3881="","",VLOOKUP(A3881,'6.A'!$A$11:$G$180,2,FALSE))</f>
        <v/>
      </c>
      <c r="C3881" s="156"/>
      <c r="D3881" s="57" t="str">
        <f>IF(A3881="","",VLOOKUP(A3881,'6.A'!$A$11:$G$180,4,FALSE))</f>
        <v/>
      </c>
      <c r="E3881" s="100" t="str">
        <f>IF(A3881="","",VLOOKUP(A3881,'6.A'!$A$11:$G$180,5,FALSE))</f>
        <v/>
      </c>
      <c r="F3881" s="159" t="str">
        <f t="shared" si="1679"/>
        <v>0,00</v>
      </c>
      <c r="G3881" s="52"/>
      <c r="H3881" s="52" t="str">
        <f>IF(A3881="","",VLOOKUP(A3881,'6.A'!$A$11:$E$7984,5,FALSE))</f>
        <v/>
      </c>
      <c r="I3881" s="52" t="str">
        <f t="shared" si="1680"/>
        <v/>
      </c>
      <c r="J3881" s="52" t="str">
        <f>IF(H3881="","",VLOOKUP(A3881,'6.A'!$A$11:$E$564,4,FALSE))</f>
        <v/>
      </c>
      <c r="K3881" s="52" t="str">
        <f t="shared" si="1681"/>
        <v/>
      </c>
      <c r="L3881" s="52" t="str">
        <f>IF(H3881="","",IF(C3881="","",G3860*C3881))</f>
        <v/>
      </c>
      <c r="M3881" s="117" t="str">
        <f>IF(A3881="","",VLOOKUP(A3881,'6.A'!$A$11:$C$564,2,FALSE))</f>
        <v/>
      </c>
      <c r="N3881" s="57" t="str">
        <f t="shared" si="1682"/>
        <v/>
      </c>
      <c r="O3881" s="56"/>
      <c r="P3881" s="56"/>
      <c r="Q3881" s="48"/>
      <c r="R3881" s="48"/>
      <c r="S3881" s="65"/>
      <c r="T3881" s="2"/>
      <c r="U3881" s="2"/>
      <c r="V3881" s="2"/>
    </row>
    <row r="3882" spans="1:22" s="149" customFormat="1" ht="12.75" customHeight="1" x14ac:dyDescent="0.2">
      <c r="A3882" s="155"/>
      <c r="B3882" s="176" t="str">
        <f>IF(A3882="","",VLOOKUP(A3882,'6.A'!$A$11:$G$180,2,FALSE))</f>
        <v/>
      </c>
      <c r="C3882" s="156"/>
      <c r="D3882" s="57" t="str">
        <f>IF(A3882="","",VLOOKUP(A3882,'6.A'!$A$11:$G$180,4,FALSE))</f>
        <v/>
      </c>
      <c r="E3882" s="100" t="str">
        <f>IF(A3882="","",VLOOKUP(A3882,'6.A'!$A$11:$G$180,5,FALSE))</f>
        <v/>
      </c>
      <c r="F3882" s="159" t="str">
        <f t="shared" si="1679"/>
        <v>0,00</v>
      </c>
      <c r="G3882" s="52"/>
      <c r="H3882" s="52" t="str">
        <f>IF(A3882="","",VLOOKUP(A3882,'6.A'!$A$11:$E$7984,5,FALSE))</f>
        <v/>
      </c>
      <c r="I3882" s="52" t="str">
        <f t="shared" si="1680"/>
        <v/>
      </c>
      <c r="J3882" s="52" t="str">
        <f>IF(H3882="","",VLOOKUP(A3882,'6.A'!$A$11:$E$564,4,FALSE))</f>
        <v/>
      </c>
      <c r="K3882" s="52" t="str">
        <f t="shared" si="1681"/>
        <v/>
      </c>
      <c r="L3882" s="52" t="str">
        <f>IF(H3882="","",IF(C3882="","",G3860*C3882))</f>
        <v/>
      </c>
      <c r="M3882" s="117" t="str">
        <f>IF(A3882="","",VLOOKUP(A3882,'6.A'!$A$11:$C$564,2,FALSE))</f>
        <v/>
      </c>
      <c r="N3882" s="57" t="str">
        <f>IF(A3882="","",IF(M3882=B3882,"si","no"))</f>
        <v/>
      </c>
      <c r="O3882" s="56"/>
      <c r="P3882" s="56"/>
      <c r="Q3882" s="48"/>
      <c r="R3882" s="48"/>
      <c r="S3882" s="65"/>
      <c r="T3882" s="2"/>
      <c r="U3882" s="2"/>
      <c r="V3882" s="2"/>
    </row>
    <row r="3883" spans="1:22" s="149" customFormat="1" ht="12.75" customHeight="1" x14ac:dyDescent="0.2">
      <c r="A3883" s="155"/>
      <c r="B3883" s="138" t="str">
        <f>IF(A3883="","",VLOOKUP(A3883,'6.A'!$A$11:$G$180,2,FALSE))</f>
        <v/>
      </c>
      <c r="C3883" s="156"/>
      <c r="D3883" s="57" t="str">
        <f>IF(A3883="","",VLOOKUP(A3883,'6.A'!$A$11:$G$180,4,FALSE))</f>
        <v/>
      </c>
      <c r="E3883" s="100" t="str">
        <f>IF(A3883="","",VLOOKUP(A3883,'6.A'!$A$11:$G$180,5,FALSE))</f>
        <v/>
      </c>
      <c r="F3883" s="159" t="str">
        <f t="shared" si="1679"/>
        <v>0,00</v>
      </c>
      <c r="G3883" s="52"/>
      <c r="H3883" s="52" t="str">
        <f>IF(A3883="","",VLOOKUP(A3883,'6.A'!$A$11:$E$7984,5,FALSE))</f>
        <v/>
      </c>
      <c r="I3883" s="52" t="str">
        <f t="shared" si="1680"/>
        <v/>
      </c>
      <c r="J3883" s="52" t="str">
        <f>IF(H3883="","",VLOOKUP(A3883,'6.A'!$A$11:$E$564,4,FALSE))</f>
        <v/>
      </c>
      <c r="K3883" s="52" t="str">
        <f t="shared" si="1681"/>
        <v/>
      </c>
      <c r="L3883" s="52" t="str">
        <f>IF(H3883="","",IF(C3883="","",G3860*C3883))</f>
        <v/>
      </c>
      <c r="M3883" s="117" t="str">
        <f>IF(A3883="","",VLOOKUP(A3883,'6.A'!$A$11:$C$564,2,FALSE))</f>
        <v/>
      </c>
      <c r="N3883" s="57" t="str">
        <f>IF(A3883="","",IF(M3883=B3883,"si","no"))</f>
        <v/>
      </c>
      <c r="O3883" s="56"/>
      <c r="P3883" s="56"/>
      <c r="Q3883" s="48"/>
      <c r="R3883" s="48"/>
      <c r="S3883" s="65"/>
      <c r="T3883" s="2"/>
      <c r="U3883" s="2"/>
      <c r="V3883" s="2"/>
    </row>
    <row r="3884" spans="1:22" s="149" customFormat="1" ht="12.75" customHeight="1" x14ac:dyDescent="0.2">
      <c r="A3884" s="155"/>
      <c r="B3884" s="138" t="str">
        <f>IF(A3884="","",VLOOKUP(A3884,'6.A'!$A$11:$G$180,2,FALSE))</f>
        <v/>
      </c>
      <c r="C3884" s="156"/>
      <c r="D3884" s="57" t="str">
        <f>IF(A3884="","",VLOOKUP(A3884,'6.A'!$A$11:$G$180,4,FALSE))</f>
        <v/>
      </c>
      <c r="E3884" s="100" t="str">
        <f>IF(A3884="","",VLOOKUP(A3884,'6.A'!$A$11:$G$180,5,FALSE))</f>
        <v/>
      </c>
      <c r="F3884" s="159" t="str">
        <f t="shared" si="1679"/>
        <v>0,00</v>
      </c>
      <c r="G3884" s="52"/>
      <c r="H3884" s="52" t="str">
        <f>IF(A3884="","",VLOOKUP(A3884,'6.A'!$A$11:$E$7984,5,FALSE))</f>
        <v/>
      </c>
      <c r="I3884" s="52" t="str">
        <f t="shared" si="1680"/>
        <v/>
      </c>
      <c r="J3884" s="52" t="str">
        <f>IF(H3884="","",VLOOKUP(A3884,'6.A'!$A$11:$E$564,4,FALSE))</f>
        <v/>
      </c>
      <c r="K3884" s="52" t="str">
        <f t="shared" si="1681"/>
        <v/>
      </c>
      <c r="L3884" s="52" t="str">
        <f>IF(H3884="","",IF(C3884="","",G3860*C3884))</f>
        <v/>
      </c>
      <c r="M3884" s="117" t="str">
        <f>IF(A3884="","",VLOOKUP(A3884,'6.A'!$A$11:$C$564,2,FALSE))</f>
        <v/>
      </c>
      <c r="N3884" s="57" t="str">
        <f t="shared" ref="N3884:N3885" si="1683">IF(A3884="","",IF(M3884=B3884,"si","no"))</f>
        <v/>
      </c>
      <c r="O3884" s="56"/>
      <c r="P3884" s="56"/>
      <c r="Q3884" s="48"/>
      <c r="R3884" s="48"/>
      <c r="S3884" s="65"/>
      <c r="T3884" s="2"/>
      <c r="U3884" s="2"/>
      <c r="V3884" s="2"/>
    </row>
    <row r="3885" spans="1:22" s="149" customFormat="1" ht="12.75" customHeight="1" x14ac:dyDescent="0.2">
      <c r="A3885" s="155"/>
      <c r="B3885" s="138" t="str">
        <f>IF(A3885="","",VLOOKUP(A3885,'6.A'!$A$11:$G$180,2,FALSE))</f>
        <v/>
      </c>
      <c r="C3885" s="156"/>
      <c r="D3885" s="57" t="str">
        <f>IF(A3885="","",VLOOKUP(A3885,'6.A'!$A$11:$G$180,4,FALSE))</f>
        <v/>
      </c>
      <c r="E3885" s="100" t="str">
        <f>IF(A3885="","",VLOOKUP(A3885,'6.A'!$A$11:$G$180,5,FALSE))</f>
        <v/>
      </c>
      <c r="F3885" s="159" t="str">
        <f t="shared" si="1679"/>
        <v>0,00</v>
      </c>
      <c r="G3885" s="52"/>
      <c r="H3885" s="52" t="str">
        <f>IF(A3885="","",VLOOKUP(A3885,'6.A'!$A$11:$E$7984,5,FALSE))</f>
        <v/>
      </c>
      <c r="I3885" s="52" t="str">
        <f t="shared" si="1680"/>
        <v/>
      </c>
      <c r="J3885" s="52" t="str">
        <f>IF(H3885="","",VLOOKUP(A3885,'6.A'!$A$11:$E$564,4,FALSE))</f>
        <v/>
      </c>
      <c r="K3885" s="52" t="str">
        <f t="shared" si="1681"/>
        <v/>
      </c>
      <c r="L3885" s="52" t="str">
        <f>IF(H3885="","",IF(C3885="","",G3860*C3885))</f>
        <v/>
      </c>
      <c r="M3885" s="117" t="str">
        <f>IF(A3885="","",VLOOKUP(A3885,'6.A'!$A$11:$C$564,2,FALSE))</f>
        <v/>
      </c>
      <c r="N3885" s="57" t="str">
        <f t="shared" si="1683"/>
        <v/>
      </c>
      <c r="O3885" s="56"/>
      <c r="P3885" s="56"/>
      <c r="Q3885" s="48"/>
      <c r="R3885" s="48"/>
      <c r="S3885" s="65"/>
      <c r="T3885" s="2"/>
      <c r="U3885" s="2"/>
      <c r="V3885" s="2"/>
    </row>
    <row r="3886" spans="1:22" s="149" customFormat="1" ht="12.75" customHeight="1" x14ac:dyDescent="0.2">
      <c r="A3886" s="155"/>
      <c r="B3886" s="26" t="str">
        <f>$A$9</f>
        <v>BDI</v>
      </c>
      <c r="C3886" s="27">
        <f>$C$9</f>
        <v>0</v>
      </c>
      <c r="D3886" s="57"/>
      <c r="E3886" s="11"/>
      <c r="F3886" s="162">
        <f>ROUND(SUM(F3876:F3885)*C3886,2)</f>
        <v>0</v>
      </c>
      <c r="G3886" s="63"/>
      <c r="H3886" s="52"/>
      <c r="I3886" s="57"/>
      <c r="J3886" s="57"/>
      <c r="K3886" s="57"/>
      <c r="L3886" s="52"/>
      <c r="M3886" s="62"/>
      <c r="N3886" s="57"/>
      <c r="O3886" s="56"/>
      <c r="P3886" s="56"/>
      <c r="Q3886" s="48"/>
      <c r="R3886" s="48"/>
      <c r="S3886" s="65"/>
      <c r="T3886" s="2"/>
      <c r="U3886" s="2"/>
      <c r="V3886" s="2"/>
    </row>
    <row r="3887" spans="1:22" s="149" customFormat="1" ht="12.75" customHeight="1" x14ac:dyDescent="0.2">
      <c r="A3887" s="163"/>
      <c r="B3887" s="31" t="s">
        <v>117</v>
      </c>
      <c r="C3887" s="36"/>
      <c r="D3887" s="37"/>
      <c r="E3887" s="38"/>
      <c r="F3887" s="168">
        <f>ROUND(SUM(F3876:F3886),2)</f>
        <v>0</v>
      </c>
      <c r="G3887" s="63"/>
      <c r="H3887" s="52"/>
      <c r="I3887" s="57"/>
      <c r="J3887" s="57"/>
      <c r="K3887" s="57"/>
      <c r="L3887" s="52"/>
      <c r="M3887" s="62"/>
      <c r="N3887" s="57"/>
      <c r="O3887" s="56"/>
      <c r="P3887" s="56"/>
      <c r="Q3887" s="48"/>
      <c r="R3887" s="48"/>
      <c r="S3887" s="65"/>
      <c r="T3887" s="2"/>
      <c r="U3887" s="2"/>
      <c r="V3887" s="2"/>
    </row>
    <row r="3888" spans="1:22" s="149" customFormat="1" ht="12.75" customHeight="1" x14ac:dyDescent="0.2">
      <c r="A3888" s="152" t="s">
        <v>6</v>
      </c>
      <c r="B3888" s="153" t="s">
        <v>17</v>
      </c>
      <c r="C3888" s="140" t="s">
        <v>59</v>
      </c>
      <c r="D3888" s="56" t="s">
        <v>16</v>
      </c>
      <c r="E3888" s="19" t="s">
        <v>60</v>
      </c>
      <c r="F3888" s="148" t="s">
        <v>61</v>
      </c>
      <c r="G3888" s="21"/>
      <c r="H3888" s="52"/>
      <c r="I3888" s="57"/>
      <c r="J3888" s="57"/>
      <c r="K3888" s="57"/>
      <c r="L3888" s="52"/>
      <c r="M3888" s="62"/>
      <c r="N3888" s="57"/>
      <c r="O3888" s="56"/>
      <c r="P3888" s="56"/>
      <c r="Q3888" s="48"/>
      <c r="R3888" s="48"/>
      <c r="S3888" s="65"/>
      <c r="T3888" s="2"/>
      <c r="U3888" s="2"/>
      <c r="V3888" s="2"/>
    </row>
    <row r="3889" spans="1:22" s="149" customFormat="1" ht="12.75" customHeight="1" x14ac:dyDescent="0.2">
      <c r="A3889" s="155">
        <f>'6.A'!$A$107</f>
        <v>3741</v>
      </c>
      <c r="B3889" s="138" t="str">
        <f>IF(A3889="","",VLOOKUP(A3889,'6.A'!$A$11:$G$180,2,FALSE))</f>
        <v>LAJE PRE-MOLDADA CONVENCIONAL (LAJOTAS + VIGOTAS) PARA FORRO, UNIDIRECIONAL, SOBRECARGA DE 100 KG/M2, VAO ATE 4,5 M (SEM COLOCACAO)</v>
      </c>
      <c r="C3889" s="156">
        <v>1</v>
      </c>
      <c r="D3889" s="57" t="str">
        <f>IF(A3889="","",VLOOKUP(A3889,'6.A'!$A$11:$G$180,4,FALSE))</f>
        <v>M2</v>
      </c>
      <c r="E3889" s="100">
        <f>IF(A3889="","",VLOOKUP(A3889,'6.A'!$A$11:$G$180,5,FALSE))</f>
        <v>0</v>
      </c>
      <c r="F3889" s="159">
        <f t="shared" ref="F3889:F3908" si="1684">IF(A3889="","0,00",ROUND(C3889*E3889,2))</f>
        <v>0</v>
      </c>
      <c r="G3889" s="52"/>
      <c r="H3889" s="52">
        <f>IF(A3889="","",VLOOKUP(A3889,'6.A'!$A$11:$E$7984,5,FALSE))</f>
        <v>0</v>
      </c>
      <c r="I3889" s="52" t="str">
        <f t="shared" ref="I3889:I3908" si="1685">IF(H3889="","",IF(E3889=H3889,"SIM","NÃO"))</f>
        <v>SIM</v>
      </c>
      <c r="J3889" s="52" t="str">
        <f>IF(H3889="","",VLOOKUP(A3889,'6.A'!$A$11:$E$564,4,FALSE))</f>
        <v>M2</v>
      </c>
      <c r="K3889" s="52" t="str">
        <f t="shared" ref="K3889:K3908" si="1686">IF(H3889="","",IF(J3889=D3889,"SIM","NÃO"))</f>
        <v>SIM</v>
      </c>
      <c r="L3889" s="52">
        <f>IF(H3889="","",IF(C3889="","",G3860*C3889))</f>
        <v>3</v>
      </c>
      <c r="M3889" s="117" t="str">
        <f>IF(A3889="","",VLOOKUP(A3889,'6.A'!$A$11:$C$564,2,FALSE))</f>
        <v>LAJE PRE-MOLDADA CONVENCIONAL (LAJOTAS + VIGOTAS) PARA FORRO, UNIDIRECIONAL, SOBRECARGA DE 100 KG/M2, VAO ATE 4,5 M (SEM COLOCACAO)</v>
      </c>
      <c r="N3889" s="57" t="str">
        <f t="shared" ref="N3889:N3908" si="1687">IF(A3889="","",IF(M3889=B3889,"si","no"))</f>
        <v>si</v>
      </c>
      <c r="O3889" s="56"/>
      <c r="P3889" s="56"/>
      <c r="Q3889" s="48"/>
      <c r="R3889" s="48"/>
      <c r="S3889" s="65"/>
      <c r="T3889" s="2"/>
      <c r="U3889" s="2"/>
      <c r="V3889" s="2"/>
    </row>
    <row r="3890" spans="1:22" s="149" customFormat="1" ht="12.75" customHeight="1" x14ac:dyDescent="0.2">
      <c r="A3890" s="155">
        <f>'6.A'!$A$114</f>
        <v>6193</v>
      </c>
      <c r="B3890" s="138" t="str">
        <f>IF(A3890="","",VLOOKUP(A3890,'6.A'!$A$11:$G$180,2,FALSE))</f>
        <v>TABUA NAO APARELHADA *2,5 X 20* CM, EM MACARANDUBA/MASSARANDUBA, ANGELIM OU EQUIVALENTE DA REGIAO - BRUTA</v>
      </c>
      <c r="C3890" s="156">
        <v>1.87</v>
      </c>
      <c r="D3890" s="57" t="str">
        <f>IF(A3890="","",VLOOKUP(A3890,'6.A'!$A$11:$G$180,4,FALSE))</f>
        <v>M</v>
      </c>
      <c r="E3890" s="100">
        <f>IF(A3890="","",VLOOKUP(A3890,'6.A'!$A$11:$G$180,5,FALSE))</f>
        <v>0</v>
      </c>
      <c r="F3890" s="159">
        <f t="shared" si="1684"/>
        <v>0</v>
      </c>
      <c r="G3890" s="52"/>
      <c r="H3890" s="52">
        <f>IF(A3890="","",VLOOKUP(A3890,'6.A'!$A$11:$E$7984,5,FALSE))</f>
        <v>0</v>
      </c>
      <c r="I3890" s="52" t="str">
        <f t="shared" si="1685"/>
        <v>SIM</v>
      </c>
      <c r="J3890" s="52" t="str">
        <f>IF(H3890="","",VLOOKUP(A3890,'6.A'!$A$11:$E$564,4,FALSE))</f>
        <v>M</v>
      </c>
      <c r="K3890" s="52" t="str">
        <f t="shared" si="1686"/>
        <v>SIM</v>
      </c>
      <c r="L3890" s="52">
        <f>IF(H3890="","",IF(C3890="","",G3860*C3890))</f>
        <v>5.61</v>
      </c>
      <c r="M3890" s="117" t="str">
        <f>IF(A3890="","",VLOOKUP(A3890,'6.A'!$A$11:$C$564,2,FALSE))</f>
        <v>TABUA NAO APARELHADA *2,5 X 20* CM, EM MACARANDUBA/MASSARANDUBA, ANGELIM OU EQUIVALENTE DA REGIAO - BRUTA</v>
      </c>
      <c r="N3890" s="57" t="str">
        <f t="shared" si="1687"/>
        <v>si</v>
      </c>
      <c r="O3890" s="56"/>
      <c r="P3890" s="56"/>
      <c r="Q3890" s="48"/>
      <c r="R3890" s="48"/>
      <c r="S3890" s="65"/>
      <c r="T3890" s="2"/>
      <c r="U3890" s="2"/>
      <c r="V3890" s="2"/>
    </row>
    <row r="3891" spans="1:22" s="149" customFormat="1" ht="12.75" customHeight="1" x14ac:dyDescent="0.2">
      <c r="A3891" s="155" t="str">
        <f>'6.A'!$A$59</f>
        <v>CV00521</v>
      </c>
      <c r="B3891" s="138" t="str">
        <f>IF(A3891="","",VLOOKUP(A3891,'6.A'!$A$11:$G$180,2,FALSE))</f>
        <v>PREGO COM CABEÇA AÇO GALV (MÉDIA DAS BITOLAS)</v>
      </c>
      <c r="C3891" s="156">
        <f>0.04+(1.16*0.023)</f>
        <v>6.6680000000000003E-2</v>
      </c>
      <c r="D3891" s="57" t="str">
        <f>IF(A3891="","",VLOOKUP(A3891,'6.A'!$A$11:$G$180,4,FALSE))</f>
        <v>KG</v>
      </c>
      <c r="E3891" s="100">
        <f>IF(A3891="","",VLOOKUP(A3891,'6.A'!$A$11:$G$180,5,FALSE))</f>
        <v>0</v>
      </c>
      <c r="F3891" s="159">
        <f t="shared" si="1684"/>
        <v>0</v>
      </c>
      <c r="G3891" s="52"/>
      <c r="H3891" s="52">
        <f>IF(A3891="","",VLOOKUP(A3891,'6.A'!$A$11:$E$7984,5,FALSE))</f>
        <v>0</v>
      </c>
      <c r="I3891" s="52" t="str">
        <f t="shared" si="1685"/>
        <v>SIM</v>
      </c>
      <c r="J3891" s="52" t="str">
        <f>IF(H3891="","",VLOOKUP(A3891,'6.A'!$A$11:$E$564,4,FALSE))</f>
        <v>KG</v>
      </c>
      <c r="K3891" s="52" t="str">
        <f t="shared" si="1686"/>
        <v>SIM</v>
      </c>
      <c r="L3891" s="52">
        <f>IF(H3891="","",IF(C3891="","",G3860*C3891))</f>
        <v>0.20004</v>
      </c>
      <c r="M3891" s="117" t="str">
        <f>IF(A3891="","",VLOOKUP(A3891,'6.A'!$A$11:$C$564,2,FALSE))</f>
        <v>PREGO COM CABEÇA AÇO GALV (MÉDIA DAS BITOLAS)</v>
      </c>
      <c r="N3891" s="57" t="str">
        <f t="shared" si="1687"/>
        <v>si</v>
      </c>
      <c r="O3891" s="56"/>
      <c r="P3891" s="56"/>
      <c r="Q3891" s="48"/>
      <c r="R3891" s="48"/>
      <c r="S3891" s="65"/>
      <c r="T3891" s="2"/>
      <c r="U3891" s="2"/>
      <c r="V3891" s="2"/>
    </row>
    <row r="3892" spans="1:22" s="149" customFormat="1" ht="12.75" customHeight="1" x14ac:dyDescent="0.2">
      <c r="A3892" s="155">
        <f>'6.A'!$A$108</f>
        <v>4491</v>
      </c>
      <c r="B3892" s="138" t="str">
        <f>IF(A3892="","",VLOOKUP(A3892,'6.A'!$A$11:$G$180,2,FALSE))</f>
        <v>PONTALETE *7,5 X 7,5* CM EM PINUS, MISTA OU EQUIVALENTE DA REGIAO - BRUTA</v>
      </c>
      <c r="C3892" s="156">
        <f>(1.16*1.31)</f>
        <v>1.5196000000000001</v>
      </c>
      <c r="D3892" s="57" t="str">
        <f>IF(A3892="","",VLOOKUP(A3892,'6.A'!$A$11:$G$180,4,FALSE))</f>
        <v>M</v>
      </c>
      <c r="E3892" s="100">
        <f>IF(A3892="","",VLOOKUP(A3892,'6.A'!$A$11:$G$180,5,FALSE))</f>
        <v>0</v>
      </c>
      <c r="F3892" s="159">
        <f t="shared" si="1684"/>
        <v>0</v>
      </c>
      <c r="G3892" s="52"/>
      <c r="H3892" s="52">
        <f>IF(A3892="","",VLOOKUP(A3892,'6.A'!$A$11:$E$7984,5,FALSE))</f>
        <v>0</v>
      </c>
      <c r="I3892" s="52" t="str">
        <f t="shared" si="1685"/>
        <v>SIM</v>
      </c>
      <c r="J3892" s="52" t="str">
        <f>IF(H3892="","",VLOOKUP(A3892,'6.A'!$A$11:$E$564,4,FALSE))</f>
        <v>M</v>
      </c>
      <c r="K3892" s="52" t="str">
        <f t="shared" si="1686"/>
        <v>SIM</v>
      </c>
      <c r="L3892" s="52">
        <f>IF(H3892="","",IF(C3892="","",G3860*C3892))</f>
        <v>4.5587999999999997</v>
      </c>
      <c r="M3892" s="117" t="str">
        <f>IF(A3892="","",VLOOKUP(A3892,'6.A'!$A$11:$C$564,2,FALSE))</f>
        <v>PONTALETE *7,5 X 7,5* CM EM PINUS, MISTA OU EQUIVALENTE DA REGIAO - BRUTA</v>
      </c>
      <c r="N3892" s="57" t="str">
        <f t="shared" si="1687"/>
        <v>si</v>
      </c>
      <c r="O3892" s="56"/>
      <c r="P3892" s="56"/>
      <c r="Q3892" s="48"/>
      <c r="R3892" s="48"/>
      <c r="S3892" s="65"/>
      <c r="T3892" s="2"/>
      <c r="U3892" s="2"/>
      <c r="V3892" s="2"/>
    </row>
    <row r="3893" spans="1:22" s="149" customFormat="1" ht="12.75" customHeight="1" x14ac:dyDescent="0.2">
      <c r="A3893" s="155">
        <f>'6.A'!$A$135</f>
        <v>39017</v>
      </c>
      <c r="B3893" s="138" t="str">
        <f>IF(A3893="","",VLOOKUP(A3893,'6.A'!$A$11:$G$180,2,FALSE))</f>
        <v>ESPACADOR / DISTANCIADOR CIRCULAR, EM PLASTICO, PARA VERGALHAO 4,2 A 12,5 MM, COBRIMENTO 20 MM</v>
      </c>
      <c r="C3893" s="156">
        <f>(0.991*2.118)</f>
        <v>2.098938</v>
      </c>
      <c r="D3893" s="57" t="str">
        <f>IF(A3893="","",VLOOKUP(A3893,'6.A'!$A$11:$G$180,4,FALSE))</f>
        <v>UN</v>
      </c>
      <c r="E3893" s="100">
        <f>IF(A3893="","",VLOOKUP(A3893,'6.A'!$A$11:$G$180,5,FALSE))</f>
        <v>0</v>
      </c>
      <c r="F3893" s="159">
        <f t="shared" si="1684"/>
        <v>0</v>
      </c>
      <c r="G3893" s="52"/>
      <c r="H3893" s="52">
        <f>IF(A3893="","",VLOOKUP(A3893,'6.A'!$A$11:$E$7984,5,FALSE))</f>
        <v>0</v>
      </c>
      <c r="I3893" s="52" t="str">
        <f t="shared" si="1685"/>
        <v>SIM</v>
      </c>
      <c r="J3893" s="52" t="str">
        <f>IF(H3893="","",VLOOKUP(A3893,'6.A'!$A$11:$E$564,4,FALSE))</f>
        <v>UN</v>
      </c>
      <c r="K3893" s="52" t="str">
        <f t="shared" si="1686"/>
        <v>SIM</v>
      </c>
      <c r="L3893" s="52">
        <f>IF(H3893="","",IF(C3893="","",G3860*C3893))</f>
        <v>6.2968139999999995</v>
      </c>
      <c r="M3893" s="117" t="str">
        <f>IF(A3893="","",VLOOKUP(A3893,'6.A'!$A$11:$C$564,2,FALSE))</f>
        <v>ESPACADOR / DISTANCIADOR CIRCULAR, EM PLASTICO, PARA VERGALHAO 4,2 A 12,5 MM, COBRIMENTO 20 MM</v>
      </c>
      <c r="N3893" s="57" t="str">
        <f t="shared" si="1687"/>
        <v>si</v>
      </c>
      <c r="O3893" s="56"/>
      <c r="P3893" s="56"/>
      <c r="Q3893" s="48"/>
      <c r="R3893" s="48"/>
      <c r="S3893" s="65"/>
      <c r="T3893" s="2"/>
      <c r="U3893" s="2"/>
      <c r="V3893" s="2"/>
    </row>
    <row r="3894" spans="1:22" s="149" customFormat="1" ht="12.75" customHeight="1" x14ac:dyDescent="0.2">
      <c r="A3894" s="155">
        <f>'6.A'!$A$157</f>
        <v>43132</v>
      </c>
      <c r="B3894" s="138" t="str">
        <f>IF(A3894="","",VLOOKUP(A3894,'6.A'!$A$11:$G$180,2,FALSE))</f>
        <v>ARAME RECOZIDO 16 BWG, D = 1,65 MM (0,016 KG/M) OU 18 BWG, D = 1,25 MM (0,01 KG/M)</v>
      </c>
      <c r="C3894" s="156">
        <f>(0.991*0.025)</f>
        <v>2.4775000000000002E-2</v>
      </c>
      <c r="D3894" s="57" t="str">
        <f>IF(A3894="","",VLOOKUP(A3894,'6.A'!$A$11:$G$180,4,FALSE))</f>
        <v>KG</v>
      </c>
      <c r="E3894" s="100">
        <f>IF(A3894="","",VLOOKUP(A3894,'6.A'!$A$11:$G$180,5,FALSE))</f>
        <v>0</v>
      </c>
      <c r="F3894" s="159">
        <f t="shared" si="1684"/>
        <v>0</v>
      </c>
      <c r="G3894" s="52"/>
      <c r="H3894" s="52">
        <f>IF(A3894="","",VLOOKUP(A3894,'6.A'!$A$11:$E$7984,5,FALSE))</f>
        <v>0</v>
      </c>
      <c r="I3894" s="52" t="str">
        <f t="shared" si="1685"/>
        <v>SIM</v>
      </c>
      <c r="J3894" s="52" t="str">
        <f>IF(H3894="","",VLOOKUP(A3894,'6.A'!$A$11:$E$564,4,FALSE))</f>
        <v>KG</v>
      </c>
      <c r="K3894" s="52" t="str">
        <f t="shared" si="1686"/>
        <v>SIM</v>
      </c>
      <c r="L3894" s="52">
        <f>IF(H3894="","",IF(C3894="","",G3860*C3894))</f>
        <v>7.4325000000000002E-2</v>
      </c>
      <c r="M3894" s="117" t="str">
        <f>IF(A3894="","",VLOOKUP(A3894,'6.A'!$A$11:$C$564,2,FALSE))</f>
        <v>ARAME RECOZIDO 16 BWG, D = 1,65 MM (0,016 KG/M) OU 18 BWG, D = 1,25 MM (0,01 KG/M)</v>
      </c>
      <c r="N3894" s="57" t="str">
        <f t="shared" si="1687"/>
        <v>si</v>
      </c>
      <c r="O3894" s="56"/>
      <c r="P3894" s="56"/>
      <c r="Q3894" s="48"/>
      <c r="R3894" s="48"/>
      <c r="S3894" s="65"/>
      <c r="T3894" s="2"/>
      <c r="U3894" s="2"/>
      <c r="V3894" s="2"/>
    </row>
    <row r="3895" spans="1:22" s="149" customFormat="1" ht="12.75" customHeight="1" x14ac:dyDescent="0.2">
      <c r="A3895" s="155" t="str">
        <f>'6.A'!$A$58</f>
        <v>CV00239</v>
      </c>
      <c r="B3895" s="138" t="str">
        <f>IF(A3895="","",VLOOKUP(A3895,'6.A'!$A$11:$G$180,2,FALSE))</f>
        <v>VERGALHÃO (AÇO-CA-60) - (MÉDIA DAS BITOLAS ENTRE 3,4 A 8,0MM)</v>
      </c>
      <c r="C3895" s="156">
        <f>(0.991*1)</f>
        <v>0.99099999999999999</v>
      </c>
      <c r="D3895" s="157" t="str">
        <f>IF(A3895="","",VLOOKUP(A3895,'6.A'!$A$11:$G$180,4,FALSE))</f>
        <v>KG</v>
      </c>
      <c r="E3895" s="158">
        <f>IF(A3895="","",VLOOKUP(A3895,'6.A'!$A$11:$G$180,5,FALSE))</f>
        <v>0</v>
      </c>
      <c r="F3895" s="159">
        <f t="shared" si="1684"/>
        <v>0</v>
      </c>
      <c r="G3895" s="52"/>
      <c r="H3895" s="52">
        <f>IF(A3895="","",VLOOKUP(A3895,'6.A'!$A$11:$E$7984,5,FALSE))</f>
        <v>0</v>
      </c>
      <c r="I3895" s="52" t="str">
        <f t="shared" si="1685"/>
        <v>SIM</v>
      </c>
      <c r="J3895" s="52" t="str">
        <f>IF(H3895="","",VLOOKUP(A3895,'6.A'!$A$11:$E$564,4,FALSE))</f>
        <v>KG</v>
      </c>
      <c r="K3895" s="52" t="str">
        <f t="shared" si="1686"/>
        <v>SIM</v>
      </c>
      <c r="L3895" s="52">
        <f>IF(H3895="","",IF(C3895="","",G3860*C3895))</f>
        <v>2.9729999999999999</v>
      </c>
      <c r="M3895" s="117" t="str">
        <f>IF(A3895="","",VLOOKUP(A3895,'6.A'!$A$11:$C$564,2,FALSE))</f>
        <v>VERGALHÃO (AÇO-CA-60) - (MÉDIA DAS BITOLAS ENTRE 3,4 A 8,0MM)</v>
      </c>
      <c r="N3895" s="57" t="str">
        <f t="shared" si="1687"/>
        <v>si</v>
      </c>
      <c r="O3895" s="56"/>
      <c r="P3895" s="56"/>
      <c r="Q3895" s="48"/>
      <c r="R3895" s="48"/>
      <c r="S3895" s="65"/>
      <c r="T3895" s="2"/>
      <c r="U3895" s="2"/>
      <c r="V3895" s="2"/>
    </row>
    <row r="3896" spans="1:22" s="149" customFormat="1" ht="12.75" customHeight="1" x14ac:dyDescent="0.2">
      <c r="A3896" s="155" t="str">
        <f>'6.A'!$A$53</f>
        <v>CV00201</v>
      </c>
      <c r="B3896" s="138" t="str">
        <f>IF(A3896="","",VLOOKUP(A3896,'6.A'!$A$11:$G$180,2,FALSE))</f>
        <v>CONCRETO ESTRUTURAL USINADO FCK 25 MPA</v>
      </c>
      <c r="C3896" s="156">
        <f>(0.054*1.103)</f>
        <v>5.9561999999999997E-2</v>
      </c>
      <c r="D3896" s="157" t="str">
        <f>IF(A3896="","",VLOOKUP(A3896,'6.A'!$A$11:$G$180,4,FALSE))</f>
        <v>M3</v>
      </c>
      <c r="E3896" s="158">
        <f>IF(A3896="","",VLOOKUP(A3896,'6.A'!$A$11:$G$180,5,FALSE))</f>
        <v>0</v>
      </c>
      <c r="F3896" s="159">
        <f t="shared" si="1684"/>
        <v>0</v>
      </c>
      <c r="G3896" s="52"/>
      <c r="H3896" s="52">
        <f>IF(A3896="","",VLOOKUP(A3896,'6.A'!$A$11:$E$7984,5,FALSE))</f>
        <v>0</v>
      </c>
      <c r="I3896" s="52" t="str">
        <f t="shared" si="1685"/>
        <v>SIM</v>
      </c>
      <c r="J3896" s="52" t="str">
        <f>IF(H3896="","",VLOOKUP(A3896,'6.A'!$A$11:$E$564,4,FALSE))</f>
        <v>M3</v>
      </c>
      <c r="K3896" s="52" t="str">
        <f t="shared" si="1686"/>
        <v>SIM</v>
      </c>
      <c r="L3896" s="52">
        <f>IF(H3896="","",IF(C3896="","",G3860*C3896))</f>
        <v>0.17868599999999998</v>
      </c>
      <c r="M3896" s="117" t="str">
        <f>IF(A3896="","",VLOOKUP(A3896,'6.A'!$A$11:$C$564,2,FALSE))</f>
        <v>CONCRETO ESTRUTURAL USINADO FCK 25 MPA</v>
      </c>
      <c r="N3896" s="57" t="str">
        <f t="shared" si="1687"/>
        <v>si</v>
      </c>
      <c r="O3896" s="56"/>
      <c r="P3896" s="56"/>
      <c r="Q3896" s="48"/>
      <c r="R3896" s="48"/>
      <c r="S3896" s="65"/>
      <c r="T3896" s="2"/>
      <c r="U3896" s="2"/>
      <c r="V3896" s="2"/>
    </row>
    <row r="3897" spans="1:22" s="149" customFormat="1" ht="12.75" customHeight="1" x14ac:dyDescent="0.2">
      <c r="A3897" s="155"/>
      <c r="B3897" s="138" t="str">
        <f>IF(A3897="","",VLOOKUP(A3897,'6.A'!$A$11:$G$180,2,FALSE))</f>
        <v/>
      </c>
      <c r="C3897" s="156"/>
      <c r="D3897" s="141" t="str">
        <f>IF(A3897="","",VLOOKUP(A3897,'6.A'!$A$11:$G$180,4,FALSE))</f>
        <v/>
      </c>
      <c r="E3897" s="160" t="str">
        <f>IF(A3897="","",VLOOKUP(A3897,'6.A'!$A$11:$G$180,5,FALSE))</f>
        <v/>
      </c>
      <c r="F3897" s="159" t="str">
        <f t="shared" si="1684"/>
        <v>0,00</v>
      </c>
      <c r="G3897" s="52"/>
      <c r="H3897" s="52" t="str">
        <f>IF(A3897="","",VLOOKUP(A3897,'6.A'!$A$11:$E$7984,5,FALSE))</f>
        <v/>
      </c>
      <c r="I3897" s="52" t="str">
        <f t="shared" si="1685"/>
        <v/>
      </c>
      <c r="J3897" s="52" t="str">
        <f>IF(H3897="","",VLOOKUP(A3897,'6.A'!$A$11:$E$564,4,FALSE))</f>
        <v/>
      </c>
      <c r="K3897" s="52" t="str">
        <f t="shared" si="1686"/>
        <v/>
      </c>
      <c r="L3897" s="52" t="str">
        <f>IF(H3897="","",IF(C3897="","",G3860*C3897))</f>
        <v/>
      </c>
      <c r="M3897" s="117" t="str">
        <f>IF(A3897="","",VLOOKUP(A3897,'6.A'!$A$11:$C$564,2,FALSE))</f>
        <v/>
      </c>
      <c r="N3897" s="57" t="str">
        <f t="shared" si="1687"/>
        <v/>
      </c>
      <c r="O3897" s="56"/>
      <c r="P3897" s="56"/>
      <c r="Q3897" s="48"/>
      <c r="R3897" s="48"/>
      <c r="S3897" s="65"/>
      <c r="T3897" s="2"/>
      <c r="U3897" s="2"/>
      <c r="V3897" s="2"/>
    </row>
    <row r="3898" spans="1:22" s="149" customFormat="1" ht="12.75" customHeight="1" x14ac:dyDescent="0.2">
      <c r="A3898" s="155"/>
      <c r="B3898" s="138" t="str">
        <f>IF(A3898="","",VLOOKUP(A3898,'6.A'!$A$11:$G$180,2,FALSE))</f>
        <v/>
      </c>
      <c r="C3898" s="156"/>
      <c r="D3898" s="141" t="str">
        <f>IF(A3898="","",VLOOKUP(A3898,'6.A'!$A$11:$G$180,4,FALSE))</f>
        <v/>
      </c>
      <c r="E3898" s="160" t="str">
        <f>IF(A3898="","",VLOOKUP(A3898,'6.A'!$A$11:$G$180,5,FALSE))</f>
        <v/>
      </c>
      <c r="F3898" s="159" t="str">
        <f t="shared" si="1684"/>
        <v>0,00</v>
      </c>
      <c r="G3898" s="52"/>
      <c r="H3898" s="52" t="str">
        <f>IF(A3898="","",VLOOKUP(A3898,'6.A'!$A$11:$E$7984,5,FALSE))</f>
        <v/>
      </c>
      <c r="I3898" s="52" t="str">
        <f t="shared" si="1685"/>
        <v/>
      </c>
      <c r="J3898" s="52" t="str">
        <f>IF(H3898="","",VLOOKUP(A3898,'6.A'!$A$11:$E$564,4,FALSE))</f>
        <v/>
      </c>
      <c r="K3898" s="52" t="str">
        <f t="shared" si="1686"/>
        <v/>
      </c>
      <c r="L3898" s="52" t="str">
        <f>IF(H3898="","",IF(C3898="","",G3860*C3898))</f>
        <v/>
      </c>
      <c r="M3898" s="117" t="str">
        <f>IF(A3898="","",VLOOKUP(A3898,'6.A'!$A$11:$C$564,2,FALSE))</f>
        <v/>
      </c>
      <c r="N3898" s="57" t="str">
        <f t="shared" si="1687"/>
        <v/>
      </c>
      <c r="O3898" s="56"/>
      <c r="P3898" s="56"/>
      <c r="Q3898" s="48"/>
      <c r="R3898" s="48"/>
      <c r="S3898" s="65"/>
      <c r="T3898" s="2"/>
      <c r="U3898" s="2"/>
      <c r="V3898" s="2"/>
    </row>
    <row r="3899" spans="1:22" s="149" customFormat="1" ht="12.75" customHeight="1" x14ac:dyDescent="0.2">
      <c r="A3899" s="155"/>
      <c r="B3899" s="138" t="str">
        <f>IF(A3899="","",VLOOKUP(A3899,'6.A'!$A$11:$G$180,2,FALSE))</f>
        <v/>
      </c>
      <c r="C3899" s="156"/>
      <c r="D3899" s="141" t="str">
        <f>IF(A3899="","",VLOOKUP(A3899,'6.A'!$A$11:$G$180,4,FALSE))</f>
        <v/>
      </c>
      <c r="E3899" s="160" t="str">
        <f>IF(A3899="","",VLOOKUP(A3899,'6.A'!$A$11:$G$180,5,FALSE))</f>
        <v/>
      </c>
      <c r="F3899" s="159" t="str">
        <f t="shared" si="1684"/>
        <v>0,00</v>
      </c>
      <c r="G3899" s="52"/>
      <c r="H3899" s="52" t="str">
        <f>IF(A3899="","",VLOOKUP(A3899,'6.A'!$A$11:$E$7984,5,FALSE))</f>
        <v/>
      </c>
      <c r="I3899" s="52" t="str">
        <f t="shared" si="1685"/>
        <v/>
      </c>
      <c r="J3899" s="52" t="str">
        <f>IF(H3899="","",VLOOKUP(A3899,'6.A'!$A$11:$E$564,4,FALSE))</f>
        <v/>
      </c>
      <c r="K3899" s="52" t="str">
        <f t="shared" si="1686"/>
        <v/>
      </c>
      <c r="L3899" s="52" t="str">
        <f>IF(H3899="","",IF(C3899="","",G3860*C3899))</f>
        <v/>
      </c>
      <c r="M3899" s="117" t="str">
        <f>IF(A3899="","",VLOOKUP(A3899,'6.A'!$A$11:$C$564,2,FALSE))</f>
        <v/>
      </c>
      <c r="N3899" s="57" t="str">
        <f t="shared" si="1687"/>
        <v/>
      </c>
      <c r="O3899" s="56"/>
      <c r="P3899" s="56"/>
      <c r="Q3899" s="48"/>
      <c r="R3899" s="48"/>
      <c r="S3899" s="65"/>
      <c r="T3899" s="2"/>
      <c r="U3899" s="2"/>
      <c r="V3899" s="2"/>
    </row>
    <row r="3900" spans="1:22" s="149" customFormat="1" ht="12.75" customHeight="1" x14ac:dyDescent="0.2">
      <c r="A3900" s="155"/>
      <c r="B3900" s="138" t="str">
        <f>IF(A3900="","",VLOOKUP(A3900,'6.A'!$A$11:$G$180,2,FALSE))</f>
        <v/>
      </c>
      <c r="C3900" s="156"/>
      <c r="D3900" s="141" t="str">
        <f>IF(A3900="","",VLOOKUP(A3900,'6.A'!$A$11:$G$180,4,FALSE))</f>
        <v/>
      </c>
      <c r="E3900" s="160" t="str">
        <f>IF(A3900="","",VLOOKUP(A3900,'6.A'!$A$11:$G$180,5,FALSE))</f>
        <v/>
      </c>
      <c r="F3900" s="159" t="str">
        <f t="shared" si="1684"/>
        <v>0,00</v>
      </c>
      <c r="G3900" s="52"/>
      <c r="H3900" s="52" t="str">
        <f>IF(A3900="","",VLOOKUP(A3900,'6.A'!$A$11:$E$7984,5,FALSE))</f>
        <v/>
      </c>
      <c r="I3900" s="52" t="str">
        <f t="shared" si="1685"/>
        <v/>
      </c>
      <c r="J3900" s="52" t="str">
        <f>IF(H3900="","",VLOOKUP(A3900,'6.A'!$A$11:$E$564,4,FALSE))</f>
        <v/>
      </c>
      <c r="K3900" s="52" t="str">
        <f t="shared" si="1686"/>
        <v/>
      </c>
      <c r="L3900" s="52" t="str">
        <f>IF(H3900="","",IF(C3900="","",G3860*C3900))</f>
        <v/>
      </c>
      <c r="M3900" s="117" t="str">
        <f>IF(A3900="","",VLOOKUP(A3900,'6.A'!$A$11:$C$564,2,FALSE))</f>
        <v/>
      </c>
      <c r="N3900" s="57" t="str">
        <f t="shared" si="1687"/>
        <v/>
      </c>
      <c r="O3900" s="56"/>
      <c r="P3900" s="56"/>
      <c r="Q3900" s="48"/>
      <c r="R3900" s="48"/>
      <c r="S3900" s="65"/>
      <c r="T3900" s="2"/>
      <c r="U3900" s="2"/>
      <c r="V3900" s="2"/>
    </row>
    <row r="3901" spans="1:22" s="149" customFormat="1" ht="12.75" customHeight="1" x14ac:dyDescent="0.2">
      <c r="A3901" s="155"/>
      <c r="B3901" s="138" t="str">
        <f>IF(A3901="","",VLOOKUP(A3901,'6.A'!$A$11:$G$180,2,FALSE))</f>
        <v/>
      </c>
      <c r="C3901" s="156"/>
      <c r="D3901" s="141" t="str">
        <f>IF(A3901="","",VLOOKUP(A3901,'6.A'!$A$11:$G$180,4,FALSE))</f>
        <v/>
      </c>
      <c r="E3901" s="160" t="str">
        <f>IF(A3901="","",VLOOKUP(A3901,'6.A'!$A$11:$G$180,5,FALSE))</f>
        <v/>
      </c>
      <c r="F3901" s="159" t="str">
        <f t="shared" si="1684"/>
        <v>0,00</v>
      </c>
      <c r="G3901" s="52"/>
      <c r="H3901" s="52" t="str">
        <f>IF(A3901="","",VLOOKUP(A3901,'6.A'!$A$11:$E$7984,5,FALSE))</f>
        <v/>
      </c>
      <c r="I3901" s="52" t="str">
        <f t="shared" si="1685"/>
        <v/>
      </c>
      <c r="J3901" s="52" t="str">
        <f>IF(H3901="","",VLOOKUP(A3901,'6.A'!$A$11:$E$564,4,FALSE))</f>
        <v/>
      </c>
      <c r="K3901" s="52" t="str">
        <f t="shared" si="1686"/>
        <v/>
      </c>
      <c r="L3901" s="52" t="str">
        <f>IF(H3901="","",IF(C3901="","",G3860*C3901))</f>
        <v/>
      </c>
      <c r="M3901" s="117" t="str">
        <f>IF(A3901="","",VLOOKUP(A3901,'6.A'!$A$11:$C$564,2,FALSE))</f>
        <v/>
      </c>
      <c r="N3901" s="57" t="str">
        <f t="shared" si="1687"/>
        <v/>
      </c>
      <c r="O3901" s="56"/>
      <c r="P3901" s="56"/>
      <c r="Q3901" s="48"/>
      <c r="R3901" s="48"/>
      <c r="S3901" s="65"/>
      <c r="T3901" s="2"/>
      <c r="U3901" s="2"/>
      <c r="V3901" s="2"/>
    </row>
    <row r="3902" spans="1:22" s="149" customFormat="1" ht="12.75" customHeight="1" x14ac:dyDescent="0.2">
      <c r="A3902" s="155"/>
      <c r="B3902" s="138" t="str">
        <f>IF(A3902="","",VLOOKUP(A3902,'6.A'!$A$11:$G$180,2,FALSE))</f>
        <v/>
      </c>
      <c r="C3902" s="156"/>
      <c r="D3902" s="141" t="str">
        <f>IF(A3902="","",VLOOKUP(A3902,'6.A'!$A$11:$G$180,4,FALSE))</f>
        <v/>
      </c>
      <c r="E3902" s="160" t="str">
        <f>IF(A3902="","",VLOOKUP(A3902,'6.A'!$A$11:$G$180,5,FALSE))</f>
        <v/>
      </c>
      <c r="F3902" s="159" t="str">
        <f t="shared" si="1684"/>
        <v>0,00</v>
      </c>
      <c r="G3902" s="52"/>
      <c r="H3902" s="52" t="str">
        <f>IF(A3902="","",VLOOKUP(A3902,'6.A'!$A$11:$E$7984,5,FALSE))</f>
        <v/>
      </c>
      <c r="I3902" s="52" t="str">
        <f t="shared" si="1685"/>
        <v/>
      </c>
      <c r="J3902" s="52" t="str">
        <f>IF(H3902="","",VLOOKUP(A3902,'6.A'!$A$11:$E$564,4,FALSE))</f>
        <v/>
      </c>
      <c r="K3902" s="52" t="str">
        <f t="shared" si="1686"/>
        <v/>
      </c>
      <c r="L3902" s="52" t="str">
        <f>IF(H3902="","",IF(C3902="","",G3860*C3902))</f>
        <v/>
      </c>
      <c r="M3902" s="117" t="str">
        <f>IF(A3902="","",VLOOKUP(A3902,'6.A'!$A$11:$C$564,2,FALSE))</f>
        <v/>
      </c>
      <c r="N3902" s="57" t="str">
        <f t="shared" si="1687"/>
        <v/>
      </c>
      <c r="O3902" s="56"/>
      <c r="P3902" s="56"/>
      <c r="Q3902" s="48"/>
      <c r="R3902" s="48"/>
      <c r="S3902" s="65"/>
      <c r="T3902" s="2"/>
      <c r="U3902" s="2"/>
      <c r="V3902" s="2"/>
    </row>
    <row r="3903" spans="1:22" s="149" customFormat="1" ht="12.75" customHeight="1" x14ac:dyDescent="0.2">
      <c r="A3903" s="155"/>
      <c r="B3903" s="138" t="str">
        <f>IF(A3903="","",VLOOKUP(A3903,'6.A'!$A$11:$G$180,2,FALSE))</f>
        <v/>
      </c>
      <c r="C3903" s="156"/>
      <c r="D3903" s="141" t="str">
        <f>IF(A3903="","",VLOOKUP(A3903,'6.A'!$A$11:$G$180,4,FALSE))</f>
        <v/>
      </c>
      <c r="E3903" s="160" t="str">
        <f>IF(A3903="","",VLOOKUP(A3903,'6.A'!$A$11:$G$180,5,FALSE))</f>
        <v/>
      </c>
      <c r="F3903" s="159" t="str">
        <f t="shared" si="1684"/>
        <v>0,00</v>
      </c>
      <c r="G3903" s="52"/>
      <c r="H3903" s="52" t="str">
        <f>IF(A3903="","",VLOOKUP(A3903,'6.A'!$A$11:$E$7984,5,FALSE))</f>
        <v/>
      </c>
      <c r="I3903" s="52" t="str">
        <f t="shared" si="1685"/>
        <v/>
      </c>
      <c r="J3903" s="52" t="str">
        <f>IF(H3903="","",VLOOKUP(A3903,'6.A'!$A$11:$E$564,4,FALSE))</f>
        <v/>
      </c>
      <c r="K3903" s="52" t="str">
        <f t="shared" si="1686"/>
        <v/>
      </c>
      <c r="L3903" s="52" t="str">
        <f>IF(H3903="","",IF(C3903="","",G3860*C3903))</f>
        <v/>
      </c>
      <c r="M3903" s="117" t="str">
        <f>IF(A3903="","",VLOOKUP(A3903,'6.A'!$A$11:$C$564,2,FALSE))</f>
        <v/>
      </c>
      <c r="N3903" s="57" t="str">
        <f t="shared" si="1687"/>
        <v/>
      </c>
      <c r="O3903" s="56"/>
      <c r="P3903" s="56"/>
      <c r="Q3903" s="48"/>
      <c r="R3903" s="48"/>
      <c r="S3903" s="65"/>
      <c r="T3903" s="2"/>
      <c r="U3903" s="2"/>
      <c r="V3903" s="2"/>
    </row>
    <row r="3904" spans="1:22" s="149" customFormat="1" ht="12.75" customHeight="1" x14ac:dyDescent="0.2">
      <c r="A3904" s="155"/>
      <c r="B3904" s="138" t="str">
        <f>IF(A3904="","",VLOOKUP(A3904,'6.A'!$A$11:$G$180,2,FALSE))</f>
        <v/>
      </c>
      <c r="C3904" s="156"/>
      <c r="D3904" s="141" t="str">
        <f>IF(A3904="","",VLOOKUP(A3904,'6.A'!$A$11:$G$180,4,FALSE))</f>
        <v/>
      </c>
      <c r="E3904" s="160" t="str">
        <f>IF(A3904="","",VLOOKUP(A3904,'6.A'!$A$11:$G$180,5,FALSE))</f>
        <v/>
      </c>
      <c r="F3904" s="159" t="str">
        <f t="shared" si="1684"/>
        <v>0,00</v>
      </c>
      <c r="G3904" s="52"/>
      <c r="H3904" s="52" t="str">
        <f>IF(A3904="","",VLOOKUP(A3904,'6.A'!$A$11:$E$7984,5,FALSE))</f>
        <v/>
      </c>
      <c r="I3904" s="52" t="str">
        <f t="shared" si="1685"/>
        <v/>
      </c>
      <c r="J3904" s="52" t="str">
        <f>IF(H3904="","",VLOOKUP(A3904,'6.A'!$A$11:$E$564,4,FALSE))</f>
        <v/>
      </c>
      <c r="K3904" s="52" t="str">
        <f t="shared" si="1686"/>
        <v/>
      </c>
      <c r="L3904" s="52" t="str">
        <f>IF(H3904="","",IF(C3904="","",G3860*C3904))</f>
        <v/>
      </c>
      <c r="M3904" s="117" t="str">
        <f>IF(A3904="","",VLOOKUP(A3904,'6.A'!$A$11:$C$564,2,FALSE))</f>
        <v/>
      </c>
      <c r="N3904" s="57" t="str">
        <f t="shared" si="1687"/>
        <v/>
      </c>
      <c r="O3904" s="56"/>
      <c r="P3904" s="56"/>
      <c r="Q3904" s="48"/>
      <c r="R3904" s="48"/>
      <c r="S3904" s="65"/>
      <c r="T3904" s="2"/>
      <c r="U3904" s="2"/>
      <c r="V3904" s="2"/>
    </row>
    <row r="3905" spans="1:22" s="137" customFormat="1" ht="12.75" customHeight="1" x14ac:dyDescent="0.2">
      <c r="A3905" s="155"/>
      <c r="B3905" s="171" t="str">
        <f>IF(A3905="","",VLOOKUP(A3905,'6.A'!$A$11:$G$180,2,FALSE))</f>
        <v/>
      </c>
      <c r="C3905" s="156"/>
      <c r="D3905" s="141" t="str">
        <f>IF(A3905="","",VLOOKUP(A3905,'6.A'!$A$11:$G$180,4,FALSE))</f>
        <v/>
      </c>
      <c r="E3905" s="160" t="str">
        <f>IF(A3905="","",VLOOKUP(A3905,'6.A'!$A$11:$G$180,5,FALSE))</f>
        <v/>
      </c>
      <c r="F3905" s="159" t="str">
        <f t="shared" si="1684"/>
        <v>0,00</v>
      </c>
      <c r="G3905" s="52"/>
      <c r="H3905" s="52" t="str">
        <f>IF(A3905="","",VLOOKUP(A3905,'6.A'!$A$11:$E$7984,5,FALSE))</f>
        <v/>
      </c>
      <c r="I3905" s="52" t="str">
        <f t="shared" si="1685"/>
        <v/>
      </c>
      <c r="J3905" s="52" t="str">
        <f>IF(H3905="","",VLOOKUP(A3905,'6.A'!$A$11:$E$564,4,FALSE))</f>
        <v/>
      </c>
      <c r="K3905" s="52" t="str">
        <f t="shared" si="1686"/>
        <v/>
      </c>
      <c r="L3905" s="52" t="str">
        <f>IF(H3905="","",IF(C3905="","",G3860*C3905))</f>
        <v/>
      </c>
      <c r="M3905" s="117" t="str">
        <f>IF(A3905="","",VLOOKUP(A3905,'6.A'!$A$11:$C$564,2,FALSE))</f>
        <v/>
      </c>
      <c r="N3905" s="57" t="str">
        <f t="shared" si="1687"/>
        <v/>
      </c>
      <c r="O3905" s="56"/>
      <c r="P3905" s="56"/>
      <c r="Q3905" s="48"/>
      <c r="R3905" s="48"/>
      <c r="S3905" s="65"/>
      <c r="T3905" s="2"/>
      <c r="U3905" s="2"/>
      <c r="V3905" s="2"/>
    </row>
    <row r="3906" spans="1:22" s="137" customFormat="1" ht="12.75" customHeight="1" x14ac:dyDescent="0.2">
      <c r="A3906" s="155"/>
      <c r="B3906" s="171" t="str">
        <f>IF(A3906="","",VLOOKUP(A3906,'6.A'!$A$11:$G$180,2,FALSE))</f>
        <v/>
      </c>
      <c r="C3906" s="156"/>
      <c r="D3906" s="141" t="str">
        <f>IF(A3906="","",VLOOKUP(A3906,'6.A'!$A$11:$G$180,4,FALSE))</f>
        <v/>
      </c>
      <c r="E3906" s="160" t="str">
        <f>IF(A3906="","",VLOOKUP(A3906,'6.A'!$A$11:$G$180,5,FALSE))</f>
        <v/>
      </c>
      <c r="F3906" s="159" t="str">
        <f t="shared" si="1684"/>
        <v>0,00</v>
      </c>
      <c r="G3906" s="52"/>
      <c r="H3906" s="52" t="str">
        <f>IF(A3906="","",VLOOKUP(A3906,'6.A'!$A$11:$E$7984,5,FALSE))</f>
        <v/>
      </c>
      <c r="I3906" s="52" t="str">
        <f t="shared" si="1685"/>
        <v/>
      </c>
      <c r="J3906" s="52" t="str">
        <f>IF(H3906="","",VLOOKUP(A3906,'6.A'!$A$11:$E$564,4,FALSE))</f>
        <v/>
      </c>
      <c r="K3906" s="52" t="str">
        <f t="shared" si="1686"/>
        <v/>
      </c>
      <c r="L3906" s="52" t="str">
        <f>IF(H3906="","",IF(C3906="","",G3860*C3906))</f>
        <v/>
      </c>
      <c r="M3906" s="117" t="str">
        <f>IF(A3906="","",VLOOKUP(A3906,'6.A'!$A$11:$C$564,2,FALSE))</f>
        <v/>
      </c>
      <c r="N3906" s="57" t="str">
        <f t="shared" si="1687"/>
        <v/>
      </c>
      <c r="O3906" s="56"/>
      <c r="P3906" s="56"/>
      <c r="Q3906" s="48"/>
      <c r="R3906" s="48"/>
      <c r="S3906" s="65"/>
      <c r="T3906" s="2"/>
      <c r="U3906" s="2"/>
      <c r="V3906" s="2"/>
    </row>
    <row r="3907" spans="1:22" s="137" customFormat="1" ht="12.75" customHeight="1" x14ac:dyDescent="0.2">
      <c r="A3907" s="155"/>
      <c r="B3907" s="171" t="str">
        <f>IF(A3907="","",VLOOKUP(A3907,'6.A'!$A$11:$G$180,2,FALSE))</f>
        <v/>
      </c>
      <c r="C3907" s="156"/>
      <c r="D3907" s="141" t="str">
        <f>IF(A3907="","",VLOOKUP(A3907,'6.A'!$A$11:$G$180,4,FALSE))</f>
        <v/>
      </c>
      <c r="E3907" s="160" t="str">
        <f>IF(A3907="","",VLOOKUP(A3907,'6.A'!$A$11:$G$180,5,FALSE))</f>
        <v/>
      </c>
      <c r="F3907" s="159" t="str">
        <f t="shared" si="1684"/>
        <v>0,00</v>
      </c>
      <c r="G3907" s="52"/>
      <c r="H3907" s="52" t="str">
        <f>IF(A3907="","",VLOOKUP(A3907,'6.A'!$A$11:$E$7984,5,FALSE))</f>
        <v/>
      </c>
      <c r="I3907" s="52" t="str">
        <f t="shared" si="1685"/>
        <v/>
      </c>
      <c r="J3907" s="52" t="str">
        <f>IF(H3907="","",VLOOKUP(A3907,'6.A'!$A$11:$E$564,4,FALSE))</f>
        <v/>
      </c>
      <c r="K3907" s="52" t="str">
        <f t="shared" si="1686"/>
        <v/>
      </c>
      <c r="L3907" s="52" t="str">
        <f>IF(H3907="","",IF(C3907="","",G3860*C3907))</f>
        <v/>
      </c>
      <c r="M3907" s="117" t="str">
        <f>IF(A3907="","",VLOOKUP(A3907,'6.A'!$A$11:$C$564,2,FALSE))</f>
        <v/>
      </c>
      <c r="N3907" s="57" t="str">
        <f t="shared" si="1687"/>
        <v/>
      </c>
      <c r="O3907" s="56"/>
      <c r="P3907" s="56"/>
      <c r="Q3907" s="48"/>
      <c r="R3907" s="48"/>
      <c r="S3907" s="65"/>
      <c r="T3907" s="2"/>
      <c r="U3907" s="2"/>
      <c r="V3907" s="2"/>
    </row>
    <row r="3908" spans="1:22" s="137" customFormat="1" ht="12.75" customHeight="1" x14ac:dyDescent="0.2">
      <c r="A3908" s="155"/>
      <c r="B3908" s="171" t="str">
        <f>IF(A3908="","",VLOOKUP(A3908,'6.A'!$A$11:$G$180,2,FALSE))</f>
        <v/>
      </c>
      <c r="C3908" s="156"/>
      <c r="D3908" s="141" t="str">
        <f>IF(A3908="","",VLOOKUP(A3908,'6.A'!$A$11:$G$180,4,FALSE))</f>
        <v/>
      </c>
      <c r="E3908" s="160" t="str">
        <f>IF(A3908="","",VLOOKUP(A3908,'6.A'!$A$11:$G$180,5,FALSE))</f>
        <v/>
      </c>
      <c r="F3908" s="159" t="str">
        <f t="shared" si="1684"/>
        <v>0,00</v>
      </c>
      <c r="G3908" s="52"/>
      <c r="H3908" s="52" t="str">
        <f>IF(A3908="","",VLOOKUP(A3908,'6.A'!$A$11:$E$7984,5,FALSE))</f>
        <v/>
      </c>
      <c r="I3908" s="52" t="str">
        <f t="shared" si="1685"/>
        <v/>
      </c>
      <c r="J3908" s="52" t="str">
        <f>IF(H3908="","",VLOOKUP(A3908,'6.A'!$A$11:$E$564,4,FALSE))</f>
        <v/>
      </c>
      <c r="K3908" s="52" t="str">
        <f t="shared" si="1686"/>
        <v/>
      </c>
      <c r="L3908" s="52" t="str">
        <f>IF(H3908="","",IF(C3908="","",G3860*C3908))</f>
        <v/>
      </c>
      <c r="M3908" s="117" t="str">
        <f>IF(A3908="","",VLOOKUP(A3908,'6.A'!$A$11:$C$564,2,FALSE))</f>
        <v/>
      </c>
      <c r="N3908" s="57" t="str">
        <f t="shared" si="1687"/>
        <v/>
      </c>
      <c r="O3908" s="56"/>
      <c r="P3908" s="56"/>
      <c r="Q3908" s="48"/>
      <c r="R3908" s="48"/>
      <c r="S3908" s="65"/>
      <c r="T3908" s="2"/>
      <c r="U3908" s="2"/>
      <c r="V3908" s="2"/>
    </row>
    <row r="3909" spans="1:22" s="137" customFormat="1" ht="12.75" customHeight="1" x14ac:dyDescent="0.2">
      <c r="A3909" s="155"/>
      <c r="B3909" s="26" t="str">
        <f>$A$9</f>
        <v>BDI</v>
      </c>
      <c r="C3909" s="40">
        <f>$C$9</f>
        <v>0</v>
      </c>
      <c r="D3909" s="141"/>
      <c r="E3909" s="147"/>
      <c r="F3909" s="162">
        <f>ROUND(SUM(F3889:F3908)*C3909,2)</f>
        <v>0</v>
      </c>
      <c r="G3909" s="63"/>
      <c r="H3909" s="52"/>
      <c r="I3909" s="57"/>
      <c r="J3909" s="57"/>
      <c r="K3909" s="57"/>
      <c r="L3909" s="52"/>
      <c r="M3909" s="57"/>
      <c r="N3909" s="57"/>
      <c r="O3909" s="56"/>
      <c r="P3909" s="56"/>
      <c r="Q3909" s="48"/>
      <c r="R3909" s="48"/>
      <c r="S3909" s="65"/>
      <c r="T3909" s="2"/>
      <c r="U3909" s="2"/>
      <c r="V3909" s="2"/>
    </row>
    <row r="3910" spans="1:22" s="137" customFormat="1" ht="12.75" customHeight="1" thickBot="1" x14ac:dyDescent="0.25">
      <c r="A3910" s="172"/>
      <c r="B3910" s="42" t="s">
        <v>57</v>
      </c>
      <c r="C3910" s="43"/>
      <c r="D3910" s="173"/>
      <c r="E3910" s="174"/>
      <c r="F3910" s="175">
        <f>ROUND(SUM(F3889:F3909),2)</f>
        <v>0</v>
      </c>
      <c r="G3910" s="63"/>
      <c r="H3910" s="52"/>
      <c r="I3910" s="57"/>
      <c r="J3910" s="57"/>
      <c r="K3910" s="57"/>
      <c r="L3910" s="52"/>
      <c r="M3910" s="57"/>
      <c r="N3910" s="57"/>
      <c r="O3910" s="56"/>
      <c r="P3910" s="56"/>
      <c r="Q3910" s="48"/>
      <c r="R3910" s="48"/>
      <c r="S3910" s="65"/>
      <c r="T3910" s="2"/>
      <c r="U3910" s="2"/>
      <c r="V3910" s="2"/>
    </row>
    <row r="3911" spans="1:22" s="137" customFormat="1" ht="12" customHeight="1" thickBot="1" x14ac:dyDescent="0.25">
      <c r="A3911" s="150"/>
      <c r="B3911" s="145"/>
      <c r="C3911" s="146"/>
      <c r="D3911" s="141"/>
      <c r="E3911" s="147"/>
      <c r="F3911" s="142"/>
      <c r="G3911" s="142"/>
      <c r="H3911" s="139"/>
      <c r="I3911" s="141"/>
      <c r="J3911" s="141"/>
      <c r="K3911" s="141"/>
      <c r="L3911" s="139"/>
      <c r="M3911" s="143"/>
      <c r="N3911" s="143"/>
      <c r="O3911" s="144"/>
      <c r="P3911" s="144"/>
      <c r="Q3911" s="135"/>
      <c r="R3911" s="135"/>
      <c r="S3911" s="149"/>
    </row>
    <row r="3912" spans="1:22" s="137" customFormat="1" ht="50.1" customHeight="1" x14ac:dyDescent="0.2">
      <c r="A3912" s="151" t="str">
        <f>'3.A'!$A$82</f>
        <v>3.5.5</v>
      </c>
      <c r="B3912" s="14" t="str">
        <f>IF(A3912="","",VLOOKUP(A3912,'3.A'!$A$17:$M$279,2,FALSE))</f>
        <v>PORTA EM AÇO DE ABRIR TIPO VENEZIANA, 87X210CM, FIXAÇÃO COM PARAFUSOS</v>
      </c>
      <c r="C3912" s="413" t="s">
        <v>62</v>
      </c>
      <c r="D3912" s="413"/>
      <c r="E3912" s="15" t="str">
        <f>IF(A3912="","",VLOOKUP(A3912,'3.A'!$A$17:$M$279,3,FALSE))</f>
        <v>UN</v>
      </c>
      <c r="F3912" s="16">
        <f>ROUND(F3926+F3939+F3962,2)</f>
        <v>0</v>
      </c>
      <c r="G3912" s="118">
        <f>VLOOKUP(A3912,'3.A'!$A$19:$I$279,4,FALSE)</f>
        <v>2</v>
      </c>
      <c r="H3912" s="47">
        <f>SUM(F3914:F3925)</f>
        <v>0</v>
      </c>
      <c r="I3912" s="47">
        <f>SUM(F3928:F3938)</f>
        <v>0</v>
      </c>
      <c r="J3912" s="47">
        <f>SUM(F3941:F3961)</f>
        <v>0</v>
      </c>
      <c r="K3912" s="47">
        <f>SUM(H3912:J3912)</f>
        <v>0</v>
      </c>
      <c r="L3912" s="47" t="str">
        <f>IF(K3912=F3912,"SIM","NÃO")</f>
        <v>SIM</v>
      </c>
      <c r="M3912" s="58">
        <f>ROUND(SUM(F3914:F3923)*C3924,2)+ROUND(SUM(F3914:F3924)*C3925,2)+ROUND(SUM(F3914:F3923),2)+ROUND(SUM(F3928:F3937)*C3938,2)+ROUND(SUM(F3928:F3937),2)+ROUND(SUM(F3941:F3960)*C3961,2)+ROUND(SUM(F3941:F3960),2)</f>
        <v>0</v>
      </c>
      <c r="N3912" s="50" t="str">
        <f>IF(M3912=F3912,"SIM","NÃO")</f>
        <v>SIM</v>
      </c>
      <c r="O3912" s="51" t="str">
        <f>VLOOKUP(A3912,'3.A'!$A$8:$E$279,3,FALSE)</f>
        <v>UN</v>
      </c>
      <c r="P3912" s="51" t="str">
        <f>IF(O3912=E3912,"SIM","NÃO")</f>
        <v>SIM</v>
      </c>
      <c r="Q3912" s="53">
        <f>ROUND(G3912*F3926,2)+ROUND(G3912*F3939,2)+ROUND(G3912*F3962,2)</f>
        <v>0</v>
      </c>
      <c r="R3912" s="59">
        <f>VLOOKUP(A3912,'3.A'!$A$17:$L$279,12,FALSE)</f>
        <v>0</v>
      </c>
      <c r="S3912" s="60" t="str">
        <f>IF(Q3912=R3912,"si","no")</f>
        <v>si</v>
      </c>
      <c r="T3912" s="61">
        <f>SUM(L3914:L3923)+SUM(L3928:L3937)+SUM(L3941:L3960)</f>
        <v>49.2579262</v>
      </c>
      <c r="U3912" s="52">
        <f>G3912*C3920+G3912*C3922+G3912*C3915+G3912*C3916+G3912*C3918+G3912*C3921+G3912*C3919+G3912*C3914+G3912*C3917+G3912*C3923+G3912*C3934+G3912*C3928+G3912*C3936+G3912*C3935+G3912*C3933+G3912*C3930+G3912*C3929+G3912*C3931+G3912*C3937+G3912*C3932+G3912*C3941+G3912*C3942+G3912*C3943+G3912*C3951+G3912*C3952+G3912*C3953+G3912*C3954+G3912*C3955+G3912*C3956+G3912*C3957+G3912*C3958+G3912*C3959+G3912*C3960+G3912*C3949+G3912*C3950+G3912*C3944+G3912*C3945+G3912*C3946+G3912*C3947+G3912*C3948</f>
        <v>49.2579262</v>
      </c>
      <c r="V3912" s="54" t="str">
        <f>IF(T3912=U3912,"si","no")</f>
        <v>si</v>
      </c>
    </row>
    <row r="3913" spans="1:22" s="137" customFormat="1" ht="12.75" customHeight="1" x14ac:dyDescent="0.2">
      <c r="A3913" s="152" t="s">
        <v>3</v>
      </c>
      <c r="B3913" s="153" t="s">
        <v>58</v>
      </c>
      <c r="C3913" s="140" t="s">
        <v>59</v>
      </c>
      <c r="D3913" s="140" t="s">
        <v>16</v>
      </c>
      <c r="E3913" s="154" t="s">
        <v>60</v>
      </c>
      <c r="F3913" s="148" t="s">
        <v>61</v>
      </c>
      <c r="G3913" s="21"/>
      <c r="H3913" s="52"/>
      <c r="I3913" s="57"/>
      <c r="J3913" s="57"/>
      <c r="K3913" s="57"/>
      <c r="L3913" s="52"/>
      <c r="M3913" s="57"/>
      <c r="N3913" s="57"/>
      <c r="O3913" s="56"/>
      <c r="P3913" s="56"/>
      <c r="Q3913" s="48"/>
      <c r="R3913" s="48"/>
      <c r="S3913" s="65"/>
      <c r="T3913" s="2"/>
      <c r="U3913" s="2"/>
      <c r="V3913" s="2"/>
    </row>
    <row r="3914" spans="1:22" s="149" customFormat="1" ht="12.75" customHeight="1" x14ac:dyDescent="0.2">
      <c r="A3914" s="155">
        <f>'6.A'!$A$20</f>
        <v>88309</v>
      </c>
      <c r="B3914" s="138" t="str">
        <f>IF(A3914="","",VLOOKUP(A3914,'6.A'!$A$11:$G$180,2,FALSE))</f>
        <v>PEDREIRO COM ENCARGOS COMPLEMENTARES</v>
      </c>
      <c r="C3914" s="156">
        <f>1.4036729+(0.9*2.1)</f>
        <v>3.2936728999999998</v>
      </c>
      <c r="D3914" s="57" t="str">
        <f>IF(A3914="","",VLOOKUP(A3914,'6.A'!$A$11:$G$180,4,FALSE))</f>
        <v>H</v>
      </c>
      <c r="E3914" s="100">
        <f>IF(A3914="","",VLOOKUP(A3914,'6.A'!$A$11:$G$180,5,FALSE))</f>
        <v>0</v>
      </c>
      <c r="F3914" s="24">
        <f t="shared" ref="F3914" si="1688">IF(A3914="","0,00",ROUND(C3914*E3914,2))</f>
        <v>0</v>
      </c>
      <c r="G3914" s="52"/>
      <c r="H3914" s="52">
        <f>IF(A3914="","",VLOOKUP(A3914,'6.A'!$A$11:$E$7984,5,FALSE))</f>
        <v>0</v>
      </c>
      <c r="I3914" s="52" t="str">
        <f t="shared" ref="I3914:I3921" si="1689">IF(H3914="","",IF(E3914=H3914,"SIM","NÃO"))</f>
        <v>SIM</v>
      </c>
      <c r="J3914" s="52" t="str">
        <f>IF(H3914="","",VLOOKUP(A3914,'6.A'!$A$11:$E$564,4,FALSE))</f>
        <v>H</v>
      </c>
      <c r="K3914" s="52" t="str">
        <f t="shared" ref="K3914:K3915" si="1690">IF(H3914="","",IF(J3914=D3914,"SIM","NÃO"))</f>
        <v>SIM</v>
      </c>
      <c r="L3914" s="52">
        <f>IF(H3914="","",IF(C3914="","",G3912*C3914))</f>
        <v>6.5873457999999996</v>
      </c>
      <c r="M3914" s="117" t="str">
        <f>IF(A3914="","",VLOOKUP(A3914,'6.A'!$A$11:$C$564,2,FALSE))</f>
        <v>PEDREIRO COM ENCARGOS COMPLEMENTARES</v>
      </c>
      <c r="N3914" s="57" t="str">
        <f t="shared" ref="N3914:N3915" si="1691">IF(A3914="","",IF(M3914=B3914,"si","no"))</f>
        <v>si</v>
      </c>
      <c r="O3914" s="56"/>
      <c r="P3914" s="56"/>
      <c r="Q3914" s="48"/>
      <c r="R3914" s="48"/>
      <c r="S3914" s="65"/>
      <c r="T3914" s="2"/>
      <c r="U3914" s="2"/>
      <c r="V3914" s="2"/>
    </row>
    <row r="3915" spans="1:22" s="149" customFormat="1" ht="12.75" customHeight="1" x14ac:dyDescent="0.2">
      <c r="A3915" s="155">
        <f>'6.A'!$A$22</f>
        <v>88316</v>
      </c>
      <c r="B3915" s="138" t="str">
        <f>IF(A3915="","",VLOOKUP(A3915,'6.A'!$A$11:$G$180,2,FALSE))</f>
        <v>SERVENTE COM ENCARGOS COMPLEMENTARES</v>
      </c>
      <c r="C3915" s="156">
        <f>0.3966902+((0.9*2.1)*3)</f>
        <v>6.0666902</v>
      </c>
      <c r="D3915" s="57" t="str">
        <f>IF(A3915="","",VLOOKUP(A3915,'6.A'!$A$11:$G$180,4,FALSE))</f>
        <v>H</v>
      </c>
      <c r="E3915" s="100">
        <f>IF(A3915="","",VLOOKUP(A3915,'6.A'!$A$11:$G$180,5,FALSE))</f>
        <v>0</v>
      </c>
      <c r="F3915" s="24">
        <f>IF(A3915="","0,00",ROUND(C3915*E3915,2))</f>
        <v>0</v>
      </c>
      <c r="G3915" s="52"/>
      <c r="H3915" s="52">
        <f>IF(A3915="","",VLOOKUP(A3915,'6.A'!$A$11:$E$7984,5,FALSE))</f>
        <v>0</v>
      </c>
      <c r="I3915" s="52" t="str">
        <f t="shared" si="1689"/>
        <v>SIM</v>
      </c>
      <c r="J3915" s="52" t="str">
        <f>IF(H3915="","",VLOOKUP(A3915,'6.A'!$A$11:$E$564,4,FALSE))</f>
        <v>H</v>
      </c>
      <c r="K3915" s="52" t="str">
        <f t="shared" si="1690"/>
        <v>SIM</v>
      </c>
      <c r="L3915" s="52">
        <f>IF(H3915="","",IF(C3915="","",G3912*C3915))</f>
        <v>12.1333804</v>
      </c>
      <c r="M3915" s="117" t="str">
        <f>IF(A3915="","",VLOOKUP(A3915,'6.A'!$A$11:$C$564,2,FALSE))</f>
        <v>SERVENTE COM ENCARGOS COMPLEMENTARES</v>
      </c>
      <c r="N3915" s="57" t="str">
        <f t="shared" si="1691"/>
        <v>si</v>
      </c>
      <c r="O3915" s="56"/>
      <c r="P3915" s="56"/>
      <c r="Q3915" s="48"/>
      <c r="R3915" s="48"/>
      <c r="S3915" s="65"/>
      <c r="T3915" s="2"/>
      <c r="U3915" s="2"/>
      <c r="V3915" s="2"/>
    </row>
    <row r="3916" spans="1:22" s="149" customFormat="1" ht="12.75" customHeight="1" x14ac:dyDescent="0.2">
      <c r="A3916" s="155"/>
      <c r="B3916" s="138" t="str">
        <f>IF(A3916="","",VLOOKUP(A3916,'6.A'!$A$11:$G$180,2,FALSE))</f>
        <v/>
      </c>
      <c r="C3916" s="156"/>
      <c r="D3916" s="157" t="str">
        <f>IF(A3916="","",VLOOKUP(A3916,'6.A'!$A$11:$G$180,4,FALSE))</f>
        <v/>
      </c>
      <c r="E3916" s="158" t="str">
        <f>IF(A3916="","",VLOOKUP(A3916,'6.A'!$A$11:$G$180,5,FALSE))</f>
        <v/>
      </c>
      <c r="F3916" s="24" t="str">
        <f>IF(A3916="","0,00",ROUND(C3916*E3916,2))</f>
        <v>0,00</v>
      </c>
      <c r="G3916" s="52"/>
      <c r="H3916" s="52" t="str">
        <f>IF(A3916="","",VLOOKUP(A3916,'6.A'!$A$11:$E$7984,5,FALSE))</f>
        <v/>
      </c>
      <c r="I3916" s="52" t="str">
        <f t="shared" si="1689"/>
        <v/>
      </c>
      <c r="J3916" s="52" t="str">
        <f>IF(H3916="","",VLOOKUP(A3916,'6.A'!$A$11:$E$564,4,FALSE))</f>
        <v/>
      </c>
      <c r="K3916" s="52" t="str">
        <f>IF(H3916="","",IF(J3916=D3916,"SIM","NÃO"))</f>
        <v/>
      </c>
      <c r="L3916" s="52" t="str">
        <f>IF(H3916="","",IF(C3916="","",G3912*C3916))</f>
        <v/>
      </c>
      <c r="M3916" s="117" t="str">
        <f>IF(A3916="","",VLOOKUP(A3916,'6.A'!$A$11:$C$564,2,FALSE))</f>
        <v/>
      </c>
      <c r="N3916" s="57" t="str">
        <f>IF(A3916="","",IF(M3916=B3916,"si","no"))</f>
        <v/>
      </c>
      <c r="O3916" s="56"/>
      <c r="P3916" s="56"/>
      <c r="Q3916" s="48"/>
      <c r="R3916" s="48"/>
      <c r="S3916" s="65"/>
      <c r="T3916" s="2"/>
      <c r="U3916" s="2"/>
      <c r="V3916" s="2"/>
    </row>
    <row r="3917" spans="1:22" s="149" customFormat="1" ht="12.75" customHeight="1" x14ac:dyDescent="0.2">
      <c r="A3917" s="155"/>
      <c r="B3917" s="138" t="str">
        <f>IF(A3917="","",VLOOKUP(A3917,'6.A'!$A$11:$G$180,2,FALSE))</f>
        <v/>
      </c>
      <c r="C3917" s="156"/>
      <c r="D3917" s="157"/>
      <c r="E3917" s="158"/>
      <c r="F3917" s="24" t="str">
        <f t="shared" ref="F3917" si="1692">IF(A3917="","0,00",ROUND(C3917*E3917,2))</f>
        <v>0,00</v>
      </c>
      <c r="G3917" s="52"/>
      <c r="H3917" s="52" t="str">
        <f>IF(A3917="","",VLOOKUP(A3917,'6.A'!$A$11:$E$7984,5,FALSE))</f>
        <v/>
      </c>
      <c r="I3917" s="52" t="str">
        <f t="shared" si="1689"/>
        <v/>
      </c>
      <c r="J3917" s="52" t="str">
        <f>IF(H3917="","",VLOOKUP(A3917,'6.A'!$A$11:$E$564,4,FALSE))</f>
        <v/>
      </c>
      <c r="K3917" s="52" t="str">
        <f>IF(H3917="","",IF(J3917=D3917,"SIM","NÃO"))</f>
        <v/>
      </c>
      <c r="L3917" s="52" t="str">
        <f>IF(H3917="","",IF(C3917="","",G3912*C3917))</f>
        <v/>
      </c>
      <c r="M3917" s="117" t="str">
        <f>IF(A3917="","",VLOOKUP(A3917,'6.A'!$A$11:$C$564,2,FALSE))</f>
        <v/>
      </c>
      <c r="N3917" s="57" t="str">
        <f>IF(A3917="","",IF(M3917=B3917,"si","no"))</f>
        <v/>
      </c>
      <c r="O3917" s="56"/>
      <c r="P3917" s="56"/>
      <c r="Q3917" s="48"/>
      <c r="R3917" s="48"/>
      <c r="S3917" s="65"/>
      <c r="T3917" s="2"/>
      <c r="U3917" s="2"/>
      <c r="V3917" s="2"/>
    </row>
    <row r="3918" spans="1:22" s="149" customFormat="1" ht="12.75" customHeight="1" x14ac:dyDescent="0.2">
      <c r="A3918" s="155"/>
      <c r="B3918" s="138" t="str">
        <f>IF(A3918="","",VLOOKUP(A3918,'6.A'!$A$11:$G$180,2,FALSE))</f>
        <v/>
      </c>
      <c r="C3918" s="156"/>
      <c r="D3918" s="57"/>
      <c r="E3918" s="100"/>
      <c r="F3918" s="24" t="str">
        <f>IF(A3918="","0,00",ROUND(C3918*E3918,2))</f>
        <v>0,00</v>
      </c>
      <c r="G3918" s="52"/>
      <c r="H3918" s="52" t="str">
        <f>IF(A3918="","",VLOOKUP(A3918,'6.A'!$A$11:$E$7984,5,FALSE))</f>
        <v/>
      </c>
      <c r="I3918" s="52" t="str">
        <f t="shared" si="1689"/>
        <v/>
      </c>
      <c r="J3918" s="52" t="str">
        <f>IF(H3918="","",VLOOKUP(A3918,'6.A'!$A$11:$E$564,4,FALSE))</f>
        <v/>
      </c>
      <c r="K3918" s="52" t="str">
        <f>IF(H3918="","",IF(J3918=D3918,"SIM","NÃO"))</f>
        <v/>
      </c>
      <c r="L3918" s="52" t="str">
        <f>IF(H3918="","",IF(C3918="","",G3912*C3918))</f>
        <v/>
      </c>
      <c r="M3918" s="117" t="str">
        <f>IF(A3918="","",VLOOKUP(A3918,'6.A'!$A$11:$C$564,2,FALSE))</f>
        <v/>
      </c>
      <c r="N3918" s="57" t="str">
        <f>IF(A3918="","",IF(M3918=B3918,"si","no"))</f>
        <v/>
      </c>
      <c r="O3918" s="56"/>
      <c r="P3918" s="56"/>
      <c r="Q3918" s="48"/>
      <c r="R3918" s="48"/>
      <c r="S3918" s="65"/>
      <c r="T3918" s="2"/>
      <c r="U3918" s="2"/>
      <c r="V3918" s="2"/>
    </row>
    <row r="3919" spans="1:22" s="149" customFormat="1" ht="12.75" customHeight="1" x14ac:dyDescent="0.2">
      <c r="A3919" s="155"/>
      <c r="B3919" s="138" t="str">
        <f>IF(A3919="","",VLOOKUP(A3919,'6.A'!$A$11:$G$180,2,FALSE))</f>
        <v/>
      </c>
      <c r="C3919" s="156"/>
      <c r="D3919" s="157"/>
      <c r="E3919" s="158"/>
      <c r="F3919" s="24" t="str">
        <f t="shared" ref="F3919:F3923" si="1693">IF(A3919="","0,00",ROUND(C3919*E3919,2))</f>
        <v>0,00</v>
      </c>
      <c r="G3919" s="52"/>
      <c r="H3919" s="52" t="str">
        <f>IF(A3919="","",VLOOKUP(A3919,'6.A'!$A$11:$E$7984,5,FALSE))</f>
        <v/>
      </c>
      <c r="I3919" s="52" t="str">
        <f t="shared" si="1689"/>
        <v/>
      </c>
      <c r="J3919" s="52" t="str">
        <f>IF(H3919="","",VLOOKUP(A3919,'6.A'!$A$11:$E$564,4,FALSE))</f>
        <v/>
      </c>
      <c r="K3919" s="52" t="str">
        <f>IF(H3919="","",IF(J3919=D3919,"SIM","NÃO"))</f>
        <v/>
      </c>
      <c r="L3919" s="52" t="str">
        <f>IF(H3919="","",IF(C3919="","",G3912*C3919))</f>
        <v/>
      </c>
      <c r="M3919" s="117" t="str">
        <f>IF(A3919="","",VLOOKUP(A3919,'6.A'!$A$11:$C$564,2,FALSE))</f>
        <v/>
      </c>
      <c r="N3919" s="57" t="str">
        <f>IF(A3919="","",IF(M3919=B3919,"si","no"))</f>
        <v/>
      </c>
      <c r="O3919" s="56"/>
      <c r="P3919" s="56"/>
      <c r="Q3919" s="48"/>
      <c r="R3919" s="48"/>
      <c r="S3919" s="65"/>
      <c r="T3919" s="2"/>
      <c r="U3919" s="2"/>
      <c r="V3919" s="2"/>
    </row>
    <row r="3920" spans="1:22" s="149" customFormat="1" ht="12.75" customHeight="1" x14ac:dyDescent="0.2">
      <c r="A3920" s="155"/>
      <c r="B3920" s="138" t="str">
        <f>IF(A3920="","",VLOOKUP(A3920,'6.A'!$A$11:$G$180,2,FALSE))</f>
        <v/>
      </c>
      <c r="C3920" s="156"/>
      <c r="D3920" s="157" t="str">
        <f>IF(A3920="","",VLOOKUP(A3920,'6.A'!$A$11:$G$180,4,FALSE))</f>
        <v/>
      </c>
      <c r="E3920" s="158" t="str">
        <f>IF(A3920="","",VLOOKUP(A3920,'6.A'!$A$11:$G$180,5,FALSE))</f>
        <v/>
      </c>
      <c r="F3920" s="24" t="str">
        <f t="shared" si="1693"/>
        <v>0,00</v>
      </c>
      <c r="G3920" s="52"/>
      <c r="H3920" s="52" t="str">
        <f>IF(A3920="","",VLOOKUP(A3920,'6.A'!$A$11:$E$7984,5,FALSE))</f>
        <v/>
      </c>
      <c r="I3920" s="52" t="str">
        <f t="shared" si="1689"/>
        <v/>
      </c>
      <c r="J3920" s="52" t="str">
        <f>IF(H3920="","",VLOOKUP(A3920,'6.A'!$A$11:$E$564,4,FALSE))</f>
        <v/>
      </c>
      <c r="K3920" s="52" t="str">
        <f>IF(H3920="","",IF(J3920=D3920,"SIM","NÃO"))</f>
        <v/>
      </c>
      <c r="L3920" s="52" t="str">
        <f>IF(H3920="","",IF(C3920="","",G3912*C3920))</f>
        <v/>
      </c>
      <c r="M3920" s="117" t="str">
        <f>IF(A3920="","",VLOOKUP(A3920,'6.A'!$A$11:$C$564,2,FALSE))</f>
        <v/>
      </c>
      <c r="N3920" s="57" t="str">
        <f>IF(A3920="","",IF(M3920=B3920,"si","no"))</f>
        <v/>
      </c>
      <c r="O3920" s="56"/>
      <c r="P3920" s="56"/>
      <c r="Q3920" s="48"/>
      <c r="R3920" s="48"/>
      <c r="S3920" s="65"/>
      <c r="T3920" s="2"/>
      <c r="U3920" s="2"/>
      <c r="V3920" s="2"/>
    </row>
    <row r="3921" spans="1:22" s="149" customFormat="1" ht="12.75" customHeight="1" x14ac:dyDescent="0.2">
      <c r="A3921" s="155"/>
      <c r="B3921" s="138" t="str">
        <f>IF(A3921="","",VLOOKUP(A3921,'6.A'!$A$11:$G$180,2,FALSE))</f>
        <v/>
      </c>
      <c r="C3921" s="156"/>
      <c r="D3921" s="157" t="str">
        <f>IF(A3921="","",VLOOKUP(A3921,'6.A'!$A$11:$G$180,4,FALSE))</f>
        <v/>
      </c>
      <c r="E3921" s="158" t="str">
        <f>IF(A3921="","",VLOOKUP(A3921,'6.A'!$A$11:$G$180,5,FALSE))</f>
        <v/>
      </c>
      <c r="F3921" s="24" t="str">
        <f t="shared" si="1693"/>
        <v>0,00</v>
      </c>
      <c r="G3921" s="52"/>
      <c r="H3921" s="52" t="str">
        <f>IF(A3921="","",VLOOKUP(A3921,'6.A'!$A$11:$E$7984,5,FALSE))</f>
        <v/>
      </c>
      <c r="I3921" s="52" t="str">
        <f t="shared" si="1689"/>
        <v/>
      </c>
      <c r="J3921" s="52" t="str">
        <f>IF(H3921="","",VLOOKUP(A3921,'6.A'!$A$11:$E$564,4,FALSE))</f>
        <v/>
      </c>
      <c r="K3921" s="52" t="str">
        <f t="shared" ref="K3921" si="1694">IF(H3921="","",IF(J3921=D3921,"SIM","NÃO"))</f>
        <v/>
      </c>
      <c r="L3921" s="52" t="str">
        <f>IF(H3921="","",IF(C3921="","",G3912*C3921))</f>
        <v/>
      </c>
      <c r="M3921" s="117" t="str">
        <f>IF(A3921="","",VLOOKUP(A3921,'6.A'!$A$11:$C$564,2,FALSE))</f>
        <v/>
      </c>
      <c r="N3921" s="57" t="str">
        <f t="shared" ref="N3921" si="1695">IF(A3921="","",IF(M3921=B3921,"si","no"))</f>
        <v/>
      </c>
      <c r="O3921" s="56"/>
      <c r="P3921" s="56"/>
      <c r="Q3921" s="48"/>
      <c r="R3921" s="48"/>
      <c r="S3921" s="65"/>
      <c r="T3921" s="2"/>
      <c r="U3921" s="2"/>
      <c r="V3921" s="2"/>
    </row>
    <row r="3922" spans="1:22" s="149" customFormat="1" ht="12.75" customHeight="1" x14ac:dyDescent="0.2">
      <c r="A3922" s="155"/>
      <c r="B3922" s="138" t="str">
        <f>IF(A3922="","",VLOOKUP(A3922,'6.A'!$A$11:$G$180,2,FALSE))</f>
        <v/>
      </c>
      <c r="C3922" s="156"/>
      <c r="D3922" s="157" t="str">
        <f>IF(A3922="","",VLOOKUP(A3922,'6.A'!$A$11:$G$180,4,FALSE))</f>
        <v/>
      </c>
      <c r="E3922" s="158" t="str">
        <f>IF(A3922="","",VLOOKUP(A3922,'6.A'!$A$11:$G$180,5,FALSE))</f>
        <v/>
      </c>
      <c r="F3922" s="24" t="str">
        <f t="shared" si="1693"/>
        <v>0,00</v>
      </c>
      <c r="G3922" s="52"/>
      <c r="H3922" s="52" t="str">
        <f>IF(A3922="","",VLOOKUP(A3922,'6.A'!$A$11:$E$7984,5,FALSE))</f>
        <v/>
      </c>
      <c r="I3922" s="52" t="str">
        <f>IF(H3922="","",IF(E3922=H3922,"SIM","NÃO"))</f>
        <v/>
      </c>
      <c r="J3922" s="52" t="str">
        <f>IF(H3922="","",VLOOKUP(A3922,'6.A'!$A$11:$E$564,4,FALSE))</f>
        <v/>
      </c>
      <c r="K3922" s="52" t="str">
        <f>IF(H3922="","",IF(J3922=D3922,"SIM","NÃO"))</f>
        <v/>
      </c>
      <c r="L3922" s="52" t="str">
        <f>IF(H3922="","",IF(C3922="","",G3912*C3922))</f>
        <v/>
      </c>
      <c r="M3922" s="117" t="str">
        <f>IF(A3922="","",VLOOKUP(A3922,'6.A'!$A$11:$C$564,2,FALSE))</f>
        <v/>
      </c>
      <c r="N3922" s="57" t="str">
        <f>IF(A3922="","",IF(M3922=B3922,"si","no"))</f>
        <v/>
      </c>
      <c r="O3922" s="56"/>
      <c r="P3922" s="56"/>
      <c r="Q3922" s="48"/>
      <c r="R3922" s="48"/>
      <c r="S3922" s="65"/>
      <c r="T3922" s="2"/>
      <c r="U3922" s="2"/>
      <c r="V3922" s="2"/>
    </row>
    <row r="3923" spans="1:22" s="149" customFormat="1" ht="12.75" customHeight="1" x14ac:dyDescent="0.2">
      <c r="A3923" s="155"/>
      <c r="B3923" s="138" t="str">
        <f>IF(A3923="","",VLOOKUP(A3923,'6.A'!$A$11:$G$180,2,FALSE))</f>
        <v/>
      </c>
      <c r="C3923" s="156"/>
      <c r="D3923" s="157" t="str">
        <f>IF(A3923="","",VLOOKUP(A3923,'6.A'!$A$11:$G$180,4,FALSE))</f>
        <v/>
      </c>
      <c r="E3923" s="158" t="str">
        <f>IF(A3923="","",VLOOKUP(A3923,'6.A'!$A$11:$G$180,5,FALSE))</f>
        <v/>
      </c>
      <c r="F3923" s="24" t="str">
        <f t="shared" si="1693"/>
        <v>0,00</v>
      </c>
      <c r="G3923" s="52"/>
      <c r="H3923" s="52" t="str">
        <f>IF(A3923="","",VLOOKUP(A3923,'6.A'!$A$11:$E$7984,5,FALSE))</f>
        <v/>
      </c>
      <c r="I3923" s="52" t="str">
        <f t="shared" ref="I3923" si="1696">IF(H3923="","",IF(E3923=H3923,"SIM","NÃO"))</f>
        <v/>
      </c>
      <c r="J3923" s="52" t="str">
        <f>IF(H3923="","",VLOOKUP(A3923,'6.A'!$A$11:$E$564,4,FALSE))</f>
        <v/>
      </c>
      <c r="K3923" s="52" t="str">
        <f t="shared" ref="K3923" si="1697">IF(H3923="","",IF(J3923=D3923,"SIM","NÃO"))</f>
        <v/>
      </c>
      <c r="L3923" s="52" t="str">
        <f>IF(H3923="","",IF(C3923="","",G3912*C3923))</f>
        <v/>
      </c>
      <c r="M3923" s="117" t="str">
        <f>IF(A3923="","",VLOOKUP(A3923,'6.A'!$A$11:$C$564,2,FALSE))</f>
        <v/>
      </c>
      <c r="N3923" s="57" t="str">
        <f t="shared" ref="N3923" si="1698">IF(A3923="","",IF(M3923=B3923,"si","no"))</f>
        <v/>
      </c>
      <c r="O3923" s="56"/>
      <c r="P3923" s="56"/>
      <c r="Q3923" s="48"/>
      <c r="R3923" s="48"/>
      <c r="S3923" s="65"/>
      <c r="T3923" s="2"/>
      <c r="U3923" s="2"/>
      <c r="V3923" s="2"/>
    </row>
    <row r="3924" spans="1:22" s="149" customFormat="1" ht="12.75" customHeight="1" x14ac:dyDescent="0.2">
      <c r="A3924" s="152"/>
      <c r="B3924" s="26" t="str">
        <f>$A$8</f>
        <v>LEIS SOCIAIS HORISTA - JORNADA NORMAL</v>
      </c>
      <c r="C3924" s="27">
        <f>$C$8</f>
        <v>0</v>
      </c>
      <c r="D3924" s="141"/>
      <c r="E3924" s="147"/>
      <c r="F3924" s="162">
        <f>ROUND(SUM(F3914:F3923)*C3924,2)</f>
        <v>0</v>
      </c>
      <c r="G3924" s="63"/>
      <c r="H3924" s="52"/>
      <c r="I3924" s="57"/>
      <c r="J3924" s="57"/>
      <c r="K3924" s="57"/>
      <c r="L3924" s="52"/>
      <c r="M3924" s="62"/>
      <c r="N3924" s="57"/>
      <c r="O3924" s="56"/>
      <c r="P3924" s="56"/>
      <c r="Q3924" s="48"/>
      <c r="R3924" s="48"/>
      <c r="S3924" s="65"/>
      <c r="T3924" s="2"/>
      <c r="U3924" s="2"/>
      <c r="V3924" s="2"/>
    </row>
    <row r="3925" spans="1:22" s="149" customFormat="1" ht="12.75" customHeight="1" x14ac:dyDescent="0.2">
      <c r="A3925" s="155"/>
      <c r="B3925" s="26" t="str">
        <f>$A$9</f>
        <v>BDI</v>
      </c>
      <c r="C3925" s="27">
        <f>$C$9</f>
        <v>0</v>
      </c>
      <c r="D3925" s="136"/>
      <c r="E3925" s="147"/>
      <c r="F3925" s="162">
        <f>ROUND(SUM(F3914:F3924)*C3925,2)</f>
        <v>0</v>
      </c>
      <c r="G3925" s="63"/>
      <c r="H3925" s="52"/>
      <c r="I3925" s="57"/>
      <c r="J3925" s="57"/>
      <c r="K3925" s="57"/>
      <c r="L3925" s="52"/>
      <c r="M3925" s="62"/>
      <c r="N3925" s="57"/>
      <c r="O3925" s="56"/>
      <c r="P3925" s="56"/>
      <c r="Q3925" s="48"/>
      <c r="R3925" s="48"/>
      <c r="S3925" s="65"/>
      <c r="T3925" s="2"/>
      <c r="U3925" s="2"/>
      <c r="V3925" s="2"/>
    </row>
    <row r="3926" spans="1:22" s="149" customFormat="1" ht="12.75" customHeight="1" x14ac:dyDescent="0.2">
      <c r="A3926" s="163"/>
      <c r="B3926" s="164" t="s">
        <v>56</v>
      </c>
      <c r="C3926" s="165"/>
      <c r="D3926" s="166"/>
      <c r="E3926" s="167"/>
      <c r="F3926" s="168">
        <f>ROUND(SUM(F3914:F3925),2)</f>
        <v>0</v>
      </c>
      <c r="G3926" s="63"/>
      <c r="H3926" s="52"/>
      <c r="I3926" s="57"/>
      <c r="J3926" s="57"/>
      <c r="K3926" s="57"/>
      <c r="L3926" s="52"/>
      <c r="M3926" s="62"/>
      <c r="N3926" s="57"/>
      <c r="O3926" s="56"/>
      <c r="P3926" s="56"/>
      <c r="Q3926" s="48"/>
      <c r="R3926" s="48"/>
      <c r="S3926" s="65"/>
      <c r="T3926" s="2"/>
      <c r="U3926" s="2"/>
      <c r="V3926" s="2"/>
    </row>
    <row r="3927" spans="1:22" s="149" customFormat="1" ht="12.75" customHeight="1" x14ac:dyDescent="0.2">
      <c r="A3927" s="152" t="s">
        <v>5</v>
      </c>
      <c r="B3927" s="153" t="s">
        <v>130</v>
      </c>
      <c r="C3927" s="140" t="s">
        <v>59</v>
      </c>
      <c r="D3927" s="140" t="s">
        <v>16</v>
      </c>
      <c r="E3927" s="154" t="s">
        <v>60</v>
      </c>
      <c r="F3927" s="148" t="s">
        <v>61</v>
      </c>
      <c r="G3927" s="21"/>
      <c r="H3927" s="52"/>
      <c r="I3927" s="57"/>
      <c r="J3927" s="57"/>
      <c r="K3927" s="57"/>
      <c r="L3927" s="52"/>
      <c r="M3927" s="62"/>
      <c r="N3927" s="57"/>
      <c r="O3927" s="56"/>
      <c r="P3927" s="56"/>
      <c r="Q3927" s="48"/>
      <c r="R3927" s="48"/>
      <c r="S3927" s="65"/>
      <c r="T3927" s="2"/>
      <c r="U3927" s="2"/>
      <c r="V3927" s="2"/>
    </row>
    <row r="3928" spans="1:22" s="149" customFormat="1" ht="12.75" customHeight="1" x14ac:dyDescent="0.2">
      <c r="A3928" s="155"/>
      <c r="B3928" s="138" t="str">
        <f>IF(A3928="","",VLOOKUP(A3928,'6.A'!$A$11:$G$180,2,FALSE))</f>
        <v/>
      </c>
      <c r="C3928" s="156"/>
      <c r="D3928" s="57" t="str">
        <f>IF(A3928="","",VLOOKUP(A3928,'6.A'!$A$11:$G$180,4,FALSE))</f>
        <v/>
      </c>
      <c r="E3928" s="100" t="str">
        <f>IF(A3928="","",VLOOKUP(A3928,'6.A'!$A$11:$G$180,5,FALSE))</f>
        <v/>
      </c>
      <c r="F3928" s="24" t="str">
        <f t="shared" ref="F3928:F3937" si="1699">IF(A3928="","0,00",ROUND(C3928*E3928,2))</f>
        <v>0,00</v>
      </c>
      <c r="G3928" s="52"/>
      <c r="H3928" s="52" t="str">
        <f>IF(A3928="","",VLOOKUP(A3928,'6.A'!$A$11:$E$7984,5,FALSE))</f>
        <v/>
      </c>
      <c r="I3928" s="52" t="str">
        <f t="shared" ref="I3928:I3937" si="1700">IF(H3928="","",IF(E3928=H3928,"SIM","NÃO"))</f>
        <v/>
      </c>
      <c r="J3928" s="52" t="str">
        <f>IF(H3928="","",VLOOKUP(A3928,'6.A'!$A$11:$E$564,4,FALSE))</f>
        <v/>
      </c>
      <c r="K3928" s="52" t="str">
        <f t="shared" ref="K3928:K3937" si="1701">IF(H3928="","",IF(J3928=D3928,"SIM","NÃO"))</f>
        <v/>
      </c>
      <c r="L3928" s="52" t="str">
        <f>IF(H3928="","",IF(C3928="","",G3912*C3928))</f>
        <v/>
      </c>
      <c r="M3928" s="117" t="str">
        <f>IF(A3928="","",VLOOKUP(A3928,'6.A'!$A$11:$C$564,2,FALSE))</f>
        <v/>
      </c>
      <c r="N3928" s="57" t="str">
        <f t="shared" ref="N3928:N3933" si="1702">IF(A3928="","",IF(M3928=B3928,"si","no"))</f>
        <v/>
      </c>
      <c r="O3928" s="56"/>
      <c r="P3928" s="56"/>
      <c r="Q3928" s="48"/>
      <c r="R3928" s="48"/>
      <c r="S3928" s="65"/>
      <c r="T3928" s="2"/>
      <c r="U3928" s="2"/>
      <c r="V3928" s="2"/>
    </row>
    <row r="3929" spans="1:22" s="149" customFormat="1" ht="12.75" customHeight="1" x14ac:dyDescent="0.2">
      <c r="A3929" s="155"/>
      <c r="B3929" s="138" t="str">
        <f>IF(A3929="","",VLOOKUP(A3929,'6.A'!$A$11:$G$180,2,FALSE))</f>
        <v/>
      </c>
      <c r="C3929" s="156"/>
      <c r="D3929" s="57" t="str">
        <f>IF(A3929="","",VLOOKUP(A3929,'6.A'!$A$11:$G$180,4,FALSE))</f>
        <v/>
      </c>
      <c r="E3929" s="100" t="str">
        <f>IF(A3929="","",VLOOKUP(A3929,'6.A'!$A$11:$G$180,5,FALSE))</f>
        <v/>
      </c>
      <c r="F3929" s="24" t="str">
        <f t="shared" si="1699"/>
        <v>0,00</v>
      </c>
      <c r="G3929" s="52"/>
      <c r="H3929" s="52" t="str">
        <f>IF(A3929="","",VLOOKUP(A3929,'6.A'!$A$11:$E$7984,5,FALSE))</f>
        <v/>
      </c>
      <c r="I3929" s="52" t="str">
        <f t="shared" si="1700"/>
        <v/>
      </c>
      <c r="J3929" s="52" t="str">
        <f>IF(H3929="","",VLOOKUP(A3929,'6.A'!$A$11:$E$564,4,FALSE))</f>
        <v/>
      </c>
      <c r="K3929" s="52" t="str">
        <f t="shared" si="1701"/>
        <v/>
      </c>
      <c r="L3929" s="52" t="str">
        <f>IF(H3929="","",IF(C3929="","",G3912*C3929))</f>
        <v/>
      </c>
      <c r="M3929" s="117" t="str">
        <f>IF(A3929="","",VLOOKUP(A3929,'6.A'!$A$11:$C$564,2,FALSE))</f>
        <v/>
      </c>
      <c r="N3929" s="57" t="str">
        <f t="shared" si="1702"/>
        <v/>
      </c>
      <c r="O3929" s="56"/>
      <c r="P3929" s="56"/>
      <c r="Q3929" s="48"/>
      <c r="R3929" s="48"/>
      <c r="S3929" s="65"/>
      <c r="T3929" s="2"/>
      <c r="U3929" s="2"/>
      <c r="V3929" s="2"/>
    </row>
    <row r="3930" spans="1:22" s="149" customFormat="1" ht="12.75" customHeight="1" x14ac:dyDescent="0.2">
      <c r="A3930" s="155"/>
      <c r="B3930" s="138" t="str">
        <f>IF(A3930="","",VLOOKUP(A3930,'6.A'!$A$11:$G$180,2,FALSE))</f>
        <v/>
      </c>
      <c r="C3930" s="156"/>
      <c r="D3930" s="157"/>
      <c r="E3930" s="158"/>
      <c r="F3930" s="24" t="str">
        <f t="shared" si="1699"/>
        <v>0,00</v>
      </c>
      <c r="G3930" s="52"/>
      <c r="H3930" s="52" t="str">
        <f>IF(A3930="","",VLOOKUP(A3930,'6.A'!$A$11:$E$7984,5,FALSE))</f>
        <v/>
      </c>
      <c r="I3930" s="52" t="str">
        <f t="shared" si="1700"/>
        <v/>
      </c>
      <c r="J3930" s="52" t="str">
        <f>IF(H3930="","",VLOOKUP(A3930,'6.A'!$A$11:$E$564,4,FALSE))</f>
        <v/>
      </c>
      <c r="K3930" s="52" t="str">
        <f t="shared" si="1701"/>
        <v/>
      </c>
      <c r="L3930" s="52" t="str">
        <f>IF(H3930="","",IF(C3930="","",G3912*C3930))</f>
        <v/>
      </c>
      <c r="M3930" s="117" t="str">
        <f>IF(A3930="","",VLOOKUP(A3930,'6.A'!$A$11:$C$564,2,FALSE))</f>
        <v/>
      </c>
      <c r="N3930" s="57" t="str">
        <f t="shared" si="1702"/>
        <v/>
      </c>
      <c r="O3930" s="56"/>
      <c r="P3930" s="56"/>
      <c r="Q3930" s="48"/>
      <c r="R3930" s="48"/>
      <c r="S3930" s="65"/>
      <c r="T3930" s="2"/>
      <c r="U3930" s="2"/>
      <c r="V3930" s="2"/>
    </row>
    <row r="3931" spans="1:22" s="149" customFormat="1" ht="12.75" customHeight="1" x14ac:dyDescent="0.2">
      <c r="A3931" s="155"/>
      <c r="B3931" s="176" t="str">
        <f>IF(A3931="","",VLOOKUP(A3931,'6.A'!$A$11:$G$180,2,FALSE))</f>
        <v/>
      </c>
      <c r="C3931" s="156"/>
      <c r="D3931" s="157"/>
      <c r="E3931" s="158"/>
      <c r="F3931" s="24" t="str">
        <f t="shared" si="1699"/>
        <v>0,00</v>
      </c>
      <c r="G3931" s="52"/>
      <c r="H3931" s="52" t="str">
        <f>IF(A3931="","",VLOOKUP(A3931,'6.A'!$A$11:$E$7984,5,FALSE))</f>
        <v/>
      </c>
      <c r="I3931" s="52" t="str">
        <f t="shared" si="1700"/>
        <v/>
      </c>
      <c r="J3931" s="52" t="str">
        <f>IF(H3931="","",VLOOKUP(A3931,'6.A'!$A$11:$E$564,4,FALSE))</f>
        <v/>
      </c>
      <c r="K3931" s="52" t="str">
        <f t="shared" si="1701"/>
        <v/>
      </c>
      <c r="L3931" s="52" t="str">
        <f>IF(H3931="","",IF(C3931="","",G3912*C3931))</f>
        <v/>
      </c>
      <c r="M3931" s="117" t="str">
        <f>IF(A3931="","",VLOOKUP(A3931,'6.A'!$A$11:$C$564,2,FALSE))</f>
        <v/>
      </c>
      <c r="N3931" s="57" t="str">
        <f t="shared" si="1702"/>
        <v/>
      </c>
      <c r="O3931" s="56"/>
      <c r="P3931" s="56"/>
      <c r="Q3931" s="48"/>
      <c r="R3931" s="48"/>
      <c r="S3931" s="65"/>
      <c r="T3931" s="2"/>
      <c r="U3931" s="2"/>
      <c r="V3931" s="2"/>
    </row>
    <row r="3932" spans="1:22" s="149" customFormat="1" ht="12.75" customHeight="1" x14ac:dyDescent="0.2">
      <c r="A3932" s="155"/>
      <c r="B3932" s="176" t="str">
        <f>IF(A3932="","",VLOOKUP(A3932,'6.A'!$A$11:$G$180,2,FALSE))</f>
        <v/>
      </c>
      <c r="C3932" s="156"/>
      <c r="D3932" s="157"/>
      <c r="E3932" s="158"/>
      <c r="F3932" s="24" t="str">
        <f t="shared" si="1699"/>
        <v>0,00</v>
      </c>
      <c r="G3932" s="52"/>
      <c r="H3932" s="52" t="str">
        <f>IF(A3932="","",VLOOKUP(A3932,'6.A'!$A$11:$E$7984,5,FALSE))</f>
        <v/>
      </c>
      <c r="I3932" s="52" t="str">
        <f t="shared" si="1700"/>
        <v/>
      </c>
      <c r="J3932" s="52" t="str">
        <f>IF(H3932="","",VLOOKUP(A3932,'6.A'!$A$11:$E$564,4,FALSE))</f>
        <v/>
      </c>
      <c r="K3932" s="52" t="str">
        <f t="shared" si="1701"/>
        <v/>
      </c>
      <c r="L3932" s="52" t="str">
        <f>IF(H3932="","",IF(C3932="","",G3912*C3932))</f>
        <v/>
      </c>
      <c r="M3932" s="117" t="str">
        <f>IF(A3932="","",VLOOKUP(A3932,'6.A'!$A$11:$C$564,2,FALSE))</f>
        <v/>
      </c>
      <c r="N3932" s="57" t="str">
        <f t="shared" si="1702"/>
        <v/>
      </c>
      <c r="O3932" s="56"/>
      <c r="P3932" s="56"/>
      <c r="Q3932" s="48"/>
      <c r="R3932" s="48"/>
      <c r="S3932" s="65"/>
      <c r="T3932" s="2"/>
      <c r="U3932" s="2"/>
      <c r="V3932" s="2"/>
    </row>
    <row r="3933" spans="1:22" s="149" customFormat="1" ht="12.75" customHeight="1" x14ac:dyDescent="0.2">
      <c r="A3933" s="155"/>
      <c r="B3933" s="176" t="str">
        <f>IF(A3933="","",VLOOKUP(A3933,'6.A'!$A$11:$G$180,2,FALSE))</f>
        <v/>
      </c>
      <c r="C3933" s="156"/>
      <c r="D3933" s="157"/>
      <c r="E3933" s="158"/>
      <c r="F3933" s="24" t="str">
        <f t="shared" si="1699"/>
        <v>0,00</v>
      </c>
      <c r="G3933" s="52"/>
      <c r="H3933" s="52" t="str">
        <f>IF(A3933="","",VLOOKUP(A3933,'6.A'!$A$11:$E$7984,5,FALSE))</f>
        <v/>
      </c>
      <c r="I3933" s="52" t="str">
        <f t="shared" si="1700"/>
        <v/>
      </c>
      <c r="J3933" s="52" t="str">
        <f>IF(H3933="","",VLOOKUP(A3933,'6.A'!$A$11:$E$564,4,FALSE))</f>
        <v/>
      </c>
      <c r="K3933" s="52" t="str">
        <f t="shared" si="1701"/>
        <v/>
      </c>
      <c r="L3933" s="52" t="str">
        <f>IF(H3933="","",IF(C3933="","",G3912*C3933))</f>
        <v/>
      </c>
      <c r="M3933" s="117" t="str">
        <f>IF(A3933="","",VLOOKUP(A3933,'6.A'!$A$11:$C$564,2,FALSE))</f>
        <v/>
      </c>
      <c r="N3933" s="57" t="str">
        <f t="shared" si="1702"/>
        <v/>
      </c>
      <c r="O3933" s="56"/>
      <c r="P3933" s="56"/>
      <c r="Q3933" s="48"/>
      <c r="R3933" s="48"/>
      <c r="S3933" s="65"/>
      <c r="T3933" s="2"/>
      <c r="U3933" s="2"/>
      <c r="V3933" s="2"/>
    </row>
    <row r="3934" spans="1:22" s="149" customFormat="1" ht="12.75" customHeight="1" x14ac:dyDescent="0.2">
      <c r="A3934" s="155"/>
      <c r="B3934" s="176" t="str">
        <f>IF(A3934="","",VLOOKUP(A3934,'6.A'!$A$11:$G$180,2,FALSE))</f>
        <v/>
      </c>
      <c r="C3934" s="156"/>
      <c r="D3934" s="157" t="str">
        <f>IF(A3934="","",VLOOKUP(A3934,'6.A'!$A$11:$G$180,4,FALSE))</f>
        <v/>
      </c>
      <c r="E3934" s="158" t="str">
        <f>IF(A3934="","",VLOOKUP(A3934,'6.A'!$A$11:$G$180,5,FALSE))</f>
        <v/>
      </c>
      <c r="F3934" s="24" t="str">
        <f t="shared" si="1699"/>
        <v>0,00</v>
      </c>
      <c r="G3934" s="52"/>
      <c r="H3934" s="52" t="str">
        <f>IF(A3934="","",VLOOKUP(A3934,'6.A'!$A$11:$E$7984,5,FALSE))</f>
        <v/>
      </c>
      <c r="I3934" s="52" t="str">
        <f t="shared" si="1700"/>
        <v/>
      </c>
      <c r="J3934" s="52" t="str">
        <f>IF(H3934="","",VLOOKUP(A3934,'6.A'!$A$11:$E$564,4,FALSE))</f>
        <v/>
      </c>
      <c r="K3934" s="52" t="str">
        <f t="shared" si="1701"/>
        <v/>
      </c>
      <c r="L3934" s="52" t="str">
        <f>IF(H3934="","",IF(C3934="","",G3912*C3934))</f>
        <v/>
      </c>
      <c r="M3934" s="117" t="str">
        <f>IF(A3934="","",VLOOKUP(A3934,'6.A'!$A$11:$C$564,2,FALSE))</f>
        <v/>
      </c>
      <c r="N3934" s="57" t="str">
        <f>IF(A3934="","",IF(M3934=B3934,"si","no"))</f>
        <v/>
      </c>
      <c r="O3934" s="56"/>
      <c r="P3934" s="56"/>
      <c r="Q3934" s="48"/>
      <c r="R3934" s="48"/>
      <c r="S3934" s="65"/>
      <c r="T3934" s="2"/>
      <c r="U3934" s="2"/>
      <c r="V3934" s="2"/>
    </row>
    <row r="3935" spans="1:22" s="149" customFormat="1" ht="12.75" customHeight="1" x14ac:dyDescent="0.2">
      <c r="A3935" s="155"/>
      <c r="B3935" s="138" t="str">
        <f>IF(A3935="","",VLOOKUP(A3935,'6.A'!$A$11:$G$180,2,FALSE))</f>
        <v/>
      </c>
      <c r="C3935" s="156"/>
      <c r="D3935" s="157" t="str">
        <f>IF(A3935="","",VLOOKUP(A3935,'6.A'!$A$11:$G$180,4,FALSE))</f>
        <v/>
      </c>
      <c r="E3935" s="158" t="str">
        <f>IF(A3935="","",VLOOKUP(A3935,'6.A'!$A$11:$G$180,5,FALSE))</f>
        <v/>
      </c>
      <c r="F3935" s="24" t="str">
        <f t="shared" si="1699"/>
        <v>0,00</v>
      </c>
      <c r="G3935" s="52"/>
      <c r="H3935" s="52" t="str">
        <f>IF(A3935="","",VLOOKUP(A3935,'6.A'!$A$11:$E$7984,5,FALSE))</f>
        <v/>
      </c>
      <c r="I3935" s="52" t="str">
        <f t="shared" si="1700"/>
        <v/>
      </c>
      <c r="J3935" s="52" t="str">
        <f>IF(H3935="","",VLOOKUP(A3935,'6.A'!$A$11:$E$564,4,FALSE))</f>
        <v/>
      </c>
      <c r="K3935" s="52" t="str">
        <f t="shared" si="1701"/>
        <v/>
      </c>
      <c r="L3935" s="52" t="str">
        <f>IF(H3935="","",IF(C3935="","",G3912*C3935))</f>
        <v/>
      </c>
      <c r="M3935" s="117" t="str">
        <f>IF(A3935="","",VLOOKUP(A3935,'6.A'!$A$11:$C$564,2,FALSE))</f>
        <v/>
      </c>
      <c r="N3935" s="57" t="str">
        <f>IF(A3935="","",IF(M3935=B3935,"si","no"))</f>
        <v/>
      </c>
      <c r="O3935" s="56"/>
      <c r="P3935" s="56"/>
      <c r="Q3935" s="48"/>
      <c r="R3935" s="48"/>
      <c r="S3935" s="65"/>
      <c r="T3935" s="2"/>
      <c r="U3935" s="2"/>
      <c r="V3935" s="2"/>
    </row>
    <row r="3936" spans="1:22" s="149" customFormat="1" ht="12.75" customHeight="1" x14ac:dyDescent="0.2">
      <c r="A3936" s="155"/>
      <c r="B3936" s="138" t="str">
        <f>IF(A3936="","",VLOOKUP(A3936,'6.A'!$A$11:$G$180,2,FALSE))</f>
        <v/>
      </c>
      <c r="C3936" s="156"/>
      <c r="D3936" s="157" t="str">
        <f>IF(A3936="","",VLOOKUP(A3936,'6.A'!$A$11:$G$180,4,FALSE))</f>
        <v/>
      </c>
      <c r="E3936" s="158" t="str">
        <f>IF(A3936="","",VLOOKUP(A3936,'6.A'!$A$11:$G$180,5,FALSE))</f>
        <v/>
      </c>
      <c r="F3936" s="24" t="str">
        <f t="shared" si="1699"/>
        <v>0,00</v>
      </c>
      <c r="G3936" s="52"/>
      <c r="H3936" s="52" t="str">
        <f>IF(A3936="","",VLOOKUP(A3936,'6.A'!$A$11:$E$7984,5,FALSE))</f>
        <v/>
      </c>
      <c r="I3936" s="52" t="str">
        <f t="shared" si="1700"/>
        <v/>
      </c>
      <c r="J3936" s="52" t="str">
        <f>IF(H3936="","",VLOOKUP(A3936,'6.A'!$A$11:$E$564,4,FALSE))</f>
        <v/>
      </c>
      <c r="K3936" s="52" t="str">
        <f t="shared" si="1701"/>
        <v/>
      </c>
      <c r="L3936" s="52" t="str">
        <f>IF(H3936="","",IF(C3936="","",G3912*C3936))</f>
        <v/>
      </c>
      <c r="M3936" s="117" t="str">
        <f>IF(A3936="","",VLOOKUP(A3936,'6.A'!$A$11:$C$564,2,FALSE))</f>
        <v/>
      </c>
      <c r="N3936" s="57" t="str">
        <f t="shared" ref="N3936:N3937" si="1703">IF(A3936="","",IF(M3936=B3936,"si","no"))</f>
        <v/>
      </c>
      <c r="O3936" s="56"/>
      <c r="P3936" s="56"/>
      <c r="Q3936" s="48"/>
      <c r="R3936" s="48"/>
      <c r="S3936" s="65"/>
      <c r="T3936" s="2"/>
      <c r="U3936" s="2"/>
      <c r="V3936" s="2"/>
    </row>
    <row r="3937" spans="1:22" s="149" customFormat="1" ht="12.75" customHeight="1" x14ac:dyDescent="0.2">
      <c r="A3937" s="155"/>
      <c r="B3937" s="138" t="str">
        <f>IF(A3937="","",VLOOKUP(A3937,'6.A'!$A$11:$G$180,2,FALSE))</f>
        <v/>
      </c>
      <c r="C3937" s="156"/>
      <c r="D3937" s="157" t="str">
        <f>IF(A3937="","",VLOOKUP(A3937,'6.A'!$A$11:$G$180,4,FALSE))</f>
        <v/>
      </c>
      <c r="E3937" s="158" t="str">
        <f>IF(A3937="","",VLOOKUP(A3937,'6.A'!$A$11:$G$180,5,FALSE))</f>
        <v/>
      </c>
      <c r="F3937" s="24" t="str">
        <f t="shared" si="1699"/>
        <v>0,00</v>
      </c>
      <c r="G3937" s="52"/>
      <c r="H3937" s="52" t="str">
        <f>IF(A3937="","",VLOOKUP(A3937,'6.A'!$A$11:$E$7984,5,FALSE))</f>
        <v/>
      </c>
      <c r="I3937" s="52" t="str">
        <f t="shared" si="1700"/>
        <v/>
      </c>
      <c r="J3937" s="52" t="str">
        <f>IF(H3937="","",VLOOKUP(A3937,'6.A'!$A$11:$E$564,4,FALSE))</f>
        <v/>
      </c>
      <c r="K3937" s="52" t="str">
        <f t="shared" si="1701"/>
        <v/>
      </c>
      <c r="L3937" s="52" t="str">
        <f>IF(H3937="","",IF(C3937="","",G3912*C3937))</f>
        <v/>
      </c>
      <c r="M3937" s="117" t="str">
        <f>IF(A3937="","",VLOOKUP(A3937,'6.A'!$A$11:$C$564,2,FALSE))</f>
        <v/>
      </c>
      <c r="N3937" s="57" t="str">
        <f t="shared" si="1703"/>
        <v/>
      </c>
      <c r="O3937" s="56"/>
      <c r="P3937" s="56"/>
      <c r="Q3937" s="48"/>
      <c r="R3937" s="48"/>
      <c r="S3937" s="65"/>
      <c r="T3937" s="2"/>
      <c r="U3937" s="2"/>
      <c r="V3937" s="2"/>
    </row>
    <row r="3938" spans="1:22" s="149" customFormat="1" ht="12.75" customHeight="1" x14ac:dyDescent="0.2">
      <c r="A3938" s="155"/>
      <c r="B3938" s="26" t="str">
        <f>$A$9</f>
        <v>BDI</v>
      </c>
      <c r="C3938" s="27">
        <f>$C$9</f>
        <v>0</v>
      </c>
      <c r="D3938" s="141"/>
      <c r="E3938" s="147"/>
      <c r="F3938" s="162">
        <f>ROUND(SUM(F3928:F3937)*C3938,2)</f>
        <v>0</v>
      </c>
      <c r="G3938" s="63"/>
      <c r="H3938" s="52"/>
      <c r="I3938" s="57"/>
      <c r="J3938" s="57"/>
      <c r="K3938" s="57"/>
      <c r="L3938" s="52"/>
      <c r="M3938" s="62"/>
      <c r="N3938" s="57"/>
      <c r="O3938" s="56"/>
      <c r="P3938" s="56"/>
      <c r="Q3938" s="48"/>
      <c r="R3938" s="48"/>
      <c r="S3938" s="65"/>
      <c r="T3938" s="2"/>
      <c r="U3938" s="2"/>
      <c r="V3938" s="2"/>
    </row>
    <row r="3939" spans="1:22" s="149" customFormat="1" ht="12.75" customHeight="1" x14ac:dyDescent="0.2">
      <c r="A3939" s="163"/>
      <c r="B3939" s="31" t="s">
        <v>117</v>
      </c>
      <c r="C3939" s="36"/>
      <c r="D3939" s="169"/>
      <c r="E3939" s="170"/>
      <c r="F3939" s="168">
        <f>ROUND(SUM(F3928:F3938),2)</f>
        <v>0</v>
      </c>
      <c r="G3939" s="63"/>
      <c r="H3939" s="52"/>
      <c r="I3939" s="57"/>
      <c r="J3939" s="57"/>
      <c r="K3939" s="57"/>
      <c r="L3939" s="52"/>
      <c r="M3939" s="62"/>
      <c r="N3939" s="57"/>
      <c r="O3939" s="56"/>
      <c r="P3939" s="56"/>
      <c r="Q3939" s="48"/>
      <c r="R3939" s="48"/>
      <c r="S3939" s="65"/>
      <c r="T3939" s="2"/>
      <c r="U3939" s="2"/>
      <c r="V3939" s="2"/>
    </row>
    <row r="3940" spans="1:22" s="149" customFormat="1" ht="12.75" customHeight="1" x14ac:dyDescent="0.2">
      <c r="A3940" s="152" t="s">
        <v>6</v>
      </c>
      <c r="B3940" s="153" t="s">
        <v>17</v>
      </c>
      <c r="C3940" s="140" t="s">
        <v>59</v>
      </c>
      <c r="D3940" s="140" t="s">
        <v>16</v>
      </c>
      <c r="E3940" s="154" t="s">
        <v>60</v>
      </c>
      <c r="F3940" s="148" t="s">
        <v>61</v>
      </c>
      <c r="G3940" s="21"/>
      <c r="H3940" s="52"/>
      <c r="I3940" s="57"/>
      <c r="J3940" s="57"/>
      <c r="K3940" s="57"/>
      <c r="L3940" s="52"/>
      <c r="M3940" s="62"/>
      <c r="N3940" s="57"/>
      <c r="O3940" s="56"/>
      <c r="P3940" s="56"/>
      <c r="Q3940" s="48"/>
      <c r="R3940" s="48"/>
      <c r="S3940" s="65"/>
      <c r="T3940" s="2"/>
      <c r="U3940" s="2"/>
      <c r="V3940" s="2"/>
    </row>
    <row r="3941" spans="1:22" s="149" customFormat="1" ht="12.75" customHeight="1" x14ac:dyDescent="0.2">
      <c r="A3941" s="155">
        <f>'6.A'!$A$64</f>
        <v>142</v>
      </c>
      <c r="B3941" s="138" t="str">
        <f>IF(A3941="","",VLOOKUP(A3941,'6.A'!$A$11:$G$180,2,FALSE))</f>
        <v>SELANTE ELASTICO MONOCOMPONENTE A BASE DE POLIURETANO (PU) PARA JUNTAS DIVERSAS (310ML)</v>
      </c>
      <c r="C3941" s="156">
        <v>1.613</v>
      </c>
      <c r="D3941" s="157" t="str">
        <f>IF(A3941="","",VLOOKUP(A3941,'6.A'!$A$11:$G$180,4,FALSE))</f>
        <v>UN</v>
      </c>
      <c r="E3941" s="158">
        <f>IF(A3941="","",VLOOKUP(A3941,'6.A'!$A$11:$G$180,5,FALSE))</f>
        <v>0</v>
      </c>
      <c r="F3941" s="24">
        <f t="shared" ref="F3941:F3960" si="1704">IF(A3941="","0,00",ROUND(C3941*E3941,2))</f>
        <v>0</v>
      </c>
      <c r="G3941" s="52"/>
      <c r="H3941" s="52">
        <f>IF(A3941="","",VLOOKUP(A3941,'6.A'!$A$11:$E$7984,5,FALSE))</f>
        <v>0</v>
      </c>
      <c r="I3941" s="52" t="str">
        <f t="shared" ref="I3941:I3960" si="1705">IF(H3941="","",IF(E3941=H3941,"SIM","NÃO"))</f>
        <v>SIM</v>
      </c>
      <c r="J3941" s="52" t="str">
        <f>IF(H3941="","",VLOOKUP(A3941,'6.A'!$A$11:$E$564,4,FALSE))</f>
        <v>UN</v>
      </c>
      <c r="K3941" s="52" t="str">
        <f t="shared" ref="K3941:K3960" si="1706">IF(H3941="","",IF(J3941=D3941,"SIM","NÃO"))</f>
        <v>SIM</v>
      </c>
      <c r="L3941" s="52">
        <f>IF(H3941="","",IF(C3941="","",G3912*C3941))</f>
        <v>3.226</v>
      </c>
      <c r="M3941" s="117" t="str">
        <f>IF(A3941="","",VLOOKUP(A3941,'6.A'!$A$11:$C$564,2,FALSE))</f>
        <v>SELANTE ELASTICO MONOCOMPONENTE A BASE DE POLIURETANO (PU) PARA JUNTAS DIVERSAS (310ML)</v>
      </c>
      <c r="N3941" s="57" t="str">
        <f t="shared" ref="N3941:N3960" si="1707">IF(A3941="","",IF(M3941=B3941,"si","no"))</f>
        <v>si</v>
      </c>
      <c r="O3941" s="56"/>
      <c r="P3941" s="56"/>
      <c r="Q3941" s="48"/>
      <c r="R3941" s="48"/>
      <c r="S3941" s="65"/>
      <c r="T3941" s="2"/>
      <c r="U3941" s="2"/>
      <c r="V3941" s="2"/>
    </row>
    <row r="3942" spans="1:22" s="149" customFormat="1" ht="12.75" customHeight="1" x14ac:dyDescent="0.2">
      <c r="A3942" s="155">
        <f>'6.A'!$A$117</f>
        <v>7568</v>
      </c>
      <c r="B3942" s="138" t="str">
        <f>IF(A3942="","",VLOOKUP(A3942,'6.A'!$A$11:$G$180,2,FALSE))</f>
        <v>BUCHA DE NYLON SEM ABA S10, COM PARAFUSO DE 6,10 X 65 MM EM ACO ZINCADO COM ROSCA SOBERBA, CABECA CHATA E FENDA PHILLIPS</v>
      </c>
      <c r="C3942" s="156">
        <v>8.8000000000000007</v>
      </c>
      <c r="D3942" s="157" t="str">
        <f>IF(A3942="","",VLOOKUP(A3942,'6.A'!$A$11:$G$180,4,FALSE))</f>
        <v>UN</v>
      </c>
      <c r="E3942" s="158">
        <f>IF(A3942="","",VLOOKUP(A3942,'6.A'!$A$11:$G$180,5,FALSE))</f>
        <v>0</v>
      </c>
      <c r="F3942" s="24">
        <f t="shared" si="1704"/>
        <v>0</v>
      </c>
      <c r="G3942" s="52"/>
      <c r="H3942" s="52">
        <f>IF(A3942="","",VLOOKUP(A3942,'6.A'!$A$11:$E$7984,5,FALSE))</f>
        <v>0</v>
      </c>
      <c r="I3942" s="52" t="str">
        <f t="shared" si="1705"/>
        <v>SIM</v>
      </c>
      <c r="J3942" s="52" t="str">
        <f>IF(H3942="","",VLOOKUP(A3942,'6.A'!$A$11:$E$564,4,FALSE))</f>
        <v>UN</v>
      </c>
      <c r="K3942" s="52" t="str">
        <f t="shared" si="1706"/>
        <v>SIM</v>
      </c>
      <c r="L3942" s="52">
        <f>IF(H3942="","",IF(C3942="","",G3912*C3942))</f>
        <v>17.600000000000001</v>
      </c>
      <c r="M3942" s="117" t="str">
        <f>IF(A3942="","",VLOOKUP(A3942,'6.A'!$A$11:$C$564,2,FALSE))</f>
        <v>BUCHA DE NYLON SEM ABA S10, COM PARAFUSO DE 6,10 X 65 MM EM ACO ZINCADO COM ROSCA SOBERBA, CABECA CHATA E FENDA PHILLIPS</v>
      </c>
      <c r="N3942" s="57" t="str">
        <f t="shared" si="1707"/>
        <v>si</v>
      </c>
      <c r="O3942" s="56"/>
      <c r="P3942" s="56"/>
      <c r="Q3942" s="48"/>
      <c r="R3942" s="48"/>
      <c r="S3942" s="65"/>
      <c r="T3942" s="2"/>
      <c r="U3942" s="2"/>
      <c r="V3942" s="2"/>
    </row>
    <row r="3943" spans="1:22" s="149" customFormat="1" ht="12.75" customHeight="1" x14ac:dyDescent="0.2">
      <c r="A3943" s="155">
        <f>'6.A'!$A$136</f>
        <v>39022</v>
      </c>
      <c r="B3943" s="138" t="str">
        <f>IF(A3943="","",VLOOKUP(A3943,'6.A'!$A$11:$G$180,2,FALSE))</f>
        <v>PORTA DE ABRIR EM ACO, TIPO VENEZIANA, 90 X 210 CM, COM FUNDO ANTICORROSIVO</v>
      </c>
      <c r="C3943" s="156">
        <v>1</v>
      </c>
      <c r="D3943" s="157" t="str">
        <f>IF(A3943="","",VLOOKUP(A3943,'6.A'!$A$11:$G$180,4,FALSE))</f>
        <v>UN</v>
      </c>
      <c r="E3943" s="158">
        <f>IF(A3943="","",VLOOKUP(A3943,'6.A'!$A$11:$G$180,5,FALSE))</f>
        <v>0</v>
      </c>
      <c r="F3943" s="24">
        <f t="shared" si="1704"/>
        <v>0</v>
      </c>
      <c r="G3943" s="52"/>
      <c r="H3943" s="52">
        <f>IF(A3943="","",VLOOKUP(A3943,'6.A'!$A$11:$E$7984,5,FALSE))</f>
        <v>0</v>
      </c>
      <c r="I3943" s="52" t="str">
        <f t="shared" si="1705"/>
        <v>SIM</v>
      </c>
      <c r="J3943" s="52" t="str">
        <f>IF(H3943="","",VLOOKUP(A3943,'6.A'!$A$11:$E$564,4,FALSE))</f>
        <v>UN</v>
      </c>
      <c r="K3943" s="52" t="str">
        <f t="shared" si="1706"/>
        <v>SIM</v>
      </c>
      <c r="L3943" s="52">
        <f>IF(H3943="","",IF(C3943="","",G3912*C3943))</f>
        <v>2</v>
      </c>
      <c r="M3943" s="117" t="str">
        <f>IF(A3943="","",VLOOKUP(A3943,'6.A'!$A$11:$C$564,2,FALSE))</f>
        <v>PORTA DE ABRIR EM ACO, TIPO VENEZIANA, 90 X 210 CM, COM FUNDO ANTICORROSIVO</v>
      </c>
      <c r="N3943" s="57" t="str">
        <f t="shared" si="1707"/>
        <v>si</v>
      </c>
      <c r="O3943" s="56"/>
      <c r="P3943" s="56"/>
      <c r="Q3943" s="48"/>
      <c r="R3943" s="48"/>
      <c r="S3943" s="65"/>
      <c r="T3943" s="2"/>
      <c r="U3943" s="2"/>
      <c r="V3943" s="2"/>
    </row>
    <row r="3944" spans="1:22" s="149" customFormat="1" ht="12.75" customHeight="1" x14ac:dyDescent="0.2">
      <c r="A3944" s="155">
        <f>'6.A'!$A$85</f>
        <v>1379</v>
      </c>
      <c r="B3944" s="138" t="str">
        <f>IF(A3944="","",VLOOKUP(A3944,'6.A'!$A$11:$G$180,2,FALSE))</f>
        <v>CIMENTO PORTLAND COMPOSTO CP II-32</v>
      </c>
      <c r="C3944" s="156">
        <f>(0.9*2.1)*2.03</f>
        <v>3.8367</v>
      </c>
      <c r="D3944" s="157" t="str">
        <f>IF(A3944="","",VLOOKUP(A3944,'6.A'!$A$11:$G$180,4,FALSE))</f>
        <v>KG</v>
      </c>
      <c r="E3944" s="158">
        <f>IF(A3944="","",VLOOKUP(A3944,'6.A'!$A$11:$G$180,5,FALSE))</f>
        <v>0</v>
      </c>
      <c r="F3944" s="24">
        <f t="shared" si="1704"/>
        <v>0</v>
      </c>
      <c r="G3944" s="52"/>
      <c r="H3944" s="52">
        <f>IF(A3944="","",VLOOKUP(A3944,'6.A'!$A$11:$E$7984,5,FALSE))</f>
        <v>0</v>
      </c>
      <c r="I3944" s="52" t="str">
        <f t="shared" si="1705"/>
        <v>SIM</v>
      </c>
      <c r="J3944" s="52" t="str">
        <f>IF(H3944="","",VLOOKUP(A3944,'6.A'!$A$11:$E$564,4,FALSE))</f>
        <v>KG</v>
      </c>
      <c r="K3944" s="52" t="str">
        <f t="shared" si="1706"/>
        <v>SIM</v>
      </c>
      <c r="L3944" s="52">
        <f>IF(H3944="","",IF(C3944="","",G3912*C3944))</f>
        <v>7.6734</v>
      </c>
      <c r="M3944" s="117" t="str">
        <f>IF(A3944="","",VLOOKUP(A3944,'6.A'!$A$11:$C$564,2,FALSE))</f>
        <v>CIMENTO PORTLAND COMPOSTO CP II-32</v>
      </c>
      <c r="N3944" s="57" t="str">
        <f t="shared" si="1707"/>
        <v>si</v>
      </c>
      <c r="O3944" s="56"/>
      <c r="P3944" s="56"/>
      <c r="Q3944" s="48"/>
      <c r="R3944" s="48"/>
      <c r="S3944" s="65"/>
      <c r="T3944" s="2"/>
      <c r="U3944" s="2"/>
      <c r="V3944" s="2"/>
    </row>
    <row r="3945" spans="1:22" s="149" customFormat="1" ht="12.75" customHeight="1" x14ac:dyDescent="0.2">
      <c r="A3945" s="155" t="str">
        <f>'6.A'!$A$52</f>
        <v>CV00182</v>
      </c>
      <c r="B3945" s="138" t="str">
        <f>IF(A3945="","",VLOOKUP(A3945,'6.A'!$A$11:$G$180,2,FALSE))</f>
        <v>AREIA MÉDIA GRANULOMETRIA ENTRE (0,42 E 1,2 MM) LAVADA</v>
      </c>
      <c r="C3945" s="156">
        <f>(0.9*2.1)*0.01</f>
        <v>1.89E-2</v>
      </c>
      <c r="D3945" s="157" t="str">
        <f>IF(A3945="","",VLOOKUP(A3945,'6.A'!$A$11:$G$180,4,FALSE))</f>
        <v>M3</v>
      </c>
      <c r="E3945" s="158">
        <f>IF(A3945="","",VLOOKUP(A3945,'6.A'!$A$11:$G$180,5,FALSE))</f>
        <v>0</v>
      </c>
      <c r="F3945" s="24">
        <f t="shared" si="1704"/>
        <v>0</v>
      </c>
      <c r="G3945" s="52"/>
      <c r="H3945" s="52">
        <f>IF(A3945="","",VLOOKUP(A3945,'6.A'!$A$11:$E$7984,5,FALSE))</f>
        <v>0</v>
      </c>
      <c r="I3945" s="52" t="str">
        <f t="shared" si="1705"/>
        <v>SIM</v>
      </c>
      <c r="J3945" s="52" t="str">
        <f>IF(H3945="","",VLOOKUP(A3945,'6.A'!$A$11:$E$564,4,FALSE))</f>
        <v>M3</v>
      </c>
      <c r="K3945" s="52" t="str">
        <f t="shared" si="1706"/>
        <v>SIM</v>
      </c>
      <c r="L3945" s="52">
        <f>IF(H3945="","",IF(C3945="","",G3912*C3945))</f>
        <v>3.78E-2</v>
      </c>
      <c r="M3945" s="117" t="str">
        <f>IF(A3945="","",VLOOKUP(A3945,'6.A'!$A$11:$C$564,2,FALSE))</f>
        <v>AREIA MÉDIA GRANULOMETRIA ENTRE (0,42 E 1,2 MM) LAVADA</v>
      </c>
      <c r="N3945" s="57" t="str">
        <f t="shared" si="1707"/>
        <v>si</v>
      </c>
      <c r="O3945" s="56"/>
      <c r="P3945" s="56"/>
      <c r="Q3945" s="48"/>
      <c r="R3945" s="48"/>
      <c r="S3945" s="65"/>
      <c r="T3945" s="2"/>
      <c r="U3945" s="2"/>
      <c r="V3945" s="2"/>
    </row>
    <row r="3946" spans="1:22" s="149" customFormat="1" ht="12.75" customHeight="1" x14ac:dyDescent="0.2">
      <c r="A3946" s="155"/>
      <c r="B3946" s="138" t="str">
        <f>IF(A3946="","",VLOOKUP(A3946,'6.A'!$A$11:$G$180,2,FALSE))</f>
        <v/>
      </c>
      <c r="C3946" s="156"/>
      <c r="D3946" s="157" t="str">
        <f>IF(A3946="","",VLOOKUP(A3946,'6.A'!$A$11:$G$180,4,FALSE))</f>
        <v/>
      </c>
      <c r="E3946" s="158" t="str">
        <f>IF(A3946="","",VLOOKUP(A3946,'6.A'!$A$11:$G$180,5,FALSE))</f>
        <v/>
      </c>
      <c r="F3946" s="24" t="str">
        <f t="shared" si="1704"/>
        <v>0,00</v>
      </c>
      <c r="G3946" s="52"/>
      <c r="H3946" s="52" t="str">
        <f>IF(A3946="","",VLOOKUP(A3946,'6.A'!$A$11:$E$7984,5,FALSE))</f>
        <v/>
      </c>
      <c r="I3946" s="52" t="str">
        <f t="shared" si="1705"/>
        <v/>
      </c>
      <c r="J3946" s="52" t="str">
        <f>IF(H3946="","",VLOOKUP(A3946,'6.A'!$A$11:$E$564,4,FALSE))</f>
        <v/>
      </c>
      <c r="K3946" s="52" t="str">
        <f t="shared" si="1706"/>
        <v/>
      </c>
      <c r="L3946" s="52" t="str">
        <f>IF(H3946="","",IF(C3946="","",G3912*C3946))</f>
        <v/>
      </c>
      <c r="M3946" s="117" t="str">
        <f>IF(A3946="","",VLOOKUP(A3946,'6.A'!$A$11:$C$564,2,FALSE))</f>
        <v/>
      </c>
      <c r="N3946" s="57" t="str">
        <f t="shared" si="1707"/>
        <v/>
      </c>
      <c r="O3946" s="56"/>
      <c r="P3946" s="56"/>
      <c r="Q3946" s="48"/>
      <c r="R3946" s="48"/>
      <c r="S3946" s="65"/>
      <c r="T3946" s="2"/>
      <c r="U3946" s="2"/>
      <c r="V3946" s="2"/>
    </row>
    <row r="3947" spans="1:22" s="149" customFormat="1" ht="12.75" customHeight="1" x14ac:dyDescent="0.2">
      <c r="A3947" s="155"/>
      <c r="B3947" s="138" t="str">
        <f>IF(A3947="","",VLOOKUP(A3947,'6.A'!$A$11:$G$180,2,FALSE))</f>
        <v/>
      </c>
      <c r="C3947" s="156"/>
      <c r="D3947" s="157" t="str">
        <f>IF(A3947="","",VLOOKUP(A3947,'6.A'!$A$11:$G$180,4,FALSE))</f>
        <v/>
      </c>
      <c r="E3947" s="158" t="str">
        <f>IF(A3947="","",VLOOKUP(A3947,'6.A'!$A$11:$G$180,5,FALSE))</f>
        <v/>
      </c>
      <c r="F3947" s="24" t="str">
        <f t="shared" si="1704"/>
        <v>0,00</v>
      </c>
      <c r="G3947" s="52"/>
      <c r="H3947" s="52" t="str">
        <f>IF(A3947="","",VLOOKUP(A3947,'6.A'!$A$11:$E$7984,5,FALSE))</f>
        <v/>
      </c>
      <c r="I3947" s="52" t="str">
        <f t="shared" si="1705"/>
        <v/>
      </c>
      <c r="J3947" s="52" t="str">
        <f>IF(H3947="","",VLOOKUP(A3947,'6.A'!$A$11:$E$564,4,FALSE))</f>
        <v/>
      </c>
      <c r="K3947" s="52" t="str">
        <f t="shared" si="1706"/>
        <v/>
      </c>
      <c r="L3947" s="52" t="str">
        <f>IF(H3947="","",IF(C3947="","",G3912*C3947))</f>
        <v/>
      </c>
      <c r="M3947" s="117" t="str">
        <f>IF(A3947="","",VLOOKUP(A3947,'6.A'!$A$11:$C$564,2,FALSE))</f>
        <v/>
      </c>
      <c r="N3947" s="57" t="str">
        <f t="shared" si="1707"/>
        <v/>
      </c>
      <c r="O3947" s="56"/>
      <c r="P3947" s="56"/>
      <c r="Q3947" s="48"/>
      <c r="R3947" s="48"/>
      <c r="S3947" s="65"/>
      <c r="T3947" s="2"/>
      <c r="U3947" s="2"/>
      <c r="V3947" s="2"/>
    </row>
    <row r="3948" spans="1:22" s="149" customFormat="1" ht="12.75" customHeight="1" x14ac:dyDescent="0.2">
      <c r="A3948" s="155"/>
      <c r="B3948" s="138" t="str">
        <f>IF(A3948="","",VLOOKUP(A3948,'6.A'!$A$11:$G$180,2,FALSE))</f>
        <v/>
      </c>
      <c r="C3948" s="156"/>
      <c r="D3948" s="157" t="str">
        <f>IF(A3948="","",VLOOKUP(A3948,'6.A'!$A$11:$G$180,4,FALSE))</f>
        <v/>
      </c>
      <c r="E3948" s="158" t="str">
        <f>IF(A3948="","",VLOOKUP(A3948,'6.A'!$A$11:$G$180,5,FALSE))</f>
        <v/>
      </c>
      <c r="F3948" s="24" t="str">
        <f t="shared" si="1704"/>
        <v>0,00</v>
      </c>
      <c r="G3948" s="52"/>
      <c r="H3948" s="52" t="str">
        <f>IF(A3948="","",VLOOKUP(A3948,'6.A'!$A$11:$E$7984,5,FALSE))</f>
        <v/>
      </c>
      <c r="I3948" s="52" t="str">
        <f t="shared" si="1705"/>
        <v/>
      </c>
      <c r="J3948" s="52" t="str">
        <f>IF(H3948="","",VLOOKUP(A3948,'6.A'!$A$11:$E$564,4,FALSE))</f>
        <v/>
      </c>
      <c r="K3948" s="52" t="str">
        <f t="shared" si="1706"/>
        <v/>
      </c>
      <c r="L3948" s="52" t="str">
        <f>IF(H3948="","",IF(C3948="","",G3912*C3948))</f>
        <v/>
      </c>
      <c r="M3948" s="117" t="str">
        <f>IF(A3948="","",VLOOKUP(A3948,'6.A'!$A$11:$C$564,2,FALSE))</f>
        <v/>
      </c>
      <c r="N3948" s="57" t="str">
        <f t="shared" si="1707"/>
        <v/>
      </c>
      <c r="O3948" s="56"/>
      <c r="P3948" s="56"/>
      <c r="Q3948" s="48"/>
      <c r="R3948" s="48"/>
      <c r="S3948" s="65"/>
      <c r="T3948" s="2"/>
      <c r="U3948" s="2"/>
      <c r="V3948" s="2"/>
    </row>
    <row r="3949" spans="1:22" s="149" customFormat="1" ht="12.75" customHeight="1" x14ac:dyDescent="0.2">
      <c r="A3949" s="155"/>
      <c r="B3949" s="138" t="str">
        <f>IF(A3949="","",VLOOKUP(A3949,'6.A'!$A$11:$G$180,2,FALSE))</f>
        <v/>
      </c>
      <c r="C3949" s="156"/>
      <c r="D3949" s="157" t="str">
        <f>IF(A3949="","",VLOOKUP(A3949,'6.A'!$A$11:$G$180,4,FALSE))</f>
        <v/>
      </c>
      <c r="E3949" s="158" t="str">
        <f>IF(A3949="","",VLOOKUP(A3949,'6.A'!$A$11:$G$180,5,FALSE))</f>
        <v/>
      </c>
      <c r="F3949" s="24" t="str">
        <f t="shared" si="1704"/>
        <v>0,00</v>
      </c>
      <c r="G3949" s="52"/>
      <c r="H3949" s="52" t="str">
        <f>IF(A3949="","",VLOOKUP(A3949,'6.A'!$A$11:$E$7984,5,FALSE))</f>
        <v/>
      </c>
      <c r="I3949" s="52" t="str">
        <f t="shared" si="1705"/>
        <v/>
      </c>
      <c r="J3949" s="52" t="str">
        <f>IF(H3949="","",VLOOKUP(A3949,'6.A'!$A$11:$E$564,4,FALSE))</f>
        <v/>
      </c>
      <c r="K3949" s="52" t="str">
        <f t="shared" si="1706"/>
        <v/>
      </c>
      <c r="L3949" s="52" t="str">
        <f>IF(H3949="","",IF(C3949="","",G3912*C3949))</f>
        <v/>
      </c>
      <c r="M3949" s="117" t="str">
        <f>IF(A3949="","",VLOOKUP(A3949,'6.A'!$A$11:$C$564,2,FALSE))</f>
        <v/>
      </c>
      <c r="N3949" s="57" t="str">
        <f t="shared" si="1707"/>
        <v/>
      </c>
      <c r="O3949" s="56"/>
      <c r="P3949" s="56"/>
      <c r="Q3949" s="48"/>
      <c r="R3949" s="48"/>
      <c r="S3949" s="65"/>
      <c r="T3949" s="2"/>
      <c r="U3949" s="2"/>
      <c r="V3949" s="2"/>
    </row>
    <row r="3950" spans="1:22" s="149" customFormat="1" ht="12.75" customHeight="1" x14ac:dyDescent="0.2">
      <c r="A3950" s="155"/>
      <c r="B3950" s="138" t="str">
        <f>IF(A3950="","",VLOOKUP(A3950,'6.A'!$A$11:$G$180,2,FALSE))</f>
        <v/>
      </c>
      <c r="C3950" s="156"/>
      <c r="D3950" s="157" t="str">
        <f>IF(A3950="","",VLOOKUP(A3950,'6.A'!$A$11:$G$180,4,FALSE))</f>
        <v/>
      </c>
      <c r="E3950" s="158" t="str">
        <f>IF(A3950="","",VLOOKUP(A3950,'6.A'!$A$11:$G$180,5,FALSE))</f>
        <v/>
      </c>
      <c r="F3950" s="24" t="str">
        <f t="shared" si="1704"/>
        <v>0,00</v>
      </c>
      <c r="G3950" s="52"/>
      <c r="H3950" s="52" t="str">
        <f>IF(A3950="","",VLOOKUP(A3950,'6.A'!$A$11:$E$7984,5,FALSE))</f>
        <v/>
      </c>
      <c r="I3950" s="52" t="str">
        <f t="shared" si="1705"/>
        <v/>
      </c>
      <c r="J3950" s="52" t="str">
        <f>IF(H3950="","",VLOOKUP(A3950,'6.A'!$A$11:$E$564,4,FALSE))</f>
        <v/>
      </c>
      <c r="K3950" s="52" t="str">
        <f t="shared" si="1706"/>
        <v/>
      </c>
      <c r="L3950" s="52" t="str">
        <f>IF(H3950="","",IF(C3950="","",G3912*C3950))</f>
        <v/>
      </c>
      <c r="M3950" s="117" t="str">
        <f>IF(A3950="","",VLOOKUP(A3950,'6.A'!$A$11:$C$564,2,FALSE))</f>
        <v/>
      </c>
      <c r="N3950" s="57" t="str">
        <f t="shared" si="1707"/>
        <v/>
      </c>
      <c r="O3950" s="56"/>
      <c r="P3950" s="56"/>
      <c r="Q3950" s="48"/>
      <c r="R3950" s="48"/>
      <c r="S3950" s="65"/>
      <c r="T3950" s="2"/>
      <c r="U3950" s="2"/>
      <c r="V3950" s="2"/>
    </row>
    <row r="3951" spans="1:22" s="149" customFormat="1" ht="12.75" customHeight="1" x14ac:dyDescent="0.2">
      <c r="A3951" s="155"/>
      <c r="B3951" s="138" t="str">
        <f>IF(A3951="","",VLOOKUP(A3951,'6.A'!$A$11:$G$180,2,FALSE))</f>
        <v/>
      </c>
      <c r="C3951" s="156"/>
      <c r="D3951" s="157" t="str">
        <f>IF(A3951="","",VLOOKUP(A3951,'6.A'!$A$11:$G$180,4,FALSE))</f>
        <v/>
      </c>
      <c r="E3951" s="158" t="str">
        <f>IF(A3951="","",VLOOKUP(A3951,'6.A'!$A$11:$G$180,5,FALSE))</f>
        <v/>
      </c>
      <c r="F3951" s="24" t="str">
        <f t="shared" si="1704"/>
        <v>0,00</v>
      </c>
      <c r="G3951" s="52"/>
      <c r="H3951" s="52" t="str">
        <f>IF(A3951="","",VLOOKUP(A3951,'6.A'!$A$11:$E$7984,5,FALSE))</f>
        <v/>
      </c>
      <c r="I3951" s="52" t="str">
        <f t="shared" si="1705"/>
        <v/>
      </c>
      <c r="J3951" s="52" t="str">
        <f>IF(H3951="","",VLOOKUP(A3951,'6.A'!$A$11:$E$564,4,FALSE))</f>
        <v/>
      </c>
      <c r="K3951" s="52" t="str">
        <f t="shared" si="1706"/>
        <v/>
      </c>
      <c r="L3951" s="52" t="str">
        <f>IF(H3951="","",IF(C3951="","",G3912*C3951))</f>
        <v/>
      </c>
      <c r="M3951" s="117" t="str">
        <f>IF(A3951="","",VLOOKUP(A3951,'6.A'!$A$11:$C$564,2,FALSE))</f>
        <v/>
      </c>
      <c r="N3951" s="57" t="str">
        <f t="shared" si="1707"/>
        <v/>
      </c>
      <c r="O3951" s="56"/>
      <c r="P3951" s="56"/>
      <c r="Q3951" s="48"/>
      <c r="R3951" s="48"/>
      <c r="S3951" s="65"/>
      <c r="T3951" s="2"/>
      <c r="U3951" s="2"/>
      <c r="V3951" s="2"/>
    </row>
    <row r="3952" spans="1:22" s="149" customFormat="1" ht="12.75" customHeight="1" x14ac:dyDescent="0.2">
      <c r="A3952" s="155"/>
      <c r="B3952" s="138" t="str">
        <f>IF(A3952="","",VLOOKUP(A3952,'6.A'!$A$11:$G$180,2,FALSE))</f>
        <v/>
      </c>
      <c r="C3952" s="156"/>
      <c r="D3952" s="157" t="str">
        <f>IF(A3952="","",VLOOKUP(A3952,'6.A'!$A$11:$G$180,4,FALSE))</f>
        <v/>
      </c>
      <c r="E3952" s="158" t="str">
        <f>IF(A3952="","",VLOOKUP(A3952,'6.A'!$A$11:$G$180,5,FALSE))</f>
        <v/>
      </c>
      <c r="F3952" s="24" t="str">
        <f t="shared" si="1704"/>
        <v>0,00</v>
      </c>
      <c r="G3952" s="52"/>
      <c r="H3952" s="52" t="str">
        <f>IF(A3952="","",VLOOKUP(A3952,'6.A'!$A$11:$E$7984,5,FALSE))</f>
        <v/>
      </c>
      <c r="I3952" s="52" t="str">
        <f t="shared" si="1705"/>
        <v/>
      </c>
      <c r="J3952" s="52" t="str">
        <f>IF(H3952="","",VLOOKUP(A3952,'6.A'!$A$11:$E$564,4,FALSE))</f>
        <v/>
      </c>
      <c r="K3952" s="52" t="str">
        <f t="shared" si="1706"/>
        <v/>
      </c>
      <c r="L3952" s="52" t="str">
        <f>IF(H3952="","",IF(C3952="","",G3912*C3952))</f>
        <v/>
      </c>
      <c r="M3952" s="117" t="str">
        <f>IF(A3952="","",VLOOKUP(A3952,'6.A'!$A$11:$C$564,2,FALSE))</f>
        <v/>
      </c>
      <c r="N3952" s="57" t="str">
        <f t="shared" si="1707"/>
        <v/>
      </c>
      <c r="O3952" s="56"/>
      <c r="P3952" s="56"/>
      <c r="Q3952" s="48"/>
      <c r="R3952" s="48"/>
      <c r="S3952" s="65"/>
      <c r="T3952" s="2"/>
      <c r="U3952" s="2"/>
      <c r="V3952" s="2"/>
    </row>
    <row r="3953" spans="1:22" s="149" customFormat="1" ht="12.75" customHeight="1" x14ac:dyDescent="0.2">
      <c r="A3953" s="155"/>
      <c r="B3953" s="138" t="str">
        <f>IF(A3953="","",VLOOKUP(A3953,'6.A'!$A$11:$G$180,2,FALSE))</f>
        <v/>
      </c>
      <c r="C3953" s="156"/>
      <c r="D3953" s="157" t="str">
        <f>IF(A3953="","",VLOOKUP(A3953,'6.A'!$A$11:$G$180,4,FALSE))</f>
        <v/>
      </c>
      <c r="E3953" s="158" t="str">
        <f>IF(A3953="","",VLOOKUP(A3953,'6.A'!$A$11:$G$180,5,FALSE))</f>
        <v/>
      </c>
      <c r="F3953" s="24" t="str">
        <f t="shared" si="1704"/>
        <v>0,00</v>
      </c>
      <c r="G3953" s="52"/>
      <c r="H3953" s="52" t="str">
        <f>IF(A3953="","",VLOOKUP(A3953,'6.A'!$A$11:$E$7984,5,FALSE))</f>
        <v/>
      </c>
      <c r="I3953" s="52" t="str">
        <f t="shared" si="1705"/>
        <v/>
      </c>
      <c r="J3953" s="52" t="str">
        <f>IF(H3953="","",VLOOKUP(A3953,'6.A'!$A$11:$E$564,4,FALSE))</f>
        <v/>
      </c>
      <c r="K3953" s="52" t="str">
        <f t="shared" si="1706"/>
        <v/>
      </c>
      <c r="L3953" s="52" t="str">
        <f>IF(H3953="","",IF(C3953="","",G3912*C3953))</f>
        <v/>
      </c>
      <c r="M3953" s="117" t="str">
        <f>IF(A3953="","",VLOOKUP(A3953,'6.A'!$A$11:$C$564,2,FALSE))</f>
        <v/>
      </c>
      <c r="N3953" s="57" t="str">
        <f t="shared" si="1707"/>
        <v/>
      </c>
      <c r="O3953" s="56"/>
      <c r="P3953" s="56"/>
      <c r="Q3953" s="48"/>
      <c r="R3953" s="48"/>
      <c r="S3953" s="65"/>
      <c r="T3953" s="2"/>
      <c r="U3953" s="2"/>
      <c r="V3953" s="2"/>
    </row>
    <row r="3954" spans="1:22" s="149" customFormat="1" ht="12.75" customHeight="1" x14ac:dyDescent="0.2">
      <c r="A3954" s="155"/>
      <c r="B3954" s="138" t="str">
        <f>IF(A3954="","",VLOOKUP(A3954,'6.A'!$A$11:$G$180,2,FALSE))</f>
        <v/>
      </c>
      <c r="C3954" s="156"/>
      <c r="D3954" s="157" t="str">
        <f>IF(A3954="","",VLOOKUP(A3954,'6.A'!$A$11:$G$180,4,FALSE))</f>
        <v/>
      </c>
      <c r="E3954" s="158" t="str">
        <f>IF(A3954="","",VLOOKUP(A3954,'6.A'!$A$11:$G$180,5,FALSE))</f>
        <v/>
      </c>
      <c r="F3954" s="24" t="str">
        <f t="shared" si="1704"/>
        <v>0,00</v>
      </c>
      <c r="G3954" s="52"/>
      <c r="H3954" s="52" t="str">
        <f>IF(A3954="","",VLOOKUP(A3954,'6.A'!$A$11:$E$7984,5,FALSE))</f>
        <v/>
      </c>
      <c r="I3954" s="52" t="str">
        <f t="shared" si="1705"/>
        <v/>
      </c>
      <c r="J3954" s="52" t="str">
        <f>IF(H3954="","",VLOOKUP(A3954,'6.A'!$A$11:$E$564,4,FALSE))</f>
        <v/>
      </c>
      <c r="K3954" s="52" t="str">
        <f t="shared" si="1706"/>
        <v/>
      </c>
      <c r="L3954" s="52" t="str">
        <f>IF(H3954="","",IF(C3954="","",G3912*C3954))</f>
        <v/>
      </c>
      <c r="M3954" s="117" t="str">
        <f>IF(A3954="","",VLOOKUP(A3954,'6.A'!$A$11:$C$564,2,FALSE))</f>
        <v/>
      </c>
      <c r="N3954" s="57" t="str">
        <f t="shared" si="1707"/>
        <v/>
      </c>
      <c r="O3954" s="56"/>
      <c r="P3954" s="56"/>
      <c r="Q3954" s="48"/>
      <c r="R3954" s="48"/>
      <c r="S3954" s="65"/>
      <c r="T3954" s="2"/>
      <c r="U3954" s="2"/>
      <c r="V3954" s="2"/>
    </row>
    <row r="3955" spans="1:22" s="149" customFormat="1" ht="12.75" customHeight="1" x14ac:dyDescent="0.2">
      <c r="A3955" s="155"/>
      <c r="B3955" s="138" t="str">
        <f>IF(A3955="","",VLOOKUP(A3955,'6.A'!$A$11:$G$180,2,FALSE))</f>
        <v/>
      </c>
      <c r="C3955" s="156"/>
      <c r="D3955" s="157" t="str">
        <f>IF(A3955="","",VLOOKUP(A3955,'6.A'!$A$11:$G$180,4,FALSE))</f>
        <v/>
      </c>
      <c r="E3955" s="158" t="str">
        <f>IF(A3955="","",VLOOKUP(A3955,'6.A'!$A$11:$G$180,5,FALSE))</f>
        <v/>
      </c>
      <c r="F3955" s="24" t="str">
        <f t="shared" si="1704"/>
        <v>0,00</v>
      </c>
      <c r="G3955" s="52"/>
      <c r="H3955" s="52" t="str">
        <f>IF(A3955="","",VLOOKUP(A3955,'6.A'!$A$11:$E$7984,5,FALSE))</f>
        <v/>
      </c>
      <c r="I3955" s="52" t="str">
        <f t="shared" si="1705"/>
        <v/>
      </c>
      <c r="J3955" s="52" t="str">
        <f>IF(H3955="","",VLOOKUP(A3955,'6.A'!$A$11:$E$564,4,FALSE))</f>
        <v/>
      </c>
      <c r="K3955" s="52" t="str">
        <f t="shared" si="1706"/>
        <v/>
      </c>
      <c r="L3955" s="52" t="str">
        <f>IF(H3955="","",IF(C3955="","",G3912*C3955))</f>
        <v/>
      </c>
      <c r="M3955" s="117" t="str">
        <f>IF(A3955="","",VLOOKUP(A3955,'6.A'!$A$11:$C$564,2,FALSE))</f>
        <v/>
      </c>
      <c r="N3955" s="57" t="str">
        <f t="shared" si="1707"/>
        <v/>
      </c>
      <c r="O3955" s="56"/>
      <c r="P3955" s="56"/>
      <c r="Q3955" s="48"/>
      <c r="R3955" s="48"/>
      <c r="S3955" s="65"/>
      <c r="T3955" s="2"/>
      <c r="U3955" s="2"/>
      <c r="V3955" s="2"/>
    </row>
    <row r="3956" spans="1:22" s="149" customFormat="1" ht="12.75" customHeight="1" x14ac:dyDescent="0.2">
      <c r="A3956" s="155"/>
      <c r="B3956" s="138" t="str">
        <f>IF(A3956="","",VLOOKUP(A3956,'6.A'!$A$11:$G$180,2,FALSE))</f>
        <v/>
      </c>
      <c r="C3956" s="156"/>
      <c r="D3956" s="157" t="str">
        <f>IF(A3956="","",VLOOKUP(A3956,'6.A'!$A$11:$G$180,4,FALSE))</f>
        <v/>
      </c>
      <c r="E3956" s="158" t="str">
        <f>IF(A3956="","",VLOOKUP(A3956,'6.A'!$A$11:$G$180,5,FALSE))</f>
        <v/>
      </c>
      <c r="F3956" s="24" t="str">
        <f t="shared" si="1704"/>
        <v>0,00</v>
      </c>
      <c r="G3956" s="52"/>
      <c r="H3956" s="52" t="str">
        <f>IF(A3956="","",VLOOKUP(A3956,'6.A'!$A$11:$E$7984,5,FALSE))</f>
        <v/>
      </c>
      <c r="I3956" s="52" t="str">
        <f t="shared" si="1705"/>
        <v/>
      </c>
      <c r="J3956" s="52" t="str">
        <f>IF(H3956="","",VLOOKUP(A3956,'6.A'!$A$11:$E$564,4,FALSE))</f>
        <v/>
      </c>
      <c r="K3956" s="52" t="str">
        <f t="shared" si="1706"/>
        <v/>
      </c>
      <c r="L3956" s="52" t="str">
        <f>IF(H3956="","",IF(C3956="","",G3912*C3956))</f>
        <v/>
      </c>
      <c r="M3956" s="117" t="str">
        <f>IF(A3956="","",VLOOKUP(A3956,'6.A'!$A$11:$C$564,2,FALSE))</f>
        <v/>
      </c>
      <c r="N3956" s="57" t="str">
        <f t="shared" si="1707"/>
        <v/>
      </c>
      <c r="O3956" s="56"/>
      <c r="P3956" s="56"/>
      <c r="Q3956" s="48"/>
      <c r="R3956" s="48"/>
      <c r="S3956" s="65"/>
      <c r="T3956" s="2"/>
      <c r="U3956" s="2"/>
      <c r="V3956" s="2"/>
    </row>
    <row r="3957" spans="1:22" s="149" customFormat="1" ht="12.75" customHeight="1" x14ac:dyDescent="0.2">
      <c r="A3957" s="155"/>
      <c r="B3957" s="171" t="str">
        <f>IF(A3957="","",VLOOKUP(A3957,'6.A'!$A$11:$G$180,2,FALSE))</f>
        <v/>
      </c>
      <c r="C3957" s="156"/>
      <c r="D3957" s="157" t="str">
        <f>IF(A3957="","",VLOOKUP(A3957,'6.A'!$A$11:$G$180,4,FALSE))</f>
        <v/>
      </c>
      <c r="E3957" s="158" t="str">
        <f>IF(A3957="","",VLOOKUP(A3957,'6.A'!$A$11:$G$180,5,FALSE))</f>
        <v/>
      </c>
      <c r="F3957" s="24" t="str">
        <f t="shared" si="1704"/>
        <v>0,00</v>
      </c>
      <c r="G3957" s="52"/>
      <c r="H3957" s="52" t="str">
        <f>IF(A3957="","",VLOOKUP(A3957,'6.A'!$A$11:$E$7984,5,FALSE))</f>
        <v/>
      </c>
      <c r="I3957" s="52" t="str">
        <f t="shared" si="1705"/>
        <v/>
      </c>
      <c r="J3957" s="52" t="str">
        <f>IF(H3957="","",VLOOKUP(A3957,'6.A'!$A$11:$E$564,4,FALSE))</f>
        <v/>
      </c>
      <c r="K3957" s="52" t="str">
        <f t="shared" si="1706"/>
        <v/>
      </c>
      <c r="L3957" s="52" t="str">
        <f>IF(H3957="","",IF(C3957="","",G3912*C3957))</f>
        <v/>
      </c>
      <c r="M3957" s="117" t="str">
        <f>IF(A3957="","",VLOOKUP(A3957,'6.A'!$A$11:$C$564,2,FALSE))</f>
        <v/>
      </c>
      <c r="N3957" s="57" t="str">
        <f t="shared" si="1707"/>
        <v/>
      </c>
      <c r="O3957" s="56"/>
      <c r="P3957" s="56"/>
      <c r="Q3957" s="48"/>
      <c r="R3957" s="48"/>
      <c r="S3957" s="65"/>
      <c r="T3957" s="2"/>
      <c r="U3957" s="2"/>
      <c r="V3957" s="2"/>
    </row>
    <row r="3958" spans="1:22" s="149" customFormat="1" ht="12.75" customHeight="1" x14ac:dyDescent="0.2">
      <c r="A3958" s="155"/>
      <c r="B3958" s="171" t="str">
        <f>IF(A3958="","",VLOOKUP(A3958,'6.A'!$A$11:$G$180,2,FALSE))</f>
        <v/>
      </c>
      <c r="C3958" s="156"/>
      <c r="D3958" s="157" t="str">
        <f>IF(A3958="","",VLOOKUP(A3958,'6.A'!$A$11:$G$180,4,FALSE))</f>
        <v/>
      </c>
      <c r="E3958" s="158" t="str">
        <f>IF(A3958="","",VLOOKUP(A3958,'6.A'!$A$11:$G$180,5,FALSE))</f>
        <v/>
      </c>
      <c r="F3958" s="24" t="str">
        <f t="shared" si="1704"/>
        <v>0,00</v>
      </c>
      <c r="G3958" s="52"/>
      <c r="H3958" s="52" t="str">
        <f>IF(A3958="","",VLOOKUP(A3958,'6.A'!$A$11:$E$7984,5,FALSE))</f>
        <v/>
      </c>
      <c r="I3958" s="52" t="str">
        <f t="shared" si="1705"/>
        <v/>
      </c>
      <c r="J3958" s="52" t="str">
        <f>IF(H3958="","",VLOOKUP(A3958,'6.A'!$A$11:$E$564,4,FALSE))</f>
        <v/>
      </c>
      <c r="K3958" s="52" t="str">
        <f t="shared" si="1706"/>
        <v/>
      </c>
      <c r="L3958" s="52" t="str">
        <f>IF(H3958="","",IF(C3958="","",G3912*C3958))</f>
        <v/>
      </c>
      <c r="M3958" s="117" t="str">
        <f>IF(A3958="","",VLOOKUP(A3958,'6.A'!$A$11:$C$564,2,FALSE))</f>
        <v/>
      </c>
      <c r="N3958" s="57" t="str">
        <f t="shared" si="1707"/>
        <v/>
      </c>
      <c r="O3958" s="56"/>
      <c r="P3958" s="56"/>
      <c r="Q3958" s="48"/>
      <c r="R3958" s="48"/>
      <c r="S3958" s="65"/>
      <c r="T3958" s="2"/>
      <c r="U3958" s="2"/>
      <c r="V3958" s="2"/>
    </row>
    <row r="3959" spans="1:22" s="137" customFormat="1" ht="12.75" customHeight="1" x14ac:dyDescent="0.2">
      <c r="A3959" s="155"/>
      <c r="B3959" s="171" t="str">
        <f>IF(A3959="","",VLOOKUP(A3959,'6.A'!$A$11:$G$180,2,FALSE))</f>
        <v/>
      </c>
      <c r="C3959" s="156"/>
      <c r="D3959" s="157" t="str">
        <f>IF(A3959="","",VLOOKUP(A3959,'6.A'!$A$11:$G$180,4,FALSE))</f>
        <v/>
      </c>
      <c r="E3959" s="158" t="str">
        <f>IF(A3959="","",VLOOKUP(A3959,'6.A'!$A$11:$G$180,5,FALSE))</f>
        <v/>
      </c>
      <c r="F3959" s="24" t="str">
        <f t="shared" si="1704"/>
        <v>0,00</v>
      </c>
      <c r="G3959" s="52"/>
      <c r="H3959" s="52" t="str">
        <f>IF(A3959="","",VLOOKUP(A3959,'6.A'!$A$11:$E$7984,5,FALSE))</f>
        <v/>
      </c>
      <c r="I3959" s="52" t="str">
        <f t="shared" si="1705"/>
        <v/>
      </c>
      <c r="J3959" s="52" t="str">
        <f>IF(H3959="","",VLOOKUP(A3959,'6.A'!$A$11:$E$564,4,FALSE))</f>
        <v/>
      </c>
      <c r="K3959" s="52" t="str">
        <f t="shared" si="1706"/>
        <v/>
      </c>
      <c r="L3959" s="52" t="str">
        <f>IF(H3959="","",IF(C3959="","",G3912*C3959))</f>
        <v/>
      </c>
      <c r="M3959" s="117" t="str">
        <f>IF(A3959="","",VLOOKUP(A3959,'6.A'!$A$11:$C$564,2,FALSE))</f>
        <v/>
      </c>
      <c r="N3959" s="57" t="str">
        <f t="shared" si="1707"/>
        <v/>
      </c>
      <c r="O3959" s="56"/>
      <c r="P3959" s="56"/>
      <c r="Q3959" s="48"/>
      <c r="R3959" s="48"/>
      <c r="S3959" s="65"/>
      <c r="T3959" s="2"/>
      <c r="U3959" s="2"/>
      <c r="V3959" s="2"/>
    </row>
    <row r="3960" spans="1:22" s="137" customFormat="1" ht="12.75" customHeight="1" x14ac:dyDescent="0.2">
      <c r="A3960" s="155"/>
      <c r="B3960" s="171" t="str">
        <f>IF(A3960="","",VLOOKUP(A3960,'6.A'!$A$11:$G$180,2,FALSE))</f>
        <v/>
      </c>
      <c r="C3960" s="156"/>
      <c r="D3960" s="157" t="str">
        <f>IF(A3960="","",VLOOKUP(A3960,'6.A'!$A$11:$G$180,4,FALSE))</f>
        <v/>
      </c>
      <c r="E3960" s="158" t="str">
        <f>IF(A3960="","",VLOOKUP(A3960,'6.A'!$A$11:$G$180,5,FALSE))</f>
        <v/>
      </c>
      <c r="F3960" s="24" t="str">
        <f t="shared" si="1704"/>
        <v>0,00</v>
      </c>
      <c r="G3960" s="52"/>
      <c r="H3960" s="52" t="str">
        <f>IF(A3960="","",VLOOKUP(A3960,'6.A'!$A$11:$E$7984,5,FALSE))</f>
        <v/>
      </c>
      <c r="I3960" s="52" t="str">
        <f t="shared" si="1705"/>
        <v/>
      </c>
      <c r="J3960" s="52" t="str">
        <f>IF(H3960="","",VLOOKUP(A3960,'6.A'!$A$11:$E$564,4,FALSE))</f>
        <v/>
      </c>
      <c r="K3960" s="52" t="str">
        <f t="shared" si="1706"/>
        <v/>
      </c>
      <c r="L3960" s="52" t="str">
        <f>IF(H3960="","",IF(C3960="","",G3912*C3960))</f>
        <v/>
      </c>
      <c r="M3960" s="117" t="str">
        <f>IF(A3960="","",VLOOKUP(A3960,'6.A'!$A$11:$C$564,2,FALSE))</f>
        <v/>
      </c>
      <c r="N3960" s="57" t="str">
        <f t="shared" si="1707"/>
        <v/>
      </c>
      <c r="O3960" s="56"/>
      <c r="P3960" s="56"/>
      <c r="Q3960" s="48"/>
      <c r="R3960" s="48"/>
      <c r="S3960" s="65"/>
      <c r="T3960" s="2"/>
      <c r="U3960" s="2"/>
      <c r="V3960" s="2"/>
    </row>
    <row r="3961" spans="1:22" s="137" customFormat="1" ht="12.75" customHeight="1" x14ac:dyDescent="0.2">
      <c r="A3961" s="155"/>
      <c r="B3961" s="26" t="str">
        <f>$A$9</f>
        <v>BDI</v>
      </c>
      <c r="C3961" s="40">
        <f>$C$9</f>
        <v>0</v>
      </c>
      <c r="D3961" s="141"/>
      <c r="E3961" s="147"/>
      <c r="F3961" s="162">
        <f>ROUND(SUM(F3941:F3960)*C3961,2)</f>
        <v>0</v>
      </c>
      <c r="G3961" s="63"/>
      <c r="H3961" s="52"/>
      <c r="I3961" s="57"/>
      <c r="J3961" s="57"/>
      <c r="K3961" s="57"/>
      <c r="L3961" s="52"/>
      <c r="M3961" s="57"/>
      <c r="N3961" s="57"/>
      <c r="O3961" s="56"/>
      <c r="P3961" s="56"/>
      <c r="Q3961" s="48"/>
      <c r="R3961" s="48"/>
      <c r="S3961" s="65"/>
      <c r="T3961" s="2"/>
      <c r="U3961" s="2"/>
      <c r="V3961" s="2"/>
    </row>
    <row r="3962" spans="1:22" s="137" customFormat="1" ht="12.75" customHeight="1" thickBot="1" x14ac:dyDescent="0.25">
      <c r="A3962" s="172"/>
      <c r="B3962" s="42" t="s">
        <v>57</v>
      </c>
      <c r="C3962" s="43"/>
      <c r="D3962" s="173"/>
      <c r="E3962" s="174"/>
      <c r="F3962" s="175">
        <f>ROUND(SUM(F3941:F3961),2)</f>
        <v>0</v>
      </c>
      <c r="G3962" s="63"/>
      <c r="H3962" s="52"/>
      <c r="I3962" s="57"/>
      <c r="J3962" s="57"/>
      <c r="K3962" s="57"/>
      <c r="L3962" s="52"/>
      <c r="M3962" s="57"/>
      <c r="N3962" s="57"/>
      <c r="O3962" s="56"/>
      <c r="P3962" s="56"/>
      <c r="Q3962" s="48"/>
      <c r="R3962" s="48"/>
      <c r="S3962" s="65"/>
      <c r="T3962" s="2"/>
      <c r="U3962" s="2"/>
      <c r="V3962" s="2"/>
    </row>
    <row r="3963" spans="1:22" s="137" customFormat="1" ht="12" customHeight="1" thickBot="1" x14ac:dyDescent="0.25">
      <c r="A3963" s="150"/>
      <c r="B3963" s="145"/>
      <c r="C3963" s="146"/>
      <c r="D3963" s="141"/>
      <c r="E3963" s="147"/>
      <c r="F3963" s="142"/>
      <c r="G3963" s="142"/>
      <c r="H3963" s="139"/>
      <c r="I3963" s="141"/>
      <c r="J3963" s="141"/>
      <c r="K3963" s="141"/>
      <c r="L3963" s="139"/>
      <c r="M3963" s="143"/>
      <c r="N3963" s="143"/>
      <c r="O3963" s="144"/>
      <c r="P3963" s="144"/>
      <c r="Q3963" s="135"/>
      <c r="R3963" s="135"/>
      <c r="S3963" s="149"/>
    </row>
    <row r="3964" spans="1:22" s="137" customFormat="1" ht="50.1" customHeight="1" x14ac:dyDescent="0.2">
      <c r="A3964" s="151" t="str">
        <f>'3.A'!$A$83</f>
        <v>3.5.6</v>
      </c>
      <c r="B3964" s="14" t="str">
        <f>IF(A3964="","",VLOOKUP(A3964,'3.A'!$A$17:$M$279,2,FALSE))</f>
        <v>PINTURA LÁTEX ACRÍLICA, APLICAÇÃO MANUAL EM PAREDES, DUAS DEMÃOS (INCLUSIVE PREPARO)</v>
      </c>
      <c r="C3964" s="413" t="s">
        <v>62</v>
      </c>
      <c r="D3964" s="413"/>
      <c r="E3964" s="15" t="str">
        <f>IF(A3964="","",VLOOKUP(A3964,'3.A'!$A$17:$M$279,3,FALSE))</f>
        <v>M2</v>
      </c>
      <c r="F3964" s="16">
        <f>ROUND(F3978+F3991+F4014,2)</f>
        <v>0</v>
      </c>
      <c r="G3964" s="118">
        <f>VLOOKUP(A3964,'3.A'!$A$19:$I$279,4,FALSE)</f>
        <v>29</v>
      </c>
      <c r="H3964" s="47">
        <f>SUM(F3966:F3977)</f>
        <v>0</v>
      </c>
      <c r="I3964" s="47">
        <f>SUM(F3980:F3990)</f>
        <v>0</v>
      </c>
      <c r="J3964" s="47">
        <f>SUM(F3993:F4013)</f>
        <v>0</v>
      </c>
      <c r="K3964" s="47">
        <f>SUM(H3964:J3964)</f>
        <v>0</v>
      </c>
      <c r="L3964" s="47" t="str">
        <f>IF(K3964=F3964,"SIM","NÃO")</f>
        <v>SIM</v>
      </c>
      <c r="M3964" s="58">
        <f>ROUND(SUM(F3966:F3975)*C3976,2)+ROUND(SUM(F3966:F3976)*C3977,2)+ROUND(SUM(F3966:F3975),2)+ROUND(SUM(F3980:F3989)*C3990,2)+ROUND(SUM(F3980:F3989),2)+ROUND(SUM(F3993:F4012)*C4013,2)+ROUND(SUM(F3993:F4012),2)</f>
        <v>0</v>
      </c>
      <c r="N3964" s="50" t="str">
        <f>IF(M3964=F3964,"SIM","NÃO")</f>
        <v>SIM</v>
      </c>
      <c r="O3964" s="51" t="str">
        <f>VLOOKUP(A3964,'3.A'!$A$8:$E$279,3,FALSE)</f>
        <v>M2</v>
      </c>
      <c r="P3964" s="51" t="str">
        <f>IF(O3964=E3964,"SIM","NÃO")</f>
        <v>SIM</v>
      </c>
      <c r="Q3964" s="53">
        <f>ROUND(G3964*F3978,2)+ROUND(G3964*F3991,2)+ROUND(G3964*F4014,2)</f>
        <v>0</v>
      </c>
      <c r="R3964" s="59">
        <f>VLOOKUP(A3964,'3.A'!$A$17:$L$279,12,FALSE)</f>
        <v>0</v>
      </c>
      <c r="S3964" s="60" t="str">
        <f>IF(Q3964=R3964,"si","no")</f>
        <v>si</v>
      </c>
      <c r="T3964" s="61">
        <f>SUM(L3966:L3975)+SUM(L3980:L3989)+SUM(L3993:L4012)</f>
        <v>47.56</v>
      </c>
      <c r="U3964" s="52">
        <f>G3964*C3972+G3964*C3974+G3964*C3967+G3964*C3968+G3964*C3970+G3964*C3973+G3964*C3971+G3964*C3966+G3964*C3969+G3964*C3975+G3964*C3986+G3964*C3980+G3964*C3988+G3964*C3987+G3964*C3985+G3964*C3982+G3964*C3981+G3964*C3983+G3964*C3989+G3964*C3984+G3964*C3993+G3964*C3994+G3964*C3995+G3964*C4003+G3964*C4004+G3964*C4005+G3964*C4006+G3964*C4007+G3964*C4008+G3964*C4009+G3964*C4010+G3964*C4011+G3964*C4012+G3964*C4001+G3964*C4002+G3964*C3996+G3964*C3997+G3964*C3998+G3964*C3999+G3964*C4000</f>
        <v>47.56</v>
      </c>
      <c r="V3964" s="54" t="str">
        <f>IF(T3964=U3964,"si","no")</f>
        <v>si</v>
      </c>
    </row>
    <row r="3965" spans="1:22" s="137" customFormat="1" ht="12.75" customHeight="1" x14ac:dyDescent="0.2">
      <c r="A3965" s="152" t="s">
        <v>3</v>
      </c>
      <c r="B3965" s="153" t="s">
        <v>58</v>
      </c>
      <c r="C3965" s="140" t="s">
        <v>59</v>
      </c>
      <c r="D3965" s="140" t="s">
        <v>16</v>
      </c>
      <c r="E3965" s="154" t="s">
        <v>60</v>
      </c>
      <c r="F3965" s="148" t="s">
        <v>61</v>
      </c>
      <c r="G3965" s="21"/>
      <c r="H3965" s="52"/>
      <c r="I3965" s="57"/>
      <c r="J3965" s="57"/>
      <c r="K3965" s="57"/>
      <c r="L3965" s="52"/>
      <c r="M3965" s="57"/>
      <c r="N3965" s="57"/>
      <c r="O3965" s="56"/>
      <c r="P3965" s="56"/>
      <c r="Q3965" s="48"/>
      <c r="R3965" s="48"/>
      <c r="S3965" s="65"/>
      <c r="T3965" s="2"/>
      <c r="U3965" s="2"/>
      <c r="V3965" s="2"/>
    </row>
    <row r="3966" spans="1:22" s="137" customFormat="1" ht="12.75" customHeight="1" x14ac:dyDescent="0.2">
      <c r="A3966" s="155">
        <f>'6.A'!$A$21</f>
        <v>88310</v>
      </c>
      <c r="B3966" s="138" t="str">
        <f>IF(A3966="","",VLOOKUP(A3966,'6.A'!$A$11:$G$180,2,FALSE))</f>
        <v>PINTOR COM ENCARGOS COMPLEMENTARES</v>
      </c>
      <c r="C3966" s="156">
        <v>0.45</v>
      </c>
      <c r="D3966" s="157" t="str">
        <f>IF(A3966="","",VLOOKUP(A3966,'6.A'!$A$11:$G$180,4,FALSE))</f>
        <v>H</v>
      </c>
      <c r="E3966" s="158">
        <f>IF(A3966="","",VLOOKUP(A3966,'6.A'!$A$11:$G$180,5,FALSE))</f>
        <v>0</v>
      </c>
      <c r="F3966" s="159">
        <f t="shared" ref="F3966" si="1708">IF(A3966="","0,00",ROUND(C3966*E3966,2))</f>
        <v>0</v>
      </c>
      <c r="G3966" s="52"/>
      <c r="H3966" s="52">
        <f>IF(A3966="","",VLOOKUP(A3966,'6.A'!$A$11:$E$7984,5,FALSE))</f>
        <v>0</v>
      </c>
      <c r="I3966" s="52" t="str">
        <f>IF(H3966="","",IF(E3966=H3966,"SIM","NÃO"))</f>
        <v>SIM</v>
      </c>
      <c r="J3966" s="52" t="str">
        <f>IF(H3966="","",VLOOKUP(A3966,'6.A'!$A$11:$E$564,4,FALSE))</f>
        <v>H</v>
      </c>
      <c r="K3966" s="52" t="str">
        <f t="shared" ref="K3966" si="1709">IF(H3966="","",IF(J3966=D3966,"SIM","NÃO"))</f>
        <v>SIM</v>
      </c>
      <c r="L3966" s="52">
        <f>IF(H3966="","",IF(C3966="","",G3964*C3966))</f>
        <v>13.05</v>
      </c>
      <c r="M3966" s="117" t="str">
        <f>IF(A3966="","",VLOOKUP(A3966,'6.A'!$A$11:$C$564,2,FALSE))</f>
        <v>PINTOR COM ENCARGOS COMPLEMENTARES</v>
      </c>
      <c r="N3966" s="57" t="str">
        <f t="shared" ref="N3966" si="1710">IF(A3966="","",IF(M3966=B3966,"si","no"))</f>
        <v>si</v>
      </c>
      <c r="O3966" s="56"/>
      <c r="P3966" s="56"/>
      <c r="Q3966" s="48"/>
      <c r="R3966" s="48"/>
      <c r="S3966" s="65"/>
      <c r="T3966" s="2"/>
      <c r="U3966" s="2"/>
      <c r="V3966" s="2"/>
    </row>
    <row r="3967" spans="1:22" s="137" customFormat="1" ht="12.75" customHeight="1" x14ac:dyDescent="0.2">
      <c r="A3967" s="155">
        <f>'6.A'!$A$22</f>
        <v>88316</v>
      </c>
      <c r="B3967" s="138" t="str">
        <f>IF(A3967="","",VLOOKUP(A3967,'6.A'!$A$11:$G$180,2,FALSE))</f>
        <v>SERVENTE COM ENCARGOS COMPLEMENTARES</v>
      </c>
      <c r="C3967" s="156">
        <v>0.4</v>
      </c>
      <c r="D3967" s="57" t="str">
        <f>IF(A3967="","",VLOOKUP(A3967,'6.A'!$A$11:$G$180,4,FALSE))</f>
        <v>H</v>
      </c>
      <c r="E3967" s="100">
        <f>IF(A3967="","",VLOOKUP(A3967,'6.A'!$A$11:$G$180,5,FALSE))</f>
        <v>0</v>
      </c>
      <c r="F3967" s="159">
        <f t="shared" ref="F3967" si="1711">IF(A3967="","0,00",ROUND(C3967*E3967,2))</f>
        <v>0</v>
      </c>
      <c r="G3967" s="52"/>
      <c r="H3967" s="52">
        <f>IF(A3967="","",VLOOKUP(A3967,'6.A'!$A$11:$E$7984,5,FALSE))</f>
        <v>0</v>
      </c>
      <c r="I3967" s="52" t="str">
        <f>IF(H3967="","",IF(E3967=H3967,"SIM","NÃO"))</f>
        <v>SIM</v>
      </c>
      <c r="J3967" s="52" t="str">
        <f>IF(H3967="","",VLOOKUP(A3967,'6.A'!$A$11:$E$564,4,FALSE))</f>
        <v>H</v>
      </c>
      <c r="K3967" s="52" t="str">
        <f>IF(H3967="","",IF(J3967=D3967,"SIM","NÃO"))</f>
        <v>SIM</v>
      </c>
      <c r="L3967" s="52">
        <f>IF(H3967="","",IF(C3967="","",G3964*C3967))</f>
        <v>11.600000000000001</v>
      </c>
      <c r="M3967" s="117" t="str">
        <f>IF(A3967="","",VLOOKUP(A3967,'6.A'!$A$11:$C$564,2,FALSE))</f>
        <v>SERVENTE COM ENCARGOS COMPLEMENTARES</v>
      </c>
      <c r="N3967" s="57" t="str">
        <f>IF(A3967="","",IF(M3967=B3967,"si","no"))</f>
        <v>si</v>
      </c>
      <c r="O3967" s="56"/>
      <c r="P3967" s="56"/>
      <c r="Q3967" s="48"/>
      <c r="R3967" s="48"/>
      <c r="S3967" s="65"/>
      <c r="T3967" s="2"/>
      <c r="U3967" s="2"/>
      <c r="V3967" s="2"/>
    </row>
    <row r="3968" spans="1:22" s="137" customFormat="1" ht="12.75" customHeight="1" x14ac:dyDescent="0.2">
      <c r="A3968" s="155"/>
      <c r="B3968" s="138" t="str">
        <f>IF(A3968="","",VLOOKUP(A3968,'6.A'!$A$11:$G$180,2,FALSE))</f>
        <v/>
      </c>
      <c r="C3968" s="156"/>
      <c r="D3968" s="157" t="str">
        <f>IF(A3968="","",VLOOKUP(A3968,'6.A'!$A$11:$G$180,4,FALSE))</f>
        <v/>
      </c>
      <c r="E3968" s="158" t="str">
        <f>IF(A3968="","",VLOOKUP(A3968,'6.A'!$A$11:$G$180,5,FALSE))</f>
        <v/>
      </c>
      <c r="F3968" s="159" t="str">
        <f t="shared" ref="F3968:F3975" si="1712">IF(A3968="","0,00",ROUND(C3968*E3968,2))</f>
        <v>0,00</v>
      </c>
      <c r="G3968" s="52"/>
      <c r="H3968" s="52" t="str">
        <f>IF(A3968="","",VLOOKUP(A3968,'6.A'!$A$11:$E$7984,5,FALSE))</f>
        <v/>
      </c>
      <c r="I3968" s="52" t="str">
        <f>IF(H3968="","",IF(E3968=H3968,"SIM","NÃO"))</f>
        <v/>
      </c>
      <c r="J3968" s="52" t="str">
        <f>IF(H3968="","",VLOOKUP(A3968,'6.A'!$A$11:$E$564,4,FALSE))</f>
        <v/>
      </c>
      <c r="K3968" s="52" t="str">
        <f>IF(H3968="","",IF(J3968=D3968,"SIM","NÃO"))</f>
        <v/>
      </c>
      <c r="L3968" s="52" t="str">
        <f>IF(H3968="","",IF(C3968="","",G3964*C3968))</f>
        <v/>
      </c>
      <c r="M3968" s="117" t="str">
        <f>IF(A3968="","",VLOOKUP(A3968,'6.A'!$A$11:$C$564,2,FALSE))</f>
        <v/>
      </c>
      <c r="N3968" s="57" t="str">
        <f>IF(A3968="","",IF(M3968=B3968,"si","no"))</f>
        <v/>
      </c>
      <c r="O3968" s="56"/>
      <c r="P3968" s="56"/>
      <c r="Q3968" s="48"/>
      <c r="R3968" s="48"/>
      <c r="S3968" s="65"/>
      <c r="T3968" s="2"/>
      <c r="U3968" s="2"/>
      <c r="V3968" s="2"/>
    </row>
    <row r="3969" spans="1:22" s="137" customFormat="1" ht="12.75" customHeight="1" x14ac:dyDescent="0.2">
      <c r="A3969" s="155"/>
      <c r="B3969" s="138" t="str">
        <f>IF(A3969="","",VLOOKUP(A3969,'6.A'!$A$11:$G$180,2,FALSE))</f>
        <v/>
      </c>
      <c r="C3969" s="156"/>
      <c r="D3969" s="157" t="str">
        <f>IF(A3969="","",VLOOKUP(A3969,'6.A'!$A$11:$G$180,4,FALSE))</f>
        <v/>
      </c>
      <c r="E3969" s="158" t="str">
        <f>IF(A3969="","",VLOOKUP(A3969,'6.A'!$A$11:$G$180,5,FALSE))</f>
        <v/>
      </c>
      <c r="F3969" s="159" t="str">
        <f t="shared" si="1712"/>
        <v>0,00</v>
      </c>
      <c r="G3969" s="52"/>
      <c r="H3969" s="52" t="str">
        <f>IF(A3969="","",VLOOKUP(A3969,'6.A'!$A$11:$E$7984,5,FALSE))</f>
        <v/>
      </c>
      <c r="I3969" s="52" t="str">
        <f t="shared" ref="I3969" si="1713">IF(H3969="","",IF(E3969=H3969,"SIM","NÃO"))</f>
        <v/>
      </c>
      <c r="J3969" s="52" t="str">
        <f>IF(H3969="","",VLOOKUP(A3969,'6.A'!$A$11:$E$564,4,FALSE))</f>
        <v/>
      </c>
      <c r="K3969" s="52" t="str">
        <f t="shared" ref="K3969" si="1714">IF(H3969="","",IF(J3969=D3969,"SIM","NÃO"))</f>
        <v/>
      </c>
      <c r="L3969" s="52" t="str">
        <f>IF(H3969="","",IF(C3969="","",G3964*C3969))</f>
        <v/>
      </c>
      <c r="M3969" s="117" t="str">
        <f>IF(A3969="","",VLOOKUP(A3969,'6.A'!$A$11:$C$564,2,FALSE))</f>
        <v/>
      </c>
      <c r="N3969" s="57" t="str">
        <f t="shared" ref="N3969" si="1715">IF(A3969="","",IF(M3969=B3969,"si","no"))</f>
        <v/>
      </c>
      <c r="O3969" s="56"/>
      <c r="P3969" s="56"/>
      <c r="Q3969" s="48"/>
      <c r="R3969" s="48"/>
      <c r="S3969" s="65"/>
      <c r="T3969" s="2"/>
      <c r="U3969" s="2"/>
      <c r="V3969" s="2"/>
    </row>
    <row r="3970" spans="1:22" s="137" customFormat="1" ht="12.75" customHeight="1" x14ac:dyDescent="0.2">
      <c r="A3970" s="155"/>
      <c r="B3970" s="138" t="str">
        <f>IF(A3970="","",VLOOKUP(A3970,'6.A'!$A$11:$G$180,2,FALSE))</f>
        <v/>
      </c>
      <c r="C3970" s="156"/>
      <c r="D3970" s="157" t="str">
        <f>IF(A3970="","",VLOOKUP(A3970,'6.A'!$A$11:$G$180,4,FALSE))</f>
        <v/>
      </c>
      <c r="E3970" s="158" t="str">
        <f>IF(A3970="","",VLOOKUP(A3970,'6.A'!$A$11:$G$180,5,FALSE))</f>
        <v/>
      </c>
      <c r="F3970" s="159" t="str">
        <f t="shared" si="1712"/>
        <v>0,00</v>
      </c>
      <c r="G3970" s="52"/>
      <c r="H3970" s="52" t="str">
        <f>IF(A3970="","",VLOOKUP(A3970,'6.A'!$A$11:$E$7984,5,FALSE))</f>
        <v/>
      </c>
      <c r="I3970" s="52" t="str">
        <f>IF(H3970="","",IF(E3970=H3970,"SIM","NÃO"))</f>
        <v/>
      </c>
      <c r="J3970" s="52" t="str">
        <f>IF(H3970="","",VLOOKUP(A3970,'6.A'!$A$11:$E$564,4,FALSE))</f>
        <v/>
      </c>
      <c r="K3970" s="52" t="str">
        <f>IF(H3970="","",IF(J3970=D3970,"SIM","NÃO"))</f>
        <v/>
      </c>
      <c r="L3970" s="52" t="str">
        <f>IF(H3970="","",IF(C3970="","",G3964*C3970))</f>
        <v/>
      </c>
      <c r="M3970" s="117" t="str">
        <f>IF(A3970="","",VLOOKUP(A3970,'6.A'!$A$11:$C$564,2,FALSE))</f>
        <v/>
      </c>
      <c r="N3970" s="57" t="str">
        <f>IF(A3970="","",IF(M3970=B3970,"si","no"))</f>
        <v/>
      </c>
      <c r="O3970" s="56"/>
      <c r="P3970" s="56"/>
      <c r="Q3970" s="48"/>
      <c r="R3970" s="48"/>
      <c r="S3970" s="65"/>
      <c r="T3970" s="2"/>
      <c r="U3970" s="2"/>
      <c r="V3970" s="2"/>
    </row>
    <row r="3971" spans="1:22" s="137" customFormat="1" ht="12.75" customHeight="1" x14ac:dyDescent="0.2">
      <c r="A3971" s="155"/>
      <c r="B3971" s="138" t="str">
        <f>IF(A3971="","",VLOOKUP(A3971,'6.A'!$A$11:$G$180,2,FALSE))</f>
        <v/>
      </c>
      <c r="C3971" s="156"/>
      <c r="D3971" s="157" t="str">
        <f>IF(A3971="","",VLOOKUP(A3971,'6.A'!$A$11:$G$180,4,FALSE))</f>
        <v/>
      </c>
      <c r="E3971" s="158" t="str">
        <f>IF(A3971="","",VLOOKUP(A3971,'6.A'!$A$11:$G$180,5,FALSE))</f>
        <v/>
      </c>
      <c r="F3971" s="159" t="str">
        <f t="shared" si="1712"/>
        <v>0,00</v>
      </c>
      <c r="G3971" s="52"/>
      <c r="H3971" s="52" t="str">
        <f>IF(A3971="","",VLOOKUP(A3971,'6.A'!$A$11:$E$7984,5,FALSE))</f>
        <v/>
      </c>
      <c r="I3971" s="52" t="str">
        <f>IF(H3971="","",IF(E3971=H3971,"SIM","NÃO"))</f>
        <v/>
      </c>
      <c r="J3971" s="52" t="str">
        <f>IF(H3971="","",VLOOKUP(A3971,'6.A'!$A$11:$E$564,4,FALSE))</f>
        <v/>
      </c>
      <c r="K3971" s="52" t="str">
        <f>IF(H3971="","",IF(J3971=D3971,"SIM","NÃO"))</f>
        <v/>
      </c>
      <c r="L3971" s="52" t="str">
        <f>IF(H3971="","",IF(C3971="","",G3964*C3971))</f>
        <v/>
      </c>
      <c r="M3971" s="117" t="str">
        <f>IF(A3971="","",VLOOKUP(A3971,'6.A'!$A$11:$C$564,2,FALSE))</f>
        <v/>
      </c>
      <c r="N3971" s="57" t="str">
        <f>IF(A3971="","",IF(M3971=B3971,"si","no"))</f>
        <v/>
      </c>
      <c r="O3971" s="56"/>
      <c r="P3971" s="56"/>
      <c r="Q3971" s="48"/>
      <c r="R3971" s="48"/>
      <c r="S3971" s="65"/>
      <c r="T3971" s="2"/>
      <c r="U3971" s="2"/>
      <c r="V3971" s="2"/>
    </row>
    <row r="3972" spans="1:22" s="137" customFormat="1" ht="12.75" customHeight="1" x14ac:dyDescent="0.2">
      <c r="A3972" s="155"/>
      <c r="B3972" s="138" t="str">
        <f>IF(A3972="","",VLOOKUP(A3972,'6.A'!$A$11:$G$180,2,FALSE))</f>
        <v/>
      </c>
      <c r="C3972" s="156"/>
      <c r="D3972" s="141" t="str">
        <f>IF(A3972="","",VLOOKUP(A3972,'6.A'!$A$11:$G$180,4,FALSE))</f>
        <v/>
      </c>
      <c r="E3972" s="160" t="str">
        <f>IF(A3972="","",VLOOKUP(A3972,'6.A'!$A$11:$G$180,5,FALSE))</f>
        <v/>
      </c>
      <c r="F3972" s="159" t="str">
        <f t="shared" si="1712"/>
        <v>0,00</v>
      </c>
      <c r="G3972" s="52"/>
      <c r="H3972" s="52" t="str">
        <f>IF(A3972="","",VLOOKUP(A3972,'6.A'!$A$11:$E$7984,5,FALSE))</f>
        <v/>
      </c>
      <c r="I3972" s="52" t="str">
        <f>IF(H3972="","",IF(E3972=H3972,"SIM","NÃO"))</f>
        <v/>
      </c>
      <c r="J3972" s="52" t="str">
        <f>IF(H3972="","",VLOOKUP(A3972,'6.A'!$A$11:$E$564,4,FALSE))</f>
        <v/>
      </c>
      <c r="K3972" s="52" t="str">
        <f>IF(H3972="","",IF(J3972=D3972,"SIM","NÃO"))</f>
        <v/>
      </c>
      <c r="L3972" s="52" t="str">
        <f>IF(H3972="","",IF(C3972="","",G3964*C3972))</f>
        <v/>
      </c>
      <c r="M3972" s="117" t="str">
        <f>IF(A3972="","",VLOOKUP(A3972,'6.A'!$A$11:$C$564,2,FALSE))</f>
        <v/>
      </c>
      <c r="N3972" s="57" t="str">
        <f>IF(A3972="","",IF(M3972=B3972,"si","no"))</f>
        <v/>
      </c>
      <c r="O3972" s="56"/>
      <c r="P3972" s="56"/>
      <c r="Q3972" s="48"/>
      <c r="R3972" s="48"/>
      <c r="S3972" s="65"/>
      <c r="T3972" s="2"/>
      <c r="U3972" s="2"/>
      <c r="V3972" s="2"/>
    </row>
    <row r="3973" spans="1:22" s="149" customFormat="1" ht="12.75" customHeight="1" x14ac:dyDescent="0.2">
      <c r="A3973" s="155"/>
      <c r="B3973" s="138" t="str">
        <f>IF(A3973="","",VLOOKUP(A3973,'6.A'!$A$11:$G$180,2,FALSE))</f>
        <v/>
      </c>
      <c r="C3973" s="156"/>
      <c r="D3973" s="141" t="str">
        <f>IF(A3973="","",VLOOKUP(A3973,'6.A'!$A$11:$G$180,4,FALSE))</f>
        <v/>
      </c>
      <c r="E3973" s="158" t="str">
        <f>IF(A3973="","",VLOOKUP(A3973,'6.A'!$A$11:$G$180,5,FALSE))</f>
        <v/>
      </c>
      <c r="F3973" s="159" t="str">
        <f t="shared" si="1712"/>
        <v>0,00</v>
      </c>
      <c r="G3973" s="52"/>
      <c r="H3973" s="52" t="str">
        <f>IF(A3973="","",VLOOKUP(A3973,'6.A'!$A$11:$E$7984,5,FALSE))</f>
        <v/>
      </c>
      <c r="I3973" s="52" t="str">
        <f t="shared" ref="I3973" si="1716">IF(H3973="","",IF(E3973=H3973,"SIM","NÃO"))</f>
        <v/>
      </c>
      <c r="J3973" s="52" t="str">
        <f>IF(H3973="","",VLOOKUP(A3973,'6.A'!$A$11:$E$564,4,FALSE))</f>
        <v/>
      </c>
      <c r="K3973" s="52" t="str">
        <f t="shared" ref="K3973" si="1717">IF(H3973="","",IF(J3973=D3973,"SIM","NÃO"))</f>
        <v/>
      </c>
      <c r="L3973" s="52" t="str">
        <f>IF(H3973="","",IF(C3973="","",G3964*C3973))</f>
        <v/>
      </c>
      <c r="M3973" s="117" t="str">
        <f>IF(A3973="","",VLOOKUP(A3973,'6.A'!$A$11:$C$564,2,FALSE))</f>
        <v/>
      </c>
      <c r="N3973" s="57" t="str">
        <f t="shared" ref="N3973" si="1718">IF(A3973="","",IF(M3973=B3973,"si","no"))</f>
        <v/>
      </c>
      <c r="O3973" s="56"/>
      <c r="P3973" s="56"/>
      <c r="Q3973" s="48"/>
      <c r="R3973" s="48"/>
      <c r="S3973" s="65"/>
      <c r="T3973" s="2"/>
      <c r="U3973" s="2"/>
      <c r="V3973" s="2"/>
    </row>
    <row r="3974" spans="1:22" s="149" customFormat="1" ht="12.75" customHeight="1" x14ac:dyDescent="0.2">
      <c r="A3974" s="155"/>
      <c r="B3974" s="138" t="str">
        <f>IF(A3974="","",VLOOKUP(A3974,'6.A'!$A$11:$G$180,2,FALSE))</f>
        <v/>
      </c>
      <c r="C3974" s="156"/>
      <c r="D3974" s="141" t="str">
        <f>IF(A3974="","",VLOOKUP(A3974,'6.A'!$A$11:$G$180,4,FALSE))</f>
        <v/>
      </c>
      <c r="E3974" s="158" t="str">
        <f>IF(A3974="","",VLOOKUP(A3974,'6.A'!$A$11:$G$180,5,FALSE))</f>
        <v/>
      </c>
      <c r="F3974" s="159" t="str">
        <f t="shared" si="1712"/>
        <v>0,00</v>
      </c>
      <c r="G3974" s="52"/>
      <c r="H3974" s="52" t="str">
        <f>IF(A3974="","",VLOOKUP(A3974,'6.A'!$A$11:$E$7984,5,FALSE))</f>
        <v/>
      </c>
      <c r="I3974" s="52" t="str">
        <f>IF(H3974="","",IF(E3974=H3974,"SIM","NÃO"))</f>
        <v/>
      </c>
      <c r="J3974" s="52" t="str">
        <f>IF(H3974="","",VLOOKUP(A3974,'6.A'!$A$11:$E$564,4,FALSE))</f>
        <v/>
      </c>
      <c r="K3974" s="52" t="str">
        <f>IF(H3974="","",IF(J3974=D3974,"SIM","NÃO"))</f>
        <v/>
      </c>
      <c r="L3974" s="52" t="str">
        <f>IF(H3974="","",IF(C3974="","",G3964*C3974))</f>
        <v/>
      </c>
      <c r="M3974" s="117" t="str">
        <f>IF(A3974="","",VLOOKUP(A3974,'6.A'!$A$11:$C$564,2,FALSE))</f>
        <v/>
      </c>
      <c r="N3974" s="57" t="str">
        <f>IF(A3974="","",IF(M3974=B3974,"si","no"))</f>
        <v/>
      </c>
      <c r="O3974" s="56"/>
      <c r="P3974" s="56"/>
      <c r="Q3974" s="48"/>
      <c r="R3974" s="48"/>
      <c r="S3974" s="65"/>
      <c r="T3974" s="2"/>
      <c r="U3974" s="2"/>
      <c r="V3974" s="2"/>
    </row>
    <row r="3975" spans="1:22" s="149" customFormat="1" ht="12.75" customHeight="1" x14ac:dyDescent="0.2">
      <c r="A3975" s="155"/>
      <c r="B3975" s="138" t="str">
        <f>IF(A3975="","",VLOOKUP(A3975,'6.A'!$A$11:$G$180,2,FALSE))</f>
        <v/>
      </c>
      <c r="C3975" s="156"/>
      <c r="D3975" s="161" t="str">
        <f>IF(A3975="","",VLOOKUP(A3975,'6.A'!$A$11:$G$180,4,FALSE))</f>
        <v/>
      </c>
      <c r="E3975" s="158" t="str">
        <f>IF(A3975="","",VLOOKUP(A3975,'6.A'!$A$11:$G$180,5,FALSE))</f>
        <v/>
      </c>
      <c r="F3975" s="159" t="str">
        <f t="shared" si="1712"/>
        <v>0,00</v>
      </c>
      <c r="G3975" s="52"/>
      <c r="H3975" s="52" t="str">
        <f>IF(A3975="","",VLOOKUP(A3975,'6.A'!$A$11:$E$7984,5,FALSE))</f>
        <v/>
      </c>
      <c r="I3975" s="52" t="str">
        <f t="shared" ref="I3975" si="1719">IF(H3975="","",IF(E3975=H3975,"SIM","NÃO"))</f>
        <v/>
      </c>
      <c r="J3975" s="52" t="str">
        <f>IF(H3975="","",VLOOKUP(A3975,'6.A'!$A$11:$E$564,4,FALSE))</f>
        <v/>
      </c>
      <c r="K3975" s="52" t="str">
        <f t="shared" ref="K3975" si="1720">IF(H3975="","",IF(J3975=D3975,"SIM","NÃO"))</f>
        <v/>
      </c>
      <c r="L3975" s="52" t="str">
        <f>IF(H3975="","",IF(C3975="","",G3964*C3975))</f>
        <v/>
      </c>
      <c r="M3975" s="117" t="str">
        <f>IF(A3975="","",VLOOKUP(A3975,'6.A'!$A$11:$C$564,2,FALSE))</f>
        <v/>
      </c>
      <c r="N3975" s="57" t="str">
        <f t="shared" ref="N3975" si="1721">IF(A3975="","",IF(M3975=B3975,"si","no"))</f>
        <v/>
      </c>
      <c r="O3975" s="56"/>
      <c r="P3975" s="56"/>
      <c r="Q3975" s="48"/>
      <c r="R3975" s="48"/>
      <c r="S3975" s="65"/>
      <c r="T3975" s="2"/>
      <c r="U3975" s="2"/>
      <c r="V3975" s="2"/>
    </row>
    <row r="3976" spans="1:22" s="149" customFormat="1" ht="12.75" customHeight="1" x14ac:dyDescent="0.2">
      <c r="A3976" s="152"/>
      <c r="B3976" s="26" t="str">
        <f>$A$8</f>
        <v>LEIS SOCIAIS HORISTA - JORNADA NORMAL</v>
      </c>
      <c r="C3976" s="27">
        <f>$C$8</f>
        <v>0</v>
      </c>
      <c r="D3976" s="141"/>
      <c r="E3976" s="147"/>
      <c r="F3976" s="162">
        <f>ROUND(SUM(F3966:F3975)*C3976,2)</f>
        <v>0</v>
      </c>
      <c r="G3976" s="63"/>
      <c r="H3976" s="52"/>
      <c r="I3976" s="57"/>
      <c r="J3976" s="57"/>
      <c r="K3976" s="57"/>
      <c r="L3976" s="52"/>
      <c r="M3976" s="62"/>
      <c r="N3976" s="57"/>
      <c r="O3976" s="56"/>
      <c r="P3976" s="56"/>
      <c r="Q3976" s="48"/>
      <c r="R3976" s="48"/>
      <c r="S3976" s="65"/>
      <c r="T3976" s="2"/>
      <c r="U3976" s="2"/>
      <c r="V3976" s="2"/>
    </row>
    <row r="3977" spans="1:22" s="149" customFormat="1" ht="12.75" customHeight="1" x14ac:dyDescent="0.2">
      <c r="A3977" s="155"/>
      <c r="B3977" s="26" t="str">
        <f>$A$9</f>
        <v>BDI</v>
      </c>
      <c r="C3977" s="27">
        <f>$C$9</f>
        <v>0</v>
      </c>
      <c r="D3977" s="136"/>
      <c r="E3977" s="147"/>
      <c r="F3977" s="162">
        <f>ROUND(SUM(F3966:F3976)*C3977,2)</f>
        <v>0</v>
      </c>
      <c r="G3977" s="63"/>
      <c r="H3977" s="52"/>
      <c r="I3977" s="57"/>
      <c r="J3977" s="57"/>
      <c r="K3977" s="57"/>
      <c r="L3977" s="52"/>
      <c r="M3977" s="62"/>
      <c r="N3977" s="57"/>
      <c r="O3977" s="56"/>
      <c r="P3977" s="56"/>
      <c r="Q3977" s="48"/>
      <c r="R3977" s="48"/>
      <c r="S3977" s="65"/>
      <c r="T3977" s="2"/>
      <c r="U3977" s="2"/>
      <c r="V3977" s="2"/>
    </row>
    <row r="3978" spans="1:22" s="149" customFormat="1" ht="12.75" customHeight="1" x14ac:dyDescent="0.2">
      <c r="A3978" s="163"/>
      <c r="B3978" s="164" t="s">
        <v>56</v>
      </c>
      <c r="C3978" s="165"/>
      <c r="D3978" s="166"/>
      <c r="E3978" s="167"/>
      <c r="F3978" s="168">
        <f>ROUND(SUM(F3966:F3977),2)</f>
        <v>0</v>
      </c>
      <c r="G3978" s="63"/>
      <c r="H3978" s="52"/>
      <c r="I3978" s="57"/>
      <c r="J3978" s="57"/>
      <c r="K3978" s="57"/>
      <c r="L3978" s="52"/>
      <c r="M3978" s="62"/>
      <c r="N3978" s="57"/>
      <c r="O3978" s="56"/>
      <c r="P3978" s="56"/>
      <c r="Q3978" s="48"/>
      <c r="R3978" s="48"/>
      <c r="S3978" s="65"/>
      <c r="T3978" s="2"/>
      <c r="U3978" s="2"/>
      <c r="V3978" s="2"/>
    </row>
    <row r="3979" spans="1:22" s="149" customFormat="1" ht="12.75" customHeight="1" x14ac:dyDescent="0.2">
      <c r="A3979" s="152" t="s">
        <v>5</v>
      </c>
      <c r="B3979" s="153" t="s">
        <v>130</v>
      </c>
      <c r="C3979" s="140" t="s">
        <v>59</v>
      </c>
      <c r="D3979" s="140" t="s">
        <v>16</v>
      </c>
      <c r="E3979" s="154" t="s">
        <v>60</v>
      </c>
      <c r="F3979" s="148" t="s">
        <v>61</v>
      </c>
      <c r="G3979" s="21"/>
      <c r="H3979" s="52"/>
      <c r="I3979" s="57"/>
      <c r="J3979" s="57"/>
      <c r="K3979" s="57"/>
      <c r="L3979" s="52"/>
      <c r="M3979" s="62"/>
      <c r="N3979" s="57"/>
      <c r="O3979" s="56"/>
      <c r="P3979" s="56"/>
      <c r="Q3979" s="48"/>
      <c r="R3979" s="48"/>
      <c r="S3979" s="65"/>
      <c r="T3979" s="2"/>
      <c r="U3979" s="2"/>
      <c r="V3979" s="2"/>
    </row>
    <row r="3980" spans="1:22" s="149" customFormat="1" ht="12.75" customHeight="1" x14ac:dyDescent="0.2">
      <c r="A3980" s="155"/>
      <c r="B3980" s="138" t="str">
        <f>IF(A3980="","",VLOOKUP(A3980,'6.A'!$A$11:$G$180,2,FALSE))</f>
        <v/>
      </c>
      <c r="C3980" s="156"/>
      <c r="D3980" s="57" t="str">
        <f>IF(A3980="","",VLOOKUP(A3980,'6.A'!$A$11:$G$180,4,FALSE))</f>
        <v/>
      </c>
      <c r="E3980" s="100" t="str">
        <f>IF(A3980="","",VLOOKUP(A3980,'6.A'!$A$11:$G$180,5,FALSE))</f>
        <v/>
      </c>
      <c r="F3980" s="159" t="str">
        <f>IF(A3980="","0,00",ROUND(C3980*E3980,2))</f>
        <v>0,00</v>
      </c>
      <c r="G3980" s="52"/>
      <c r="H3980" s="52" t="str">
        <f>IF(A3980="","",VLOOKUP(A3980,'6.A'!$A$11:$E$7984,5,FALSE))</f>
        <v/>
      </c>
      <c r="I3980" s="52" t="str">
        <f>IF(H3980="","",IF(E3980=H3980,"SIM","NÃO"))</f>
        <v/>
      </c>
      <c r="J3980" s="52" t="str">
        <f>IF(H3980="","",VLOOKUP(A3980,'6.A'!$A$11:$E$564,4,FALSE))</f>
        <v/>
      </c>
      <c r="K3980" s="52" t="str">
        <f>IF(H3980="","",IF(J3980=D3980,"SIM","NÃO"))</f>
        <v/>
      </c>
      <c r="L3980" s="52" t="str">
        <f>IF(H3980="","",IF(C3980="","",G3964*C3980))</f>
        <v/>
      </c>
      <c r="M3980" s="117" t="str">
        <f>IF(A3980="","",VLOOKUP(A3980,'6.A'!$A$11:$C$564,2,FALSE))</f>
        <v/>
      </c>
      <c r="N3980" s="57" t="str">
        <f>IF(A3980="","",IF(M3980=B3980,"si","no"))</f>
        <v/>
      </c>
      <c r="O3980" s="56"/>
      <c r="P3980" s="56"/>
      <c r="Q3980" s="48"/>
      <c r="R3980" s="48"/>
      <c r="S3980" s="65"/>
      <c r="T3980" s="2"/>
      <c r="U3980" s="2"/>
      <c r="V3980" s="2"/>
    </row>
    <row r="3981" spans="1:22" s="149" customFormat="1" ht="12.75" customHeight="1" x14ac:dyDescent="0.2">
      <c r="A3981" s="155"/>
      <c r="B3981" s="138" t="str">
        <f>IF(A3981="","",VLOOKUP(A3981,'6.A'!$A$11:$G$180,2,FALSE))</f>
        <v/>
      </c>
      <c r="C3981" s="156"/>
      <c r="D3981" s="141"/>
      <c r="E3981" s="160"/>
      <c r="F3981" s="159" t="str">
        <f>IF(A3981="","0,00",ROUND(C3981*E3981,2))</f>
        <v>0,00</v>
      </c>
      <c r="G3981" s="52"/>
      <c r="H3981" s="52" t="str">
        <f>IF(A3981="","",VLOOKUP(A3981,'6.A'!$A$11:$E$7984,5,FALSE))</f>
        <v/>
      </c>
      <c r="I3981" s="52" t="str">
        <f>IF(H3981="","",IF(E3981=H3981,"SIM","NÃO"))</f>
        <v/>
      </c>
      <c r="J3981" s="52" t="str">
        <f>IF(H3981="","",VLOOKUP(A3981,'6.A'!$A$11:$E$564,4,FALSE))</f>
        <v/>
      </c>
      <c r="K3981" s="52" t="str">
        <f>IF(H3981="","",IF(J3981=D3981,"SIM","NÃO"))</f>
        <v/>
      </c>
      <c r="L3981" s="52" t="str">
        <f>IF(H3981="","",IF(C3981="","",G3964*C3981))</f>
        <v/>
      </c>
      <c r="M3981" s="117" t="str">
        <f>IF(A3981="","",VLOOKUP(A3981,'6.A'!$A$11:$C$564,2,FALSE))</f>
        <v/>
      </c>
      <c r="N3981" s="57" t="str">
        <f>IF(A3981="","",IF(M3981=B3981,"si","no"))</f>
        <v/>
      </c>
      <c r="O3981" s="56"/>
      <c r="P3981" s="56"/>
      <c r="Q3981" s="48"/>
      <c r="R3981" s="48"/>
      <c r="S3981" s="65"/>
      <c r="T3981" s="2"/>
      <c r="U3981" s="2"/>
      <c r="V3981" s="2"/>
    </row>
    <row r="3982" spans="1:22" s="149" customFormat="1" ht="12.75" customHeight="1" x14ac:dyDescent="0.2">
      <c r="A3982" s="155"/>
      <c r="B3982" s="138" t="str">
        <f>IF(A3982="","",VLOOKUP(A3982,'6.A'!$A$11:$G$180,2,FALSE))</f>
        <v/>
      </c>
      <c r="C3982" s="156"/>
      <c r="D3982" s="141"/>
      <c r="E3982" s="100"/>
      <c r="F3982" s="159" t="str">
        <f>IF(A3982="","0,00",ROUND(C3982*E3982,2))</f>
        <v>0,00</v>
      </c>
      <c r="G3982" s="52"/>
      <c r="H3982" s="52" t="str">
        <f>IF(A3982="","",VLOOKUP(A3982,'6.A'!$A$11:$E$7984,5,FALSE))</f>
        <v/>
      </c>
      <c r="I3982" s="52" t="str">
        <f>IF(H3982="","",IF(E3982=H3982,"SIM","NÃO"))</f>
        <v/>
      </c>
      <c r="J3982" s="52" t="str">
        <f>IF(H3982="","",VLOOKUP(A3982,'6.A'!$A$11:$E$564,4,FALSE))</f>
        <v/>
      </c>
      <c r="K3982" s="52" t="str">
        <f>IF(H3982="","",IF(J3982=D3982,"SIM","NÃO"))</f>
        <v/>
      </c>
      <c r="L3982" s="52" t="str">
        <f>IF(H3982="","",IF(C3982="","",G3964*C3982))</f>
        <v/>
      </c>
      <c r="M3982" s="117" t="str">
        <f>IF(A3982="","",VLOOKUP(A3982,'6.A'!$A$11:$C$564,2,FALSE))</f>
        <v/>
      </c>
      <c r="N3982" s="57" t="str">
        <f>IF(A3982="","",IF(M3982=B3982,"si","no"))</f>
        <v/>
      </c>
      <c r="O3982" s="56"/>
      <c r="P3982" s="56"/>
      <c r="Q3982" s="48"/>
      <c r="R3982" s="48"/>
      <c r="S3982" s="65"/>
      <c r="T3982" s="2"/>
      <c r="U3982" s="2"/>
      <c r="V3982" s="2"/>
    </row>
    <row r="3983" spans="1:22" s="149" customFormat="1" ht="12.75" customHeight="1" x14ac:dyDescent="0.2">
      <c r="A3983" s="155"/>
      <c r="B3983" s="176" t="str">
        <f>IF(A3983="","",VLOOKUP(A3983,'6.A'!$A$11:$G$180,2,FALSE))</f>
        <v/>
      </c>
      <c r="C3983" s="156"/>
      <c r="D3983" s="141"/>
      <c r="E3983" s="100"/>
      <c r="F3983" s="159" t="str">
        <f>IF(A3983="","0,00",ROUND(C3983*E3983,2))</f>
        <v>0,00</v>
      </c>
      <c r="G3983" s="52"/>
      <c r="H3983" s="52" t="str">
        <f>IF(A3983="","",VLOOKUP(A3983,'6.A'!$A$11:$E$7984,5,FALSE))</f>
        <v/>
      </c>
      <c r="I3983" s="52" t="str">
        <f>IF(H3983="","",IF(E3983=H3983,"SIM","NÃO"))</f>
        <v/>
      </c>
      <c r="J3983" s="52" t="str">
        <f>IF(H3983="","",VLOOKUP(A3983,'6.A'!$A$11:$E$564,4,FALSE))</f>
        <v/>
      </c>
      <c r="K3983" s="52" t="str">
        <f>IF(H3983="","",IF(J3983=D3983,"SIM","NÃO"))</f>
        <v/>
      </c>
      <c r="L3983" s="52" t="str">
        <f>IF(H3983="","",IF(C3983="","",G3964*C3983))</f>
        <v/>
      </c>
      <c r="M3983" s="117" t="str">
        <f>IF(A3983="","",VLOOKUP(A3983,'6.A'!$A$11:$C$564,2,FALSE))</f>
        <v/>
      </c>
      <c r="N3983" s="57" t="str">
        <f>IF(A3983="","",IF(M3983=B3983,"si","no"))</f>
        <v/>
      </c>
      <c r="O3983" s="56"/>
      <c r="P3983" s="56"/>
      <c r="Q3983" s="48"/>
      <c r="R3983" s="48"/>
      <c r="S3983" s="65"/>
      <c r="T3983" s="2"/>
      <c r="U3983" s="2"/>
      <c r="V3983" s="2"/>
    </row>
    <row r="3984" spans="1:22" s="149" customFormat="1" ht="12.75" customHeight="1" x14ac:dyDescent="0.2">
      <c r="A3984" s="155"/>
      <c r="B3984" s="176" t="str">
        <f>IF(A3984="","",VLOOKUP(A3984,'6.A'!$A$11:$G$180,2,FALSE))</f>
        <v/>
      </c>
      <c r="C3984" s="156"/>
      <c r="D3984" s="141" t="str">
        <f>IF(A3984="","",VLOOKUP(A3984,'6.A'!$A$11:$G$180,4,FALSE))</f>
        <v/>
      </c>
      <c r="E3984" s="100" t="str">
        <f>IF(A3984="","",VLOOKUP(A3984,'6.A'!$A$11:$G$180,5,FALSE))</f>
        <v/>
      </c>
      <c r="F3984" s="159" t="str">
        <f t="shared" ref="F3984:F3989" si="1722">IF(A3984="","0,00",ROUND(C3984*E3984,2))</f>
        <v>0,00</v>
      </c>
      <c r="G3984" s="52"/>
      <c r="H3984" s="52" t="str">
        <f>IF(A3984="","",VLOOKUP(A3984,'6.A'!$A$11:$E$7984,5,FALSE))</f>
        <v/>
      </c>
      <c r="I3984" s="52" t="str">
        <f t="shared" ref="I3984:I3989" si="1723">IF(H3984="","",IF(E3984=H3984,"SIM","NÃO"))</f>
        <v/>
      </c>
      <c r="J3984" s="52" t="str">
        <f>IF(H3984="","",VLOOKUP(A3984,'6.A'!$A$11:$E$564,4,FALSE))</f>
        <v/>
      </c>
      <c r="K3984" s="52" t="str">
        <f t="shared" ref="K3984:K3989" si="1724">IF(H3984="","",IF(J3984=D3984,"SIM","NÃO"))</f>
        <v/>
      </c>
      <c r="L3984" s="52" t="str">
        <f>IF(H3984="","",IF(C3984="","",G3964*C3984))</f>
        <v/>
      </c>
      <c r="M3984" s="117" t="str">
        <f>IF(A3984="","",VLOOKUP(A3984,'6.A'!$A$11:$C$564,2,FALSE))</f>
        <v/>
      </c>
      <c r="N3984" s="57" t="str">
        <f t="shared" ref="N3984:N3985" si="1725">IF(A3984="","",IF(M3984=B3984,"si","no"))</f>
        <v/>
      </c>
      <c r="O3984" s="56"/>
      <c r="P3984" s="56"/>
      <c r="Q3984" s="48"/>
      <c r="R3984" s="48"/>
      <c r="S3984" s="65"/>
      <c r="T3984" s="2"/>
      <c r="U3984" s="2"/>
      <c r="V3984" s="2"/>
    </row>
    <row r="3985" spans="1:22" s="149" customFormat="1" ht="12.75" customHeight="1" x14ac:dyDescent="0.2">
      <c r="A3985" s="155"/>
      <c r="B3985" s="176" t="str">
        <f>IF(A3985="","",VLOOKUP(A3985,'6.A'!$A$11:$G$180,2,FALSE))</f>
        <v/>
      </c>
      <c r="C3985" s="156"/>
      <c r="D3985" s="141" t="str">
        <f>IF(A3985="","",VLOOKUP(A3985,'6.A'!$A$11:$G$180,4,FALSE))</f>
        <v/>
      </c>
      <c r="E3985" s="160" t="str">
        <f>IF(A3985="","",VLOOKUP(A3985,'6.A'!$A$11:$G$180,5,FALSE))</f>
        <v/>
      </c>
      <c r="F3985" s="159" t="str">
        <f t="shared" si="1722"/>
        <v>0,00</v>
      </c>
      <c r="G3985" s="52"/>
      <c r="H3985" s="52" t="str">
        <f>IF(A3985="","",VLOOKUP(A3985,'6.A'!$A$11:$E$7984,5,FALSE))</f>
        <v/>
      </c>
      <c r="I3985" s="52" t="str">
        <f t="shared" si="1723"/>
        <v/>
      </c>
      <c r="J3985" s="52" t="str">
        <f>IF(H3985="","",VLOOKUP(A3985,'6.A'!$A$11:$E$564,4,FALSE))</f>
        <v/>
      </c>
      <c r="K3985" s="52" t="str">
        <f t="shared" si="1724"/>
        <v/>
      </c>
      <c r="L3985" s="52" t="str">
        <f>IF(H3985="","",IF(C3985="","",G3964*C3985))</f>
        <v/>
      </c>
      <c r="M3985" s="117" t="str">
        <f>IF(A3985="","",VLOOKUP(A3985,'6.A'!$A$11:$C$564,2,FALSE))</f>
        <v/>
      </c>
      <c r="N3985" s="57" t="str">
        <f t="shared" si="1725"/>
        <v/>
      </c>
      <c r="O3985" s="56"/>
      <c r="P3985" s="56"/>
      <c r="Q3985" s="48"/>
      <c r="R3985" s="48"/>
      <c r="S3985" s="65"/>
      <c r="T3985" s="2"/>
      <c r="U3985" s="2"/>
      <c r="V3985" s="2"/>
    </row>
    <row r="3986" spans="1:22" s="149" customFormat="1" ht="12.75" customHeight="1" x14ac:dyDescent="0.2">
      <c r="A3986" s="155"/>
      <c r="B3986" s="176" t="str">
        <f>IF(A3986="","",VLOOKUP(A3986,'6.A'!$A$11:$G$180,2,FALSE))</f>
        <v/>
      </c>
      <c r="C3986" s="156"/>
      <c r="D3986" s="141" t="str">
        <f>IF(A3986="","",VLOOKUP(A3986,'6.A'!$A$11:$G$180,4,FALSE))</f>
        <v/>
      </c>
      <c r="E3986" s="160" t="str">
        <f>IF(A3986="","",VLOOKUP(A3986,'6.A'!$A$11:$G$180,5,FALSE))</f>
        <v/>
      </c>
      <c r="F3986" s="159" t="str">
        <f t="shared" si="1722"/>
        <v>0,00</v>
      </c>
      <c r="G3986" s="52"/>
      <c r="H3986" s="52" t="str">
        <f>IF(A3986="","",VLOOKUP(A3986,'6.A'!$A$11:$E$7984,5,FALSE))</f>
        <v/>
      </c>
      <c r="I3986" s="52" t="str">
        <f t="shared" si="1723"/>
        <v/>
      </c>
      <c r="J3986" s="52" t="str">
        <f>IF(H3986="","",VLOOKUP(A3986,'6.A'!$A$11:$E$564,4,FALSE))</f>
        <v/>
      </c>
      <c r="K3986" s="52" t="str">
        <f t="shared" si="1724"/>
        <v/>
      </c>
      <c r="L3986" s="52" t="str">
        <f>IF(H3986="","",IF(C3986="","",G3964*C3986))</f>
        <v/>
      </c>
      <c r="M3986" s="117" t="str">
        <f>IF(A3986="","",VLOOKUP(A3986,'6.A'!$A$11:$C$564,2,FALSE))</f>
        <v/>
      </c>
      <c r="N3986" s="57" t="str">
        <f>IF(A3986="","",IF(M3986=B3986,"si","no"))</f>
        <v/>
      </c>
      <c r="O3986" s="56"/>
      <c r="P3986" s="56"/>
      <c r="Q3986" s="48"/>
      <c r="R3986" s="48"/>
      <c r="S3986" s="65"/>
      <c r="T3986" s="2"/>
      <c r="U3986" s="2"/>
      <c r="V3986" s="2"/>
    </row>
    <row r="3987" spans="1:22" s="149" customFormat="1" ht="12.75" customHeight="1" x14ac:dyDescent="0.2">
      <c r="A3987" s="155"/>
      <c r="B3987" s="138" t="str">
        <f>IF(A3987="","",VLOOKUP(A3987,'6.A'!$A$11:$G$180,2,FALSE))</f>
        <v/>
      </c>
      <c r="C3987" s="156"/>
      <c r="D3987" s="141" t="str">
        <f>IF(A3987="","",VLOOKUP(A3987,'6.A'!$A$11:$G$180,4,FALSE))</f>
        <v/>
      </c>
      <c r="E3987" s="160" t="str">
        <f>IF(A3987="","",VLOOKUP(A3987,'6.A'!$A$11:$G$180,5,FALSE))</f>
        <v/>
      </c>
      <c r="F3987" s="159" t="str">
        <f t="shared" si="1722"/>
        <v>0,00</v>
      </c>
      <c r="G3987" s="52"/>
      <c r="H3987" s="52" t="str">
        <f>IF(A3987="","",VLOOKUP(A3987,'6.A'!$A$11:$E$7984,5,FALSE))</f>
        <v/>
      </c>
      <c r="I3987" s="52" t="str">
        <f t="shared" si="1723"/>
        <v/>
      </c>
      <c r="J3987" s="52" t="str">
        <f>IF(H3987="","",VLOOKUP(A3987,'6.A'!$A$11:$E$564,4,FALSE))</f>
        <v/>
      </c>
      <c r="K3987" s="52" t="str">
        <f t="shared" si="1724"/>
        <v/>
      </c>
      <c r="L3987" s="52" t="str">
        <f>IF(H3987="","",IF(C3987="","",G3964*C3987))</f>
        <v/>
      </c>
      <c r="M3987" s="117" t="str">
        <f>IF(A3987="","",VLOOKUP(A3987,'6.A'!$A$11:$C$564,2,FALSE))</f>
        <v/>
      </c>
      <c r="N3987" s="57" t="str">
        <f>IF(A3987="","",IF(M3987=B3987,"si","no"))</f>
        <v/>
      </c>
      <c r="O3987" s="56"/>
      <c r="P3987" s="56"/>
      <c r="Q3987" s="48"/>
      <c r="R3987" s="48"/>
      <c r="S3987" s="65"/>
      <c r="T3987" s="2"/>
      <c r="U3987" s="2"/>
      <c r="V3987" s="2"/>
    </row>
    <row r="3988" spans="1:22" s="149" customFormat="1" ht="12.75" customHeight="1" x14ac:dyDescent="0.2">
      <c r="A3988" s="155"/>
      <c r="B3988" s="138" t="str">
        <f>IF(A3988="","",VLOOKUP(A3988,'6.A'!$A$11:$G$180,2,FALSE))</f>
        <v/>
      </c>
      <c r="C3988" s="156"/>
      <c r="D3988" s="141" t="str">
        <f>IF(A3988="","",VLOOKUP(A3988,'6.A'!$A$11:$G$180,4,FALSE))</f>
        <v/>
      </c>
      <c r="E3988" s="100" t="str">
        <f>IF(A3988="","",VLOOKUP(A3988,'6.A'!$A$11:$G$180,5,FALSE))</f>
        <v/>
      </c>
      <c r="F3988" s="159" t="str">
        <f t="shared" si="1722"/>
        <v>0,00</v>
      </c>
      <c r="G3988" s="52"/>
      <c r="H3988" s="52" t="str">
        <f>IF(A3988="","",VLOOKUP(A3988,'6.A'!$A$11:$E$7984,5,FALSE))</f>
        <v/>
      </c>
      <c r="I3988" s="52" t="str">
        <f t="shared" si="1723"/>
        <v/>
      </c>
      <c r="J3988" s="52" t="str">
        <f>IF(H3988="","",VLOOKUP(A3988,'6.A'!$A$11:$E$564,4,FALSE))</f>
        <v/>
      </c>
      <c r="K3988" s="52" t="str">
        <f t="shared" si="1724"/>
        <v/>
      </c>
      <c r="L3988" s="52" t="str">
        <f>IF(H3988="","",IF(C3988="","",G3964*C3988))</f>
        <v/>
      </c>
      <c r="M3988" s="117" t="str">
        <f>IF(A3988="","",VLOOKUP(A3988,'6.A'!$A$11:$C$564,2,FALSE))</f>
        <v/>
      </c>
      <c r="N3988" s="57" t="str">
        <f t="shared" ref="N3988:N3989" si="1726">IF(A3988="","",IF(M3988=B3988,"si","no"))</f>
        <v/>
      </c>
      <c r="O3988" s="56"/>
      <c r="P3988" s="56"/>
      <c r="Q3988" s="48"/>
      <c r="R3988" s="48"/>
      <c r="S3988" s="65"/>
      <c r="T3988" s="2"/>
      <c r="U3988" s="2"/>
      <c r="V3988" s="2"/>
    </row>
    <row r="3989" spans="1:22" s="149" customFormat="1" ht="12.75" customHeight="1" x14ac:dyDescent="0.2">
      <c r="A3989" s="155"/>
      <c r="B3989" s="138" t="str">
        <f>IF(A3989="","",VLOOKUP(A3989,'6.A'!$A$11:$G$180,2,FALSE))</f>
        <v/>
      </c>
      <c r="C3989" s="156"/>
      <c r="D3989" s="141" t="str">
        <f>IF(A3989="","",VLOOKUP(A3989,'6.A'!$A$11:$G$180,4,FALSE))</f>
        <v/>
      </c>
      <c r="E3989" s="160" t="str">
        <f>IF(A3989="","",VLOOKUP(A3989,'6.A'!$A$11:$G$180,5,FALSE))</f>
        <v/>
      </c>
      <c r="F3989" s="159" t="str">
        <f t="shared" si="1722"/>
        <v>0,00</v>
      </c>
      <c r="G3989" s="52"/>
      <c r="H3989" s="52" t="str">
        <f>IF(A3989="","",VLOOKUP(A3989,'6.A'!$A$11:$E$7984,5,FALSE))</f>
        <v/>
      </c>
      <c r="I3989" s="52" t="str">
        <f t="shared" si="1723"/>
        <v/>
      </c>
      <c r="J3989" s="52" t="str">
        <f>IF(H3989="","",VLOOKUP(A3989,'6.A'!$A$11:$E$564,4,FALSE))</f>
        <v/>
      </c>
      <c r="K3989" s="52" t="str">
        <f t="shared" si="1724"/>
        <v/>
      </c>
      <c r="L3989" s="52" t="str">
        <f>IF(H3989="","",IF(C3989="","",G3964*C3989))</f>
        <v/>
      </c>
      <c r="M3989" s="117" t="str">
        <f>IF(A3989="","",VLOOKUP(A3989,'6.A'!$A$11:$C$564,2,FALSE))</f>
        <v/>
      </c>
      <c r="N3989" s="57" t="str">
        <f t="shared" si="1726"/>
        <v/>
      </c>
      <c r="O3989" s="56"/>
      <c r="P3989" s="56"/>
      <c r="Q3989" s="48"/>
      <c r="R3989" s="48"/>
      <c r="S3989" s="65"/>
      <c r="T3989" s="2"/>
      <c r="U3989" s="2"/>
      <c r="V3989" s="2"/>
    </row>
    <row r="3990" spans="1:22" s="149" customFormat="1" ht="12.75" customHeight="1" x14ac:dyDescent="0.2">
      <c r="A3990" s="155"/>
      <c r="B3990" s="26" t="str">
        <f>$A$9</f>
        <v>BDI</v>
      </c>
      <c r="C3990" s="27">
        <f>$C$9</f>
        <v>0</v>
      </c>
      <c r="D3990" s="141"/>
      <c r="E3990" s="147"/>
      <c r="F3990" s="162">
        <f>ROUND(SUM(F3980:F3989)*C3990,2)</f>
        <v>0</v>
      </c>
      <c r="G3990" s="63"/>
      <c r="H3990" s="52"/>
      <c r="I3990" s="57"/>
      <c r="J3990" s="57"/>
      <c r="K3990" s="57"/>
      <c r="L3990" s="52"/>
      <c r="M3990" s="62"/>
      <c r="N3990" s="57"/>
      <c r="O3990" s="56"/>
      <c r="P3990" s="56"/>
      <c r="Q3990" s="48"/>
      <c r="R3990" s="48"/>
      <c r="S3990" s="65"/>
      <c r="T3990" s="2"/>
      <c r="U3990" s="2"/>
      <c r="V3990" s="2"/>
    </row>
    <row r="3991" spans="1:22" s="149" customFormat="1" ht="12.75" customHeight="1" x14ac:dyDescent="0.2">
      <c r="A3991" s="163"/>
      <c r="B3991" s="31" t="s">
        <v>117</v>
      </c>
      <c r="C3991" s="36"/>
      <c r="D3991" s="169"/>
      <c r="E3991" s="170"/>
      <c r="F3991" s="168">
        <f>ROUND(SUM(F3980:F3990),2)</f>
        <v>0</v>
      </c>
      <c r="G3991" s="63"/>
      <c r="H3991" s="52"/>
      <c r="I3991" s="57"/>
      <c r="J3991" s="57"/>
      <c r="K3991" s="57"/>
      <c r="L3991" s="52"/>
      <c r="M3991" s="62"/>
      <c r="N3991" s="57"/>
      <c r="O3991" s="56"/>
      <c r="P3991" s="56"/>
      <c r="Q3991" s="48"/>
      <c r="R3991" s="48"/>
      <c r="S3991" s="65"/>
      <c r="T3991" s="2"/>
      <c r="U3991" s="2"/>
      <c r="V3991" s="2"/>
    </row>
    <row r="3992" spans="1:22" s="149" customFormat="1" ht="12.75" customHeight="1" x14ac:dyDescent="0.2">
      <c r="A3992" s="152" t="s">
        <v>6</v>
      </c>
      <c r="B3992" s="153" t="s">
        <v>17</v>
      </c>
      <c r="C3992" s="140" t="s">
        <v>59</v>
      </c>
      <c r="D3992" s="140" t="s">
        <v>16</v>
      </c>
      <c r="E3992" s="154" t="s">
        <v>60</v>
      </c>
      <c r="F3992" s="148" t="s">
        <v>61</v>
      </c>
      <c r="G3992" s="21"/>
      <c r="H3992" s="52"/>
      <c r="I3992" s="57"/>
      <c r="J3992" s="57"/>
      <c r="K3992" s="57"/>
      <c r="L3992" s="52"/>
      <c r="M3992" s="62"/>
      <c r="N3992" s="57"/>
      <c r="O3992" s="56"/>
      <c r="P3992" s="56"/>
      <c r="Q3992" s="48"/>
      <c r="R3992" s="48"/>
      <c r="S3992" s="65"/>
      <c r="T3992" s="2"/>
      <c r="U3992" s="2"/>
      <c r="V3992" s="2"/>
    </row>
    <row r="3993" spans="1:22" s="149" customFormat="1" ht="12.75" customHeight="1" x14ac:dyDescent="0.2">
      <c r="A3993" s="155">
        <f>'6.A'!$A$132</f>
        <v>35692</v>
      </c>
      <c r="B3993" s="138" t="str">
        <f>IF(A3993="","",VLOOKUP(A3993,'6.A'!$A$11:$G$180,2,FALSE))</f>
        <v>TINTA LATEX ACRILICA STANDARD, COR BRANCA</v>
      </c>
      <c r="C3993" s="156">
        <v>0.25</v>
      </c>
      <c r="D3993" s="141" t="str">
        <f>IF(A3993="","",VLOOKUP(A3993,'6.A'!$A$11:$G$180,4,FALSE))</f>
        <v>L</v>
      </c>
      <c r="E3993" s="160">
        <f>IF(A3993="","",VLOOKUP(A3993,'6.A'!$A$11:$G$180,5,FALSE))</f>
        <v>0</v>
      </c>
      <c r="F3993" s="159">
        <f t="shared" ref="F3993:F4012" si="1727">IF(A3993="","0,00",ROUND(C3993*E3993,2))</f>
        <v>0</v>
      </c>
      <c r="G3993" s="52"/>
      <c r="H3993" s="52">
        <f>IF(A3993="","",VLOOKUP(A3993,'6.A'!$A$11:$E$7984,5,FALSE))</f>
        <v>0</v>
      </c>
      <c r="I3993" s="52" t="str">
        <f t="shared" ref="I3993:I4012" si="1728">IF(H3993="","",IF(E3993=H3993,"SIM","NÃO"))</f>
        <v>SIM</v>
      </c>
      <c r="J3993" s="52" t="str">
        <f>IF(H3993="","",VLOOKUP(A3993,'6.A'!$A$11:$E$564,4,FALSE))</f>
        <v>L</v>
      </c>
      <c r="K3993" s="52" t="str">
        <f t="shared" ref="K3993:K4012" si="1729">IF(H3993="","",IF(J3993=D3993,"SIM","NÃO"))</f>
        <v>SIM</v>
      </c>
      <c r="L3993" s="52">
        <f>IF(H3993="","",IF(C3993="","",G3964*C3993))</f>
        <v>7.25</v>
      </c>
      <c r="M3993" s="117" t="str">
        <f>IF(A3993="","",VLOOKUP(A3993,'6.A'!$A$11:$C$564,2,FALSE))</f>
        <v>TINTA LATEX ACRILICA STANDARD, COR BRANCA</v>
      </c>
      <c r="N3993" s="57" t="str">
        <f t="shared" ref="N3993:N4012" si="1730">IF(A3993="","",IF(M3993=B3993,"si","no"))</f>
        <v>si</v>
      </c>
      <c r="O3993" s="56"/>
      <c r="P3993" s="56"/>
      <c r="Q3993" s="48"/>
      <c r="R3993" s="48"/>
      <c r="S3993" s="65"/>
      <c r="T3993" s="2"/>
      <c r="U3993" s="2"/>
      <c r="V3993" s="2"/>
    </row>
    <row r="3994" spans="1:22" s="149" customFormat="1" ht="12.75" customHeight="1" x14ac:dyDescent="0.2">
      <c r="A3994" s="155">
        <f>'6.A'!$A$113</f>
        <v>6085</v>
      </c>
      <c r="B3994" s="138" t="str">
        <f>IF(A3994="","",VLOOKUP(A3994,'6.A'!$A$11:$G$180,2,FALSE))</f>
        <v>SELADOR ACRILICO OPACO PREMIUM INTERIOR/EXTERIOR</v>
      </c>
      <c r="C3994" s="156">
        <v>0.24</v>
      </c>
      <c r="D3994" s="141" t="str">
        <f>IF(A3994="","",VLOOKUP(A3994,'6.A'!$A$11:$G$180,4,FALSE))</f>
        <v>L</v>
      </c>
      <c r="E3994" s="160">
        <f>IF(A3994="","",VLOOKUP(A3994,'6.A'!$A$11:$G$180,5,FALSE))</f>
        <v>0</v>
      </c>
      <c r="F3994" s="159">
        <f t="shared" si="1727"/>
        <v>0</v>
      </c>
      <c r="G3994" s="52"/>
      <c r="H3994" s="52">
        <f>IF(A3994="","",VLOOKUP(A3994,'6.A'!$A$11:$E$7984,5,FALSE))</f>
        <v>0</v>
      </c>
      <c r="I3994" s="52" t="str">
        <f t="shared" si="1728"/>
        <v>SIM</v>
      </c>
      <c r="J3994" s="52" t="str">
        <f>IF(H3994="","",VLOOKUP(A3994,'6.A'!$A$11:$E$564,4,FALSE))</f>
        <v>L</v>
      </c>
      <c r="K3994" s="52" t="str">
        <f t="shared" si="1729"/>
        <v>SIM</v>
      </c>
      <c r="L3994" s="52">
        <f>IF(H3994="","",IF(C3994="","",G3964*C3994))</f>
        <v>6.96</v>
      </c>
      <c r="M3994" s="117" t="str">
        <f>IF(A3994="","",VLOOKUP(A3994,'6.A'!$A$11:$C$564,2,FALSE))</f>
        <v>SELADOR ACRILICO OPACO PREMIUM INTERIOR/EXTERIOR</v>
      </c>
      <c r="N3994" s="57" t="str">
        <f t="shared" si="1730"/>
        <v>si</v>
      </c>
      <c r="O3994" s="56"/>
      <c r="P3994" s="56"/>
      <c r="Q3994" s="48"/>
      <c r="R3994" s="48"/>
      <c r="S3994" s="65"/>
      <c r="T3994" s="2"/>
      <c r="U3994" s="2"/>
      <c r="V3994" s="2"/>
    </row>
    <row r="3995" spans="1:22" s="149" customFormat="1" ht="12.75" customHeight="1" x14ac:dyDescent="0.2">
      <c r="A3995" s="155">
        <f>'6.A'!$A$134</f>
        <v>38383</v>
      </c>
      <c r="B3995" s="138" t="str">
        <f>IF(A3995="","",VLOOKUP(A3995,'6.A'!$A$11:$G$180,2,FALSE))</f>
        <v>LIXA D'AGUA EM FOLHA</v>
      </c>
      <c r="C3995" s="156">
        <v>0.3</v>
      </c>
      <c r="D3995" s="141" t="str">
        <f>IF(A3995="","",VLOOKUP(A3995,'6.A'!$A$11:$G$180,4,FALSE))</f>
        <v>UN</v>
      </c>
      <c r="E3995" s="160">
        <f>IF(A3995="","",VLOOKUP(A3995,'6.A'!$A$11:$G$180,5,FALSE))</f>
        <v>0</v>
      </c>
      <c r="F3995" s="159">
        <f t="shared" si="1727"/>
        <v>0</v>
      </c>
      <c r="G3995" s="52"/>
      <c r="H3995" s="52">
        <f>IF(A3995="","",VLOOKUP(A3995,'6.A'!$A$11:$E$7984,5,FALSE))</f>
        <v>0</v>
      </c>
      <c r="I3995" s="52" t="str">
        <f t="shared" si="1728"/>
        <v>SIM</v>
      </c>
      <c r="J3995" s="52" t="str">
        <f>IF(H3995="","",VLOOKUP(A3995,'6.A'!$A$11:$E$564,4,FALSE))</f>
        <v>UN</v>
      </c>
      <c r="K3995" s="52" t="str">
        <f t="shared" si="1729"/>
        <v>SIM</v>
      </c>
      <c r="L3995" s="52">
        <f>IF(H3995="","",IF(C3995="","",G3964*C3995))</f>
        <v>8.6999999999999993</v>
      </c>
      <c r="M3995" s="117" t="str">
        <f>IF(A3995="","",VLOOKUP(A3995,'6.A'!$A$11:$C$564,2,FALSE))</f>
        <v>LIXA D'AGUA EM FOLHA</v>
      </c>
      <c r="N3995" s="57" t="str">
        <f t="shared" si="1730"/>
        <v>si</v>
      </c>
      <c r="O3995" s="56"/>
      <c r="P3995" s="56"/>
      <c r="Q3995" s="48"/>
      <c r="R3995" s="48"/>
      <c r="S3995" s="65"/>
      <c r="T3995" s="2"/>
      <c r="U3995" s="2"/>
      <c r="V3995" s="2"/>
    </row>
    <row r="3996" spans="1:22" s="149" customFormat="1" ht="12.75" customHeight="1" x14ac:dyDescent="0.2">
      <c r="A3996" s="155"/>
      <c r="B3996" s="138" t="str">
        <f>IF(A3996="","",VLOOKUP(A3996,'6.A'!$A$11:$G$180,2,FALSE))</f>
        <v/>
      </c>
      <c r="C3996" s="156"/>
      <c r="D3996" s="141" t="str">
        <f>IF(A3996="","",VLOOKUP(A3996,'6.A'!$A$11:$G$180,4,FALSE))</f>
        <v/>
      </c>
      <c r="E3996" s="160" t="str">
        <f>IF(A3996="","",VLOOKUP(A3996,'6.A'!$A$11:$G$180,5,FALSE))</f>
        <v/>
      </c>
      <c r="F3996" s="159" t="str">
        <f t="shared" si="1727"/>
        <v>0,00</v>
      </c>
      <c r="G3996" s="52"/>
      <c r="H3996" s="52" t="str">
        <f>IF(A3996="","",VLOOKUP(A3996,'6.A'!$A$11:$E$7984,5,FALSE))</f>
        <v/>
      </c>
      <c r="I3996" s="52" t="str">
        <f t="shared" si="1728"/>
        <v/>
      </c>
      <c r="J3996" s="52" t="str">
        <f>IF(H3996="","",VLOOKUP(A3996,'6.A'!$A$11:$E$564,4,FALSE))</f>
        <v/>
      </c>
      <c r="K3996" s="52" t="str">
        <f t="shared" si="1729"/>
        <v/>
      </c>
      <c r="L3996" s="52" t="str">
        <f>IF(H3996="","",IF(C3996="","",G3964*C3996))</f>
        <v/>
      </c>
      <c r="M3996" s="117" t="str">
        <f>IF(A3996="","",VLOOKUP(A3996,'6.A'!$A$11:$C$564,2,FALSE))</f>
        <v/>
      </c>
      <c r="N3996" s="57" t="str">
        <f t="shared" si="1730"/>
        <v/>
      </c>
      <c r="O3996" s="56"/>
      <c r="P3996" s="56"/>
      <c r="Q3996" s="48"/>
      <c r="R3996" s="48"/>
      <c r="S3996" s="65"/>
      <c r="T3996" s="2"/>
      <c r="U3996" s="2"/>
      <c r="V3996" s="2"/>
    </row>
    <row r="3997" spans="1:22" s="149" customFormat="1" ht="12.75" customHeight="1" x14ac:dyDescent="0.2">
      <c r="A3997" s="155"/>
      <c r="B3997" s="138" t="str">
        <f>IF(A3997="","",VLOOKUP(A3997,'6.A'!$A$11:$G$180,2,FALSE))</f>
        <v/>
      </c>
      <c r="C3997" s="156"/>
      <c r="D3997" s="141" t="str">
        <f>IF(A3997="","",VLOOKUP(A3997,'6.A'!$A$11:$G$180,4,FALSE))</f>
        <v/>
      </c>
      <c r="E3997" s="160" t="str">
        <f>IF(A3997="","",VLOOKUP(A3997,'6.A'!$A$11:$G$180,5,FALSE))</f>
        <v/>
      </c>
      <c r="F3997" s="159" t="str">
        <f t="shared" si="1727"/>
        <v>0,00</v>
      </c>
      <c r="G3997" s="52"/>
      <c r="H3997" s="52" t="str">
        <f>IF(A3997="","",VLOOKUP(A3997,'6.A'!$A$11:$E$7984,5,FALSE))</f>
        <v/>
      </c>
      <c r="I3997" s="52" t="str">
        <f t="shared" si="1728"/>
        <v/>
      </c>
      <c r="J3997" s="52" t="str">
        <f>IF(H3997="","",VLOOKUP(A3997,'6.A'!$A$11:$E$564,4,FALSE))</f>
        <v/>
      </c>
      <c r="K3997" s="52" t="str">
        <f t="shared" si="1729"/>
        <v/>
      </c>
      <c r="L3997" s="52" t="str">
        <f>IF(H3997="","",IF(C3997="","",G3964*C3997))</f>
        <v/>
      </c>
      <c r="M3997" s="117" t="str">
        <f>IF(A3997="","",VLOOKUP(A3997,'6.A'!$A$11:$C$564,2,FALSE))</f>
        <v/>
      </c>
      <c r="N3997" s="57" t="str">
        <f t="shared" si="1730"/>
        <v/>
      </c>
      <c r="O3997" s="56"/>
      <c r="P3997" s="56"/>
      <c r="Q3997" s="48"/>
      <c r="R3997" s="48"/>
      <c r="S3997" s="65"/>
      <c r="T3997" s="2"/>
      <c r="U3997" s="2"/>
      <c r="V3997" s="2"/>
    </row>
    <row r="3998" spans="1:22" s="149" customFormat="1" ht="12.75" customHeight="1" x14ac:dyDescent="0.2">
      <c r="A3998" s="155"/>
      <c r="B3998" s="138" t="str">
        <f>IF(A3998="","",VLOOKUP(A3998,'6.A'!$A$11:$G$180,2,FALSE))</f>
        <v/>
      </c>
      <c r="C3998" s="156"/>
      <c r="D3998" s="141" t="str">
        <f>IF(A3998="","",VLOOKUP(A3998,'6.A'!$A$11:$G$180,4,FALSE))</f>
        <v/>
      </c>
      <c r="E3998" s="160" t="str">
        <f>IF(A3998="","",VLOOKUP(A3998,'6.A'!$A$11:$G$180,5,FALSE))</f>
        <v/>
      </c>
      <c r="F3998" s="159" t="str">
        <f t="shared" si="1727"/>
        <v>0,00</v>
      </c>
      <c r="G3998" s="52"/>
      <c r="H3998" s="52" t="str">
        <f>IF(A3998="","",VLOOKUP(A3998,'6.A'!$A$11:$E$7984,5,FALSE))</f>
        <v/>
      </c>
      <c r="I3998" s="52" t="str">
        <f t="shared" si="1728"/>
        <v/>
      </c>
      <c r="J3998" s="52" t="str">
        <f>IF(H3998="","",VLOOKUP(A3998,'6.A'!$A$11:$E$564,4,FALSE))</f>
        <v/>
      </c>
      <c r="K3998" s="52" t="str">
        <f t="shared" si="1729"/>
        <v/>
      </c>
      <c r="L3998" s="52" t="str">
        <f>IF(H3998="","",IF(C3998="","",G3964*C3998))</f>
        <v/>
      </c>
      <c r="M3998" s="117" t="str">
        <f>IF(A3998="","",VLOOKUP(A3998,'6.A'!$A$11:$C$564,2,FALSE))</f>
        <v/>
      </c>
      <c r="N3998" s="57" t="str">
        <f t="shared" si="1730"/>
        <v/>
      </c>
      <c r="O3998" s="56"/>
      <c r="P3998" s="56"/>
      <c r="Q3998" s="48"/>
      <c r="R3998" s="48"/>
      <c r="S3998" s="65"/>
      <c r="T3998" s="2"/>
      <c r="U3998" s="2"/>
      <c r="V3998" s="2"/>
    </row>
    <row r="3999" spans="1:22" s="149" customFormat="1" ht="12.75" customHeight="1" x14ac:dyDescent="0.2">
      <c r="A3999" s="155"/>
      <c r="B3999" s="138" t="str">
        <f>IF(A3999="","",VLOOKUP(A3999,'6.A'!$A$11:$G$180,2,FALSE))</f>
        <v/>
      </c>
      <c r="C3999" s="156"/>
      <c r="D3999" s="141" t="str">
        <f>IF(A3999="","",VLOOKUP(A3999,'6.A'!$A$11:$G$180,4,FALSE))</f>
        <v/>
      </c>
      <c r="E3999" s="160" t="str">
        <f>IF(A3999="","",VLOOKUP(A3999,'6.A'!$A$11:$G$180,5,FALSE))</f>
        <v/>
      </c>
      <c r="F3999" s="159" t="str">
        <f t="shared" si="1727"/>
        <v>0,00</v>
      </c>
      <c r="G3999" s="52"/>
      <c r="H3999" s="52" t="str">
        <f>IF(A3999="","",VLOOKUP(A3999,'6.A'!$A$11:$E$7984,5,FALSE))</f>
        <v/>
      </c>
      <c r="I3999" s="52" t="str">
        <f t="shared" si="1728"/>
        <v/>
      </c>
      <c r="J3999" s="52" t="str">
        <f>IF(H3999="","",VLOOKUP(A3999,'6.A'!$A$11:$E$564,4,FALSE))</f>
        <v/>
      </c>
      <c r="K3999" s="52" t="str">
        <f t="shared" si="1729"/>
        <v/>
      </c>
      <c r="L3999" s="52" t="str">
        <f>IF(H3999="","",IF(C3999="","",G3964*C3999))</f>
        <v/>
      </c>
      <c r="M3999" s="117" t="str">
        <f>IF(A3999="","",VLOOKUP(A3999,'6.A'!$A$11:$C$564,2,FALSE))</f>
        <v/>
      </c>
      <c r="N3999" s="57" t="str">
        <f t="shared" si="1730"/>
        <v/>
      </c>
      <c r="O3999" s="56"/>
      <c r="P3999" s="56"/>
      <c r="Q3999" s="48"/>
      <c r="R3999" s="48"/>
      <c r="S3999" s="65"/>
      <c r="T3999" s="2"/>
      <c r="U3999" s="2"/>
      <c r="V3999" s="2"/>
    </row>
    <row r="4000" spans="1:22" s="149" customFormat="1" ht="12.75" customHeight="1" x14ac:dyDescent="0.2">
      <c r="A4000" s="155"/>
      <c r="B4000" s="138" t="str">
        <f>IF(A4000="","",VLOOKUP(A4000,'6.A'!$A$11:$G$180,2,FALSE))</f>
        <v/>
      </c>
      <c r="C4000" s="156"/>
      <c r="D4000" s="141" t="str">
        <f>IF(A4000="","",VLOOKUP(A4000,'6.A'!$A$11:$G$180,4,FALSE))</f>
        <v/>
      </c>
      <c r="E4000" s="160" t="str">
        <f>IF(A4000="","",VLOOKUP(A4000,'6.A'!$A$11:$G$180,5,FALSE))</f>
        <v/>
      </c>
      <c r="F4000" s="159" t="str">
        <f t="shared" si="1727"/>
        <v>0,00</v>
      </c>
      <c r="G4000" s="52"/>
      <c r="H4000" s="52" t="str">
        <f>IF(A4000="","",VLOOKUP(A4000,'6.A'!$A$11:$E$7984,5,FALSE))</f>
        <v/>
      </c>
      <c r="I4000" s="52" t="str">
        <f t="shared" si="1728"/>
        <v/>
      </c>
      <c r="J4000" s="52" t="str">
        <f>IF(H4000="","",VLOOKUP(A4000,'6.A'!$A$11:$E$564,4,FALSE))</f>
        <v/>
      </c>
      <c r="K4000" s="52" t="str">
        <f t="shared" si="1729"/>
        <v/>
      </c>
      <c r="L4000" s="52" t="str">
        <f>IF(H4000="","",IF(C4000="","",G3964*C4000))</f>
        <v/>
      </c>
      <c r="M4000" s="117" t="str">
        <f>IF(A4000="","",VLOOKUP(A4000,'6.A'!$A$11:$C$564,2,FALSE))</f>
        <v/>
      </c>
      <c r="N4000" s="57" t="str">
        <f t="shared" si="1730"/>
        <v/>
      </c>
      <c r="O4000" s="56"/>
      <c r="P4000" s="56"/>
      <c r="Q4000" s="48"/>
      <c r="R4000" s="48"/>
      <c r="S4000" s="65"/>
      <c r="T4000" s="2"/>
      <c r="U4000" s="2"/>
      <c r="V4000" s="2"/>
    </row>
    <row r="4001" spans="1:22" s="149" customFormat="1" ht="12.75" customHeight="1" x14ac:dyDescent="0.2">
      <c r="A4001" s="155"/>
      <c r="B4001" s="138" t="str">
        <f>IF(A4001="","",VLOOKUP(A4001,'6.A'!$A$11:$G$180,2,FALSE))</f>
        <v/>
      </c>
      <c r="C4001" s="156"/>
      <c r="D4001" s="141" t="str">
        <f>IF(A4001="","",VLOOKUP(A4001,'6.A'!$A$11:$G$180,4,FALSE))</f>
        <v/>
      </c>
      <c r="E4001" s="160" t="str">
        <f>IF(A4001="","",VLOOKUP(A4001,'6.A'!$A$11:$G$180,5,FALSE))</f>
        <v/>
      </c>
      <c r="F4001" s="159" t="str">
        <f t="shared" si="1727"/>
        <v>0,00</v>
      </c>
      <c r="G4001" s="52"/>
      <c r="H4001" s="52" t="str">
        <f>IF(A4001="","",VLOOKUP(A4001,'6.A'!$A$11:$E$7984,5,FALSE))</f>
        <v/>
      </c>
      <c r="I4001" s="52" t="str">
        <f t="shared" si="1728"/>
        <v/>
      </c>
      <c r="J4001" s="52" t="str">
        <f>IF(H4001="","",VLOOKUP(A4001,'6.A'!$A$11:$E$564,4,FALSE))</f>
        <v/>
      </c>
      <c r="K4001" s="52" t="str">
        <f t="shared" si="1729"/>
        <v/>
      </c>
      <c r="L4001" s="52" t="str">
        <f>IF(H4001="","",IF(C4001="","",G3964*C4001))</f>
        <v/>
      </c>
      <c r="M4001" s="117" t="str">
        <f>IF(A4001="","",VLOOKUP(A4001,'6.A'!$A$11:$C$564,2,FALSE))</f>
        <v/>
      </c>
      <c r="N4001" s="57" t="str">
        <f t="shared" si="1730"/>
        <v/>
      </c>
      <c r="O4001" s="56"/>
      <c r="P4001" s="56"/>
      <c r="Q4001" s="48"/>
      <c r="R4001" s="48"/>
      <c r="S4001" s="65"/>
      <c r="T4001" s="2"/>
      <c r="U4001" s="2"/>
      <c r="V4001" s="2"/>
    </row>
    <row r="4002" spans="1:22" s="149" customFormat="1" ht="12.75" customHeight="1" x14ac:dyDescent="0.2">
      <c r="A4002" s="155"/>
      <c r="B4002" s="138" t="str">
        <f>IF(A4002="","",VLOOKUP(A4002,'6.A'!$A$11:$G$180,2,FALSE))</f>
        <v/>
      </c>
      <c r="C4002" s="156"/>
      <c r="D4002" s="141" t="str">
        <f>IF(A4002="","",VLOOKUP(A4002,'6.A'!$A$11:$G$180,4,FALSE))</f>
        <v/>
      </c>
      <c r="E4002" s="160" t="str">
        <f>IF(A4002="","",VLOOKUP(A4002,'6.A'!$A$11:$G$180,5,FALSE))</f>
        <v/>
      </c>
      <c r="F4002" s="159" t="str">
        <f t="shared" si="1727"/>
        <v>0,00</v>
      </c>
      <c r="G4002" s="52"/>
      <c r="H4002" s="52" t="str">
        <f>IF(A4002="","",VLOOKUP(A4002,'6.A'!$A$11:$E$7984,5,FALSE))</f>
        <v/>
      </c>
      <c r="I4002" s="52" t="str">
        <f t="shared" si="1728"/>
        <v/>
      </c>
      <c r="J4002" s="52" t="str">
        <f>IF(H4002="","",VLOOKUP(A4002,'6.A'!$A$11:$E$564,4,FALSE))</f>
        <v/>
      </c>
      <c r="K4002" s="52" t="str">
        <f t="shared" si="1729"/>
        <v/>
      </c>
      <c r="L4002" s="52" t="str">
        <f>IF(H4002="","",IF(C4002="","",G3964*C4002))</f>
        <v/>
      </c>
      <c r="M4002" s="117" t="str">
        <f>IF(A4002="","",VLOOKUP(A4002,'6.A'!$A$11:$C$564,2,FALSE))</f>
        <v/>
      </c>
      <c r="N4002" s="57" t="str">
        <f t="shared" si="1730"/>
        <v/>
      </c>
      <c r="O4002" s="56"/>
      <c r="P4002" s="56"/>
      <c r="Q4002" s="48"/>
      <c r="R4002" s="48"/>
      <c r="S4002" s="65"/>
      <c r="T4002" s="2"/>
      <c r="U4002" s="2"/>
      <c r="V4002" s="2"/>
    </row>
    <row r="4003" spans="1:22" s="149" customFormat="1" ht="12.75" customHeight="1" x14ac:dyDescent="0.2">
      <c r="A4003" s="155"/>
      <c r="B4003" s="138" t="str">
        <f>IF(A4003="","",VLOOKUP(A4003,'6.A'!$A$11:$G$180,2,FALSE))</f>
        <v/>
      </c>
      <c r="C4003" s="156"/>
      <c r="D4003" s="141" t="str">
        <f>IF(A4003="","",VLOOKUP(A4003,'6.A'!$A$11:$G$180,4,FALSE))</f>
        <v/>
      </c>
      <c r="E4003" s="160" t="str">
        <f>IF(A4003="","",VLOOKUP(A4003,'6.A'!$A$11:$G$180,5,FALSE))</f>
        <v/>
      </c>
      <c r="F4003" s="159" t="str">
        <f t="shared" si="1727"/>
        <v>0,00</v>
      </c>
      <c r="G4003" s="52"/>
      <c r="H4003" s="52" t="str">
        <f>IF(A4003="","",VLOOKUP(A4003,'6.A'!$A$11:$E$7984,5,FALSE))</f>
        <v/>
      </c>
      <c r="I4003" s="52" t="str">
        <f t="shared" si="1728"/>
        <v/>
      </c>
      <c r="J4003" s="52" t="str">
        <f>IF(H4003="","",VLOOKUP(A4003,'6.A'!$A$11:$E$564,4,FALSE))</f>
        <v/>
      </c>
      <c r="K4003" s="52" t="str">
        <f t="shared" si="1729"/>
        <v/>
      </c>
      <c r="L4003" s="52" t="str">
        <f>IF(H4003="","",IF(C4003="","",G3964*C4003))</f>
        <v/>
      </c>
      <c r="M4003" s="117" t="str">
        <f>IF(A4003="","",VLOOKUP(A4003,'6.A'!$A$11:$C$564,2,FALSE))</f>
        <v/>
      </c>
      <c r="N4003" s="57" t="str">
        <f t="shared" si="1730"/>
        <v/>
      </c>
      <c r="O4003" s="56"/>
      <c r="P4003" s="56"/>
      <c r="Q4003" s="48"/>
      <c r="R4003" s="48"/>
      <c r="S4003" s="65"/>
      <c r="T4003" s="2"/>
      <c r="U4003" s="2"/>
      <c r="V4003" s="2"/>
    </row>
    <row r="4004" spans="1:22" s="137" customFormat="1" ht="12.75" customHeight="1" x14ac:dyDescent="0.2">
      <c r="A4004" s="155"/>
      <c r="B4004" s="138" t="str">
        <f>IF(A4004="","",VLOOKUP(A4004,'6.A'!$A$11:$G$180,2,FALSE))</f>
        <v/>
      </c>
      <c r="C4004" s="156"/>
      <c r="D4004" s="141" t="str">
        <f>IF(A4004="","",VLOOKUP(A4004,'6.A'!$A$11:$G$180,4,FALSE))</f>
        <v/>
      </c>
      <c r="E4004" s="160" t="str">
        <f>IF(A4004="","",VLOOKUP(A4004,'6.A'!$A$11:$G$180,5,FALSE))</f>
        <v/>
      </c>
      <c r="F4004" s="159" t="str">
        <f t="shared" si="1727"/>
        <v>0,00</v>
      </c>
      <c r="G4004" s="52"/>
      <c r="H4004" s="52" t="str">
        <f>IF(A4004="","",VLOOKUP(A4004,'6.A'!$A$11:$E$7984,5,FALSE))</f>
        <v/>
      </c>
      <c r="I4004" s="52" t="str">
        <f t="shared" si="1728"/>
        <v/>
      </c>
      <c r="J4004" s="52" t="str">
        <f>IF(H4004="","",VLOOKUP(A4004,'6.A'!$A$11:$E$564,4,FALSE))</f>
        <v/>
      </c>
      <c r="K4004" s="52" t="str">
        <f t="shared" si="1729"/>
        <v/>
      </c>
      <c r="L4004" s="52" t="str">
        <f>IF(H4004="","",IF(C4004="","",G3964*C4004))</f>
        <v/>
      </c>
      <c r="M4004" s="117" t="str">
        <f>IF(A4004="","",VLOOKUP(A4004,'6.A'!$A$11:$C$564,2,FALSE))</f>
        <v/>
      </c>
      <c r="N4004" s="57" t="str">
        <f t="shared" si="1730"/>
        <v/>
      </c>
      <c r="O4004" s="56"/>
      <c r="P4004" s="56"/>
      <c r="Q4004" s="48"/>
      <c r="R4004" s="48"/>
      <c r="S4004" s="65"/>
      <c r="T4004" s="2"/>
      <c r="U4004" s="2"/>
      <c r="V4004" s="2"/>
    </row>
    <row r="4005" spans="1:22" s="137" customFormat="1" ht="12.75" customHeight="1" x14ac:dyDescent="0.2">
      <c r="A4005" s="155"/>
      <c r="B4005" s="138" t="str">
        <f>IF(A4005="","",VLOOKUP(A4005,'6.A'!$A$11:$G$180,2,FALSE))</f>
        <v/>
      </c>
      <c r="C4005" s="156"/>
      <c r="D4005" s="141" t="str">
        <f>IF(A4005="","",VLOOKUP(A4005,'6.A'!$A$11:$G$180,4,FALSE))</f>
        <v/>
      </c>
      <c r="E4005" s="160" t="str">
        <f>IF(A4005="","",VLOOKUP(A4005,'6.A'!$A$11:$G$180,5,FALSE))</f>
        <v/>
      </c>
      <c r="F4005" s="159" t="str">
        <f t="shared" si="1727"/>
        <v>0,00</v>
      </c>
      <c r="G4005" s="52"/>
      <c r="H4005" s="52" t="str">
        <f>IF(A4005="","",VLOOKUP(A4005,'6.A'!$A$11:$E$7984,5,FALSE))</f>
        <v/>
      </c>
      <c r="I4005" s="52" t="str">
        <f t="shared" si="1728"/>
        <v/>
      </c>
      <c r="J4005" s="52" t="str">
        <f>IF(H4005="","",VLOOKUP(A4005,'6.A'!$A$11:$E$564,4,FALSE))</f>
        <v/>
      </c>
      <c r="K4005" s="52" t="str">
        <f t="shared" si="1729"/>
        <v/>
      </c>
      <c r="L4005" s="52" t="str">
        <f>IF(H4005="","",IF(C4005="","",G3964*C4005))</f>
        <v/>
      </c>
      <c r="M4005" s="117" t="str">
        <f>IF(A4005="","",VLOOKUP(A4005,'6.A'!$A$11:$C$564,2,FALSE))</f>
        <v/>
      </c>
      <c r="N4005" s="57" t="str">
        <f t="shared" si="1730"/>
        <v/>
      </c>
      <c r="O4005" s="56"/>
      <c r="P4005" s="56"/>
      <c r="Q4005" s="48"/>
      <c r="R4005" s="48"/>
      <c r="S4005" s="65"/>
      <c r="T4005" s="2"/>
      <c r="U4005" s="2"/>
      <c r="V4005" s="2"/>
    </row>
    <row r="4006" spans="1:22" s="137" customFormat="1" ht="12.75" customHeight="1" x14ac:dyDescent="0.2">
      <c r="A4006" s="155"/>
      <c r="B4006" s="138" t="str">
        <f>IF(A4006="","",VLOOKUP(A4006,'6.A'!$A$11:$G$180,2,FALSE))</f>
        <v/>
      </c>
      <c r="C4006" s="156"/>
      <c r="D4006" s="141" t="str">
        <f>IF(A4006="","",VLOOKUP(A4006,'6.A'!$A$11:$G$180,4,FALSE))</f>
        <v/>
      </c>
      <c r="E4006" s="160" t="str">
        <f>IF(A4006="","",VLOOKUP(A4006,'6.A'!$A$11:$G$180,5,FALSE))</f>
        <v/>
      </c>
      <c r="F4006" s="159" t="str">
        <f t="shared" si="1727"/>
        <v>0,00</v>
      </c>
      <c r="G4006" s="52"/>
      <c r="H4006" s="52" t="str">
        <f>IF(A4006="","",VLOOKUP(A4006,'6.A'!$A$11:$E$7984,5,FALSE))</f>
        <v/>
      </c>
      <c r="I4006" s="52" t="str">
        <f t="shared" si="1728"/>
        <v/>
      </c>
      <c r="J4006" s="52" t="str">
        <f>IF(H4006="","",VLOOKUP(A4006,'6.A'!$A$11:$E$564,4,FALSE))</f>
        <v/>
      </c>
      <c r="K4006" s="52" t="str">
        <f t="shared" si="1729"/>
        <v/>
      </c>
      <c r="L4006" s="52" t="str">
        <f>IF(H4006="","",IF(C4006="","",G3964*C4006))</f>
        <v/>
      </c>
      <c r="M4006" s="117" t="str">
        <f>IF(A4006="","",VLOOKUP(A4006,'6.A'!$A$11:$C$564,2,FALSE))</f>
        <v/>
      </c>
      <c r="N4006" s="57" t="str">
        <f t="shared" si="1730"/>
        <v/>
      </c>
      <c r="O4006" s="56"/>
      <c r="P4006" s="56"/>
      <c r="Q4006" s="48"/>
      <c r="R4006" s="48"/>
      <c r="S4006" s="65"/>
      <c r="T4006" s="2"/>
      <c r="U4006" s="2"/>
      <c r="V4006" s="2"/>
    </row>
    <row r="4007" spans="1:22" s="137" customFormat="1" ht="12.75" customHeight="1" x14ac:dyDescent="0.2">
      <c r="A4007" s="155"/>
      <c r="B4007" s="138" t="str">
        <f>IF(A4007="","",VLOOKUP(A4007,'6.A'!$A$11:$G$180,2,FALSE))</f>
        <v/>
      </c>
      <c r="C4007" s="156"/>
      <c r="D4007" s="141" t="str">
        <f>IF(A4007="","",VLOOKUP(A4007,'6.A'!$A$11:$G$180,4,FALSE))</f>
        <v/>
      </c>
      <c r="E4007" s="160" t="str">
        <f>IF(A4007="","",VLOOKUP(A4007,'6.A'!$A$11:$G$180,5,FALSE))</f>
        <v/>
      </c>
      <c r="F4007" s="159" t="str">
        <f t="shared" si="1727"/>
        <v>0,00</v>
      </c>
      <c r="G4007" s="52"/>
      <c r="H4007" s="52" t="str">
        <f>IF(A4007="","",VLOOKUP(A4007,'6.A'!$A$11:$E$7984,5,FALSE))</f>
        <v/>
      </c>
      <c r="I4007" s="52" t="str">
        <f t="shared" si="1728"/>
        <v/>
      </c>
      <c r="J4007" s="52" t="str">
        <f>IF(H4007="","",VLOOKUP(A4007,'6.A'!$A$11:$E$564,4,FALSE))</f>
        <v/>
      </c>
      <c r="K4007" s="52" t="str">
        <f t="shared" si="1729"/>
        <v/>
      </c>
      <c r="L4007" s="52" t="str">
        <f>IF(H4007="","",IF(C4007="","",G3964*C4007))</f>
        <v/>
      </c>
      <c r="M4007" s="117" t="str">
        <f>IF(A4007="","",VLOOKUP(A4007,'6.A'!$A$11:$C$564,2,FALSE))</f>
        <v/>
      </c>
      <c r="N4007" s="57" t="str">
        <f t="shared" si="1730"/>
        <v/>
      </c>
      <c r="O4007" s="56"/>
      <c r="P4007" s="56"/>
      <c r="Q4007" s="48"/>
      <c r="R4007" s="48"/>
      <c r="S4007" s="65"/>
      <c r="T4007" s="2"/>
      <c r="U4007" s="2"/>
      <c r="V4007" s="2"/>
    </row>
    <row r="4008" spans="1:22" s="137" customFormat="1" ht="12.75" customHeight="1" x14ac:dyDescent="0.2">
      <c r="A4008" s="155"/>
      <c r="B4008" s="138" t="str">
        <f>IF(A4008="","",VLOOKUP(A4008,'6.A'!$A$11:$G$180,2,FALSE))</f>
        <v/>
      </c>
      <c r="C4008" s="156"/>
      <c r="D4008" s="141" t="str">
        <f>IF(A4008="","",VLOOKUP(A4008,'6.A'!$A$11:$G$180,4,FALSE))</f>
        <v/>
      </c>
      <c r="E4008" s="160" t="str">
        <f>IF(A4008="","",VLOOKUP(A4008,'6.A'!$A$11:$G$180,5,FALSE))</f>
        <v/>
      </c>
      <c r="F4008" s="159" t="str">
        <f t="shared" si="1727"/>
        <v>0,00</v>
      </c>
      <c r="G4008" s="52"/>
      <c r="H4008" s="52" t="str">
        <f>IF(A4008="","",VLOOKUP(A4008,'6.A'!$A$11:$E$7984,5,FALSE))</f>
        <v/>
      </c>
      <c r="I4008" s="52" t="str">
        <f t="shared" si="1728"/>
        <v/>
      </c>
      <c r="J4008" s="52" t="str">
        <f>IF(H4008="","",VLOOKUP(A4008,'6.A'!$A$11:$E$564,4,FALSE))</f>
        <v/>
      </c>
      <c r="K4008" s="52" t="str">
        <f t="shared" si="1729"/>
        <v/>
      </c>
      <c r="L4008" s="52" t="str">
        <f>IF(H4008="","",IF(C4008="","",G3964*C4008))</f>
        <v/>
      </c>
      <c r="M4008" s="117" t="str">
        <f>IF(A4008="","",VLOOKUP(A4008,'6.A'!$A$11:$C$564,2,FALSE))</f>
        <v/>
      </c>
      <c r="N4008" s="57" t="str">
        <f t="shared" si="1730"/>
        <v/>
      </c>
      <c r="O4008" s="56"/>
      <c r="P4008" s="56"/>
      <c r="Q4008" s="48"/>
      <c r="R4008" s="48"/>
      <c r="S4008" s="65"/>
      <c r="T4008" s="2"/>
      <c r="U4008" s="2"/>
      <c r="V4008" s="2"/>
    </row>
    <row r="4009" spans="1:22" s="137" customFormat="1" ht="12.75" customHeight="1" x14ac:dyDescent="0.2">
      <c r="A4009" s="155"/>
      <c r="B4009" s="171" t="str">
        <f>IF(A4009="","",VLOOKUP(A4009,'6.A'!$A$11:$G$180,2,FALSE))</f>
        <v/>
      </c>
      <c r="C4009" s="156"/>
      <c r="D4009" s="141" t="str">
        <f>IF(A4009="","",VLOOKUP(A4009,'6.A'!$A$11:$G$180,4,FALSE))</f>
        <v/>
      </c>
      <c r="E4009" s="160" t="str">
        <f>IF(A4009="","",VLOOKUP(A4009,'6.A'!$A$11:$G$180,5,FALSE))</f>
        <v/>
      </c>
      <c r="F4009" s="159" t="str">
        <f t="shared" si="1727"/>
        <v>0,00</v>
      </c>
      <c r="G4009" s="52"/>
      <c r="H4009" s="52" t="str">
        <f>IF(A4009="","",VLOOKUP(A4009,'6.A'!$A$11:$E$7984,5,FALSE))</f>
        <v/>
      </c>
      <c r="I4009" s="52" t="str">
        <f t="shared" si="1728"/>
        <v/>
      </c>
      <c r="J4009" s="52" t="str">
        <f>IF(H4009="","",VLOOKUP(A4009,'6.A'!$A$11:$E$564,4,FALSE))</f>
        <v/>
      </c>
      <c r="K4009" s="52" t="str">
        <f t="shared" si="1729"/>
        <v/>
      </c>
      <c r="L4009" s="52" t="str">
        <f>IF(H4009="","",IF(C4009="","",G3964*C4009))</f>
        <v/>
      </c>
      <c r="M4009" s="117" t="str">
        <f>IF(A4009="","",VLOOKUP(A4009,'6.A'!$A$11:$C$564,2,FALSE))</f>
        <v/>
      </c>
      <c r="N4009" s="57" t="str">
        <f t="shared" si="1730"/>
        <v/>
      </c>
      <c r="O4009" s="56"/>
      <c r="P4009" s="56"/>
      <c r="Q4009" s="48"/>
      <c r="R4009" s="48"/>
      <c r="S4009" s="65"/>
      <c r="T4009" s="2"/>
      <c r="U4009" s="2"/>
      <c r="V4009" s="2"/>
    </row>
    <row r="4010" spans="1:22" s="137" customFormat="1" ht="12.75" customHeight="1" x14ac:dyDescent="0.2">
      <c r="A4010" s="155"/>
      <c r="B4010" s="171" t="str">
        <f>IF(A4010="","",VLOOKUP(A4010,'6.A'!$A$11:$G$180,2,FALSE))</f>
        <v/>
      </c>
      <c r="C4010" s="156"/>
      <c r="D4010" s="141" t="str">
        <f>IF(A4010="","",VLOOKUP(A4010,'6.A'!$A$11:$G$180,4,FALSE))</f>
        <v/>
      </c>
      <c r="E4010" s="160" t="str">
        <f>IF(A4010="","",VLOOKUP(A4010,'6.A'!$A$11:$G$180,5,FALSE))</f>
        <v/>
      </c>
      <c r="F4010" s="159" t="str">
        <f t="shared" si="1727"/>
        <v>0,00</v>
      </c>
      <c r="G4010" s="52"/>
      <c r="H4010" s="52" t="str">
        <f>IF(A4010="","",VLOOKUP(A4010,'6.A'!$A$11:$E$7984,5,FALSE))</f>
        <v/>
      </c>
      <c r="I4010" s="52" t="str">
        <f t="shared" si="1728"/>
        <v/>
      </c>
      <c r="J4010" s="52" t="str">
        <f>IF(H4010="","",VLOOKUP(A4010,'6.A'!$A$11:$E$564,4,FALSE))</f>
        <v/>
      </c>
      <c r="K4010" s="52" t="str">
        <f t="shared" si="1729"/>
        <v/>
      </c>
      <c r="L4010" s="52" t="str">
        <f>IF(H4010="","",IF(C4010="","",G3964*C4010))</f>
        <v/>
      </c>
      <c r="M4010" s="117" t="str">
        <f>IF(A4010="","",VLOOKUP(A4010,'6.A'!$A$11:$C$564,2,FALSE))</f>
        <v/>
      </c>
      <c r="N4010" s="57" t="str">
        <f t="shared" si="1730"/>
        <v/>
      </c>
      <c r="O4010" s="56"/>
      <c r="P4010" s="56"/>
      <c r="Q4010" s="48"/>
      <c r="R4010" s="48"/>
      <c r="S4010" s="65"/>
      <c r="T4010" s="2"/>
      <c r="U4010" s="2"/>
      <c r="V4010" s="2"/>
    </row>
    <row r="4011" spans="1:22" s="137" customFormat="1" ht="12.75" customHeight="1" x14ac:dyDescent="0.2">
      <c r="A4011" s="155"/>
      <c r="B4011" s="171" t="str">
        <f>IF(A4011="","",VLOOKUP(A4011,'6.A'!$A$11:$G$180,2,FALSE))</f>
        <v/>
      </c>
      <c r="C4011" s="156"/>
      <c r="D4011" s="141" t="str">
        <f>IF(A4011="","",VLOOKUP(A4011,'6.A'!$A$11:$G$180,4,FALSE))</f>
        <v/>
      </c>
      <c r="E4011" s="160" t="str">
        <f>IF(A4011="","",VLOOKUP(A4011,'6.A'!$A$11:$G$180,5,FALSE))</f>
        <v/>
      </c>
      <c r="F4011" s="159" t="str">
        <f t="shared" si="1727"/>
        <v>0,00</v>
      </c>
      <c r="G4011" s="52"/>
      <c r="H4011" s="52" t="str">
        <f>IF(A4011="","",VLOOKUP(A4011,'6.A'!$A$11:$E$7984,5,FALSE))</f>
        <v/>
      </c>
      <c r="I4011" s="52" t="str">
        <f t="shared" si="1728"/>
        <v/>
      </c>
      <c r="J4011" s="52" t="str">
        <f>IF(H4011="","",VLOOKUP(A4011,'6.A'!$A$11:$E$564,4,FALSE))</f>
        <v/>
      </c>
      <c r="K4011" s="52" t="str">
        <f t="shared" si="1729"/>
        <v/>
      </c>
      <c r="L4011" s="52" t="str">
        <f>IF(H4011="","",IF(C4011="","",G3964*C4011))</f>
        <v/>
      </c>
      <c r="M4011" s="117" t="str">
        <f>IF(A4011="","",VLOOKUP(A4011,'6.A'!$A$11:$C$564,2,FALSE))</f>
        <v/>
      </c>
      <c r="N4011" s="57" t="str">
        <f t="shared" si="1730"/>
        <v/>
      </c>
      <c r="O4011" s="56"/>
      <c r="P4011" s="56"/>
      <c r="Q4011" s="48"/>
      <c r="R4011" s="48"/>
      <c r="S4011" s="65"/>
      <c r="T4011" s="2"/>
      <c r="U4011" s="2"/>
      <c r="V4011" s="2"/>
    </row>
    <row r="4012" spans="1:22" s="137" customFormat="1" ht="12.75" customHeight="1" x14ac:dyDescent="0.2">
      <c r="A4012" s="155"/>
      <c r="B4012" s="171" t="str">
        <f>IF(A4012="","",VLOOKUP(A4012,'6.A'!$A$11:$G$180,2,FALSE))</f>
        <v/>
      </c>
      <c r="C4012" s="156"/>
      <c r="D4012" s="141" t="str">
        <f>IF(A4012="","",VLOOKUP(A4012,'6.A'!$A$11:$G$180,4,FALSE))</f>
        <v/>
      </c>
      <c r="E4012" s="160" t="str">
        <f>IF(A4012="","",VLOOKUP(A4012,'6.A'!$A$11:$G$180,5,FALSE))</f>
        <v/>
      </c>
      <c r="F4012" s="159" t="str">
        <f t="shared" si="1727"/>
        <v>0,00</v>
      </c>
      <c r="G4012" s="52"/>
      <c r="H4012" s="52" t="str">
        <f>IF(A4012="","",VLOOKUP(A4012,'6.A'!$A$11:$E$7984,5,FALSE))</f>
        <v/>
      </c>
      <c r="I4012" s="52" t="str">
        <f t="shared" si="1728"/>
        <v/>
      </c>
      <c r="J4012" s="52" t="str">
        <f>IF(H4012="","",VLOOKUP(A4012,'6.A'!$A$11:$E$564,4,FALSE))</f>
        <v/>
      </c>
      <c r="K4012" s="52" t="str">
        <f t="shared" si="1729"/>
        <v/>
      </c>
      <c r="L4012" s="52" t="str">
        <f>IF(H4012="","",IF(C4012="","",G3964*C4012))</f>
        <v/>
      </c>
      <c r="M4012" s="117" t="str">
        <f>IF(A4012="","",VLOOKUP(A4012,'6.A'!$A$11:$C$564,2,FALSE))</f>
        <v/>
      </c>
      <c r="N4012" s="57" t="str">
        <f t="shared" si="1730"/>
        <v/>
      </c>
      <c r="O4012" s="56"/>
      <c r="P4012" s="56"/>
      <c r="Q4012" s="48"/>
      <c r="R4012" s="48"/>
      <c r="S4012" s="65"/>
      <c r="T4012" s="2"/>
      <c r="U4012" s="2"/>
      <c r="V4012" s="2"/>
    </row>
    <row r="4013" spans="1:22" s="137" customFormat="1" ht="12.75" customHeight="1" x14ac:dyDescent="0.2">
      <c r="A4013" s="155"/>
      <c r="B4013" s="26" t="str">
        <f>$A$9</f>
        <v>BDI</v>
      </c>
      <c r="C4013" s="40">
        <f>$C$9</f>
        <v>0</v>
      </c>
      <c r="D4013" s="141"/>
      <c r="E4013" s="147"/>
      <c r="F4013" s="162">
        <f>ROUND(SUM(F3993:F4012)*C4013,2)</f>
        <v>0</v>
      </c>
      <c r="G4013" s="63"/>
      <c r="H4013" s="52"/>
      <c r="I4013" s="57"/>
      <c r="J4013" s="57"/>
      <c r="K4013" s="57"/>
      <c r="L4013" s="52"/>
      <c r="M4013" s="57"/>
      <c r="N4013" s="57"/>
      <c r="O4013" s="56"/>
      <c r="P4013" s="56"/>
      <c r="Q4013" s="48"/>
      <c r="R4013" s="48"/>
      <c r="S4013" s="65"/>
      <c r="T4013" s="2"/>
      <c r="U4013" s="2"/>
      <c r="V4013" s="2"/>
    </row>
    <row r="4014" spans="1:22" s="137" customFormat="1" ht="12.75" customHeight="1" thickBot="1" x14ac:dyDescent="0.25">
      <c r="A4014" s="172"/>
      <c r="B4014" s="42" t="s">
        <v>57</v>
      </c>
      <c r="C4014" s="43"/>
      <c r="D4014" s="173"/>
      <c r="E4014" s="174"/>
      <c r="F4014" s="175">
        <f>ROUND(SUM(F3993:F4013),2)</f>
        <v>0</v>
      </c>
      <c r="G4014" s="63"/>
      <c r="H4014" s="52"/>
      <c r="I4014" s="57"/>
      <c r="J4014" s="57"/>
      <c r="K4014" s="57"/>
      <c r="L4014" s="52"/>
      <c r="M4014" s="57"/>
      <c r="N4014" s="57"/>
      <c r="O4014" s="56"/>
      <c r="P4014" s="56"/>
      <c r="Q4014" s="48"/>
      <c r="R4014" s="48"/>
      <c r="S4014" s="65"/>
      <c r="T4014" s="2"/>
      <c r="U4014" s="2"/>
      <c r="V4014" s="2"/>
    </row>
    <row r="4015" spans="1:22" s="137" customFormat="1" ht="12" customHeight="1" thickBot="1" x14ac:dyDescent="0.25">
      <c r="A4015" s="150"/>
      <c r="B4015" s="145"/>
      <c r="C4015" s="146"/>
      <c r="D4015" s="141"/>
      <c r="E4015" s="147"/>
      <c r="F4015" s="142"/>
      <c r="G4015" s="142"/>
      <c r="H4015" s="139"/>
      <c r="I4015" s="141"/>
      <c r="J4015" s="141"/>
      <c r="K4015" s="141"/>
      <c r="L4015" s="139"/>
      <c r="M4015" s="143"/>
      <c r="N4015" s="143"/>
      <c r="O4015" s="144"/>
      <c r="P4015" s="144"/>
      <c r="Q4015" s="135"/>
      <c r="R4015" s="135"/>
      <c r="S4015" s="149"/>
    </row>
    <row r="4016" spans="1:22" s="137" customFormat="1" ht="50.1" customHeight="1" x14ac:dyDescent="0.2">
      <c r="A4016" s="151" t="str">
        <f>'3.A'!$A$84</f>
        <v>3.5.7</v>
      </c>
      <c r="B4016" s="14" t="str">
        <f>IF(A4016="","",VLOOKUP(A4016,'3.A'!$A$17:$M$279,2,FALSE))</f>
        <v>PINTURA COM TINTA ACRÍLICA DE ACABAMENTO APLICADA A ROLO OU PINCEL SOBRE SUPERFÍCIES METÁLICAS EXECUTADO EM OBRA (02 DEMÃOS)</v>
      </c>
      <c r="C4016" s="413" t="s">
        <v>62</v>
      </c>
      <c r="D4016" s="413"/>
      <c r="E4016" s="15" t="str">
        <f>IF(A4016="","",VLOOKUP(A4016,'3.A'!$A$17:$M$279,3,FALSE))</f>
        <v>M2</v>
      </c>
      <c r="F4016" s="16">
        <f>ROUND(F4030+F4043+F4066,2)</f>
        <v>0</v>
      </c>
      <c r="G4016" s="118">
        <f>VLOOKUP(A4016,'3.A'!$A$19:$I$279,4,FALSE)</f>
        <v>5</v>
      </c>
      <c r="H4016" s="47">
        <f>SUM(F4018:F4029)</f>
        <v>0</v>
      </c>
      <c r="I4016" s="47">
        <f>SUM(F4032:F4042)</f>
        <v>0</v>
      </c>
      <c r="J4016" s="47">
        <f>SUM(F4045:F4065)</f>
        <v>0</v>
      </c>
      <c r="K4016" s="47">
        <f>SUM(H4016:J4016)</f>
        <v>0</v>
      </c>
      <c r="L4016" s="47" t="str">
        <f>IF(K4016=F4016,"SIM","NÃO")</f>
        <v>SIM</v>
      </c>
      <c r="M4016" s="58">
        <f>ROUND(SUM(F4018:F4027)*C4028,2)+ROUND(SUM(F4018:F4028)*C4029,2)+ROUND(SUM(F4018:F4027),2)+ROUND(SUM(F4032:F4041)*C4042,2)+ROUND(SUM(F4032:F4041),2)+ROUND(SUM(F4045:F4064)*C4065,2)+ROUND(SUM(F4045:F4064),2)</f>
        <v>0</v>
      </c>
      <c r="N4016" s="50" t="str">
        <f>IF(M4016=F4016,"SIM","NÃO")</f>
        <v>SIM</v>
      </c>
      <c r="O4016" s="51" t="str">
        <f>VLOOKUP(A4016,'3.A'!$A$8:$E$279,3,FALSE)</f>
        <v>M2</v>
      </c>
      <c r="P4016" s="51" t="str">
        <f>IF(O4016=E4016,"SIM","NÃO")</f>
        <v>SIM</v>
      </c>
      <c r="Q4016" s="53">
        <f>ROUND(G4016*F4030,2)+ROUND(G4016*F4043,2)+ROUND(G4016*F4066,2)</f>
        <v>0</v>
      </c>
      <c r="R4016" s="59">
        <f>VLOOKUP(A4016,'3.A'!$A$17:$L$279,12,FALSE)</f>
        <v>0</v>
      </c>
      <c r="S4016" s="60" t="str">
        <f>IF(Q4016=R4016,"si","no")</f>
        <v>si</v>
      </c>
      <c r="T4016" s="61">
        <f>SUM(L4018:L4027)+SUM(L4032:L4041)+SUM(L4045:L4064)</f>
        <v>9.75</v>
      </c>
      <c r="U4016" s="52">
        <f>G4016*C4024+G4016*C4026+G4016*C4019+G4016*C4020+G4016*C4022+G4016*C4025+G4016*C4023+G4016*C4018+G4016*C4021+G4016*C4027+G4016*C4038+G4016*C4032+G4016*C4040+G4016*C4039+G4016*C4037+G4016*C4034+G4016*C4033+G4016*C4035+G4016*C4041+G4016*C4036+G4016*C4045+G4016*C4046+G4016*C4047+G4016*C4055+G4016*C4056+G4016*C4057+G4016*C4058+G4016*C4059+G4016*C4060+G4016*C4061+G4016*C4062+G4016*C4063+G4016*C4064+G4016*C4053+G4016*C4054+G4016*C4048+G4016*C4049+G4016*C4050+G4016*C4051+G4016*C4052</f>
        <v>9.75</v>
      </c>
      <c r="V4016" s="54" t="str">
        <f>IF(T4016=U4016,"si","no")</f>
        <v>si</v>
      </c>
    </row>
    <row r="4017" spans="1:22" s="137" customFormat="1" ht="12.75" customHeight="1" x14ac:dyDescent="0.2">
      <c r="A4017" s="152" t="s">
        <v>3</v>
      </c>
      <c r="B4017" s="153" t="s">
        <v>58</v>
      </c>
      <c r="C4017" s="140" t="s">
        <v>59</v>
      </c>
      <c r="D4017" s="140" t="s">
        <v>16</v>
      </c>
      <c r="E4017" s="154" t="s">
        <v>60</v>
      </c>
      <c r="F4017" s="148" t="s">
        <v>61</v>
      </c>
      <c r="G4017" s="21"/>
      <c r="H4017" s="52"/>
      <c r="I4017" s="57"/>
      <c r="J4017" s="57"/>
      <c r="K4017" s="57"/>
      <c r="L4017" s="52"/>
      <c r="M4017" s="57"/>
      <c r="N4017" s="57"/>
      <c r="O4017" s="56"/>
      <c r="P4017" s="56"/>
      <c r="Q4017" s="48"/>
      <c r="R4017" s="48"/>
      <c r="S4017" s="65"/>
      <c r="T4017" s="2"/>
      <c r="U4017" s="2"/>
      <c r="V4017" s="2"/>
    </row>
    <row r="4018" spans="1:22" s="137" customFormat="1" ht="12.75" customHeight="1" x14ac:dyDescent="0.2">
      <c r="A4018" s="155">
        <f>'6.A'!$A$21</f>
        <v>88310</v>
      </c>
      <c r="B4018" s="138" t="str">
        <f>IF(A4018="","",VLOOKUP(A4018,'6.A'!$A$11:$G$180,2,FALSE))</f>
        <v>PINTOR COM ENCARGOS COMPLEMENTARES</v>
      </c>
      <c r="C4018" s="156">
        <v>0.6</v>
      </c>
      <c r="D4018" s="157" t="str">
        <f>IF(A4018="","",VLOOKUP(A4018,'6.A'!$A$11:$G$180,4,FALSE))</f>
        <v>H</v>
      </c>
      <c r="E4018" s="158">
        <f>IF(A4018="","",VLOOKUP(A4018,'6.A'!$A$11:$G$180,5,FALSE))</f>
        <v>0</v>
      </c>
      <c r="F4018" s="159">
        <f t="shared" ref="F4018:F4027" si="1731">IF(A4018="","0,00",ROUND(C4018*E4018,2))</f>
        <v>0</v>
      </c>
      <c r="G4018" s="52"/>
      <c r="H4018" s="52">
        <f>IF(A4018="","",VLOOKUP(A4018,'6.A'!$A$11:$E$7984,5,FALSE))</f>
        <v>0</v>
      </c>
      <c r="I4018" s="52" t="str">
        <f>IF(H4018="","",IF(E4018=H4018,"SIM","NÃO"))</f>
        <v>SIM</v>
      </c>
      <c r="J4018" s="52" t="str">
        <f>IF(H4018="","",VLOOKUP(A4018,'6.A'!$A$11:$E$564,4,FALSE))</f>
        <v>H</v>
      </c>
      <c r="K4018" s="52" t="str">
        <f>IF(H4018="","",IF(J4018=D4018,"SIM","NÃO"))</f>
        <v>SIM</v>
      </c>
      <c r="L4018" s="52">
        <f>IF(H4018="","",IF(C4018="","",G4016*C4018))</f>
        <v>3</v>
      </c>
      <c r="M4018" s="117" t="str">
        <f>IF(A4018="","",VLOOKUP(A4018,'6.A'!$A$11:$C$564,2,FALSE))</f>
        <v>PINTOR COM ENCARGOS COMPLEMENTARES</v>
      </c>
      <c r="N4018" s="57" t="str">
        <f>IF(A4018="","",IF(M4018=B4018,"si","no"))</f>
        <v>si</v>
      </c>
      <c r="O4018" s="56"/>
      <c r="P4018" s="56"/>
      <c r="Q4018" s="48"/>
      <c r="R4018" s="48"/>
      <c r="S4018" s="65"/>
      <c r="T4018" s="2"/>
      <c r="U4018" s="2"/>
      <c r="V4018" s="2"/>
    </row>
    <row r="4019" spans="1:22" s="137" customFormat="1" ht="12.75" customHeight="1" x14ac:dyDescent="0.2">
      <c r="A4019" s="155">
        <f>'6.A'!$A$25</f>
        <v>100301</v>
      </c>
      <c r="B4019" s="138" t="str">
        <f>IF(A4019="","",VLOOKUP(A4019,'6.A'!$A$11:$G$180,2,FALSE))</f>
        <v>AJUDANTE DE PINTOR COM ENCARGOS COMPLEMENTARES</v>
      </c>
      <c r="C4019" s="156">
        <v>0.6</v>
      </c>
      <c r="D4019" s="157" t="str">
        <f>IF(A4019="","",VLOOKUP(A4019,'6.A'!$A$11:$G$180,4,FALSE))</f>
        <v>H</v>
      </c>
      <c r="E4019" s="158">
        <f>IF(A4019="","",VLOOKUP(A4019,'6.A'!$A$11:$G$180,5,FALSE))</f>
        <v>0</v>
      </c>
      <c r="F4019" s="159">
        <f t="shared" ref="F4019:F4023" si="1732">IF(A4019="","0,00",ROUND(C4019*E4019,2))</f>
        <v>0</v>
      </c>
      <c r="G4019" s="52"/>
      <c r="H4019" s="52">
        <f>IF(A4019="","",VLOOKUP(A4019,'6.A'!$A$11:$E$7984,5,FALSE))</f>
        <v>0</v>
      </c>
      <c r="I4019" s="52" t="str">
        <f>IF(H4019="","",IF(E4019=H4019,"SIM","NÃO"))</f>
        <v>SIM</v>
      </c>
      <c r="J4019" s="52" t="str">
        <f>IF(H4019="","",VLOOKUP(A4019,'6.A'!$A$11:$E$564,4,FALSE))</f>
        <v>H</v>
      </c>
      <c r="K4019" s="52" t="str">
        <f>IF(H4019="","",IF(J4019=D4019,"SIM","NÃO"))</f>
        <v>SIM</v>
      </c>
      <c r="L4019" s="52">
        <f>IF(H4019="","",IF(C4019="","",G4016*C4019))</f>
        <v>3</v>
      </c>
      <c r="M4019" s="117" t="str">
        <f>IF(A4019="","",VLOOKUP(A4019,'6.A'!$A$11:$C$564,2,FALSE))</f>
        <v>AJUDANTE DE PINTOR COM ENCARGOS COMPLEMENTARES</v>
      </c>
      <c r="N4019" s="57" t="str">
        <f>IF(A4019="","",IF(M4019=B4019,"si","no"))</f>
        <v>si</v>
      </c>
      <c r="O4019" s="56"/>
      <c r="P4019" s="56"/>
      <c r="Q4019" s="48"/>
      <c r="R4019" s="48"/>
      <c r="S4019" s="65"/>
      <c r="T4019" s="2"/>
      <c r="U4019" s="2"/>
      <c r="V4019" s="2"/>
    </row>
    <row r="4020" spans="1:22" s="149" customFormat="1" ht="12.75" customHeight="1" x14ac:dyDescent="0.2">
      <c r="A4020" s="155"/>
      <c r="B4020" s="138" t="str">
        <f>IF(A4020="","",VLOOKUP(A4020,'6.A'!$A$11:$G$180,2,FALSE))</f>
        <v/>
      </c>
      <c r="C4020" s="156"/>
      <c r="D4020" s="157" t="str">
        <f>IF(A4020="","",VLOOKUP(A4020,'6.A'!$A$11:$G$180,4,FALSE))</f>
        <v/>
      </c>
      <c r="E4020" s="158" t="str">
        <f>IF(A4020="","",VLOOKUP(A4020,'6.A'!$A$11:$G$180,5,FALSE))</f>
        <v/>
      </c>
      <c r="F4020" s="159" t="str">
        <f t="shared" si="1732"/>
        <v>0,00</v>
      </c>
      <c r="G4020" s="52"/>
      <c r="H4020" s="52" t="str">
        <f>IF(A4020="","",VLOOKUP(A4020,'6.A'!$A$11:$E$7984,5,FALSE))</f>
        <v/>
      </c>
      <c r="I4020" s="52" t="str">
        <f>IF(H4020="","",IF(E4020=H4020,"SIM","NÃO"))</f>
        <v/>
      </c>
      <c r="J4020" s="52" t="str">
        <f>IF(H4020="","",VLOOKUP(A4020,'6.A'!$A$11:$E$564,4,FALSE))</f>
        <v/>
      </c>
      <c r="K4020" s="52" t="str">
        <f t="shared" ref="K4020" si="1733">IF(H4020="","",IF(J4020=D4020,"SIM","NÃO"))</f>
        <v/>
      </c>
      <c r="L4020" s="52" t="str">
        <f>IF(H4020="","",IF(C4020="","",G4016*C4020))</f>
        <v/>
      </c>
      <c r="M4020" s="117" t="str">
        <f>IF(A4020="","",VLOOKUP(A4020,'6.A'!$A$11:$C$564,2,FALSE))</f>
        <v/>
      </c>
      <c r="N4020" s="57" t="str">
        <f t="shared" ref="N4020" si="1734">IF(A4020="","",IF(M4020=B4020,"si","no"))</f>
        <v/>
      </c>
      <c r="O4020" s="56"/>
      <c r="P4020" s="56"/>
      <c r="Q4020" s="48"/>
      <c r="R4020" s="48"/>
      <c r="S4020" s="65"/>
      <c r="T4020" s="2"/>
      <c r="U4020" s="2"/>
      <c r="V4020" s="2"/>
    </row>
    <row r="4021" spans="1:22" s="149" customFormat="1" ht="12.75" customHeight="1" x14ac:dyDescent="0.2">
      <c r="A4021" s="155"/>
      <c r="B4021" s="138" t="str">
        <f>IF(A4021="","",VLOOKUP(A4021,'6.A'!$A$11:$G$180,2,FALSE))</f>
        <v/>
      </c>
      <c r="C4021" s="156"/>
      <c r="D4021" s="157" t="str">
        <f>IF(A4021="","",VLOOKUP(A4021,'6.A'!$A$11:$G$180,4,FALSE))</f>
        <v/>
      </c>
      <c r="E4021" s="158" t="str">
        <f>IF(A4021="","",VLOOKUP(A4021,'6.A'!$A$11:$G$180,5,FALSE))</f>
        <v/>
      </c>
      <c r="F4021" s="159" t="str">
        <f t="shared" si="1732"/>
        <v>0,00</v>
      </c>
      <c r="G4021" s="52"/>
      <c r="H4021" s="52" t="str">
        <f>IF(A4021="","",VLOOKUP(A4021,'6.A'!$A$11:$E$7984,5,FALSE))</f>
        <v/>
      </c>
      <c r="I4021" s="52" t="str">
        <f>IF(H4021="","",IF(E4021=H4021,"SIM","NÃO"))</f>
        <v/>
      </c>
      <c r="J4021" s="52" t="str">
        <f>IF(H4021="","",VLOOKUP(A4021,'6.A'!$A$11:$E$564,4,FALSE))</f>
        <v/>
      </c>
      <c r="K4021" s="52" t="str">
        <f>IF(H4021="","",IF(J4021=D4021,"SIM","NÃO"))</f>
        <v/>
      </c>
      <c r="L4021" s="52" t="str">
        <f>IF(H4021="","",IF(C4021="","",G4016*C4021))</f>
        <v/>
      </c>
      <c r="M4021" s="117" t="str">
        <f>IF(A4021="","",VLOOKUP(A4021,'6.A'!$A$11:$C$564,2,FALSE))</f>
        <v/>
      </c>
      <c r="N4021" s="57" t="str">
        <f>IF(A4021="","",IF(M4021=B4021,"si","no"))</f>
        <v/>
      </c>
      <c r="O4021" s="56"/>
      <c r="P4021" s="56"/>
      <c r="Q4021" s="48"/>
      <c r="R4021" s="48"/>
      <c r="S4021" s="65"/>
      <c r="T4021" s="2"/>
      <c r="U4021" s="2"/>
      <c r="V4021" s="2"/>
    </row>
    <row r="4022" spans="1:22" s="149" customFormat="1" ht="12.75" customHeight="1" x14ac:dyDescent="0.2">
      <c r="A4022" s="155"/>
      <c r="B4022" s="138" t="str">
        <f>IF(A4022="","",VLOOKUP(A4022,'6.A'!$A$11:$G$180,2,FALSE))</f>
        <v/>
      </c>
      <c r="C4022" s="156"/>
      <c r="D4022" s="157" t="str">
        <f>IF(A4022="","",VLOOKUP(A4022,'6.A'!$A$11:$G$180,4,FALSE))</f>
        <v/>
      </c>
      <c r="E4022" s="158" t="str">
        <f>IF(A4022="","",VLOOKUP(A4022,'6.A'!$A$11:$G$180,5,FALSE))</f>
        <v/>
      </c>
      <c r="F4022" s="159" t="str">
        <f t="shared" si="1732"/>
        <v>0,00</v>
      </c>
      <c r="G4022" s="52"/>
      <c r="H4022" s="52" t="str">
        <f>IF(A4022="","",VLOOKUP(A4022,'6.A'!$A$11:$E$7984,5,FALSE))</f>
        <v/>
      </c>
      <c r="I4022" s="52" t="str">
        <f t="shared" ref="I4022" si="1735">IF(H4022="","",IF(E4022=H4022,"SIM","NÃO"))</f>
        <v/>
      </c>
      <c r="J4022" s="52" t="str">
        <f>IF(H4022="","",VLOOKUP(A4022,'6.A'!$A$11:$E$564,4,FALSE))</f>
        <v/>
      </c>
      <c r="K4022" s="52" t="str">
        <f t="shared" ref="K4022" si="1736">IF(H4022="","",IF(J4022=D4022,"SIM","NÃO"))</f>
        <v/>
      </c>
      <c r="L4022" s="52" t="str">
        <f>IF(H4022="","",IF(C4022="","",G4016*C4022))</f>
        <v/>
      </c>
      <c r="M4022" s="117" t="str">
        <f>IF(A4022="","",VLOOKUP(A4022,'6.A'!$A$11:$C$564,2,FALSE))</f>
        <v/>
      </c>
      <c r="N4022" s="57" t="str">
        <f t="shared" ref="N4022" si="1737">IF(A4022="","",IF(M4022=B4022,"si","no"))</f>
        <v/>
      </c>
      <c r="O4022" s="56"/>
      <c r="P4022" s="56"/>
      <c r="Q4022" s="48"/>
      <c r="R4022" s="48"/>
      <c r="S4022" s="65"/>
      <c r="T4022" s="2"/>
      <c r="U4022" s="2"/>
      <c r="V4022" s="2"/>
    </row>
    <row r="4023" spans="1:22" s="149" customFormat="1" ht="12.75" customHeight="1" x14ac:dyDescent="0.2">
      <c r="A4023" s="155"/>
      <c r="B4023" s="138" t="str">
        <f>IF(A4023="","",VLOOKUP(A4023,'6.A'!$A$11:$G$180,2,FALSE))</f>
        <v/>
      </c>
      <c r="C4023" s="156"/>
      <c r="D4023" s="157" t="str">
        <f>IF(A4023="","",VLOOKUP(A4023,'6.A'!$A$11:$G$180,4,FALSE))</f>
        <v/>
      </c>
      <c r="E4023" s="158" t="str">
        <f>IF(A4023="","",VLOOKUP(A4023,'6.A'!$A$11:$G$180,5,FALSE))</f>
        <v/>
      </c>
      <c r="F4023" s="159" t="str">
        <f t="shared" si="1732"/>
        <v>0,00</v>
      </c>
      <c r="G4023" s="52"/>
      <c r="H4023" s="52" t="str">
        <f>IF(A4023="","",VLOOKUP(A4023,'6.A'!$A$11:$E$7984,5,FALSE))</f>
        <v/>
      </c>
      <c r="I4023" s="52" t="str">
        <f>IF(H4023="","",IF(E4023=H4023,"SIM","NÃO"))</f>
        <v/>
      </c>
      <c r="J4023" s="52" t="str">
        <f>IF(H4023="","",VLOOKUP(A4023,'6.A'!$A$11:$E$564,4,FALSE))</f>
        <v/>
      </c>
      <c r="K4023" s="52" t="str">
        <f>IF(H4023="","",IF(J4023=D4023,"SIM","NÃO"))</f>
        <v/>
      </c>
      <c r="L4023" s="52" t="str">
        <f>IF(H4023="","",IF(C4023="","",G4016*C4023))</f>
        <v/>
      </c>
      <c r="M4023" s="117" t="str">
        <f>IF(A4023="","",VLOOKUP(A4023,'6.A'!$A$11:$C$564,2,FALSE))</f>
        <v/>
      </c>
      <c r="N4023" s="57" t="str">
        <f>IF(A4023="","",IF(M4023=B4023,"si","no"))</f>
        <v/>
      </c>
      <c r="O4023" s="56"/>
      <c r="P4023" s="56"/>
      <c r="Q4023" s="48"/>
      <c r="R4023" s="48"/>
      <c r="S4023" s="65"/>
      <c r="T4023" s="2"/>
      <c r="U4023" s="2"/>
      <c r="V4023" s="2"/>
    </row>
    <row r="4024" spans="1:22" s="149" customFormat="1" ht="12.75" customHeight="1" x14ac:dyDescent="0.2">
      <c r="A4024" s="155"/>
      <c r="B4024" s="138" t="str">
        <f>IF(A4024="","",VLOOKUP(A4024,'6.A'!$A$11:$G$180,2,FALSE))</f>
        <v/>
      </c>
      <c r="C4024" s="156"/>
      <c r="D4024" s="141" t="str">
        <f>IF(A4024="","",VLOOKUP(A4024,'6.A'!$A$11:$G$180,4,FALSE))</f>
        <v/>
      </c>
      <c r="E4024" s="160" t="str">
        <f>IF(A4024="","",VLOOKUP(A4024,'6.A'!$A$11:$G$180,5,FALSE))</f>
        <v/>
      </c>
      <c r="F4024" s="159" t="str">
        <f t="shared" si="1731"/>
        <v>0,00</v>
      </c>
      <c r="G4024" s="52"/>
      <c r="H4024" s="52" t="str">
        <f>IF(A4024="","",VLOOKUP(A4024,'6.A'!$A$11:$E$7984,5,FALSE))</f>
        <v/>
      </c>
      <c r="I4024" s="52" t="str">
        <f>IF(H4024="","",IF(E4024=H4024,"SIM","NÃO"))</f>
        <v/>
      </c>
      <c r="J4024" s="52" t="str">
        <f>IF(H4024="","",VLOOKUP(A4024,'6.A'!$A$11:$E$564,4,FALSE))</f>
        <v/>
      </c>
      <c r="K4024" s="52" t="str">
        <f>IF(H4024="","",IF(J4024=D4024,"SIM","NÃO"))</f>
        <v/>
      </c>
      <c r="L4024" s="52" t="str">
        <f>IF(H4024="","",IF(C4024="","",G4016*C4024))</f>
        <v/>
      </c>
      <c r="M4024" s="117" t="str">
        <f>IF(A4024="","",VLOOKUP(A4024,'6.A'!$A$11:$C$564,2,FALSE))</f>
        <v/>
      </c>
      <c r="N4024" s="57" t="str">
        <f>IF(A4024="","",IF(M4024=B4024,"si","no"))</f>
        <v/>
      </c>
      <c r="O4024" s="56"/>
      <c r="P4024" s="56"/>
      <c r="Q4024" s="48"/>
      <c r="R4024" s="48"/>
      <c r="S4024" s="65"/>
      <c r="T4024" s="2"/>
      <c r="U4024" s="2"/>
      <c r="V4024" s="2"/>
    </row>
    <row r="4025" spans="1:22" s="149" customFormat="1" ht="12.75" customHeight="1" x14ac:dyDescent="0.2">
      <c r="A4025" s="155"/>
      <c r="B4025" s="138" t="str">
        <f>IF(A4025="","",VLOOKUP(A4025,'6.A'!$A$11:$G$180,2,FALSE))</f>
        <v/>
      </c>
      <c r="C4025" s="156"/>
      <c r="D4025" s="141" t="str">
        <f>IF(A4025="","",VLOOKUP(A4025,'6.A'!$A$11:$G$180,4,FALSE))</f>
        <v/>
      </c>
      <c r="E4025" s="158" t="str">
        <f>IF(A4025="","",VLOOKUP(A4025,'6.A'!$A$11:$G$180,5,FALSE))</f>
        <v/>
      </c>
      <c r="F4025" s="159" t="str">
        <f t="shared" si="1731"/>
        <v>0,00</v>
      </c>
      <c r="G4025" s="52"/>
      <c r="H4025" s="52" t="str">
        <f>IF(A4025="","",VLOOKUP(A4025,'6.A'!$A$11:$E$7984,5,FALSE))</f>
        <v/>
      </c>
      <c r="I4025" s="52" t="str">
        <f t="shared" ref="I4025" si="1738">IF(H4025="","",IF(E4025=H4025,"SIM","NÃO"))</f>
        <v/>
      </c>
      <c r="J4025" s="52" t="str">
        <f>IF(H4025="","",VLOOKUP(A4025,'6.A'!$A$11:$E$564,4,FALSE))</f>
        <v/>
      </c>
      <c r="K4025" s="52" t="str">
        <f t="shared" ref="K4025" si="1739">IF(H4025="","",IF(J4025=D4025,"SIM","NÃO"))</f>
        <v/>
      </c>
      <c r="L4025" s="52" t="str">
        <f>IF(H4025="","",IF(C4025="","",G4016*C4025))</f>
        <v/>
      </c>
      <c r="M4025" s="117" t="str">
        <f>IF(A4025="","",VLOOKUP(A4025,'6.A'!$A$11:$C$564,2,FALSE))</f>
        <v/>
      </c>
      <c r="N4025" s="57" t="str">
        <f t="shared" ref="N4025" si="1740">IF(A4025="","",IF(M4025=B4025,"si","no"))</f>
        <v/>
      </c>
      <c r="O4025" s="56"/>
      <c r="P4025" s="56"/>
      <c r="Q4025" s="48"/>
      <c r="R4025" s="48"/>
      <c r="S4025" s="65"/>
      <c r="T4025" s="2"/>
      <c r="U4025" s="2"/>
      <c r="V4025" s="2"/>
    </row>
    <row r="4026" spans="1:22" s="149" customFormat="1" ht="12.75" customHeight="1" x14ac:dyDescent="0.2">
      <c r="A4026" s="155"/>
      <c r="B4026" s="138" t="str">
        <f>IF(A4026="","",VLOOKUP(A4026,'6.A'!$A$11:$G$180,2,FALSE))</f>
        <v/>
      </c>
      <c r="C4026" s="156"/>
      <c r="D4026" s="141" t="str">
        <f>IF(A4026="","",VLOOKUP(A4026,'6.A'!$A$11:$G$180,4,FALSE))</f>
        <v/>
      </c>
      <c r="E4026" s="158" t="str">
        <f>IF(A4026="","",VLOOKUP(A4026,'6.A'!$A$11:$G$180,5,FALSE))</f>
        <v/>
      </c>
      <c r="F4026" s="159" t="str">
        <f t="shared" si="1731"/>
        <v>0,00</v>
      </c>
      <c r="G4026" s="52"/>
      <c r="H4026" s="52" t="str">
        <f>IF(A4026="","",VLOOKUP(A4026,'6.A'!$A$11:$E$7984,5,FALSE))</f>
        <v/>
      </c>
      <c r="I4026" s="52" t="str">
        <f>IF(H4026="","",IF(E4026=H4026,"SIM","NÃO"))</f>
        <v/>
      </c>
      <c r="J4026" s="52" t="str">
        <f>IF(H4026="","",VLOOKUP(A4026,'6.A'!$A$11:$E$564,4,FALSE))</f>
        <v/>
      </c>
      <c r="K4026" s="52" t="str">
        <f>IF(H4026="","",IF(J4026=D4026,"SIM","NÃO"))</f>
        <v/>
      </c>
      <c r="L4026" s="52" t="str">
        <f>IF(H4026="","",IF(C4026="","",G4016*C4026))</f>
        <v/>
      </c>
      <c r="M4026" s="117" t="str">
        <f>IF(A4026="","",VLOOKUP(A4026,'6.A'!$A$11:$C$564,2,FALSE))</f>
        <v/>
      </c>
      <c r="N4026" s="57" t="str">
        <f>IF(A4026="","",IF(M4026=B4026,"si","no"))</f>
        <v/>
      </c>
      <c r="O4026" s="56"/>
      <c r="P4026" s="56"/>
      <c r="Q4026" s="48"/>
      <c r="R4026" s="48"/>
      <c r="S4026" s="65"/>
      <c r="T4026" s="2"/>
      <c r="U4026" s="2"/>
      <c r="V4026" s="2"/>
    </row>
    <row r="4027" spans="1:22" s="149" customFormat="1" ht="12.75" customHeight="1" x14ac:dyDescent="0.2">
      <c r="A4027" s="155"/>
      <c r="B4027" s="138" t="str">
        <f>IF(A4027="","",VLOOKUP(A4027,'6.A'!$A$11:$G$180,2,FALSE))</f>
        <v/>
      </c>
      <c r="C4027" s="156"/>
      <c r="D4027" s="161" t="str">
        <f>IF(A4027="","",VLOOKUP(A4027,'6.A'!$A$11:$G$180,4,FALSE))</f>
        <v/>
      </c>
      <c r="E4027" s="158" t="str">
        <f>IF(A4027="","",VLOOKUP(A4027,'6.A'!$A$11:$G$180,5,FALSE))</f>
        <v/>
      </c>
      <c r="F4027" s="159" t="str">
        <f t="shared" si="1731"/>
        <v>0,00</v>
      </c>
      <c r="G4027" s="52"/>
      <c r="H4027" s="52" t="str">
        <f>IF(A4027="","",VLOOKUP(A4027,'6.A'!$A$11:$E$7984,5,FALSE))</f>
        <v/>
      </c>
      <c r="I4027" s="52" t="str">
        <f t="shared" ref="I4027" si="1741">IF(H4027="","",IF(E4027=H4027,"SIM","NÃO"))</f>
        <v/>
      </c>
      <c r="J4027" s="52" t="str">
        <f>IF(H4027="","",VLOOKUP(A4027,'6.A'!$A$11:$E$564,4,FALSE))</f>
        <v/>
      </c>
      <c r="K4027" s="52" t="str">
        <f t="shared" ref="K4027" si="1742">IF(H4027="","",IF(J4027=D4027,"SIM","NÃO"))</f>
        <v/>
      </c>
      <c r="L4027" s="52" t="str">
        <f>IF(H4027="","",IF(C4027="","",G4016*C4027))</f>
        <v/>
      </c>
      <c r="M4027" s="117" t="str">
        <f>IF(A4027="","",VLOOKUP(A4027,'6.A'!$A$11:$C$564,2,FALSE))</f>
        <v/>
      </c>
      <c r="N4027" s="57" t="str">
        <f t="shared" ref="N4027" si="1743">IF(A4027="","",IF(M4027=B4027,"si","no"))</f>
        <v/>
      </c>
      <c r="O4027" s="56"/>
      <c r="P4027" s="56"/>
      <c r="Q4027" s="48"/>
      <c r="R4027" s="48"/>
      <c r="S4027" s="65"/>
      <c r="T4027" s="2"/>
      <c r="U4027" s="2"/>
      <c r="V4027" s="2"/>
    </row>
    <row r="4028" spans="1:22" s="149" customFormat="1" ht="12.75" customHeight="1" x14ac:dyDescent="0.2">
      <c r="A4028" s="152"/>
      <c r="B4028" s="26" t="str">
        <f>$A$8</f>
        <v>LEIS SOCIAIS HORISTA - JORNADA NORMAL</v>
      </c>
      <c r="C4028" s="27">
        <f>$C$8</f>
        <v>0</v>
      </c>
      <c r="D4028" s="141"/>
      <c r="E4028" s="147"/>
      <c r="F4028" s="162">
        <f>ROUND(SUM(F4018:F4027)*C4028,2)</f>
        <v>0</v>
      </c>
      <c r="G4028" s="63"/>
      <c r="H4028" s="52"/>
      <c r="I4028" s="57"/>
      <c r="J4028" s="57"/>
      <c r="K4028" s="57"/>
      <c r="L4028" s="52"/>
      <c r="M4028" s="62"/>
      <c r="N4028" s="57"/>
      <c r="O4028" s="56"/>
      <c r="P4028" s="56"/>
      <c r="Q4028" s="48"/>
      <c r="R4028" s="48"/>
      <c r="S4028" s="65"/>
      <c r="T4028" s="2"/>
      <c r="U4028" s="2"/>
      <c r="V4028" s="2"/>
    </row>
    <row r="4029" spans="1:22" s="149" customFormat="1" ht="12.75" customHeight="1" x14ac:dyDescent="0.2">
      <c r="A4029" s="155"/>
      <c r="B4029" s="26" t="str">
        <f>$A$9</f>
        <v>BDI</v>
      </c>
      <c r="C4029" s="27">
        <f>$C$9</f>
        <v>0</v>
      </c>
      <c r="D4029" s="136"/>
      <c r="E4029" s="147"/>
      <c r="F4029" s="162">
        <f>ROUND(SUM(F4018:F4028)*C4029,2)</f>
        <v>0</v>
      </c>
      <c r="G4029" s="63"/>
      <c r="H4029" s="52"/>
      <c r="I4029" s="57"/>
      <c r="J4029" s="57"/>
      <c r="K4029" s="57"/>
      <c r="L4029" s="52"/>
      <c r="M4029" s="62"/>
      <c r="N4029" s="57"/>
      <c r="O4029" s="56"/>
      <c r="P4029" s="56"/>
      <c r="Q4029" s="48"/>
      <c r="R4029" s="48"/>
      <c r="S4029" s="65"/>
      <c r="T4029" s="2"/>
      <c r="U4029" s="2"/>
      <c r="V4029" s="2"/>
    </row>
    <row r="4030" spans="1:22" s="149" customFormat="1" ht="12.75" customHeight="1" x14ac:dyDescent="0.2">
      <c r="A4030" s="163"/>
      <c r="B4030" s="164" t="s">
        <v>56</v>
      </c>
      <c r="C4030" s="165"/>
      <c r="D4030" s="166"/>
      <c r="E4030" s="167"/>
      <c r="F4030" s="168">
        <f>ROUND(SUM(F4018:F4029),2)</f>
        <v>0</v>
      </c>
      <c r="G4030" s="63"/>
      <c r="H4030" s="52"/>
      <c r="I4030" s="57"/>
      <c r="J4030" s="57"/>
      <c r="K4030" s="57"/>
      <c r="L4030" s="52"/>
      <c r="M4030" s="62"/>
      <c r="N4030" s="57"/>
      <c r="O4030" s="56"/>
      <c r="P4030" s="56"/>
      <c r="Q4030" s="48"/>
      <c r="R4030" s="48"/>
      <c r="S4030" s="65"/>
      <c r="T4030" s="2"/>
      <c r="U4030" s="2"/>
      <c r="V4030" s="2"/>
    </row>
    <row r="4031" spans="1:22" s="149" customFormat="1" ht="12.75" customHeight="1" x14ac:dyDescent="0.2">
      <c r="A4031" s="152" t="s">
        <v>5</v>
      </c>
      <c r="B4031" s="153" t="s">
        <v>130</v>
      </c>
      <c r="C4031" s="140" t="s">
        <v>59</v>
      </c>
      <c r="D4031" s="140" t="s">
        <v>16</v>
      </c>
      <c r="E4031" s="154" t="s">
        <v>60</v>
      </c>
      <c r="F4031" s="148" t="s">
        <v>61</v>
      </c>
      <c r="G4031" s="21"/>
      <c r="H4031" s="52"/>
      <c r="I4031" s="57"/>
      <c r="J4031" s="57"/>
      <c r="K4031" s="57"/>
      <c r="L4031" s="52"/>
      <c r="M4031" s="62"/>
      <c r="N4031" s="57"/>
      <c r="O4031" s="56"/>
      <c r="P4031" s="56"/>
      <c r="Q4031" s="48"/>
      <c r="R4031" s="48"/>
      <c r="S4031" s="65"/>
      <c r="T4031" s="2"/>
      <c r="U4031" s="2"/>
      <c r="V4031" s="2"/>
    </row>
    <row r="4032" spans="1:22" s="149" customFormat="1" ht="12.75" customHeight="1" x14ac:dyDescent="0.2">
      <c r="A4032" s="155"/>
      <c r="B4032" s="138" t="str">
        <f>IF(A4032="","",VLOOKUP(A4032,'6.A'!$A$11:$G$180,2,FALSE))</f>
        <v/>
      </c>
      <c r="C4032" s="156"/>
      <c r="D4032" s="57" t="str">
        <f>IF(A4032="","",VLOOKUP(A4032,'6.A'!$A$11:$G$180,4,FALSE))</f>
        <v/>
      </c>
      <c r="E4032" s="100" t="str">
        <f>IF(A4032="","",VLOOKUP(A4032,'6.A'!$A$11:$G$180,5,FALSE))</f>
        <v/>
      </c>
      <c r="F4032" s="159" t="str">
        <f t="shared" ref="F4032:F4041" si="1744">IF(A4032="","0,00",ROUND(C4032*E4032,2))</f>
        <v>0,00</v>
      </c>
      <c r="G4032" s="52"/>
      <c r="H4032" s="52" t="str">
        <f>IF(A4032="","",VLOOKUP(A4032,'6.A'!$A$11:$E$7984,5,FALSE))</f>
        <v/>
      </c>
      <c r="I4032" s="52" t="str">
        <f t="shared" ref="I4032:I4041" si="1745">IF(H4032="","",IF(E4032=H4032,"SIM","NÃO"))</f>
        <v/>
      </c>
      <c r="J4032" s="52" t="str">
        <f>IF(H4032="","",VLOOKUP(A4032,'6.A'!$A$11:$E$564,4,FALSE))</f>
        <v/>
      </c>
      <c r="K4032" s="52" t="str">
        <f t="shared" ref="K4032:K4041" si="1746">IF(H4032="","",IF(J4032=D4032,"SIM","NÃO"))</f>
        <v/>
      </c>
      <c r="L4032" s="52" t="str">
        <f>IF(H4032="","",IF(C4032="","",G4016*C4032))</f>
        <v/>
      </c>
      <c r="M4032" s="117" t="str">
        <f>IF(A4032="","",VLOOKUP(A4032,'6.A'!$A$11:$C$564,2,FALSE))</f>
        <v/>
      </c>
      <c r="N4032" s="57" t="str">
        <f t="shared" ref="N4032:N4037" si="1747">IF(A4032="","",IF(M4032=B4032,"si","no"))</f>
        <v/>
      </c>
      <c r="O4032" s="56"/>
      <c r="P4032" s="56"/>
      <c r="Q4032" s="48"/>
      <c r="R4032" s="48"/>
      <c r="S4032" s="65"/>
      <c r="T4032" s="2"/>
      <c r="U4032" s="2"/>
      <c r="V4032" s="2"/>
    </row>
    <row r="4033" spans="1:22" s="149" customFormat="1" ht="12.75" customHeight="1" x14ac:dyDescent="0.2">
      <c r="A4033" s="155"/>
      <c r="B4033" s="138" t="str">
        <f>IF(A4033="","",VLOOKUP(A4033,'6.A'!$A$11:$G$180,2,FALSE))</f>
        <v/>
      </c>
      <c r="C4033" s="156"/>
      <c r="D4033" s="57" t="str">
        <f>IF(A4033="","",VLOOKUP(A4033,'6.A'!$A$11:$G$180,4,FALSE))</f>
        <v/>
      </c>
      <c r="E4033" s="100" t="str">
        <f>IF(A4033="","",VLOOKUP(A4033,'6.A'!$A$11:$G$180,5,FALSE))</f>
        <v/>
      </c>
      <c r="F4033" s="159" t="str">
        <f t="shared" si="1744"/>
        <v>0,00</v>
      </c>
      <c r="G4033" s="52"/>
      <c r="H4033" s="52" t="str">
        <f>IF(A4033="","",VLOOKUP(A4033,'6.A'!$A$11:$E$7984,5,FALSE))</f>
        <v/>
      </c>
      <c r="I4033" s="52" t="str">
        <f t="shared" si="1745"/>
        <v/>
      </c>
      <c r="J4033" s="52" t="str">
        <f>IF(H4033="","",VLOOKUP(A4033,'6.A'!$A$11:$E$564,4,FALSE))</f>
        <v/>
      </c>
      <c r="K4033" s="52" t="str">
        <f t="shared" si="1746"/>
        <v/>
      </c>
      <c r="L4033" s="52" t="str">
        <f>IF(H4033="","",IF(C4033="","",G4016*C4033))</f>
        <v/>
      </c>
      <c r="M4033" s="117" t="str">
        <f>IF(A4033="","",VLOOKUP(A4033,'6.A'!$A$11:$C$564,2,FALSE))</f>
        <v/>
      </c>
      <c r="N4033" s="57" t="str">
        <f t="shared" si="1747"/>
        <v/>
      </c>
      <c r="O4033" s="56"/>
      <c r="P4033" s="56"/>
      <c r="Q4033" s="48"/>
      <c r="R4033" s="48"/>
      <c r="S4033" s="65"/>
      <c r="T4033" s="2"/>
      <c r="U4033" s="2"/>
      <c r="V4033" s="2"/>
    </row>
    <row r="4034" spans="1:22" s="149" customFormat="1" ht="12.75" customHeight="1" x14ac:dyDescent="0.2">
      <c r="A4034" s="155"/>
      <c r="B4034" s="138" t="str">
        <f>IF(A4034="","",VLOOKUP(A4034,'6.A'!$A$11:$G$180,2,FALSE))</f>
        <v/>
      </c>
      <c r="C4034" s="156"/>
      <c r="D4034" s="141"/>
      <c r="E4034" s="160"/>
      <c r="F4034" s="159" t="str">
        <f t="shared" si="1744"/>
        <v>0,00</v>
      </c>
      <c r="G4034" s="52"/>
      <c r="H4034" s="52" t="str">
        <f>IF(A4034="","",VLOOKUP(A4034,'6.A'!$A$11:$E$7984,5,FALSE))</f>
        <v/>
      </c>
      <c r="I4034" s="52" t="str">
        <f t="shared" si="1745"/>
        <v/>
      </c>
      <c r="J4034" s="52" t="str">
        <f>IF(H4034="","",VLOOKUP(A4034,'6.A'!$A$11:$E$564,4,FALSE))</f>
        <v/>
      </c>
      <c r="K4034" s="52" t="str">
        <f t="shared" si="1746"/>
        <v/>
      </c>
      <c r="L4034" s="52" t="str">
        <f>IF(H4034="","",IF(C4034="","",G4016*C4034))</f>
        <v/>
      </c>
      <c r="M4034" s="117" t="str">
        <f>IF(A4034="","",VLOOKUP(A4034,'6.A'!$A$11:$C$564,2,FALSE))</f>
        <v/>
      </c>
      <c r="N4034" s="57" t="str">
        <f t="shared" si="1747"/>
        <v/>
      </c>
      <c r="O4034" s="56"/>
      <c r="P4034" s="56"/>
      <c r="Q4034" s="48"/>
      <c r="R4034" s="48"/>
      <c r="S4034" s="65"/>
      <c r="T4034" s="2"/>
      <c r="U4034" s="2"/>
      <c r="V4034" s="2"/>
    </row>
    <row r="4035" spans="1:22" s="149" customFormat="1" ht="12.75" customHeight="1" x14ac:dyDescent="0.2">
      <c r="A4035" s="155"/>
      <c r="B4035" s="176" t="str">
        <f>IF(A4035="","",VLOOKUP(A4035,'6.A'!$A$11:$G$180,2,FALSE))</f>
        <v/>
      </c>
      <c r="C4035" s="156"/>
      <c r="D4035" s="141"/>
      <c r="E4035" s="160"/>
      <c r="F4035" s="159" t="str">
        <f t="shared" si="1744"/>
        <v>0,00</v>
      </c>
      <c r="G4035" s="52"/>
      <c r="H4035" s="52" t="str">
        <f>IF(A4035="","",VLOOKUP(A4035,'6.A'!$A$11:$E$7984,5,FALSE))</f>
        <v/>
      </c>
      <c r="I4035" s="52" t="str">
        <f t="shared" si="1745"/>
        <v/>
      </c>
      <c r="J4035" s="52" t="str">
        <f>IF(H4035="","",VLOOKUP(A4035,'6.A'!$A$11:$E$564,4,FALSE))</f>
        <v/>
      </c>
      <c r="K4035" s="52" t="str">
        <f t="shared" si="1746"/>
        <v/>
      </c>
      <c r="L4035" s="52" t="str">
        <f>IF(H4035="","",IF(C4035="","",G4016*C4035))</f>
        <v/>
      </c>
      <c r="M4035" s="117" t="str">
        <f>IF(A4035="","",VLOOKUP(A4035,'6.A'!$A$11:$C$564,2,FALSE))</f>
        <v/>
      </c>
      <c r="N4035" s="57" t="str">
        <f t="shared" si="1747"/>
        <v/>
      </c>
      <c r="O4035" s="56"/>
      <c r="P4035" s="56"/>
      <c r="Q4035" s="48"/>
      <c r="R4035" s="48"/>
      <c r="S4035" s="65"/>
      <c r="T4035" s="2"/>
      <c r="U4035" s="2"/>
      <c r="V4035" s="2"/>
    </row>
    <row r="4036" spans="1:22" s="149" customFormat="1" ht="12.75" customHeight="1" x14ac:dyDescent="0.2">
      <c r="A4036" s="155"/>
      <c r="B4036" s="176" t="str">
        <f>IF(A4036="","",VLOOKUP(A4036,'6.A'!$A$11:$G$180,2,FALSE))</f>
        <v/>
      </c>
      <c r="C4036" s="156"/>
      <c r="D4036" s="141"/>
      <c r="E4036" s="160"/>
      <c r="F4036" s="159" t="str">
        <f t="shared" si="1744"/>
        <v>0,00</v>
      </c>
      <c r="G4036" s="52"/>
      <c r="H4036" s="52" t="str">
        <f>IF(A4036="","",VLOOKUP(A4036,'6.A'!$A$11:$E$7984,5,FALSE))</f>
        <v/>
      </c>
      <c r="I4036" s="52" t="str">
        <f t="shared" si="1745"/>
        <v/>
      </c>
      <c r="J4036" s="52" t="str">
        <f>IF(H4036="","",VLOOKUP(A4036,'6.A'!$A$11:$E$564,4,FALSE))</f>
        <v/>
      </c>
      <c r="K4036" s="52" t="str">
        <f t="shared" si="1746"/>
        <v/>
      </c>
      <c r="L4036" s="52" t="str">
        <f>IF(H4036="","",IF(C4036="","",G4016*C4036))</f>
        <v/>
      </c>
      <c r="M4036" s="117" t="str">
        <f>IF(A4036="","",VLOOKUP(A4036,'6.A'!$A$11:$C$564,2,FALSE))</f>
        <v/>
      </c>
      <c r="N4036" s="57" t="str">
        <f t="shared" si="1747"/>
        <v/>
      </c>
      <c r="O4036" s="56"/>
      <c r="P4036" s="56"/>
      <c r="Q4036" s="48"/>
      <c r="R4036" s="48"/>
      <c r="S4036" s="65"/>
      <c r="T4036" s="2"/>
      <c r="U4036" s="2"/>
      <c r="V4036" s="2"/>
    </row>
    <row r="4037" spans="1:22" s="149" customFormat="1" ht="12.75" customHeight="1" x14ac:dyDescent="0.2">
      <c r="A4037" s="155"/>
      <c r="B4037" s="176" t="str">
        <f>IF(A4037="","",VLOOKUP(A4037,'6.A'!$A$11:$G$180,2,FALSE))</f>
        <v/>
      </c>
      <c r="C4037" s="156"/>
      <c r="D4037" s="141"/>
      <c r="E4037" s="160"/>
      <c r="F4037" s="159" t="str">
        <f t="shared" si="1744"/>
        <v>0,00</v>
      </c>
      <c r="G4037" s="52"/>
      <c r="H4037" s="52" t="str">
        <f>IF(A4037="","",VLOOKUP(A4037,'6.A'!$A$11:$E$7984,5,FALSE))</f>
        <v/>
      </c>
      <c r="I4037" s="52" t="str">
        <f t="shared" si="1745"/>
        <v/>
      </c>
      <c r="J4037" s="52" t="str">
        <f>IF(H4037="","",VLOOKUP(A4037,'6.A'!$A$11:$E$564,4,FALSE))</f>
        <v/>
      </c>
      <c r="K4037" s="52" t="str">
        <f t="shared" si="1746"/>
        <v/>
      </c>
      <c r="L4037" s="52" t="str">
        <f>IF(H4037="","",IF(C4037="","",G4016*C4037))</f>
        <v/>
      </c>
      <c r="M4037" s="117" t="str">
        <f>IF(A4037="","",VLOOKUP(A4037,'6.A'!$A$11:$C$564,2,FALSE))</f>
        <v/>
      </c>
      <c r="N4037" s="57" t="str">
        <f t="shared" si="1747"/>
        <v/>
      </c>
      <c r="O4037" s="56"/>
      <c r="P4037" s="56"/>
      <c r="Q4037" s="48"/>
      <c r="R4037" s="48"/>
      <c r="S4037" s="65"/>
      <c r="T4037" s="2"/>
      <c r="U4037" s="2"/>
      <c r="V4037" s="2"/>
    </row>
    <row r="4038" spans="1:22" s="149" customFormat="1" ht="12.75" customHeight="1" x14ac:dyDescent="0.2">
      <c r="A4038" s="155"/>
      <c r="B4038" s="176" t="str">
        <f>IF(A4038="","",VLOOKUP(A4038,'6.A'!$A$11:$G$180,2,FALSE))</f>
        <v/>
      </c>
      <c r="C4038" s="156"/>
      <c r="D4038" s="141" t="str">
        <f>IF(A4038="","",VLOOKUP(A4038,'6.A'!$A$11:$G$180,4,FALSE))</f>
        <v/>
      </c>
      <c r="E4038" s="160" t="str">
        <f>IF(A4038="","",VLOOKUP(A4038,'6.A'!$A$11:$G$180,5,FALSE))</f>
        <v/>
      </c>
      <c r="F4038" s="159" t="str">
        <f t="shared" si="1744"/>
        <v>0,00</v>
      </c>
      <c r="G4038" s="52"/>
      <c r="H4038" s="52" t="str">
        <f>IF(A4038="","",VLOOKUP(A4038,'6.A'!$A$11:$E$7984,5,FALSE))</f>
        <v/>
      </c>
      <c r="I4038" s="52" t="str">
        <f t="shared" si="1745"/>
        <v/>
      </c>
      <c r="J4038" s="52" t="str">
        <f>IF(H4038="","",VLOOKUP(A4038,'6.A'!$A$11:$E$564,4,FALSE))</f>
        <v/>
      </c>
      <c r="K4038" s="52" t="str">
        <f t="shared" si="1746"/>
        <v/>
      </c>
      <c r="L4038" s="52" t="str">
        <f>IF(H4038="","",IF(C4038="","",G4016*C4038))</f>
        <v/>
      </c>
      <c r="M4038" s="117" t="str">
        <f>IF(A4038="","",VLOOKUP(A4038,'6.A'!$A$11:$C$564,2,FALSE))</f>
        <v/>
      </c>
      <c r="N4038" s="57" t="str">
        <f>IF(A4038="","",IF(M4038=B4038,"si","no"))</f>
        <v/>
      </c>
      <c r="O4038" s="56"/>
      <c r="P4038" s="56"/>
      <c r="Q4038" s="48"/>
      <c r="R4038" s="48"/>
      <c r="S4038" s="65"/>
      <c r="T4038" s="2"/>
      <c r="U4038" s="2"/>
      <c r="V4038" s="2"/>
    </row>
    <row r="4039" spans="1:22" s="149" customFormat="1" ht="12.75" customHeight="1" x14ac:dyDescent="0.2">
      <c r="A4039" s="155"/>
      <c r="B4039" s="138" t="str">
        <f>IF(A4039="","",VLOOKUP(A4039,'6.A'!$A$11:$G$180,2,FALSE))</f>
        <v/>
      </c>
      <c r="C4039" s="156"/>
      <c r="D4039" s="141" t="str">
        <f>IF(A4039="","",VLOOKUP(A4039,'6.A'!$A$11:$G$180,4,FALSE))</f>
        <v/>
      </c>
      <c r="E4039" s="160" t="str">
        <f>IF(A4039="","",VLOOKUP(A4039,'6.A'!$A$11:$G$180,5,FALSE))</f>
        <v/>
      </c>
      <c r="F4039" s="159" t="str">
        <f t="shared" si="1744"/>
        <v>0,00</v>
      </c>
      <c r="G4039" s="52"/>
      <c r="H4039" s="52" t="str">
        <f>IF(A4039="","",VLOOKUP(A4039,'6.A'!$A$11:$E$7984,5,FALSE))</f>
        <v/>
      </c>
      <c r="I4039" s="52" t="str">
        <f t="shared" si="1745"/>
        <v/>
      </c>
      <c r="J4039" s="52" t="str">
        <f>IF(H4039="","",VLOOKUP(A4039,'6.A'!$A$11:$E$564,4,FALSE))</f>
        <v/>
      </c>
      <c r="K4039" s="52" t="str">
        <f t="shared" si="1746"/>
        <v/>
      </c>
      <c r="L4039" s="52" t="str">
        <f>IF(H4039="","",IF(C4039="","",G4016*C4039))</f>
        <v/>
      </c>
      <c r="M4039" s="117" t="str">
        <f>IF(A4039="","",VLOOKUP(A4039,'6.A'!$A$11:$C$564,2,FALSE))</f>
        <v/>
      </c>
      <c r="N4039" s="57" t="str">
        <f>IF(A4039="","",IF(M4039=B4039,"si","no"))</f>
        <v/>
      </c>
      <c r="O4039" s="56"/>
      <c r="P4039" s="56"/>
      <c r="Q4039" s="48"/>
      <c r="R4039" s="48"/>
      <c r="S4039" s="65"/>
      <c r="T4039" s="2"/>
      <c r="U4039" s="2"/>
      <c r="V4039" s="2"/>
    </row>
    <row r="4040" spans="1:22" s="149" customFormat="1" ht="12.75" customHeight="1" x14ac:dyDescent="0.2">
      <c r="A4040" s="155"/>
      <c r="B4040" s="138" t="str">
        <f>IF(A4040="","",VLOOKUP(A4040,'6.A'!$A$11:$G$180,2,FALSE))</f>
        <v/>
      </c>
      <c r="C4040" s="156"/>
      <c r="D4040" s="141" t="str">
        <f>IF(A4040="","",VLOOKUP(A4040,'6.A'!$A$11:$G$180,4,FALSE))</f>
        <v/>
      </c>
      <c r="E4040" s="160" t="str">
        <f>IF(A4040="","",VLOOKUP(A4040,'6.A'!$A$11:$G$180,5,FALSE))</f>
        <v/>
      </c>
      <c r="F4040" s="159" t="str">
        <f t="shared" si="1744"/>
        <v>0,00</v>
      </c>
      <c r="G4040" s="52"/>
      <c r="H4040" s="52" t="str">
        <f>IF(A4040="","",VLOOKUP(A4040,'6.A'!$A$11:$E$7984,5,FALSE))</f>
        <v/>
      </c>
      <c r="I4040" s="52" t="str">
        <f t="shared" si="1745"/>
        <v/>
      </c>
      <c r="J4040" s="52" t="str">
        <f>IF(H4040="","",VLOOKUP(A4040,'6.A'!$A$11:$E$564,4,FALSE))</f>
        <v/>
      </c>
      <c r="K4040" s="52" t="str">
        <f t="shared" si="1746"/>
        <v/>
      </c>
      <c r="L4040" s="52" t="str">
        <f>IF(H4040="","",IF(C4040="","",G4016*C4040))</f>
        <v/>
      </c>
      <c r="M4040" s="117" t="str">
        <f>IF(A4040="","",VLOOKUP(A4040,'6.A'!$A$11:$C$564,2,FALSE))</f>
        <v/>
      </c>
      <c r="N4040" s="57" t="str">
        <f t="shared" ref="N4040:N4041" si="1748">IF(A4040="","",IF(M4040=B4040,"si","no"))</f>
        <v/>
      </c>
      <c r="O4040" s="56"/>
      <c r="P4040" s="56"/>
      <c r="Q4040" s="48"/>
      <c r="R4040" s="48"/>
      <c r="S4040" s="65"/>
      <c r="T4040" s="2"/>
      <c r="U4040" s="2"/>
      <c r="V4040" s="2"/>
    </row>
    <row r="4041" spans="1:22" s="149" customFormat="1" ht="12.75" customHeight="1" x14ac:dyDescent="0.2">
      <c r="A4041" s="155"/>
      <c r="B4041" s="138" t="str">
        <f>IF(A4041="","",VLOOKUP(A4041,'6.A'!$A$11:$G$180,2,FALSE))</f>
        <v/>
      </c>
      <c r="C4041" s="156"/>
      <c r="D4041" s="141" t="str">
        <f>IF(A4041="","",VLOOKUP(A4041,'6.A'!$A$11:$G$180,4,FALSE))</f>
        <v/>
      </c>
      <c r="E4041" s="160" t="str">
        <f>IF(A4041="","",VLOOKUP(A4041,'6.A'!$A$11:$G$180,5,FALSE))</f>
        <v/>
      </c>
      <c r="F4041" s="159" t="str">
        <f t="shared" si="1744"/>
        <v>0,00</v>
      </c>
      <c r="G4041" s="52"/>
      <c r="H4041" s="52" t="str">
        <f>IF(A4041="","",VLOOKUP(A4041,'6.A'!$A$11:$E$7984,5,FALSE))</f>
        <v/>
      </c>
      <c r="I4041" s="52" t="str">
        <f t="shared" si="1745"/>
        <v/>
      </c>
      <c r="J4041" s="52" t="str">
        <f>IF(H4041="","",VLOOKUP(A4041,'6.A'!$A$11:$E$564,4,FALSE))</f>
        <v/>
      </c>
      <c r="K4041" s="52" t="str">
        <f t="shared" si="1746"/>
        <v/>
      </c>
      <c r="L4041" s="52" t="str">
        <f>IF(H4041="","",IF(C4041="","",G4016*C4041))</f>
        <v/>
      </c>
      <c r="M4041" s="117" t="str">
        <f>IF(A4041="","",VLOOKUP(A4041,'6.A'!$A$11:$C$564,2,FALSE))</f>
        <v/>
      </c>
      <c r="N4041" s="57" t="str">
        <f t="shared" si="1748"/>
        <v/>
      </c>
      <c r="O4041" s="56"/>
      <c r="P4041" s="56"/>
      <c r="Q4041" s="48"/>
      <c r="R4041" s="48"/>
      <c r="S4041" s="65"/>
      <c r="T4041" s="2"/>
      <c r="U4041" s="2"/>
      <c r="V4041" s="2"/>
    </row>
    <row r="4042" spans="1:22" s="149" customFormat="1" ht="12.75" customHeight="1" x14ac:dyDescent="0.2">
      <c r="A4042" s="155"/>
      <c r="B4042" s="26" t="str">
        <f>$A$9</f>
        <v>BDI</v>
      </c>
      <c r="C4042" s="27">
        <f>$C$9</f>
        <v>0</v>
      </c>
      <c r="D4042" s="141"/>
      <c r="E4042" s="147"/>
      <c r="F4042" s="162">
        <f>ROUND(SUM(F4032:F4041)*C4042,2)</f>
        <v>0</v>
      </c>
      <c r="G4042" s="63"/>
      <c r="H4042" s="52"/>
      <c r="I4042" s="57"/>
      <c r="J4042" s="57"/>
      <c r="K4042" s="57"/>
      <c r="L4042" s="52"/>
      <c r="M4042" s="62"/>
      <c r="N4042" s="57"/>
      <c r="O4042" s="56"/>
      <c r="P4042" s="56"/>
      <c r="Q4042" s="48"/>
      <c r="R4042" s="48"/>
      <c r="S4042" s="65"/>
      <c r="T4042" s="2"/>
      <c r="U4042" s="2"/>
      <c r="V4042" s="2"/>
    </row>
    <row r="4043" spans="1:22" s="149" customFormat="1" ht="12.75" customHeight="1" x14ac:dyDescent="0.2">
      <c r="A4043" s="163"/>
      <c r="B4043" s="31" t="s">
        <v>117</v>
      </c>
      <c r="C4043" s="36"/>
      <c r="D4043" s="169"/>
      <c r="E4043" s="170"/>
      <c r="F4043" s="168">
        <f>ROUND(SUM(F4032:F4042),2)</f>
        <v>0</v>
      </c>
      <c r="G4043" s="63"/>
      <c r="H4043" s="52"/>
      <c r="I4043" s="57"/>
      <c r="J4043" s="57"/>
      <c r="K4043" s="57"/>
      <c r="L4043" s="52"/>
      <c r="M4043" s="62"/>
      <c r="N4043" s="57"/>
      <c r="O4043" s="56"/>
      <c r="P4043" s="56"/>
      <c r="Q4043" s="48"/>
      <c r="R4043" s="48"/>
      <c r="S4043" s="65"/>
      <c r="T4043" s="2"/>
      <c r="U4043" s="2"/>
      <c r="V4043" s="2"/>
    </row>
    <row r="4044" spans="1:22" s="149" customFormat="1" ht="12.75" customHeight="1" x14ac:dyDescent="0.2">
      <c r="A4044" s="152" t="s">
        <v>6</v>
      </c>
      <c r="B4044" s="153" t="s">
        <v>17</v>
      </c>
      <c r="C4044" s="140" t="s">
        <v>59</v>
      </c>
      <c r="D4044" s="140" t="s">
        <v>16</v>
      </c>
      <c r="E4044" s="154" t="s">
        <v>60</v>
      </c>
      <c r="F4044" s="148" t="s">
        <v>61</v>
      </c>
      <c r="G4044" s="21"/>
      <c r="H4044" s="52"/>
      <c r="I4044" s="57"/>
      <c r="J4044" s="57"/>
      <c r="K4044" s="57"/>
      <c r="L4044" s="52"/>
      <c r="M4044" s="62"/>
      <c r="N4044" s="57"/>
      <c r="O4044" s="56"/>
      <c r="P4044" s="56"/>
      <c r="Q4044" s="48"/>
      <c r="R4044" s="48"/>
      <c r="S4044" s="65"/>
      <c r="T4044" s="2"/>
      <c r="U4044" s="2"/>
      <c r="V4044" s="2"/>
    </row>
    <row r="4045" spans="1:22" s="149" customFormat="1" ht="12.75" customHeight="1" x14ac:dyDescent="0.2">
      <c r="A4045" s="155">
        <f>'6.A'!$A$160</f>
        <v>43649</v>
      </c>
      <c r="B4045" s="138" t="str">
        <f>IF(A4045="","",VLOOKUP(A4045,'6.A'!$A$11:$G$180,2,FALSE))</f>
        <v>TINTA ESMALTE BASE AGUA PREMIUM ACETINADO</v>
      </c>
      <c r="C4045" s="156">
        <v>0.25</v>
      </c>
      <c r="D4045" s="141" t="str">
        <f>IF(A4045="","",VLOOKUP(A4045,'6.A'!$A$11:$G$180,4,FALSE))</f>
        <v>L</v>
      </c>
      <c r="E4045" s="160">
        <f>IF(A4045="","",VLOOKUP(A4045,'6.A'!$A$11:$G$180,5,FALSE))</f>
        <v>0</v>
      </c>
      <c r="F4045" s="159">
        <f t="shared" ref="F4045:F4064" si="1749">IF(A4045="","0,00",ROUND(C4045*E4045,2))</f>
        <v>0</v>
      </c>
      <c r="G4045" s="52"/>
      <c r="H4045" s="52">
        <f>IF(A4045="","",VLOOKUP(A4045,'6.A'!$A$11:$E$7984,5,FALSE))</f>
        <v>0</v>
      </c>
      <c r="I4045" s="52" t="str">
        <f t="shared" ref="I4045:I4064" si="1750">IF(H4045="","",IF(E4045=H4045,"SIM","NÃO"))</f>
        <v>SIM</v>
      </c>
      <c r="J4045" s="52" t="str">
        <f>IF(H4045="","",VLOOKUP(A4045,'6.A'!$A$11:$E$564,4,FALSE))</f>
        <v>L</v>
      </c>
      <c r="K4045" s="52" t="str">
        <f t="shared" ref="K4045:K4064" si="1751">IF(H4045="","",IF(J4045=D4045,"SIM","NÃO"))</f>
        <v>SIM</v>
      </c>
      <c r="L4045" s="52">
        <f>IF(H4045="","",IF(C4045="","",G4016*C4045))</f>
        <v>1.25</v>
      </c>
      <c r="M4045" s="117" t="str">
        <f>IF(A4045="","",VLOOKUP(A4045,'6.A'!$A$11:$C$564,2,FALSE))</f>
        <v>TINTA ESMALTE BASE AGUA PREMIUM ACETINADO</v>
      </c>
      <c r="N4045" s="57" t="str">
        <f t="shared" ref="N4045:N4064" si="1752">IF(A4045="","",IF(M4045=B4045,"si","no"))</f>
        <v>si</v>
      </c>
      <c r="O4045" s="56"/>
      <c r="P4045" s="56"/>
      <c r="Q4045" s="48"/>
      <c r="R4045" s="48"/>
      <c r="S4045" s="65"/>
      <c r="T4045" s="2"/>
      <c r="U4045" s="2"/>
      <c r="V4045" s="2"/>
    </row>
    <row r="4046" spans="1:22" s="149" customFormat="1" ht="12.75" customHeight="1" x14ac:dyDescent="0.2">
      <c r="A4046" s="155">
        <f>'6.A'!$A$113</f>
        <v>6085</v>
      </c>
      <c r="B4046" s="138" t="str">
        <f>IF(A4046="","",VLOOKUP(A4046,'6.A'!$A$11:$G$180,2,FALSE))</f>
        <v>SELADOR ACRILICO OPACO PREMIUM INTERIOR/EXTERIOR</v>
      </c>
      <c r="C4046" s="156">
        <v>0.2</v>
      </c>
      <c r="D4046" s="141" t="str">
        <f>IF(A4046="","",VLOOKUP(A4046,'6.A'!$A$11:$G$180,4,FALSE))</f>
        <v>L</v>
      </c>
      <c r="E4046" s="160">
        <f>IF(A4046="","",VLOOKUP(A4046,'6.A'!$A$11:$G$180,5,FALSE))</f>
        <v>0</v>
      </c>
      <c r="F4046" s="159">
        <f t="shared" si="1749"/>
        <v>0</v>
      </c>
      <c r="G4046" s="52"/>
      <c r="H4046" s="52">
        <f>IF(A4046="","",VLOOKUP(A4046,'6.A'!$A$11:$E$7984,5,FALSE))</f>
        <v>0</v>
      </c>
      <c r="I4046" s="52" t="str">
        <f t="shared" si="1750"/>
        <v>SIM</v>
      </c>
      <c r="J4046" s="52" t="str">
        <f>IF(H4046="","",VLOOKUP(A4046,'6.A'!$A$11:$E$564,4,FALSE))</f>
        <v>L</v>
      </c>
      <c r="K4046" s="52" t="str">
        <f t="shared" si="1751"/>
        <v>SIM</v>
      </c>
      <c r="L4046" s="52">
        <f>IF(H4046="","",IF(C4046="","",G4016*C4046))</f>
        <v>1</v>
      </c>
      <c r="M4046" s="117" t="str">
        <f>IF(A4046="","",VLOOKUP(A4046,'6.A'!$A$11:$C$564,2,FALSE))</f>
        <v>SELADOR ACRILICO OPACO PREMIUM INTERIOR/EXTERIOR</v>
      </c>
      <c r="N4046" s="57" t="str">
        <f t="shared" si="1752"/>
        <v>si</v>
      </c>
      <c r="O4046" s="56"/>
      <c r="P4046" s="56"/>
      <c r="Q4046" s="48"/>
      <c r="R4046" s="48"/>
      <c r="S4046" s="65"/>
      <c r="T4046" s="2"/>
      <c r="U4046" s="2"/>
      <c r="V4046" s="2"/>
    </row>
    <row r="4047" spans="1:22" s="149" customFormat="1" ht="12.75" customHeight="1" x14ac:dyDescent="0.2">
      <c r="A4047" s="155">
        <f>'6.A'!$A$134</f>
        <v>38383</v>
      </c>
      <c r="B4047" s="138" t="str">
        <f>IF(A4047="","",VLOOKUP(A4047,'6.A'!$A$11:$G$180,2,FALSE))</f>
        <v>LIXA D'AGUA EM FOLHA</v>
      </c>
      <c r="C4047" s="156">
        <v>0.3</v>
      </c>
      <c r="D4047" s="141" t="str">
        <f>IF(A4047="","",VLOOKUP(A4047,'6.A'!$A$11:$G$180,4,FALSE))</f>
        <v>UN</v>
      </c>
      <c r="E4047" s="160">
        <f>IF(A4047="","",VLOOKUP(A4047,'6.A'!$A$11:$G$180,5,FALSE))</f>
        <v>0</v>
      </c>
      <c r="F4047" s="159">
        <f t="shared" si="1749"/>
        <v>0</v>
      </c>
      <c r="G4047" s="52"/>
      <c r="H4047" s="52">
        <f>IF(A4047="","",VLOOKUP(A4047,'6.A'!$A$11:$E$7984,5,FALSE))</f>
        <v>0</v>
      </c>
      <c r="I4047" s="52" t="str">
        <f t="shared" si="1750"/>
        <v>SIM</v>
      </c>
      <c r="J4047" s="52" t="str">
        <f>IF(H4047="","",VLOOKUP(A4047,'6.A'!$A$11:$E$564,4,FALSE))</f>
        <v>UN</v>
      </c>
      <c r="K4047" s="52" t="str">
        <f t="shared" si="1751"/>
        <v>SIM</v>
      </c>
      <c r="L4047" s="52">
        <f>IF(H4047="","",IF(C4047="","",G4016*C4047))</f>
        <v>1.5</v>
      </c>
      <c r="M4047" s="117" t="str">
        <f>IF(A4047="","",VLOOKUP(A4047,'6.A'!$A$11:$C$564,2,FALSE))</f>
        <v>LIXA D'AGUA EM FOLHA</v>
      </c>
      <c r="N4047" s="57" t="str">
        <f t="shared" si="1752"/>
        <v>si</v>
      </c>
      <c r="O4047" s="56"/>
      <c r="P4047" s="56"/>
      <c r="Q4047" s="48"/>
      <c r="R4047" s="48"/>
      <c r="S4047" s="65"/>
      <c r="T4047" s="2"/>
      <c r="U4047" s="2"/>
      <c r="V4047" s="2"/>
    </row>
    <row r="4048" spans="1:22" s="149" customFormat="1" ht="12.75" customHeight="1" x14ac:dyDescent="0.2">
      <c r="A4048" s="155"/>
      <c r="B4048" s="138" t="str">
        <f>IF(A4048="","",VLOOKUP(A4048,'6.A'!$A$11:$G$180,2,FALSE))</f>
        <v/>
      </c>
      <c r="C4048" s="156"/>
      <c r="D4048" s="141" t="str">
        <f>IF(A4048="","",VLOOKUP(A4048,'6.A'!$A$11:$G$180,4,FALSE))</f>
        <v/>
      </c>
      <c r="E4048" s="160" t="str">
        <f>IF(A4048="","",VLOOKUP(A4048,'6.A'!$A$11:$G$180,5,FALSE))</f>
        <v/>
      </c>
      <c r="F4048" s="159" t="str">
        <f t="shared" si="1749"/>
        <v>0,00</v>
      </c>
      <c r="G4048" s="52"/>
      <c r="H4048" s="52" t="str">
        <f>IF(A4048="","",VLOOKUP(A4048,'6.A'!$A$11:$E$7984,5,FALSE))</f>
        <v/>
      </c>
      <c r="I4048" s="52" t="str">
        <f t="shared" si="1750"/>
        <v/>
      </c>
      <c r="J4048" s="52" t="str">
        <f>IF(H4048="","",VLOOKUP(A4048,'6.A'!$A$11:$E$564,4,FALSE))</f>
        <v/>
      </c>
      <c r="K4048" s="52" t="str">
        <f t="shared" si="1751"/>
        <v/>
      </c>
      <c r="L4048" s="52" t="str">
        <f>IF(H4048="","",IF(C4048="","",G4016*C4048))</f>
        <v/>
      </c>
      <c r="M4048" s="117" t="str">
        <f>IF(A4048="","",VLOOKUP(A4048,'6.A'!$A$11:$C$564,2,FALSE))</f>
        <v/>
      </c>
      <c r="N4048" s="57" t="str">
        <f t="shared" si="1752"/>
        <v/>
      </c>
      <c r="O4048" s="56"/>
      <c r="P4048" s="56"/>
      <c r="Q4048" s="48"/>
      <c r="R4048" s="48"/>
      <c r="S4048" s="65"/>
      <c r="T4048" s="2"/>
      <c r="U4048" s="2"/>
      <c r="V4048" s="2"/>
    </row>
    <row r="4049" spans="1:22" s="149" customFormat="1" ht="12.75" customHeight="1" x14ac:dyDescent="0.2">
      <c r="A4049" s="155"/>
      <c r="B4049" s="138" t="str">
        <f>IF(A4049="","",VLOOKUP(A4049,'6.A'!$A$11:$G$180,2,FALSE))</f>
        <v/>
      </c>
      <c r="C4049" s="156"/>
      <c r="D4049" s="141" t="str">
        <f>IF(A4049="","",VLOOKUP(A4049,'6.A'!$A$11:$G$180,4,FALSE))</f>
        <v/>
      </c>
      <c r="E4049" s="160" t="str">
        <f>IF(A4049="","",VLOOKUP(A4049,'6.A'!$A$11:$G$180,5,FALSE))</f>
        <v/>
      </c>
      <c r="F4049" s="159" t="str">
        <f t="shared" si="1749"/>
        <v>0,00</v>
      </c>
      <c r="G4049" s="52"/>
      <c r="H4049" s="52" t="str">
        <f>IF(A4049="","",VLOOKUP(A4049,'6.A'!$A$11:$E$7984,5,FALSE))</f>
        <v/>
      </c>
      <c r="I4049" s="52" t="str">
        <f t="shared" si="1750"/>
        <v/>
      </c>
      <c r="J4049" s="52" t="str">
        <f>IF(H4049="","",VLOOKUP(A4049,'6.A'!$A$11:$E$564,4,FALSE))</f>
        <v/>
      </c>
      <c r="K4049" s="52" t="str">
        <f t="shared" si="1751"/>
        <v/>
      </c>
      <c r="L4049" s="52" t="str">
        <f>IF(H4049="","",IF(C4049="","",G4016*C4049))</f>
        <v/>
      </c>
      <c r="M4049" s="117" t="str">
        <f>IF(A4049="","",VLOOKUP(A4049,'6.A'!$A$11:$C$564,2,FALSE))</f>
        <v/>
      </c>
      <c r="N4049" s="57" t="str">
        <f t="shared" si="1752"/>
        <v/>
      </c>
      <c r="O4049" s="56"/>
      <c r="P4049" s="56"/>
      <c r="Q4049" s="48"/>
      <c r="R4049" s="48"/>
      <c r="S4049" s="65"/>
      <c r="T4049" s="2"/>
      <c r="U4049" s="2"/>
      <c r="V4049" s="2"/>
    </row>
    <row r="4050" spans="1:22" s="149" customFormat="1" ht="12.75" customHeight="1" x14ac:dyDescent="0.2">
      <c r="A4050" s="155"/>
      <c r="B4050" s="138" t="str">
        <f>IF(A4050="","",VLOOKUP(A4050,'6.A'!$A$11:$G$180,2,FALSE))</f>
        <v/>
      </c>
      <c r="C4050" s="156"/>
      <c r="D4050" s="141" t="str">
        <f>IF(A4050="","",VLOOKUP(A4050,'6.A'!$A$11:$G$180,4,FALSE))</f>
        <v/>
      </c>
      <c r="E4050" s="160" t="str">
        <f>IF(A4050="","",VLOOKUP(A4050,'6.A'!$A$11:$G$180,5,FALSE))</f>
        <v/>
      </c>
      <c r="F4050" s="159" t="str">
        <f t="shared" si="1749"/>
        <v>0,00</v>
      </c>
      <c r="G4050" s="52"/>
      <c r="H4050" s="52" t="str">
        <f>IF(A4050="","",VLOOKUP(A4050,'6.A'!$A$11:$E$7984,5,FALSE))</f>
        <v/>
      </c>
      <c r="I4050" s="52" t="str">
        <f t="shared" si="1750"/>
        <v/>
      </c>
      <c r="J4050" s="52" t="str">
        <f>IF(H4050="","",VLOOKUP(A4050,'6.A'!$A$11:$E$564,4,FALSE))</f>
        <v/>
      </c>
      <c r="K4050" s="52" t="str">
        <f t="shared" si="1751"/>
        <v/>
      </c>
      <c r="L4050" s="52" t="str">
        <f>IF(H4050="","",IF(C4050="","",G4016*C4050))</f>
        <v/>
      </c>
      <c r="M4050" s="117" t="str">
        <f>IF(A4050="","",VLOOKUP(A4050,'6.A'!$A$11:$C$564,2,FALSE))</f>
        <v/>
      </c>
      <c r="N4050" s="57" t="str">
        <f t="shared" si="1752"/>
        <v/>
      </c>
      <c r="O4050" s="56"/>
      <c r="P4050" s="56"/>
      <c r="Q4050" s="48"/>
      <c r="R4050" s="48"/>
      <c r="S4050" s="65"/>
      <c r="T4050" s="2"/>
      <c r="U4050" s="2"/>
      <c r="V4050" s="2"/>
    </row>
    <row r="4051" spans="1:22" s="149" customFormat="1" ht="12.75" customHeight="1" x14ac:dyDescent="0.2">
      <c r="A4051" s="155"/>
      <c r="B4051" s="138" t="str">
        <f>IF(A4051="","",VLOOKUP(A4051,'6.A'!$A$11:$G$180,2,FALSE))</f>
        <v/>
      </c>
      <c r="C4051" s="156"/>
      <c r="D4051" s="141" t="str">
        <f>IF(A4051="","",VLOOKUP(A4051,'6.A'!$A$11:$G$180,4,FALSE))</f>
        <v/>
      </c>
      <c r="E4051" s="160" t="str">
        <f>IF(A4051="","",VLOOKUP(A4051,'6.A'!$A$11:$G$180,5,FALSE))</f>
        <v/>
      </c>
      <c r="F4051" s="159" t="str">
        <f t="shared" si="1749"/>
        <v>0,00</v>
      </c>
      <c r="G4051" s="52"/>
      <c r="H4051" s="52" t="str">
        <f>IF(A4051="","",VLOOKUP(A4051,'6.A'!$A$11:$E$7984,5,FALSE))</f>
        <v/>
      </c>
      <c r="I4051" s="52" t="str">
        <f t="shared" si="1750"/>
        <v/>
      </c>
      <c r="J4051" s="52" t="str">
        <f>IF(H4051="","",VLOOKUP(A4051,'6.A'!$A$11:$E$564,4,FALSE))</f>
        <v/>
      </c>
      <c r="K4051" s="52" t="str">
        <f t="shared" si="1751"/>
        <v/>
      </c>
      <c r="L4051" s="52" t="str">
        <f>IF(H4051="","",IF(C4051="","",G4016*C4051))</f>
        <v/>
      </c>
      <c r="M4051" s="117" t="str">
        <f>IF(A4051="","",VLOOKUP(A4051,'6.A'!$A$11:$C$564,2,FALSE))</f>
        <v/>
      </c>
      <c r="N4051" s="57" t="str">
        <f t="shared" si="1752"/>
        <v/>
      </c>
      <c r="O4051" s="56"/>
      <c r="P4051" s="56"/>
      <c r="Q4051" s="48"/>
      <c r="R4051" s="48"/>
      <c r="S4051" s="65"/>
      <c r="T4051" s="2"/>
      <c r="U4051" s="2"/>
      <c r="V4051" s="2"/>
    </row>
    <row r="4052" spans="1:22" s="149" customFormat="1" ht="12.75" customHeight="1" x14ac:dyDescent="0.2">
      <c r="A4052" s="155"/>
      <c r="B4052" s="138" t="str">
        <f>IF(A4052="","",VLOOKUP(A4052,'6.A'!$A$11:$G$180,2,FALSE))</f>
        <v/>
      </c>
      <c r="C4052" s="156"/>
      <c r="D4052" s="141" t="str">
        <f>IF(A4052="","",VLOOKUP(A4052,'6.A'!$A$11:$G$180,4,FALSE))</f>
        <v/>
      </c>
      <c r="E4052" s="160" t="str">
        <f>IF(A4052="","",VLOOKUP(A4052,'6.A'!$A$11:$G$180,5,FALSE))</f>
        <v/>
      </c>
      <c r="F4052" s="159" t="str">
        <f t="shared" si="1749"/>
        <v>0,00</v>
      </c>
      <c r="G4052" s="52"/>
      <c r="H4052" s="52" t="str">
        <f>IF(A4052="","",VLOOKUP(A4052,'6.A'!$A$11:$E$7984,5,FALSE))</f>
        <v/>
      </c>
      <c r="I4052" s="52" t="str">
        <f t="shared" si="1750"/>
        <v/>
      </c>
      <c r="J4052" s="52" t="str">
        <f>IF(H4052="","",VLOOKUP(A4052,'6.A'!$A$11:$E$564,4,FALSE))</f>
        <v/>
      </c>
      <c r="K4052" s="52" t="str">
        <f t="shared" si="1751"/>
        <v/>
      </c>
      <c r="L4052" s="52" t="str">
        <f>IF(H4052="","",IF(C4052="","",G4016*C4052))</f>
        <v/>
      </c>
      <c r="M4052" s="117" t="str">
        <f>IF(A4052="","",VLOOKUP(A4052,'6.A'!$A$11:$C$564,2,FALSE))</f>
        <v/>
      </c>
      <c r="N4052" s="57" t="str">
        <f t="shared" si="1752"/>
        <v/>
      </c>
      <c r="O4052" s="56"/>
      <c r="P4052" s="56"/>
      <c r="Q4052" s="48"/>
      <c r="R4052" s="48"/>
      <c r="S4052" s="65"/>
      <c r="T4052" s="2"/>
      <c r="U4052" s="2"/>
      <c r="V4052" s="2"/>
    </row>
    <row r="4053" spans="1:22" s="149" customFormat="1" ht="12.75" customHeight="1" x14ac:dyDescent="0.2">
      <c r="A4053" s="155"/>
      <c r="B4053" s="138" t="str">
        <f>IF(A4053="","",VLOOKUP(A4053,'6.A'!$A$11:$G$180,2,FALSE))</f>
        <v/>
      </c>
      <c r="C4053" s="156"/>
      <c r="D4053" s="141" t="str">
        <f>IF(A4053="","",VLOOKUP(A4053,'6.A'!$A$11:$G$180,4,FALSE))</f>
        <v/>
      </c>
      <c r="E4053" s="160" t="str">
        <f>IF(A4053="","",VLOOKUP(A4053,'6.A'!$A$11:$G$180,5,FALSE))</f>
        <v/>
      </c>
      <c r="F4053" s="159" t="str">
        <f t="shared" si="1749"/>
        <v>0,00</v>
      </c>
      <c r="G4053" s="52"/>
      <c r="H4053" s="52" t="str">
        <f>IF(A4053="","",VLOOKUP(A4053,'6.A'!$A$11:$E$7984,5,FALSE))</f>
        <v/>
      </c>
      <c r="I4053" s="52" t="str">
        <f t="shared" si="1750"/>
        <v/>
      </c>
      <c r="J4053" s="52" t="str">
        <f>IF(H4053="","",VLOOKUP(A4053,'6.A'!$A$11:$E$564,4,FALSE))</f>
        <v/>
      </c>
      <c r="K4053" s="52" t="str">
        <f t="shared" si="1751"/>
        <v/>
      </c>
      <c r="L4053" s="52" t="str">
        <f>IF(H4053="","",IF(C4053="","",G4016*C4053))</f>
        <v/>
      </c>
      <c r="M4053" s="117" t="str">
        <f>IF(A4053="","",VLOOKUP(A4053,'6.A'!$A$11:$C$564,2,FALSE))</f>
        <v/>
      </c>
      <c r="N4053" s="57" t="str">
        <f t="shared" si="1752"/>
        <v/>
      </c>
      <c r="O4053" s="56"/>
      <c r="P4053" s="56"/>
      <c r="Q4053" s="48"/>
      <c r="R4053" s="48"/>
      <c r="S4053" s="65"/>
      <c r="T4053" s="2"/>
      <c r="U4053" s="2"/>
      <c r="V4053" s="2"/>
    </row>
    <row r="4054" spans="1:22" s="149" customFormat="1" ht="12.75" customHeight="1" x14ac:dyDescent="0.2">
      <c r="A4054" s="155"/>
      <c r="B4054" s="138" t="str">
        <f>IF(A4054="","",VLOOKUP(A4054,'6.A'!$A$11:$G$180,2,FALSE))</f>
        <v/>
      </c>
      <c r="C4054" s="156"/>
      <c r="D4054" s="141" t="str">
        <f>IF(A4054="","",VLOOKUP(A4054,'6.A'!$A$11:$G$180,4,FALSE))</f>
        <v/>
      </c>
      <c r="E4054" s="160" t="str">
        <f>IF(A4054="","",VLOOKUP(A4054,'6.A'!$A$11:$G$180,5,FALSE))</f>
        <v/>
      </c>
      <c r="F4054" s="159" t="str">
        <f t="shared" si="1749"/>
        <v>0,00</v>
      </c>
      <c r="G4054" s="52"/>
      <c r="H4054" s="52" t="str">
        <f>IF(A4054="","",VLOOKUP(A4054,'6.A'!$A$11:$E$7984,5,FALSE))</f>
        <v/>
      </c>
      <c r="I4054" s="52" t="str">
        <f t="shared" si="1750"/>
        <v/>
      </c>
      <c r="J4054" s="52" t="str">
        <f>IF(H4054="","",VLOOKUP(A4054,'6.A'!$A$11:$E$564,4,FALSE))</f>
        <v/>
      </c>
      <c r="K4054" s="52" t="str">
        <f t="shared" si="1751"/>
        <v/>
      </c>
      <c r="L4054" s="52" t="str">
        <f>IF(H4054="","",IF(C4054="","",G4016*C4054))</f>
        <v/>
      </c>
      <c r="M4054" s="117" t="str">
        <f>IF(A4054="","",VLOOKUP(A4054,'6.A'!$A$11:$C$564,2,FALSE))</f>
        <v/>
      </c>
      <c r="N4054" s="57" t="str">
        <f t="shared" si="1752"/>
        <v/>
      </c>
      <c r="O4054" s="56"/>
      <c r="P4054" s="56"/>
      <c r="Q4054" s="48"/>
      <c r="R4054" s="48"/>
      <c r="S4054" s="65"/>
      <c r="T4054" s="2"/>
      <c r="U4054" s="2"/>
      <c r="V4054" s="2"/>
    </row>
    <row r="4055" spans="1:22" s="149" customFormat="1" ht="12.75" customHeight="1" x14ac:dyDescent="0.2">
      <c r="A4055" s="155"/>
      <c r="B4055" s="138" t="str">
        <f>IF(A4055="","",VLOOKUP(A4055,'6.A'!$A$11:$G$180,2,FALSE))</f>
        <v/>
      </c>
      <c r="C4055" s="156"/>
      <c r="D4055" s="141" t="str">
        <f>IF(A4055="","",VLOOKUP(A4055,'6.A'!$A$11:$G$180,4,FALSE))</f>
        <v/>
      </c>
      <c r="E4055" s="160" t="str">
        <f>IF(A4055="","",VLOOKUP(A4055,'6.A'!$A$11:$G$180,5,FALSE))</f>
        <v/>
      </c>
      <c r="F4055" s="159" t="str">
        <f t="shared" si="1749"/>
        <v>0,00</v>
      </c>
      <c r="G4055" s="52"/>
      <c r="H4055" s="52" t="str">
        <f>IF(A4055="","",VLOOKUP(A4055,'6.A'!$A$11:$E$7984,5,FALSE))</f>
        <v/>
      </c>
      <c r="I4055" s="52" t="str">
        <f t="shared" si="1750"/>
        <v/>
      </c>
      <c r="J4055" s="52" t="str">
        <f>IF(H4055="","",VLOOKUP(A4055,'6.A'!$A$11:$E$564,4,FALSE))</f>
        <v/>
      </c>
      <c r="K4055" s="52" t="str">
        <f t="shared" si="1751"/>
        <v/>
      </c>
      <c r="L4055" s="52" t="str">
        <f>IF(H4055="","",IF(C4055="","",G4016*C4055))</f>
        <v/>
      </c>
      <c r="M4055" s="117" t="str">
        <f>IF(A4055="","",VLOOKUP(A4055,'6.A'!$A$11:$C$564,2,FALSE))</f>
        <v/>
      </c>
      <c r="N4055" s="57" t="str">
        <f t="shared" si="1752"/>
        <v/>
      </c>
      <c r="O4055" s="56"/>
      <c r="P4055" s="56"/>
      <c r="Q4055" s="48"/>
      <c r="R4055" s="48"/>
      <c r="S4055" s="65"/>
      <c r="T4055" s="2"/>
      <c r="U4055" s="2"/>
      <c r="V4055" s="2"/>
    </row>
    <row r="4056" spans="1:22" s="149" customFormat="1" ht="12.75" customHeight="1" x14ac:dyDescent="0.2">
      <c r="A4056" s="155"/>
      <c r="B4056" s="138" t="str">
        <f>IF(A4056="","",VLOOKUP(A4056,'6.A'!$A$11:$G$180,2,FALSE))</f>
        <v/>
      </c>
      <c r="C4056" s="156"/>
      <c r="D4056" s="141" t="str">
        <f>IF(A4056="","",VLOOKUP(A4056,'6.A'!$A$11:$G$180,4,FALSE))</f>
        <v/>
      </c>
      <c r="E4056" s="160" t="str">
        <f>IF(A4056="","",VLOOKUP(A4056,'6.A'!$A$11:$G$180,5,FALSE))</f>
        <v/>
      </c>
      <c r="F4056" s="159" t="str">
        <f t="shared" si="1749"/>
        <v>0,00</v>
      </c>
      <c r="G4056" s="52"/>
      <c r="H4056" s="52" t="str">
        <f>IF(A4056="","",VLOOKUP(A4056,'6.A'!$A$11:$E$7984,5,FALSE))</f>
        <v/>
      </c>
      <c r="I4056" s="52" t="str">
        <f t="shared" si="1750"/>
        <v/>
      </c>
      <c r="J4056" s="52" t="str">
        <f>IF(H4056="","",VLOOKUP(A4056,'6.A'!$A$11:$E$564,4,FALSE))</f>
        <v/>
      </c>
      <c r="K4056" s="52" t="str">
        <f t="shared" si="1751"/>
        <v/>
      </c>
      <c r="L4056" s="52" t="str">
        <f>IF(H4056="","",IF(C4056="","",G4016*C4056))</f>
        <v/>
      </c>
      <c r="M4056" s="117" t="str">
        <f>IF(A4056="","",VLOOKUP(A4056,'6.A'!$A$11:$C$564,2,FALSE))</f>
        <v/>
      </c>
      <c r="N4056" s="57" t="str">
        <f t="shared" si="1752"/>
        <v/>
      </c>
      <c r="O4056" s="56"/>
      <c r="P4056" s="56"/>
      <c r="Q4056" s="48"/>
      <c r="R4056" s="48"/>
      <c r="S4056" s="65"/>
      <c r="T4056" s="2"/>
      <c r="U4056" s="2"/>
      <c r="V4056" s="2"/>
    </row>
    <row r="4057" spans="1:22" s="149" customFormat="1" ht="12.75" customHeight="1" x14ac:dyDescent="0.2">
      <c r="A4057" s="155"/>
      <c r="B4057" s="138" t="str">
        <f>IF(A4057="","",VLOOKUP(A4057,'6.A'!$A$11:$G$180,2,FALSE))</f>
        <v/>
      </c>
      <c r="C4057" s="156"/>
      <c r="D4057" s="141" t="str">
        <f>IF(A4057="","",VLOOKUP(A4057,'6.A'!$A$11:$G$180,4,FALSE))</f>
        <v/>
      </c>
      <c r="E4057" s="160" t="str">
        <f>IF(A4057="","",VLOOKUP(A4057,'6.A'!$A$11:$G$180,5,FALSE))</f>
        <v/>
      </c>
      <c r="F4057" s="159" t="str">
        <f t="shared" si="1749"/>
        <v>0,00</v>
      </c>
      <c r="G4057" s="52"/>
      <c r="H4057" s="52" t="str">
        <f>IF(A4057="","",VLOOKUP(A4057,'6.A'!$A$11:$E$7984,5,FALSE))</f>
        <v/>
      </c>
      <c r="I4057" s="52" t="str">
        <f t="shared" si="1750"/>
        <v/>
      </c>
      <c r="J4057" s="52" t="str">
        <f>IF(H4057="","",VLOOKUP(A4057,'6.A'!$A$11:$E$564,4,FALSE))</f>
        <v/>
      </c>
      <c r="K4057" s="52" t="str">
        <f t="shared" si="1751"/>
        <v/>
      </c>
      <c r="L4057" s="52" t="str">
        <f>IF(H4057="","",IF(C4057="","",G4016*C4057))</f>
        <v/>
      </c>
      <c r="M4057" s="117" t="str">
        <f>IF(A4057="","",VLOOKUP(A4057,'6.A'!$A$11:$C$564,2,FALSE))</f>
        <v/>
      </c>
      <c r="N4057" s="57" t="str">
        <f t="shared" si="1752"/>
        <v/>
      </c>
      <c r="O4057" s="56"/>
      <c r="P4057" s="56"/>
      <c r="Q4057" s="48"/>
      <c r="R4057" s="48"/>
      <c r="S4057" s="65"/>
      <c r="T4057" s="2"/>
      <c r="U4057" s="2"/>
      <c r="V4057" s="2"/>
    </row>
    <row r="4058" spans="1:22" s="149" customFormat="1" ht="12.75" customHeight="1" x14ac:dyDescent="0.2">
      <c r="A4058" s="155"/>
      <c r="B4058" s="138" t="str">
        <f>IF(A4058="","",VLOOKUP(A4058,'6.A'!$A$11:$G$180,2,FALSE))</f>
        <v/>
      </c>
      <c r="C4058" s="156"/>
      <c r="D4058" s="141" t="str">
        <f>IF(A4058="","",VLOOKUP(A4058,'6.A'!$A$11:$G$180,4,FALSE))</f>
        <v/>
      </c>
      <c r="E4058" s="160" t="str">
        <f>IF(A4058="","",VLOOKUP(A4058,'6.A'!$A$11:$G$180,5,FALSE))</f>
        <v/>
      </c>
      <c r="F4058" s="159" t="str">
        <f t="shared" si="1749"/>
        <v>0,00</v>
      </c>
      <c r="G4058" s="52"/>
      <c r="H4058" s="52" t="str">
        <f>IF(A4058="","",VLOOKUP(A4058,'6.A'!$A$11:$E$7984,5,FALSE))</f>
        <v/>
      </c>
      <c r="I4058" s="52" t="str">
        <f t="shared" si="1750"/>
        <v/>
      </c>
      <c r="J4058" s="52" t="str">
        <f>IF(H4058="","",VLOOKUP(A4058,'6.A'!$A$11:$E$564,4,FALSE))</f>
        <v/>
      </c>
      <c r="K4058" s="52" t="str">
        <f t="shared" si="1751"/>
        <v/>
      </c>
      <c r="L4058" s="52" t="str">
        <f>IF(H4058="","",IF(C4058="","",G4016*C4058))</f>
        <v/>
      </c>
      <c r="M4058" s="117" t="str">
        <f>IF(A4058="","",VLOOKUP(A4058,'6.A'!$A$11:$C$564,2,FALSE))</f>
        <v/>
      </c>
      <c r="N4058" s="57" t="str">
        <f t="shared" si="1752"/>
        <v/>
      </c>
      <c r="O4058" s="56"/>
      <c r="P4058" s="56"/>
      <c r="Q4058" s="48"/>
      <c r="R4058" s="48"/>
      <c r="S4058" s="65"/>
      <c r="T4058" s="2"/>
      <c r="U4058" s="2"/>
      <c r="V4058" s="2"/>
    </row>
    <row r="4059" spans="1:22" s="149" customFormat="1" ht="12.75" customHeight="1" x14ac:dyDescent="0.2">
      <c r="A4059" s="155"/>
      <c r="B4059" s="138" t="str">
        <f>IF(A4059="","",VLOOKUP(A4059,'6.A'!$A$11:$G$180,2,FALSE))</f>
        <v/>
      </c>
      <c r="C4059" s="156"/>
      <c r="D4059" s="141" t="str">
        <f>IF(A4059="","",VLOOKUP(A4059,'6.A'!$A$11:$G$180,4,FALSE))</f>
        <v/>
      </c>
      <c r="E4059" s="160" t="str">
        <f>IF(A4059="","",VLOOKUP(A4059,'6.A'!$A$11:$G$180,5,FALSE))</f>
        <v/>
      </c>
      <c r="F4059" s="159" t="str">
        <f t="shared" si="1749"/>
        <v>0,00</v>
      </c>
      <c r="G4059" s="52"/>
      <c r="H4059" s="52" t="str">
        <f>IF(A4059="","",VLOOKUP(A4059,'6.A'!$A$11:$E$7984,5,FALSE))</f>
        <v/>
      </c>
      <c r="I4059" s="52" t="str">
        <f t="shared" si="1750"/>
        <v/>
      </c>
      <c r="J4059" s="52" t="str">
        <f>IF(H4059="","",VLOOKUP(A4059,'6.A'!$A$11:$E$564,4,FALSE))</f>
        <v/>
      </c>
      <c r="K4059" s="52" t="str">
        <f t="shared" si="1751"/>
        <v/>
      </c>
      <c r="L4059" s="52" t="str">
        <f>IF(H4059="","",IF(C4059="","",G4016*C4059))</f>
        <v/>
      </c>
      <c r="M4059" s="117" t="str">
        <f>IF(A4059="","",VLOOKUP(A4059,'6.A'!$A$11:$C$564,2,FALSE))</f>
        <v/>
      </c>
      <c r="N4059" s="57" t="str">
        <f t="shared" si="1752"/>
        <v/>
      </c>
      <c r="O4059" s="56"/>
      <c r="P4059" s="56"/>
      <c r="Q4059" s="48"/>
      <c r="R4059" s="48"/>
      <c r="S4059" s="65"/>
      <c r="T4059" s="2"/>
      <c r="U4059" s="2"/>
      <c r="V4059" s="2"/>
    </row>
    <row r="4060" spans="1:22" s="149" customFormat="1" ht="12.75" customHeight="1" x14ac:dyDescent="0.2">
      <c r="A4060" s="155"/>
      <c r="B4060" s="138" t="str">
        <f>IF(A4060="","",VLOOKUP(A4060,'6.A'!$A$11:$G$180,2,FALSE))</f>
        <v/>
      </c>
      <c r="C4060" s="156"/>
      <c r="D4060" s="141" t="str">
        <f>IF(A4060="","",VLOOKUP(A4060,'6.A'!$A$11:$G$180,4,FALSE))</f>
        <v/>
      </c>
      <c r="E4060" s="160" t="str">
        <f>IF(A4060="","",VLOOKUP(A4060,'6.A'!$A$11:$G$180,5,FALSE))</f>
        <v/>
      </c>
      <c r="F4060" s="159" t="str">
        <f t="shared" si="1749"/>
        <v>0,00</v>
      </c>
      <c r="G4060" s="52"/>
      <c r="H4060" s="52" t="str">
        <f>IF(A4060="","",VLOOKUP(A4060,'6.A'!$A$11:$E$7984,5,FALSE))</f>
        <v/>
      </c>
      <c r="I4060" s="52" t="str">
        <f t="shared" si="1750"/>
        <v/>
      </c>
      <c r="J4060" s="52" t="str">
        <f>IF(H4060="","",VLOOKUP(A4060,'6.A'!$A$11:$E$564,4,FALSE))</f>
        <v/>
      </c>
      <c r="K4060" s="52" t="str">
        <f t="shared" si="1751"/>
        <v/>
      </c>
      <c r="L4060" s="52" t="str">
        <f>IF(H4060="","",IF(C4060="","",G4016*C4060))</f>
        <v/>
      </c>
      <c r="M4060" s="117" t="str">
        <f>IF(A4060="","",VLOOKUP(A4060,'6.A'!$A$11:$C$564,2,FALSE))</f>
        <v/>
      </c>
      <c r="N4060" s="57" t="str">
        <f t="shared" si="1752"/>
        <v/>
      </c>
      <c r="O4060" s="56"/>
      <c r="P4060" s="56"/>
      <c r="Q4060" s="48"/>
      <c r="R4060" s="48"/>
      <c r="S4060" s="65"/>
      <c r="T4060" s="2"/>
      <c r="U4060" s="2"/>
      <c r="V4060" s="2"/>
    </row>
    <row r="4061" spans="1:22" s="149" customFormat="1" ht="12.75" customHeight="1" x14ac:dyDescent="0.2">
      <c r="A4061" s="155"/>
      <c r="B4061" s="171" t="str">
        <f>IF(A4061="","",VLOOKUP(A4061,'6.A'!$A$11:$G$180,2,FALSE))</f>
        <v/>
      </c>
      <c r="C4061" s="156"/>
      <c r="D4061" s="141" t="str">
        <f>IF(A4061="","",VLOOKUP(A4061,'6.A'!$A$11:$G$180,4,FALSE))</f>
        <v/>
      </c>
      <c r="E4061" s="160" t="str">
        <f>IF(A4061="","",VLOOKUP(A4061,'6.A'!$A$11:$G$180,5,FALSE))</f>
        <v/>
      </c>
      <c r="F4061" s="159" t="str">
        <f t="shared" si="1749"/>
        <v>0,00</v>
      </c>
      <c r="G4061" s="52"/>
      <c r="H4061" s="52" t="str">
        <f>IF(A4061="","",VLOOKUP(A4061,'6.A'!$A$11:$E$7984,5,FALSE))</f>
        <v/>
      </c>
      <c r="I4061" s="52" t="str">
        <f t="shared" si="1750"/>
        <v/>
      </c>
      <c r="J4061" s="52" t="str">
        <f>IF(H4061="","",VLOOKUP(A4061,'6.A'!$A$11:$E$564,4,FALSE))</f>
        <v/>
      </c>
      <c r="K4061" s="52" t="str">
        <f t="shared" si="1751"/>
        <v/>
      </c>
      <c r="L4061" s="52" t="str">
        <f>IF(H4061="","",IF(C4061="","",G4016*C4061))</f>
        <v/>
      </c>
      <c r="M4061" s="117" t="str">
        <f>IF(A4061="","",VLOOKUP(A4061,'6.A'!$A$11:$C$564,2,FALSE))</f>
        <v/>
      </c>
      <c r="N4061" s="57" t="str">
        <f t="shared" si="1752"/>
        <v/>
      </c>
      <c r="O4061" s="56"/>
      <c r="P4061" s="56"/>
      <c r="Q4061" s="48"/>
      <c r="R4061" s="48"/>
      <c r="S4061" s="65"/>
      <c r="T4061" s="2"/>
      <c r="U4061" s="2"/>
      <c r="V4061" s="2"/>
    </row>
    <row r="4062" spans="1:22" s="149" customFormat="1" ht="12.75" customHeight="1" x14ac:dyDescent="0.2">
      <c r="A4062" s="155"/>
      <c r="B4062" s="171" t="str">
        <f>IF(A4062="","",VLOOKUP(A4062,'6.A'!$A$11:$G$180,2,FALSE))</f>
        <v/>
      </c>
      <c r="C4062" s="156"/>
      <c r="D4062" s="141" t="str">
        <f>IF(A4062="","",VLOOKUP(A4062,'6.A'!$A$11:$G$180,4,FALSE))</f>
        <v/>
      </c>
      <c r="E4062" s="160" t="str">
        <f>IF(A4062="","",VLOOKUP(A4062,'6.A'!$A$11:$G$180,5,FALSE))</f>
        <v/>
      </c>
      <c r="F4062" s="159" t="str">
        <f t="shared" si="1749"/>
        <v>0,00</v>
      </c>
      <c r="G4062" s="52"/>
      <c r="H4062" s="52" t="str">
        <f>IF(A4062="","",VLOOKUP(A4062,'6.A'!$A$11:$E$7984,5,FALSE))</f>
        <v/>
      </c>
      <c r="I4062" s="52" t="str">
        <f t="shared" si="1750"/>
        <v/>
      </c>
      <c r="J4062" s="52" t="str">
        <f>IF(H4062="","",VLOOKUP(A4062,'6.A'!$A$11:$E$564,4,FALSE))</f>
        <v/>
      </c>
      <c r="K4062" s="52" t="str">
        <f t="shared" si="1751"/>
        <v/>
      </c>
      <c r="L4062" s="52" t="str">
        <f>IF(H4062="","",IF(C4062="","",G4016*C4062))</f>
        <v/>
      </c>
      <c r="M4062" s="117" t="str">
        <f>IF(A4062="","",VLOOKUP(A4062,'6.A'!$A$11:$C$564,2,FALSE))</f>
        <v/>
      </c>
      <c r="N4062" s="57" t="str">
        <f t="shared" si="1752"/>
        <v/>
      </c>
      <c r="O4062" s="56"/>
      <c r="P4062" s="56"/>
      <c r="Q4062" s="48"/>
      <c r="R4062" s="48"/>
      <c r="S4062" s="65"/>
      <c r="T4062" s="2"/>
      <c r="U4062" s="2"/>
      <c r="V4062" s="2"/>
    </row>
    <row r="4063" spans="1:22" s="149" customFormat="1" ht="12.75" customHeight="1" x14ac:dyDescent="0.2">
      <c r="A4063" s="155"/>
      <c r="B4063" s="171" t="str">
        <f>IF(A4063="","",VLOOKUP(A4063,'6.A'!$A$11:$G$180,2,FALSE))</f>
        <v/>
      </c>
      <c r="C4063" s="156"/>
      <c r="D4063" s="141" t="str">
        <f>IF(A4063="","",VLOOKUP(A4063,'6.A'!$A$11:$G$180,4,FALSE))</f>
        <v/>
      </c>
      <c r="E4063" s="160" t="str">
        <f>IF(A4063="","",VLOOKUP(A4063,'6.A'!$A$11:$G$180,5,FALSE))</f>
        <v/>
      </c>
      <c r="F4063" s="159" t="str">
        <f t="shared" si="1749"/>
        <v>0,00</v>
      </c>
      <c r="G4063" s="52"/>
      <c r="H4063" s="52" t="str">
        <f>IF(A4063="","",VLOOKUP(A4063,'6.A'!$A$11:$E$7984,5,FALSE))</f>
        <v/>
      </c>
      <c r="I4063" s="52" t="str">
        <f t="shared" si="1750"/>
        <v/>
      </c>
      <c r="J4063" s="52" t="str">
        <f>IF(H4063="","",VLOOKUP(A4063,'6.A'!$A$11:$E$564,4,FALSE))</f>
        <v/>
      </c>
      <c r="K4063" s="52" t="str">
        <f t="shared" si="1751"/>
        <v/>
      </c>
      <c r="L4063" s="52" t="str">
        <f>IF(H4063="","",IF(C4063="","",G4016*C4063))</f>
        <v/>
      </c>
      <c r="M4063" s="117" t="str">
        <f>IF(A4063="","",VLOOKUP(A4063,'6.A'!$A$11:$C$564,2,FALSE))</f>
        <v/>
      </c>
      <c r="N4063" s="57" t="str">
        <f t="shared" si="1752"/>
        <v/>
      </c>
      <c r="O4063" s="56"/>
      <c r="P4063" s="56"/>
      <c r="Q4063" s="48"/>
      <c r="R4063" s="48"/>
      <c r="S4063" s="65"/>
      <c r="T4063" s="2"/>
      <c r="U4063" s="2"/>
      <c r="V4063" s="2"/>
    </row>
    <row r="4064" spans="1:22" s="149" customFormat="1" ht="12.75" customHeight="1" x14ac:dyDescent="0.2">
      <c r="A4064" s="155"/>
      <c r="B4064" s="171" t="str">
        <f>IF(A4064="","",VLOOKUP(A4064,'6.A'!$A$11:$G$180,2,FALSE))</f>
        <v/>
      </c>
      <c r="C4064" s="156"/>
      <c r="D4064" s="141" t="str">
        <f>IF(A4064="","",VLOOKUP(A4064,'6.A'!$A$11:$G$180,4,FALSE))</f>
        <v/>
      </c>
      <c r="E4064" s="160" t="str">
        <f>IF(A4064="","",VLOOKUP(A4064,'6.A'!$A$11:$G$180,5,FALSE))</f>
        <v/>
      </c>
      <c r="F4064" s="159" t="str">
        <f t="shared" si="1749"/>
        <v>0,00</v>
      </c>
      <c r="G4064" s="52"/>
      <c r="H4064" s="52" t="str">
        <f>IF(A4064="","",VLOOKUP(A4064,'6.A'!$A$11:$E$7984,5,FALSE))</f>
        <v/>
      </c>
      <c r="I4064" s="52" t="str">
        <f t="shared" si="1750"/>
        <v/>
      </c>
      <c r="J4064" s="52" t="str">
        <f>IF(H4064="","",VLOOKUP(A4064,'6.A'!$A$11:$E$564,4,FALSE))</f>
        <v/>
      </c>
      <c r="K4064" s="52" t="str">
        <f t="shared" si="1751"/>
        <v/>
      </c>
      <c r="L4064" s="52" t="str">
        <f>IF(H4064="","",IF(C4064="","",G4016*C4064))</f>
        <v/>
      </c>
      <c r="M4064" s="117" t="str">
        <f>IF(A4064="","",VLOOKUP(A4064,'6.A'!$A$11:$C$564,2,FALSE))</f>
        <v/>
      </c>
      <c r="N4064" s="57" t="str">
        <f t="shared" si="1752"/>
        <v/>
      </c>
      <c r="O4064" s="56"/>
      <c r="P4064" s="56"/>
      <c r="Q4064" s="48"/>
      <c r="R4064" s="48"/>
      <c r="S4064" s="65"/>
      <c r="T4064" s="2"/>
      <c r="U4064" s="2"/>
      <c r="V4064" s="2"/>
    </row>
    <row r="4065" spans="1:22" s="137" customFormat="1" ht="12.75" customHeight="1" x14ac:dyDescent="0.2">
      <c r="A4065" s="155"/>
      <c r="B4065" s="26" t="str">
        <f>$A$9</f>
        <v>BDI</v>
      </c>
      <c r="C4065" s="40">
        <f>$C$9</f>
        <v>0</v>
      </c>
      <c r="D4065" s="141"/>
      <c r="E4065" s="147"/>
      <c r="F4065" s="162">
        <f>ROUND(SUM(F4045:F4064)*C4065,2)</f>
        <v>0</v>
      </c>
      <c r="G4065" s="63"/>
      <c r="H4065" s="52"/>
      <c r="I4065" s="57"/>
      <c r="J4065" s="57"/>
      <c r="K4065" s="57"/>
      <c r="L4065" s="52"/>
      <c r="M4065" s="57"/>
      <c r="N4065" s="57"/>
      <c r="O4065" s="56"/>
      <c r="P4065" s="56"/>
      <c r="Q4065" s="48"/>
      <c r="R4065" s="48"/>
      <c r="S4065" s="65"/>
      <c r="T4065" s="2"/>
      <c r="U4065" s="2"/>
      <c r="V4065" s="2"/>
    </row>
    <row r="4066" spans="1:22" s="137" customFormat="1" ht="12.75" customHeight="1" thickBot="1" x14ac:dyDescent="0.25">
      <c r="A4066" s="172"/>
      <c r="B4066" s="42" t="s">
        <v>57</v>
      </c>
      <c r="C4066" s="43"/>
      <c r="D4066" s="173"/>
      <c r="E4066" s="174"/>
      <c r="F4066" s="175">
        <f>ROUND(SUM(F4045:F4065),2)</f>
        <v>0</v>
      </c>
      <c r="G4066" s="63"/>
      <c r="H4066" s="52"/>
      <c r="I4066" s="57"/>
      <c r="J4066" s="57"/>
      <c r="K4066" s="57"/>
      <c r="L4066" s="52"/>
      <c r="M4066" s="57"/>
      <c r="N4066" s="57"/>
      <c r="O4066" s="56"/>
      <c r="P4066" s="56"/>
      <c r="Q4066" s="48"/>
      <c r="R4066" s="48"/>
      <c r="S4066" s="65"/>
      <c r="T4066" s="2"/>
      <c r="U4066" s="2"/>
      <c r="V4066" s="2"/>
    </row>
    <row r="4067" spans="1:22" s="149" customFormat="1" ht="12" customHeight="1" thickBot="1" x14ac:dyDescent="0.25">
      <c r="A4067" s="150"/>
      <c r="B4067" s="145"/>
      <c r="C4067" s="146"/>
      <c r="D4067" s="141"/>
      <c r="E4067" s="147"/>
      <c r="F4067" s="142"/>
      <c r="G4067" s="142"/>
      <c r="H4067" s="139"/>
      <c r="I4067" s="141"/>
      <c r="J4067" s="141"/>
      <c r="K4067" s="141"/>
      <c r="L4067" s="139"/>
      <c r="M4067" s="143"/>
      <c r="N4067" s="143"/>
      <c r="O4067" s="144"/>
      <c r="P4067" s="144"/>
      <c r="Q4067" s="135"/>
      <c r="R4067" s="135"/>
      <c r="T4067" s="137"/>
      <c r="U4067" s="137"/>
      <c r="V4067" s="137"/>
    </row>
    <row r="4068" spans="1:22" s="137" customFormat="1" ht="50.1" customHeight="1" x14ac:dyDescent="0.2">
      <c r="A4068" s="151" t="str">
        <f>'3.A'!$A$89</f>
        <v>4.1.1</v>
      </c>
      <c r="B4068" s="14" t="str">
        <f>IF(A4068="","",VLOOKUP(A4068,'3.A'!$A$17:$M$279,2,FALSE))</f>
        <v>SERVIÇOS PARA DESATIVAÇÃO DA SUBESTAÇÃO EXISTENTE PTB033 E PTB107</v>
      </c>
      <c r="C4068" s="413" t="s">
        <v>62</v>
      </c>
      <c r="D4068" s="413"/>
      <c r="E4068" s="15" t="str">
        <f>IF(A4068="","",VLOOKUP(A4068,'3.A'!$A$17:$M$279,3,FALSE))</f>
        <v>GB</v>
      </c>
      <c r="F4068" s="16">
        <f>ROUND(F4082+F4095+F4118,2)</f>
        <v>0</v>
      </c>
      <c r="G4068" s="118">
        <f>VLOOKUP(A4068,'3.A'!$A$19:$I$279,4,FALSE)</f>
        <v>1</v>
      </c>
      <c r="H4068" s="47">
        <f>SUM(F4070:F4081)</f>
        <v>0</v>
      </c>
      <c r="I4068" s="47">
        <f>SUM(F4084:F4094)</f>
        <v>0</v>
      </c>
      <c r="J4068" s="47">
        <f>SUM(F4097:F4117)</f>
        <v>0</v>
      </c>
      <c r="K4068" s="47">
        <f>SUM(H4068:J4068)</f>
        <v>0</v>
      </c>
      <c r="L4068" s="47" t="str">
        <f>IF(K4068=F4068,"SIM","NÃO")</f>
        <v>SIM</v>
      </c>
      <c r="M4068" s="58">
        <f>ROUND(SUM(F4070:F4079)*C4080,2)+ROUND(SUM(F4070:F4080)*C4081,2)+ROUND(SUM(F4070:F4079),2)+ROUND(SUM(F4084:F4093)*C4094,2)+ROUND(SUM(F4084:F4093),2)+ROUND(SUM(F4097:F4116)*C4117,2)+ROUND(SUM(F4097:F4116),2)</f>
        <v>0</v>
      </c>
      <c r="N4068" s="50" t="str">
        <f>IF(M4068=F4068,"SIM","NÃO")</f>
        <v>SIM</v>
      </c>
      <c r="O4068" s="51" t="str">
        <f>VLOOKUP(A4068,'3.A'!$A$8:$E$279,3,FALSE)</f>
        <v>GB</v>
      </c>
      <c r="P4068" s="51" t="str">
        <f>IF(O4068=E4068,"SIM","NÃO")</f>
        <v>SIM</v>
      </c>
      <c r="Q4068" s="53">
        <f>ROUND(G4068*F4082,2)+ROUND(G4068*F4095,2)+ROUND(G4068*F4118,2)</f>
        <v>0</v>
      </c>
      <c r="R4068" s="59">
        <f>VLOOKUP(A4068,'3.A'!$A$17:$L$279,12,FALSE)</f>
        <v>0</v>
      </c>
      <c r="S4068" s="60" t="str">
        <f>IF(Q4068=R4068,"si","no")</f>
        <v>si</v>
      </c>
      <c r="T4068" s="61">
        <f>SUM(L4070:L4079)+SUM(L4084:L4093)+SUM(L4097:L4116)</f>
        <v>59.182000000000002</v>
      </c>
      <c r="U4068" s="52">
        <f>G4068*C4076+G4068*C4078+G4068*C4071+G4068*C4072+G4068*C4074+G4068*C4077+G4068*C4075+G4068*C4070+G4068*C4073+G4068*C4079+G4068*C4090+G4068*C4084+G4068*C4092+G4068*C4091+G4068*C4089+G4068*C4086+G4068*C4085+G4068*C4087+G4068*C4093+G4068*C4088+G4068*C4097+G4068*C4098+G4068*C4099+G4068*C4107+G4068*C4108+G4068*C4109+G4068*C4110+G4068*C4111+G4068*C4112+G4068*C4113+G4068*C4114+G4068*C4115+G4068*C4116+G4068*C4105+G4068*C4106+G4068*C4100+G4068*C4101+G4068*C4102+G4068*C4103+G4068*C4104</f>
        <v>59.182000000000002</v>
      </c>
      <c r="V4068" s="54" t="str">
        <f>IF(T4068=U4068,"si","no")</f>
        <v>si</v>
      </c>
    </row>
    <row r="4069" spans="1:22" s="137" customFormat="1" ht="12.75" customHeight="1" x14ac:dyDescent="0.2">
      <c r="A4069" s="152" t="s">
        <v>3</v>
      </c>
      <c r="B4069" s="153" t="s">
        <v>58</v>
      </c>
      <c r="C4069" s="140" t="s">
        <v>59</v>
      </c>
      <c r="D4069" s="140" t="s">
        <v>16</v>
      </c>
      <c r="E4069" s="154" t="s">
        <v>60</v>
      </c>
      <c r="F4069" s="148" t="s">
        <v>61</v>
      </c>
      <c r="G4069" s="21"/>
      <c r="H4069" s="52"/>
      <c r="I4069" s="57"/>
      <c r="J4069" s="57"/>
      <c r="K4069" s="57"/>
      <c r="L4069" s="52"/>
      <c r="M4069" s="57"/>
      <c r="N4069" s="57"/>
      <c r="O4069" s="56"/>
      <c r="P4069" s="56"/>
      <c r="Q4069" s="48"/>
      <c r="R4069" s="48"/>
      <c r="S4069" s="65"/>
      <c r="T4069" s="2"/>
      <c r="U4069" s="2"/>
      <c r="V4069" s="2"/>
    </row>
    <row r="4070" spans="1:22" s="137" customFormat="1" ht="12.75" customHeight="1" x14ac:dyDescent="0.2">
      <c r="A4070" s="155">
        <f>'6.A'!$A$15</f>
        <v>88247</v>
      </c>
      <c r="B4070" s="138" t="str">
        <f>IF(A4070="","",VLOOKUP(A4070,'6.A'!$A$11:$G$180,2,FALSE))</f>
        <v>AUXILIAR DE ELETRICISTA COM ENCARGOS COMPLEMENTARES</v>
      </c>
      <c r="C4070" s="156">
        <v>24</v>
      </c>
      <c r="D4070" s="157" t="str">
        <f>IF(A4070="","",VLOOKUP(A4070,'6.A'!$A$11:$G$180,4,FALSE))</f>
        <v>H</v>
      </c>
      <c r="E4070" s="158">
        <f>IF(A4070="","",VLOOKUP(A4070,'6.A'!$A$11:$G$180,5,FALSE))</f>
        <v>0</v>
      </c>
      <c r="F4070" s="159">
        <f t="shared" ref="F4070:F4079" si="1753">IF(A4070="","0,00",ROUND(C4070*E4070,2))</f>
        <v>0</v>
      </c>
      <c r="G4070" s="52"/>
      <c r="H4070" s="52">
        <f>IF(A4070="","",VLOOKUP(A4070,'6.A'!$A$11:$E$7984,5,FALSE))</f>
        <v>0</v>
      </c>
      <c r="I4070" s="52" t="str">
        <f>IF(H4070="","",IF(E4070=H4070,"SIM","NÃO"))</f>
        <v>SIM</v>
      </c>
      <c r="J4070" s="52" t="str">
        <f>IF(H4070="","",VLOOKUP(A4070,'6.A'!$A$11:$E$564,4,FALSE))</f>
        <v>H</v>
      </c>
      <c r="K4070" s="52" t="str">
        <f>IF(H4070="","",IF(J4070=D4070,"SIM","NÃO"))</f>
        <v>SIM</v>
      </c>
      <c r="L4070" s="52">
        <f>IF(H4070="","",IF(C4070="","",G4068*C4070))</f>
        <v>24</v>
      </c>
      <c r="M4070" s="117" t="str">
        <f>IF(A4070="","",VLOOKUP(A4070,'6.A'!$A$11:$C$564,2,FALSE))</f>
        <v>AUXILIAR DE ELETRICISTA COM ENCARGOS COMPLEMENTARES</v>
      </c>
      <c r="N4070" s="57" t="str">
        <f>IF(A4070="","",IF(M4070=B4070,"si","no"))</f>
        <v>si</v>
      </c>
      <c r="O4070" s="56"/>
      <c r="P4070" s="56"/>
      <c r="Q4070" s="48"/>
      <c r="R4070" s="48"/>
      <c r="S4070" s="65"/>
      <c r="T4070" s="2"/>
      <c r="U4070" s="2"/>
      <c r="V4070" s="2"/>
    </row>
    <row r="4071" spans="1:22" s="137" customFormat="1" ht="12.75" customHeight="1" x14ac:dyDescent="0.2">
      <c r="A4071" s="155">
        <f>'6.A'!$A$18</f>
        <v>88264</v>
      </c>
      <c r="B4071" s="138" t="str">
        <f>IF(A4071="","",VLOOKUP(A4071,'6.A'!$A$11:$G$180,2,FALSE))</f>
        <v>ELETRICISTA COM ENCARGOS COMPLEMENTARES</v>
      </c>
      <c r="C4071" s="156">
        <v>24</v>
      </c>
      <c r="D4071" s="157" t="str">
        <f>IF(A4071="","",VLOOKUP(A4071,'6.A'!$A$11:$G$180,4,FALSE))</f>
        <v>H</v>
      </c>
      <c r="E4071" s="158">
        <f>IF(A4071="","",VLOOKUP(A4071,'6.A'!$A$11:$G$180,5,FALSE))</f>
        <v>0</v>
      </c>
      <c r="F4071" s="159">
        <f>IF(A4071="","0,00",ROUND(C4071*E4071,2))</f>
        <v>0</v>
      </c>
      <c r="G4071" s="52"/>
      <c r="H4071" s="52">
        <f>IF(A4071="","",VLOOKUP(A4071,'6.A'!$A$11:$E$7984,5,FALSE))</f>
        <v>0</v>
      </c>
      <c r="I4071" s="52" t="str">
        <f>IF(H4071="","",IF(E4071=H4071,"SIM","NÃO"))</f>
        <v>SIM</v>
      </c>
      <c r="J4071" s="52" t="str">
        <f>IF(H4071="","",VLOOKUP(A4071,'6.A'!$A$11:$E$564,4,FALSE))</f>
        <v>H</v>
      </c>
      <c r="K4071" s="52" t="str">
        <f>IF(H4071="","",IF(J4071=D4071,"SIM","NÃO"))</f>
        <v>SIM</v>
      </c>
      <c r="L4071" s="52">
        <f>IF(H4071="","",IF(C4071="","",G4068*C4071))</f>
        <v>24</v>
      </c>
      <c r="M4071" s="117" t="str">
        <f>IF(A4071="","",VLOOKUP(A4071,'6.A'!$A$11:$C$564,2,FALSE))</f>
        <v>ELETRICISTA COM ENCARGOS COMPLEMENTARES</v>
      </c>
      <c r="N4071" s="57" t="str">
        <f>IF(A4071="","",IF(M4071=B4071,"si","no"))</f>
        <v>si</v>
      </c>
      <c r="O4071" s="56"/>
      <c r="P4071" s="56"/>
      <c r="Q4071" s="48"/>
      <c r="R4071" s="48"/>
      <c r="S4071" s="65"/>
      <c r="T4071" s="2"/>
      <c r="U4071" s="2"/>
      <c r="V4071" s="2"/>
    </row>
    <row r="4072" spans="1:22" s="137" customFormat="1" ht="12.75" customHeight="1" x14ac:dyDescent="0.2">
      <c r="A4072" s="155"/>
      <c r="B4072" s="138" t="str">
        <f>IF(A4072="","",VLOOKUP(A4072,'6.A'!$A$11:$G$180,2,FALSE))</f>
        <v/>
      </c>
      <c r="C4072" s="156"/>
      <c r="D4072" s="157" t="str">
        <f>IF(A4072="","",VLOOKUP(A4072,'6.A'!$A$11:$G$180,4,FALSE))</f>
        <v/>
      </c>
      <c r="E4072" s="158" t="str">
        <f>IF(A4072="","",VLOOKUP(A4072,'6.A'!$A$11:$G$180,5,FALSE))</f>
        <v/>
      </c>
      <c r="F4072" s="159" t="str">
        <f t="shared" si="1753"/>
        <v>0,00</v>
      </c>
      <c r="G4072" s="52"/>
      <c r="H4072" s="52" t="str">
        <f>IF(A4072="","",VLOOKUP(A4072,'6.A'!$A$11:$E$7984,5,FALSE))</f>
        <v/>
      </c>
      <c r="I4072" s="52" t="str">
        <f>IF(H4072="","",IF(E4072=H4072,"SIM","NÃO"))</f>
        <v/>
      </c>
      <c r="J4072" s="52" t="str">
        <f>IF(H4072="","",VLOOKUP(A4072,'6.A'!$A$11:$E$564,4,FALSE))</f>
        <v/>
      </c>
      <c r="K4072" s="52" t="str">
        <f t="shared" ref="K4072" si="1754">IF(H4072="","",IF(J4072=D4072,"SIM","NÃO"))</f>
        <v/>
      </c>
      <c r="L4072" s="52" t="str">
        <f>IF(H4072="","",IF(C4072="","",G4068*C4072))</f>
        <v/>
      </c>
      <c r="M4072" s="117" t="str">
        <f>IF(A4072="","",VLOOKUP(A4072,'6.A'!$A$11:$C$564,2,FALSE))</f>
        <v/>
      </c>
      <c r="N4072" s="57" t="str">
        <f t="shared" ref="N4072" si="1755">IF(A4072="","",IF(M4072=B4072,"si","no"))</f>
        <v/>
      </c>
      <c r="O4072" s="56"/>
      <c r="P4072" s="56"/>
      <c r="Q4072" s="48"/>
      <c r="R4072" s="48"/>
      <c r="S4072" s="65"/>
      <c r="T4072" s="2"/>
      <c r="U4072" s="2"/>
      <c r="V4072" s="2"/>
    </row>
    <row r="4073" spans="1:22" s="137" customFormat="1" ht="12.75" customHeight="1" x14ac:dyDescent="0.2">
      <c r="A4073" s="155"/>
      <c r="B4073" s="138" t="str">
        <f>IF(A4073="","",VLOOKUP(A4073,'6.A'!$A$11:$G$180,2,FALSE))</f>
        <v/>
      </c>
      <c r="C4073" s="156"/>
      <c r="D4073" s="157" t="str">
        <f>IF(A4073="","",VLOOKUP(A4073,'6.A'!$A$11:$G$180,4,FALSE))</f>
        <v/>
      </c>
      <c r="E4073" s="158" t="str">
        <f>IF(A4073="","",VLOOKUP(A4073,'6.A'!$A$11:$G$180,5,FALSE))</f>
        <v/>
      </c>
      <c r="F4073" s="159" t="str">
        <f t="shared" si="1753"/>
        <v>0,00</v>
      </c>
      <c r="G4073" s="52"/>
      <c r="H4073" s="52" t="str">
        <f>IF(A4073="","",VLOOKUP(A4073,'6.A'!$A$11:$E$7984,5,FALSE))</f>
        <v/>
      </c>
      <c r="I4073" s="52" t="str">
        <f>IF(H4073="","",IF(E4073=H4073,"SIM","NÃO"))</f>
        <v/>
      </c>
      <c r="J4073" s="52" t="str">
        <f>IF(H4073="","",VLOOKUP(A4073,'6.A'!$A$11:$E$564,4,FALSE))</f>
        <v/>
      </c>
      <c r="K4073" s="52" t="str">
        <f>IF(H4073="","",IF(J4073=D4073,"SIM","NÃO"))</f>
        <v/>
      </c>
      <c r="L4073" s="52" t="str">
        <f>IF(H4073="","",IF(C4073="","",G4068*C4073))</f>
        <v/>
      </c>
      <c r="M4073" s="117" t="str">
        <f>IF(A4073="","",VLOOKUP(A4073,'6.A'!$A$11:$C$564,2,FALSE))</f>
        <v/>
      </c>
      <c r="N4073" s="57" t="str">
        <f>IF(A4073="","",IF(M4073=B4073,"si","no"))</f>
        <v/>
      </c>
      <c r="O4073" s="56"/>
      <c r="P4073" s="56"/>
      <c r="Q4073" s="48"/>
      <c r="R4073" s="48"/>
      <c r="S4073" s="65"/>
      <c r="T4073" s="2"/>
      <c r="U4073" s="2"/>
      <c r="V4073" s="2"/>
    </row>
    <row r="4074" spans="1:22" s="137" customFormat="1" ht="12.75" customHeight="1" x14ac:dyDescent="0.2">
      <c r="A4074" s="155"/>
      <c r="B4074" s="138" t="str">
        <f>IF(A4074="","",VLOOKUP(A4074,'6.A'!$A$11:$G$180,2,FALSE))</f>
        <v/>
      </c>
      <c r="C4074" s="156"/>
      <c r="D4074" s="157" t="str">
        <f>IF(A4074="","",VLOOKUP(A4074,'6.A'!$A$11:$G$180,4,FALSE))</f>
        <v/>
      </c>
      <c r="E4074" s="158" t="str">
        <f>IF(A4074="","",VLOOKUP(A4074,'6.A'!$A$11:$G$180,5,FALSE))</f>
        <v/>
      </c>
      <c r="F4074" s="159" t="str">
        <f t="shared" si="1753"/>
        <v>0,00</v>
      </c>
      <c r="G4074" s="52"/>
      <c r="H4074" s="52" t="str">
        <f>IF(A4074="","",VLOOKUP(A4074,'6.A'!$A$11:$E$7984,5,FALSE))</f>
        <v/>
      </c>
      <c r="I4074" s="52" t="str">
        <f t="shared" ref="I4074" si="1756">IF(H4074="","",IF(E4074=H4074,"SIM","NÃO"))</f>
        <v/>
      </c>
      <c r="J4074" s="52" t="str">
        <f>IF(H4074="","",VLOOKUP(A4074,'6.A'!$A$11:$E$564,4,FALSE))</f>
        <v/>
      </c>
      <c r="K4074" s="52" t="str">
        <f t="shared" ref="K4074" si="1757">IF(H4074="","",IF(J4074=D4074,"SIM","NÃO"))</f>
        <v/>
      </c>
      <c r="L4074" s="52" t="str">
        <f>IF(H4074="","",IF(C4074="","",G4068*C4074))</f>
        <v/>
      </c>
      <c r="M4074" s="117" t="str">
        <f>IF(A4074="","",VLOOKUP(A4074,'6.A'!$A$11:$C$564,2,FALSE))</f>
        <v/>
      </c>
      <c r="N4074" s="57" t="str">
        <f t="shared" ref="N4074" si="1758">IF(A4074="","",IF(M4074=B4074,"si","no"))</f>
        <v/>
      </c>
      <c r="O4074" s="56"/>
      <c r="P4074" s="56"/>
      <c r="Q4074" s="48"/>
      <c r="R4074" s="48"/>
      <c r="S4074" s="65"/>
      <c r="T4074" s="2"/>
      <c r="U4074" s="2"/>
      <c r="V4074" s="2"/>
    </row>
    <row r="4075" spans="1:22" s="137" customFormat="1" ht="12.75" customHeight="1" x14ac:dyDescent="0.2">
      <c r="A4075" s="155"/>
      <c r="B4075" s="138" t="str">
        <f>IF(A4075="","",VLOOKUP(A4075,'6.A'!$A$11:$G$180,2,FALSE))</f>
        <v/>
      </c>
      <c r="C4075" s="156"/>
      <c r="D4075" s="157" t="str">
        <f>IF(A4075="","",VLOOKUP(A4075,'6.A'!$A$11:$G$180,4,FALSE))</f>
        <v/>
      </c>
      <c r="E4075" s="158" t="str">
        <f>IF(A4075="","",VLOOKUP(A4075,'6.A'!$A$11:$G$180,5,FALSE))</f>
        <v/>
      </c>
      <c r="F4075" s="159" t="str">
        <f t="shared" si="1753"/>
        <v>0,00</v>
      </c>
      <c r="G4075" s="52"/>
      <c r="H4075" s="52" t="str">
        <f>IF(A4075="","",VLOOKUP(A4075,'6.A'!$A$11:$E$7984,5,FALSE))</f>
        <v/>
      </c>
      <c r="I4075" s="52" t="str">
        <f>IF(H4075="","",IF(E4075=H4075,"SIM","NÃO"))</f>
        <v/>
      </c>
      <c r="J4075" s="52" t="str">
        <f>IF(H4075="","",VLOOKUP(A4075,'6.A'!$A$11:$E$564,4,FALSE))</f>
        <v/>
      </c>
      <c r="K4075" s="52" t="str">
        <f>IF(H4075="","",IF(J4075=D4075,"SIM","NÃO"))</f>
        <v/>
      </c>
      <c r="L4075" s="52" t="str">
        <f>IF(H4075="","",IF(C4075="","",G4068*C4075))</f>
        <v/>
      </c>
      <c r="M4075" s="117" t="str">
        <f>IF(A4075="","",VLOOKUP(A4075,'6.A'!$A$11:$C$564,2,FALSE))</f>
        <v/>
      </c>
      <c r="N4075" s="57" t="str">
        <f>IF(A4075="","",IF(M4075=B4075,"si","no"))</f>
        <v/>
      </c>
      <c r="O4075" s="56"/>
      <c r="P4075" s="56"/>
      <c r="Q4075" s="48"/>
      <c r="R4075" s="48"/>
      <c r="S4075" s="65"/>
      <c r="T4075" s="2"/>
      <c r="U4075" s="2"/>
      <c r="V4075" s="2"/>
    </row>
    <row r="4076" spans="1:22" s="137" customFormat="1" ht="12.75" customHeight="1" x14ac:dyDescent="0.2">
      <c r="A4076" s="155"/>
      <c r="B4076" s="138" t="str">
        <f>IF(A4076="","",VLOOKUP(A4076,'6.A'!$A$11:$G$180,2,FALSE))</f>
        <v/>
      </c>
      <c r="C4076" s="156"/>
      <c r="D4076" s="141" t="str">
        <f>IF(A4076="","",VLOOKUP(A4076,'6.A'!$A$11:$G$180,4,FALSE))</f>
        <v/>
      </c>
      <c r="E4076" s="160" t="str">
        <f>IF(A4076="","",VLOOKUP(A4076,'6.A'!$A$11:$G$180,5,FALSE))</f>
        <v/>
      </c>
      <c r="F4076" s="159" t="str">
        <f t="shared" si="1753"/>
        <v>0,00</v>
      </c>
      <c r="G4076" s="52"/>
      <c r="H4076" s="52" t="str">
        <f>IF(A4076="","",VLOOKUP(A4076,'6.A'!$A$11:$E$7984,5,FALSE))</f>
        <v/>
      </c>
      <c r="I4076" s="52" t="str">
        <f>IF(H4076="","",IF(E4076=H4076,"SIM","NÃO"))</f>
        <v/>
      </c>
      <c r="J4076" s="52" t="str">
        <f>IF(H4076="","",VLOOKUP(A4076,'6.A'!$A$11:$E$564,4,FALSE))</f>
        <v/>
      </c>
      <c r="K4076" s="52" t="str">
        <f>IF(H4076="","",IF(J4076=D4076,"SIM","NÃO"))</f>
        <v/>
      </c>
      <c r="L4076" s="52" t="str">
        <f>IF(H4076="","",IF(C4076="","",G4068*C4076))</f>
        <v/>
      </c>
      <c r="M4076" s="117" t="str">
        <f>IF(A4076="","",VLOOKUP(A4076,'6.A'!$A$11:$C$564,2,FALSE))</f>
        <v/>
      </c>
      <c r="N4076" s="57" t="str">
        <f>IF(A4076="","",IF(M4076=B4076,"si","no"))</f>
        <v/>
      </c>
      <c r="O4076" s="56"/>
      <c r="P4076" s="56"/>
      <c r="Q4076" s="48"/>
      <c r="R4076" s="48"/>
      <c r="S4076" s="65"/>
      <c r="T4076" s="2"/>
      <c r="U4076" s="2"/>
      <c r="V4076" s="2"/>
    </row>
    <row r="4077" spans="1:22" s="137" customFormat="1" ht="12.75" customHeight="1" x14ac:dyDescent="0.2">
      <c r="A4077" s="155"/>
      <c r="B4077" s="138" t="str">
        <f>IF(A4077="","",VLOOKUP(A4077,'6.A'!$A$11:$G$180,2,FALSE))</f>
        <v/>
      </c>
      <c r="C4077" s="156"/>
      <c r="D4077" s="141" t="str">
        <f>IF(A4077="","",VLOOKUP(A4077,'6.A'!$A$11:$G$180,4,FALSE))</f>
        <v/>
      </c>
      <c r="E4077" s="158" t="str">
        <f>IF(A4077="","",VLOOKUP(A4077,'6.A'!$A$11:$G$180,5,FALSE))</f>
        <v/>
      </c>
      <c r="F4077" s="159" t="str">
        <f t="shared" si="1753"/>
        <v>0,00</v>
      </c>
      <c r="G4077" s="52"/>
      <c r="H4077" s="52" t="str">
        <f>IF(A4077="","",VLOOKUP(A4077,'6.A'!$A$11:$E$7984,5,FALSE))</f>
        <v/>
      </c>
      <c r="I4077" s="52" t="str">
        <f t="shared" ref="I4077" si="1759">IF(H4077="","",IF(E4077=H4077,"SIM","NÃO"))</f>
        <v/>
      </c>
      <c r="J4077" s="52" t="str">
        <f>IF(H4077="","",VLOOKUP(A4077,'6.A'!$A$11:$E$564,4,FALSE))</f>
        <v/>
      </c>
      <c r="K4077" s="52" t="str">
        <f t="shared" ref="K4077" si="1760">IF(H4077="","",IF(J4077=D4077,"SIM","NÃO"))</f>
        <v/>
      </c>
      <c r="L4077" s="52" t="str">
        <f>IF(H4077="","",IF(C4077="","",G4068*C4077))</f>
        <v/>
      </c>
      <c r="M4077" s="117" t="str">
        <f>IF(A4077="","",VLOOKUP(A4077,'6.A'!$A$11:$C$564,2,FALSE))</f>
        <v/>
      </c>
      <c r="N4077" s="57" t="str">
        <f t="shared" ref="N4077" si="1761">IF(A4077="","",IF(M4077=B4077,"si","no"))</f>
        <v/>
      </c>
      <c r="O4077" s="56"/>
      <c r="P4077" s="56"/>
      <c r="Q4077" s="48"/>
      <c r="R4077" s="48"/>
      <c r="S4077" s="65"/>
      <c r="T4077" s="2"/>
      <c r="U4077" s="2"/>
      <c r="V4077" s="2"/>
    </row>
    <row r="4078" spans="1:22" s="137" customFormat="1" ht="12.75" customHeight="1" x14ac:dyDescent="0.2">
      <c r="A4078" s="155"/>
      <c r="B4078" s="138" t="str">
        <f>IF(A4078="","",VLOOKUP(A4078,'6.A'!$A$11:$G$180,2,FALSE))</f>
        <v/>
      </c>
      <c r="C4078" s="156"/>
      <c r="D4078" s="141" t="str">
        <f>IF(A4078="","",VLOOKUP(A4078,'6.A'!$A$11:$G$180,4,FALSE))</f>
        <v/>
      </c>
      <c r="E4078" s="158" t="str">
        <f>IF(A4078="","",VLOOKUP(A4078,'6.A'!$A$11:$G$180,5,FALSE))</f>
        <v/>
      </c>
      <c r="F4078" s="159" t="str">
        <f t="shared" si="1753"/>
        <v>0,00</v>
      </c>
      <c r="G4078" s="52"/>
      <c r="H4078" s="52" t="str">
        <f>IF(A4078="","",VLOOKUP(A4078,'6.A'!$A$11:$E$7984,5,FALSE))</f>
        <v/>
      </c>
      <c r="I4078" s="52" t="str">
        <f>IF(H4078="","",IF(E4078=H4078,"SIM","NÃO"))</f>
        <v/>
      </c>
      <c r="J4078" s="52" t="str">
        <f>IF(H4078="","",VLOOKUP(A4078,'6.A'!$A$11:$E$564,4,FALSE))</f>
        <v/>
      </c>
      <c r="K4078" s="52" t="str">
        <f>IF(H4078="","",IF(J4078=D4078,"SIM","NÃO"))</f>
        <v/>
      </c>
      <c r="L4078" s="52" t="str">
        <f>IF(H4078="","",IF(C4078="","",G4068*C4078))</f>
        <v/>
      </c>
      <c r="M4078" s="117" t="str">
        <f>IF(A4078="","",VLOOKUP(A4078,'6.A'!$A$11:$C$564,2,FALSE))</f>
        <v/>
      </c>
      <c r="N4078" s="57" t="str">
        <f>IF(A4078="","",IF(M4078=B4078,"si","no"))</f>
        <v/>
      </c>
      <c r="O4078" s="56"/>
      <c r="P4078" s="56"/>
      <c r="Q4078" s="48"/>
      <c r="R4078" s="48"/>
      <c r="S4078" s="65"/>
      <c r="T4078" s="2"/>
      <c r="U4078" s="2"/>
      <c r="V4078" s="2"/>
    </row>
    <row r="4079" spans="1:22" s="137" customFormat="1" ht="12.75" customHeight="1" x14ac:dyDescent="0.2">
      <c r="A4079" s="155"/>
      <c r="B4079" s="138" t="str">
        <f>IF(A4079="","",VLOOKUP(A4079,'6.A'!$A$11:$G$180,2,FALSE))</f>
        <v/>
      </c>
      <c r="C4079" s="156"/>
      <c r="D4079" s="161" t="str">
        <f>IF(A4079="","",VLOOKUP(A4079,'6.A'!$A$11:$G$180,4,FALSE))</f>
        <v/>
      </c>
      <c r="E4079" s="158" t="str">
        <f>IF(A4079="","",VLOOKUP(A4079,'6.A'!$A$11:$G$180,5,FALSE))</f>
        <v/>
      </c>
      <c r="F4079" s="159" t="str">
        <f t="shared" si="1753"/>
        <v>0,00</v>
      </c>
      <c r="G4079" s="52"/>
      <c r="H4079" s="52" t="str">
        <f>IF(A4079="","",VLOOKUP(A4079,'6.A'!$A$11:$E$7984,5,FALSE))</f>
        <v/>
      </c>
      <c r="I4079" s="52" t="str">
        <f t="shared" ref="I4079" si="1762">IF(H4079="","",IF(E4079=H4079,"SIM","NÃO"))</f>
        <v/>
      </c>
      <c r="J4079" s="52" t="str">
        <f>IF(H4079="","",VLOOKUP(A4079,'6.A'!$A$11:$E$564,4,FALSE))</f>
        <v/>
      </c>
      <c r="K4079" s="52" t="str">
        <f t="shared" ref="K4079" si="1763">IF(H4079="","",IF(J4079=D4079,"SIM","NÃO"))</f>
        <v/>
      </c>
      <c r="L4079" s="52" t="str">
        <f>IF(H4079="","",IF(C4079="","",G4068*C4079))</f>
        <v/>
      </c>
      <c r="M4079" s="117" t="str">
        <f>IF(A4079="","",VLOOKUP(A4079,'6.A'!$A$11:$C$564,2,FALSE))</f>
        <v/>
      </c>
      <c r="N4079" s="57" t="str">
        <f t="shared" ref="N4079" si="1764">IF(A4079="","",IF(M4079=B4079,"si","no"))</f>
        <v/>
      </c>
      <c r="O4079" s="56"/>
      <c r="P4079" s="56"/>
      <c r="Q4079" s="48"/>
      <c r="R4079" s="48"/>
      <c r="S4079" s="65"/>
      <c r="T4079" s="2"/>
      <c r="U4079" s="2"/>
      <c r="V4079" s="2"/>
    </row>
    <row r="4080" spans="1:22" s="137" customFormat="1" ht="12.75" customHeight="1" x14ac:dyDescent="0.2">
      <c r="A4080" s="152"/>
      <c r="B4080" s="26" t="str">
        <f>$A$8</f>
        <v>LEIS SOCIAIS HORISTA - JORNADA NORMAL</v>
      </c>
      <c r="C4080" s="27">
        <f>$C$8</f>
        <v>0</v>
      </c>
      <c r="D4080" s="141"/>
      <c r="E4080" s="147"/>
      <c r="F4080" s="162">
        <f>ROUND(SUM(F4070:F4079)*C4080,2)</f>
        <v>0</v>
      </c>
      <c r="G4080" s="63"/>
      <c r="H4080" s="52"/>
      <c r="I4080" s="57"/>
      <c r="J4080" s="57"/>
      <c r="K4080" s="57"/>
      <c r="L4080" s="52"/>
      <c r="M4080" s="62"/>
      <c r="N4080" s="57"/>
      <c r="O4080" s="56"/>
      <c r="P4080" s="56"/>
      <c r="Q4080" s="48"/>
      <c r="R4080" s="48"/>
      <c r="S4080" s="65"/>
      <c r="T4080" s="2"/>
      <c r="U4080" s="2"/>
      <c r="V4080" s="2"/>
    </row>
    <row r="4081" spans="1:22" s="137" customFormat="1" ht="12.75" customHeight="1" x14ac:dyDescent="0.2">
      <c r="A4081" s="155"/>
      <c r="B4081" s="26" t="str">
        <f>$A$9</f>
        <v>BDI</v>
      </c>
      <c r="C4081" s="27">
        <f>$C$9</f>
        <v>0</v>
      </c>
      <c r="D4081" s="136"/>
      <c r="E4081" s="147"/>
      <c r="F4081" s="162">
        <f>ROUND(SUM(F4070:F4080)*C4081,2)</f>
        <v>0</v>
      </c>
      <c r="G4081" s="63"/>
      <c r="H4081" s="52"/>
      <c r="I4081" s="57"/>
      <c r="J4081" s="57"/>
      <c r="K4081" s="57"/>
      <c r="L4081" s="52"/>
      <c r="M4081" s="62"/>
      <c r="N4081" s="57"/>
      <c r="O4081" s="56"/>
      <c r="P4081" s="56"/>
      <c r="Q4081" s="48"/>
      <c r="R4081" s="48"/>
      <c r="S4081" s="65"/>
      <c r="T4081" s="2"/>
      <c r="U4081" s="2"/>
      <c r="V4081" s="2"/>
    </row>
    <row r="4082" spans="1:22" s="149" customFormat="1" ht="12.75" customHeight="1" x14ac:dyDescent="0.2">
      <c r="A4082" s="163"/>
      <c r="B4082" s="164" t="s">
        <v>56</v>
      </c>
      <c r="C4082" s="165"/>
      <c r="D4082" s="166"/>
      <c r="E4082" s="167"/>
      <c r="F4082" s="168">
        <f>ROUND(SUM(F4070:F4081),2)</f>
        <v>0</v>
      </c>
      <c r="G4082" s="63"/>
      <c r="H4082" s="52"/>
      <c r="I4082" s="57"/>
      <c r="J4082" s="57"/>
      <c r="K4082" s="57"/>
      <c r="L4082" s="52"/>
      <c r="M4082" s="62"/>
      <c r="N4082" s="57"/>
      <c r="O4082" s="56"/>
      <c r="P4082" s="56"/>
      <c r="Q4082" s="48"/>
      <c r="R4082" s="48"/>
      <c r="S4082" s="65"/>
      <c r="T4082" s="2"/>
      <c r="U4082" s="2"/>
      <c r="V4082" s="2"/>
    </row>
    <row r="4083" spans="1:22" s="149" customFormat="1" ht="12.75" customHeight="1" x14ac:dyDescent="0.2">
      <c r="A4083" s="152" t="s">
        <v>5</v>
      </c>
      <c r="B4083" s="153" t="s">
        <v>130</v>
      </c>
      <c r="C4083" s="140" t="s">
        <v>59</v>
      </c>
      <c r="D4083" s="140" t="s">
        <v>16</v>
      </c>
      <c r="E4083" s="154" t="s">
        <v>60</v>
      </c>
      <c r="F4083" s="148" t="s">
        <v>61</v>
      </c>
      <c r="G4083" s="21"/>
      <c r="H4083" s="52"/>
      <c r="I4083" s="57"/>
      <c r="J4083" s="57"/>
      <c r="K4083" s="57"/>
      <c r="L4083" s="52"/>
      <c r="M4083" s="62"/>
      <c r="N4083" s="57"/>
      <c r="O4083" s="56"/>
      <c r="P4083" s="56"/>
      <c r="Q4083" s="48"/>
      <c r="R4083" s="48"/>
      <c r="S4083" s="65"/>
      <c r="T4083" s="2"/>
      <c r="U4083" s="2"/>
      <c r="V4083" s="2"/>
    </row>
    <row r="4084" spans="1:22" s="149" customFormat="1" ht="12.75" customHeight="1" x14ac:dyDescent="0.2">
      <c r="A4084" s="155">
        <f>'6.A'!$A$28</f>
        <v>5928</v>
      </c>
      <c r="B4084" s="138" t="str">
        <f>IF(A4084="","",VLOOKUP(A4084,'6.A'!$A$11:$G$180,2,FALSE))</f>
        <v>GUINDAUTO HIDRÁULICO COM CAMINHÃO TOCO 189 CV, CAP. CARGA 6200 KG, ALCANCE 9,70 M - CHP</v>
      </c>
      <c r="C4084" s="156">
        <f>0.0093*540</f>
        <v>5.0219999999999994</v>
      </c>
      <c r="D4084" s="157" t="str">
        <f>IF(A4084="","",VLOOKUP(A4084,'6.A'!$A$11:$G$180,4,FALSE))</f>
        <v>CHP</v>
      </c>
      <c r="E4084" s="158">
        <f>IF(A4084="","",VLOOKUP(A4084,'6.A'!$A$11:$G$180,5,FALSE))</f>
        <v>0</v>
      </c>
      <c r="F4084" s="159">
        <f t="shared" ref="F4084:F4093" si="1765">IF(A4084="","0,00",ROUND(C4084*E4084,2))</f>
        <v>0</v>
      </c>
      <c r="G4084" s="52"/>
      <c r="H4084" s="52">
        <f>IF(A4084="","",VLOOKUP(A4084,'6.A'!$A$11:$E$7984,5,FALSE))</f>
        <v>0</v>
      </c>
      <c r="I4084" s="52" t="str">
        <f t="shared" ref="I4084:I4093" si="1766">IF(H4084="","",IF(E4084=H4084,"SIM","NÃO"))</f>
        <v>SIM</v>
      </c>
      <c r="J4084" s="52" t="str">
        <f>IF(H4084="","",VLOOKUP(A4084,'6.A'!$A$11:$E$564,4,FALSE))</f>
        <v>CHP</v>
      </c>
      <c r="K4084" s="52" t="str">
        <f t="shared" ref="K4084:K4093" si="1767">IF(H4084="","",IF(J4084=D4084,"SIM","NÃO"))</f>
        <v>SIM</v>
      </c>
      <c r="L4084" s="52">
        <f>IF(H4084="","",IF(C4084="","",G4068*C4084))</f>
        <v>5.0219999999999994</v>
      </c>
      <c r="M4084" s="117" t="str">
        <f>IF(A4084="","",VLOOKUP(A4084,'6.A'!$A$11:$C$564,2,FALSE))</f>
        <v>GUINDAUTO HIDRÁULICO COM CAMINHÃO TOCO 189 CV, CAP. CARGA 6200 KG, ALCANCE 9,70 M - CHP</v>
      </c>
      <c r="N4084" s="57" t="str">
        <f t="shared" ref="N4084:N4089" si="1768">IF(A4084="","",IF(M4084=B4084,"si","no"))</f>
        <v>si</v>
      </c>
      <c r="O4084" s="56"/>
      <c r="P4084" s="56"/>
      <c r="Q4084" s="48"/>
      <c r="R4084" s="48"/>
      <c r="S4084" s="65"/>
      <c r="T4084" s="2"/>
      <c r="U4084" s="2"/>
      <c r="V4084" s="2"/>
    </row>
    <row r="4085" spans="1:22" s="149" customFormat="1" ht="12.75" customHeight="1" x14ac:dyDescent="0.2">
      <c r="A4085" s="155">
        <f>'6.A'!$A$29</f>
        <v>5930</v>
      </c>
      <c r="B4085" s="138" t="str">
        <f>IF(A4085="","",VLOOKUP(A4085,'6.A'!$A$11:$G$180,2,FALSE))</f>
        <v>GUINDAUTO HIDRÁULICO COM CAMINHÃO TOCO 189 CV, CAP. CARGA 6200 KG, ALCANCE 9,70 M - CHI</v>
      </c>
      <c r="C4085" s="156">
        <f>0.004*540</f>
        <v>2.16</v>
      </c>
      <c r="D4085" s="157" t="str">
        <f>IF(A4085="","",VLOOKUP(A4085,'6.A'!$A$11:$G$180,4,FALSE))</f>
        <v>CHI</v>
      </c>
      <c r="E4085" s="158">
        <f>IF(A4085="","",VLOOKUP(A4085,'6.A'!$A$11:$G$180,5,FALSE))</f>
        <v>0</v>
      </c>
      <c r="F4085" s="159">
        <f t="shared" si="1765"/>
        <v>0</v>
      </c>
      <c r="G4085" s="52"/>
      <c r="H4085" s="52">
        <f>IF(A4085="","",VLOOKUP(A4085,'6.A'!$A$11:$E$7984,5,FALSE))</f>
        <v>0</v>
      </c>
      <c r="I4085" s="52" t="str">
        <f t="shared" si="1766"/>
        <v>SIM</v>
      </c>
      <c r="J4085" s="52" t="str">
        <f>IF(H4085="","",VLOOKUP(A4085,'6.A'!$A$11:$E$564,4,FALSE))</f>
        <v>CHI</v>
      </c>
      <c r="K4085" s="52" t="str">
        <f t="shared" si="1767"/>
        <v>SIM</v>
      </c>
      <c r="L4085" s="52">
        <f>IF(H4085="","",IF(C4085="","",G4068*C4085))</f>
        <v>2.16</v>
      </c>
      <c r="M4085" s="117" t="str">
        <f>IF(A4085="","",VLOOKUP(A4085,'6.A'!$A$11:$C$564,2,FALSE))</f>
        <v>GUINDAUTO HIDRÁULICO COM CAMINHÃO TOCO 189 CV, CAP. CARGA 6200 KG, ALCANCE 9,70 M - CHI</v>
      </c>
      <c r="N4085" s="57" t="str">
        <f t="shared" si="1768"/>
        <v>si</v>
      </c>
      <c r="O4085" s="56"/>
      <c r="P4085" s="56"/>
      <c r="Q4085" s="48"/>
      <c r="R4085" s="48"/>
      <c r="S4085" s="65"/>
      <c r="T4085" s="2"/>
      <c r="U4085" s="2"/>
      <c r="V4085" s="2"/>
    </row>
    <row r="4086" spans="1:22" s="149" customFormat="1" ht="12.75" customHeight="1" x14ac:dyDescent="0.2">
      <c r="A4086" s="155">
        <f>'6.A'!$A$31</f>
        <v>20358</v>
      </c>
      <c r="B4086" s="138" t="str">
        <f>IF(A4086="","",VLOOKUP(A4086,'6.A'!$A$11:$G$180,2,FALSE))</f>
        <v xml:space="preserve">REMOÇÃO DE ENTULHO DE OBRA, TERRA, ALVENARIA, CONCRETO, ARGAMASSA, MADEIRA - CAPACIDADE DE 4M³ </v>
      </c>
      <c r="C4086" s="156">
        <v>4</v>
      </c>
      <c r="D4086" s="157" t="str">
        <f>IF(A4086="","",VLOOKUP(A4086,'6.A'!$A$11:$G$180,4,FALSE))</f>
        <v>M3</v>
      </c>
      <c r="E4086" s="158">
        <f>IF(A4086="","",VLOOKUP(A4086,'6.A'!$A$11:$G$180,5,FALSE))</f>
        <v>0</v>
      </c>
      <c r="F4086" s="159">
        <f>IF(A4086="","0,00",ROUND(C4086*E4086,2))</f>
        <v>0</v>
      </c>
      <c r="G4086" s="52"/>
      <c r="H4086" s="52">
        <f>IF(A4086="","",VLOOKUP(A4086,'6.A'!$A$11:$E$7984,5,FALSE))</f>
        <v>0</v>
      </c>
      <c r="I4086" s="52" t="str">
        <f>IF(H4086="","",IF(E4086=H4086,"SIM","NÃO"))</f>
        <v>SIM</v>
      </c>
      <c r="J4086" s="52" t="str">
        <f>IF(H4086="","",VLOOKUP(A4086,'6.A'!$A$11:$E$564,4,FALSE))</f>
        <v>M3</v>
      </c>
      <c r="K4086" s="52" t="str">
        <f>IF(H4086="","",IF(J4086=D4086,"SIM","NÃO"))</f>
        <v>SIM</v>
      </c>
      <c r="L4086" s="52">
        <f>IF(H4086="","",IF(C4086="","",G4068*C4086))</f>
        <v>4</v>
      </c>
      <c r="M4086" s="117" t="str">
        <f>IF(A4086="","",VLOOKUP(A4086,'6.A'!$A$11:$C$564,2,FALSE))</f>
        <v xml:space="preserve">REMOÇÃO DE ENTULHO DE OBRA, TERRA, ALVENARIA, CONCRETO, ARGAMASSA, MADEIRA - CAPACIDADE DE 4M³ </v>
      </c>
      <c r="N4086" s="57" t="str">
        <f>IF(A4086="","",IF(M4086=B4086,"si","no"))</f>
        <v>si</v>
      </c>
      <c r="O4086" s="56"/>
      <c r="P4086" s="56"/>
      <c r="Q4086" s="48"/>
      <c r="R4086" s="48"/>
      <c r="S4086" s="65"/>
      <c r="T4086" s="2"/>
      <c r="U4086" s="2"/>
      <c r="V4086" s="2"/>
    </row>
    <row r="4087" spans="1:22" s="149" customFormat="1" ht="12.75" customHeight="1" x14ac:dyDescent="0.2">
      <c r="A4087" s="155"/>
      <c r="B4087" s="176" t="str">
        <f>IF(A4087="","",VLOOKUP(A4087,'6.A'!$A$11:$G$180,2,FALSE))</f>
        <v/>
      </c>
      <c r="C4087" s="156"/>
      <c r="D4087" s="141" t="str">
        <f>IF(A4087="","",VLOOKUP(A4087,'6.A'!$A$11:$G$180,4,FALSE))</f>
        <v/>
      </c>
      <c r="E4087" s="160" t="str">
        <f>IF(A4087="","",VLOOKUP(A4087,'6.A'!$A$11:$G$180,5,FALSE))</f>
        <v/>
      </c>
      <c r="F4087" s="159" t="str">
        <f t="shared" si="1765"/>
        <v>0,00</v>
      </c>
      <c r="G4087" s="52"/>
      <c r="H4087" s="52" t="str">
        <f>IF(A4087="","",VLOOKUP(A4087,'6.A'!$A$11:$E$7984,5,FALSE))</f>
        <v/>
      </c>
      <c r="I4087" s="52" t="str">
        <f t="shared" si="1766"/>
        <v/>
      </c>
      <c r="J4087" s="52" t="str">
        <f>IF(H4087="","",VLOOKUP(A4087,'6.A'!$A$11:$E$564,4,FALSE))</f>
        <v/>
      </c>
      <c r="K4087" s="52" t="str">
        <f t="shared" si="1767"/>
        <v/>
      </c>
      <c r="L4087" s="52" t="str">
        <f>IF(H4087="","",IF(C4087="","",G4068*C4087))</f>
        <v/>
      </c>
      <c r="M4087" s="117" t="str">
        <f>IF(A4087="","",VLOOKUP(A4087,'6.A'!$A$11:$C$564,2,FALSE))</f>
        <v/>
      </c>
      <c r="N4087" s="57" t="str">
        <f t="shared" si="1768"/>
        <v/>
      </c>
      <c r="O4087" s="56"/>
      <c r="P4087" s="56"/>
      <c r="Q4087" s="48"/>
      <c r="R4087" s="48"/>
      <c r="S4087" s="65"/>
      <c r="T4087" s="2"/>
      <c r="U4087" s="2"/>
      <c r="V4087" s="2"/>
    </row>
    <row r="4088" spans="1:22" s="149" customFormat="1" ht="12.75" customHeight="1" x14ac:dyDescent="0.2">
      <c r="A4088" s="155"/>
      <c r="B4088" s="176" t="str">
        <f>IF(A4088="","",VLOOKUP(A4088,'6.A'!$A$11:$G$180,2,FALSE))</f>
        <v/>
      </c>
      <c r="C4088" s="156"/>
      <c r="D4088" s="141" t="str">
        <f>IF(A4088="","",VLOOKUP(A4088,'6.A'!$A$11:$G$180,4,FALSE))</f>
        <v/>
      </c>
      <c r="E4088" s="160" t="str">
        <f>IF(A4088="","",VLOOKUP(A4088,'6.A'!$A$11:$G$180,5,FALSE))</f>
        <v/>
      </c>
      <c r="F4088" s="159" t="str">
        <f t="shared" si="1765"/>
        <v>0,00</v>
      </c>
      <c r="G4088" s="52"/>
      <c r="H4088" s="52" t="str">
        <f>IF(A4088="","",VLOOKUP(A4088,'6.A'!$A$11:$E$7984,5,FALSE))</f>
        <v/>
      </c>
      <c r="I4088" s="52" t="str">
        <f t="shared" si="1766"/>
        <v/>
      </c>
      <c r="J4088" s="52" t="str">
        <f>IF(H4088="","",VLOOKUP(A4088,'6.A'!$A$11:$E$564,4,FALSE))</f>
        <v/>
      </c>
      <c r="K4088" s="52" t="str">
        <f t="shared" si="1767"/>
        <v/>
      </c>
      <c r="L4088" s="52" t="str">
        <f>IF(H4088="","",IF(C4088="","",G4068*C4088))</f>
        <v/>
      </c>
      <c r="M4088" s="117" t="str">
        <f>IF(A4088="","",VLOOKUP(A4088,'6.A'!$A$11:$C$564,2,FALSE))</f>
        <v/>
      </c>
      <c r="N4088" s="57" t="str">
        <f t="shared" si="1768"/>
        <v/>
      </c>
      <c r="O4088" s="56"/>
      <c r="P4088" s="56"/>
      <c r="Q4088" s="48"/>
      <c r="R4088" s="48"/>
      <c r="S4088" s="65"/>
      <c r="T4088" s="2"/>
      <c r="U4088" s="2"/>
      <c r="V4088" s="2"/>
    </row>
    <row r="4089" spans="1:22" s="149" customFormat="1" ht="12.75" customHeight="1" x14ac:dyDescent="0.2">
      <c r="A4089" s="155"/>
      <c r="B4089" s="176" t="str">
        <f>IF(A4089="","",VLOOKUP(A4089,'6.A'!$A$11:$G$180,2,FALSE))</f>
        <v/>
      </c>
      <c r="C4089" s="156"/>
      <c r="D4089" s="141" t="str">
        <f>IF(A4089="","",VLOOKUP(A4089,'6.A'!$A$11:$G$180,4,FALSE))</f>
        <v/>
      </c>
      <c r="E4089" s="160" t="str">
        <f>IF(A4089="","",VLOOKUP(A4089,'6.A'!$A$11:$G$180,5,FALSE))</f>
        <v/>
      </c>
      <c r="F4089" s="159" t="str">
        <f t="shared" si="1765"/>
        <v>0,00</v>
      </c>
      <c r="G4089" s="52"/>
      <c r="H4089" s="52" t="str">
        <f>IF(A4089="","",VLOOKUP(A4089,'6.A'!$A$11:$E$7984,5,FALSE))</f>
        <v/>
      </c>
      <c r="I4089" s="52" t="str">
        <f t="shared" si="1766"/>
        <v/>
      </c>
      <c r="J4089" s="52" t="str">
        <f>IF(H4089="","",VLOOKUP(A4089,'6.A'!$A$11:$E$564,4,FALSE))</f>
        <v/>
      </c>
      <c r="K4089" s="52" t="str">
        <f t="shared" si="1767"/>
        <v/>
      </c>
      <c r="L4089" s="52" t="str">
        <f>IF(H4089="","",IF(C4089="","",G4068*C4089))</f>
        <v/>
      </c>
      <c r="M4089" s="117" t="str">
        <f>IF(A4089="","",VLOOKUP(A4089,'6.A'!$A$11:$C$564,2,FALSE))</f>
        <v/>
      </c>
      <c r="N4089" s="57" t="str">
        <f t="shared" si="1768"/>
        <v/>
      </c>
      <c r="O4089" s="56"/>
      <c r="P4089" s="56"/>
      <c r="Q4089" s="48"/>
      <c r="R4089" s="48"/>
      <c r="S4089" s="65"/>
      <c r="T4089" s="2"/>
      <c r="U4089" s="2"/>
      <c r="V4089" s="2"/>
    </row>
    <row r="4090" spans="1:22" s="149" customFormat="1" ht="12.75" customHeight="1" x14ac:dyDescent="0.2">
      <c r="A4090" s="155"/>
      <c r="B4090" s="176" t="str">
        <f>IF(A4090="","",VLOOKUP(A4090,'6.A'!$A$11:$G$180,2,FALSE))</f>
        <v/>
      </c>
      <c r="C4090" s="156"/>
      <c r="D4090" s="141" t="str">
        <f>IF(A4090="","",VLOOKUP(A4090,'6.A'!$A$11:$G$180,4,FALSE))</f>
        <v/>
      </c>
      <c r="E4090" s="160" t="str">
        <f>IF(A4090="","",VLOOKUP(A4090,'6.A'!$A$11:$G$180,5,FALSE))</f>
        <v/>
      </c>
      <c r="F4090" s="159" t="str">
        <f t="shared" si="1765"/>
        <v>0,00</v>
      </c>
      <c r="G4090" s="52"/>
      <c r="H4090" s="52" t="str">
        <f>IF(A4090="","",VLOOKUP(A4090,'6.A'!$A$11:$E$7984,5,FALSE))</f>
        <v/>
      </c>
      <c r="I4090" s="52" t="str">
        <f t="shared" si="1766"/>
        <v/>
      </c>
      <c r="J4090" s="52" t="str">
        <f>IF(H4090="","",VLOOKUP(A4090,'6.A'!$A$11:$E$564,4,FALSE))</f>
        <v/>
      </c>
      <c r="K4090" s="52" t="str">
        <f t="shared" si="1767"/>
        <v/>
      </c>
      <c r="L4090" s="52" t="str">
        <f>IF(H4090="","",IF(C4090="","",G4068*C4090))</f>
        <v/>
      </c>
      <c r="M4090" s="117" t="str">
        <f>IF(A4090="","",VLOOKUP(A4090,'6.A'!$A$11:$C$564,2,FALSE))</f>
        <v/>
      </c>
      <c r="N4090" s="57" t="str">
        <f>IF(A4090="","",IF(M4090=B4090,"si","no"))</f>
        <v/>
      </c>
      <c r="O4090" s="56"/>
      <c r="P4090" s="56"/>
      <c r="Q4090" s="48"/>
      <c r="R4090" s="48"/>
      <c r="S4090" s="65"/>
      <c r="T4090" s="2"/>
      <c r="U4090" s="2"/>
      <c r="V4090" s="2"/>
    </row>
    <row r="4091" spans="1:22" s="149" customFormat="1" ht="12.75" customHeight="1" x14ac:dyDescent="0.2">
      <c r="A4091" s="155"/>
      <c r="B4091" s="138" t="str">
        <f>IF(A4091="","",VLOOKUP(A4091,'6.A'!$A$11:$G$180,2,FALSE))</f>
        <v/>
      </c>
      <c r="C4091" s="156"/>
      <c r="D4091" s="141" t="str">
        <f>IF(A4091="","",VLOOKUP(A4091,'6.A'!$A$11:$G$180,4,FALSE))</f>
        <v/>
      </c>
      <c r="E4091" s="160" t="str">
        <f>IF(A4091="","",VLOOKUP(A4091,'6.A'!$A$11:$G$180,5,FALSE))</f>
        <v/>
      </c>
      <c r="F4091" s="159" t="str">
        <f t="shared" si="1765"/>
        <v>0,00</v>
      </c>
      <c r="G4091" s="52"/>
      <c r="H4091" s="52" t="str">
        <f>IF(A4091="","",VLOOKUP(A4091,'6.A'!$A$11:$E$7984,5,FALSE))</f>
        <v/>
      </c>
      <c r="I4091" s="52" t="str">
        <f t="shared" si="1766"/>
        <v/>
      </c>
      <c r="J4091" s="52" t="str">
        <f>IF(H4091="","",VLOOKUP(A4091,'6.A'!$A$11:$E$564,4,FALSE))</f>
        <v/>
      </c>
      <c r="K4091" s="52" t="str">
        <f t="shared" si="1767"/>
        <v/>
      </c>
      <c r="L4091" s="52" t="str">
        <f>IF(H4091="","",IF(C4091="","",G4068*C4091))</f>
        <v/>
      </c>
      <c r="M4091" s="117" t="str">
        <f>IF(A4091="","",VLOOKUP(A4091,'6.A'!$A$11:$C$564,2,FALSE))</f>
        <v/>
      </c>
      <c r="N4091" s="57" t="str">
        <f>IF(A4091="","",IF(M4091=B4091,"si","no"))</f>
        <v/>
      </c>
      <c r="O4091" s="56"/>
      <c r="P4091" s="56"/>
      <c r="Q4091" s="48"/>
      <c r="R4091" s="48"/>
      <c r="S4091" s="65"/>
      <c r="T4091" s="2"/>
      <c r="U4091" s="2"/>
      <c r="V4091" s="2"/>
    </row>
    <row r="4092" spans="1:22" s="149" customFormat="1" ht="12.75" customHeight="1" x14ac:dyDescent="0.2">
      <c r="A4092" s="155"/>
      <c r="B4092" s="138" t="str">
        <f>IF(A4092="","",VLOOKUP(A4092,'6.A'!$A$11:$G$180,2,FALSE))</f>
        <v/>
      </c>
      <c r="C4092" s="156"/>
      <c r="D4092" s="141" t="str">
        <f>IF(A4092="","",VLOOKUP(A4092,'6.A'!$A$11:$G$180,4,FALSE))</f>
        <v/>
      </c>
      <c r="E4092" s="160" t="str">
        <f>IF(A4092="","",VLOOKUP(A4092,'6.A'!$A$11:$G$180,5,FALSE))</f>
        <v/>
      </c>
      <c r="F4092" s="159" t="str">
        <f t="shared" si="1765"/>
        <v>0,00</v>
      </c>
      <c r="G4092" s="52"/>
      <c r="H4092" s="52" t="str">
        <f>IF(A4092="","",VLOOKUP(A4092,'6.A'!$A$11:$E$7984,5,FALSE))</f>
        <v/>
      </c>
      <c r="I4092" s="52" t="str">
        <f t="shared" si="1766"/>
        <v/>
      </c>
      <c r="J4092" s="52" t="str">
        <f>IF(H4092="","",VLOOKUP(A4092,'6.A'!$A$11:$E$564,4,FALSE))</f>
        <v/>
      </c>
      <c r="K4092" s="52" t="str">
        <f t="shared" si="1767"/>
        <v/>
      </c>
      <c r="L4092" s="52" t="str">
        <f>IF(H4092="","",IF(C4092="","",G4068*C4092))</f>
        <v/>
      </c>
      <c r="M4092" s="117" t="str">
        <f>IF(A4092="","",VLOOKUP(A4092,'6.A'!$A$11:$C$564,2,FALSE))</f>
        <v/>
      </c>
      <c r="N4092" s="57" t="str">
        <f t="shared" ref="N4092:N4093" si="1769">IF(A4092="","",IF(M4092=B4092,"si","no"))</f>
        <v/>
      </c>
      <c r="O4092" s="56"/>
      <c r="P4092" s="56"/>
      <c r="Q4092" s="48"/>
      <c r="R4092" s="48"/>
      <c r="S4092" s="65"/>
      <c r="T4092" s="2"/>
      <c r="U4092" s="2"/>
      <c r="V4092" s="2"/>
    </row>
    <row r="4093" spans="1:22" s="149" customFormat="1" ht="12.75" customHeight="1" x14ac:dyDescent="0.2">
      <c r="A4093" s="155"/>
      <c r="B4093" s="138" t="str">
        <f>IF(A4093="","",VLOOKUP(A4093,'6.A'!$A$11:$G$180,2,FALSE))</f>
        <v/>
      </c>
      <c r="C4093" s="156"/>
      <c r="D4093" s="141" t="str">
        <f>IF(A4093="","",VLOOKUP(A4093,'6.A'!$A$11:$G$180,4,FALSE))</f>
        <v/>
      </c>
      <c r="E4093" s="160" t="str">
        <f>IF(A4093="","",VLOOKUP(A4093,'6.A'!$A$11:$G$180,5,FALSE))</f>
        <v/>
      </c>
      <c r="F4093" s="159" t="str">
        <f t="shared" si="1765"/>
        <v>0,00</v>
      </c>
      <c r="G4093" s="52"/>
      <c r="H4093" s="52" t="str">
        <f>IF(A4093="","",VLOOKUP(A4093,'6.A'!$A$11:$E$7984,5,FALSE))</f>
        <v/>
      </c>
      <c r="I4093" s="52" t="str">
        <f t="shared" si="1766"/>
        <v/>
      </c>
      <c r="J4093" s="52" t="str">
        <f>IF(H4093="","",VLOOKUP(A4093,'6.A'!$A$11:$E$564,4,FALSE))</f>
        <v/>
      </c>
      <c r="K4093" s="52" t="str">
        <f t="shared" si="1767"/>
        <v/>
      </c>
      <c r="L4093" s="52" t="str">
        <f>IF(H4093="","",IF(C4093="","",G4068*C4093))</f>
        <v/>
      </c>
      <c r="M4093" s="117" t="str">
        <f>IF(A4093="","",VLOOKUP(A4093,'6.A'!$A$11:$C$564,2,FALSE))</f>
        <v/>
      </c>
      <c r="N4093" s="57" t="str">
        <f t="shared" si="1769"/>
        <v/>
      </c>
      <c r="O4093" s="56"/>
      <c r="P4093" s="56"/>
      <c r="Q4093" s="48"/>
      <c r="R4093" s="48"/>
      <c r="S4093" s="65"/>
      <c r="T4093" s="2"/>
      <c r="U4093" s="2"/>
      <c r="V4093" s="2"/>
    </row>
    <row r="4094" spans="1:22" s="149" customFormat="1" ht="12.75" customHeight="1" x14ac:dyDescent="0.2">
      <c r="A4094" s="155"/>
      <c r="B4094" s="26" t="str">
        <f>$A$9</f>
        <v>BDI</v>
      </c>
      <c r="C4094" s="27">
        <f>$C$9</f>
        <v>0</v>
      </c>
      <c r="D4094" s="141"/>
      <c r="E4094" s="147"/>
      <c r="F4094" s="162">
        <f>ROUND(SUM(F4084:F4093)*C4094,2)</f>
        <v>0</v>
      </c>
      <c r="G4094" s="63"/>
      <c r="H4094" s="52"/>
      <c r="I4094" s="57"/>
      <c r="J4094" s="57"/>
      <c r="K4094" s="57"/>
      <c r="L4094" s="52"/>
      <c r="M4094" s="62"/>
      <c r="N4094" s="57"/>
      <c r="O4094" s="56"/>
      <c r="P4094" s="56"/>
      <c r="Q4094" s="48"/>
      <c r="R4094" s="48"/>
      <c r="S4094" s="65"/>
      <c r="T4094" s="2"/>
      <c r="U4094" s="2"/>
      <c r="V4094" s="2"/>
    </row>
    <row r="4095" spans="1:22" s="149" customFormat="1" ht="12.75" customHeight="1" x14ac:dyDescent="0.2">
      <c r="A4095" s="163"/>
      <c r="B4095" s="31" t="s">
        <v>117</v>
      </c>
      <c r="C4095" s="36"/>
      <c r="D4095" s="169"/>
      <c r="E4095" s="170"/>
      <c r="F4095" s="168">
        <f>ROUND(SUM(F4084:F4094),2)</f>
        <v>0</v>
      </c>
      <c r="G4095" s="63"/>
      <c r="H4095" s="52"/>
      <c r="I4095" s="57"/>
      <c r="J4095" s="57"/>
      <c r="K4095" s="57"/>
      <c r="L4095" s="52"/>
      <c r="M4095" s="62"/>
      <c r="N4095" s="57"/>
      <c r="O4095" s="56"/>
      <c r="P4095" s="56"/>
      <c r="Q4095" s="48"/>
      <c r="R4095" s="48"/>
      <c r="S4095" s="65"/>
      <c r="T4095" s="2"/>
      <c r="U4095" s="2"/>
      <c r="V4095" s="2"/>
    </row>
    <row r="4096" spans="1:22" s="149" customFormat="1" ht="12.75" customHeight="1" x14ac:dyDescent="0.2">
      <c r="A4096" s="152" t="s">
        <v>6</v>
      </c>
      <c r="B4096" s="153" t="s">
        <v>17</v>
      </c>
      <c r="C4096" s="140" t="s">
        <v>59</v>
      </c>
      <c r="D4096" s="140" t="s">
        <v>16</v>
      </c>
      <c r="E4096" s="154" t="s">
        <v>60</v>
      </c>
      <c r="F4096" s="148" t="s">
        <v>61</v>
      </c>
      <c r="G4096" s="21"/>
      <c r="H4096" s="52"/>
      <c r="I4096" s="57"/>
      <c r="J4096" s="57"/>
      <c r="K4096" s="57"/>
      <c r="L4096" s="52"/>
      <c r="M4096" s="62"/>
      <c r="N4096" s="57"/>
      <c r="O4096" s="56"/>
      <c r="P4096" s="56"/>
      <c r="Q4096" s="48"/>
      <c r="R4096" s="48"/>
      <c r="S4096" s="65"/>
      <c r="T4096" s="2"/>
      <c r="U4096" s="2"/>
      <c r="V4096" s="2"/>
    </row>
    <row r="4097" spans="1:22" s="149" customFormat="1" ht="12.75" customHeight="1" x14ac:dyDescent="0.2">
      <c r="A4097" s="155"/>
      <c r="B4097" s="138" t="str">
        <f>IF(A4097="","",VLOOKUP(A4097,'6.A'!$A$11:$G$180,2,FALSE))</f>
        <v/>
      </c>
      <c r="C4097" s="156"/>
      <c r="D4097" s="157" t="str">
        <f>IF(A4097="","",VLOOKUP(A4097,'6.A'!$A$11:$G$180,4,FALSE))</f>
        <v/>
      </c>
      <c r="E4097" s="158" t="str">
        <f>IF(A4097="","",VLOOKUP(A4097,'6.A'!$A$11:$G$180,5,FALSE))</f>
        <v/>
      </c>
      <c r="F4097" s="159" t="str">
        <f t="shared" ref="F4097:F4116" si="1770">IF(A4097="","0,00",ROUND(C4097*E4097,2))</f>
        <v>0,00</v>
      </c>
      <c r="G4097" s="52"/>
      <c r="H4097" s="52" t="str">
        <f>IF(A4097="","",VLOOKUP(A4097,'6.A'!$A$11:$E$7984,5,FALSE))</f>
        <v/>
      </c>
      <c r="I4097" s="52" t="str">
        <f t="shared" ref="I4097:I4116" si="1771">IF(H4097="","",IF(E4097=H4097,"SIM","NÃO"))</f>
        <v/>
      </c>
      <c r="J4097" s="52" t="str">
        <f>IF(H4097="","",VLOOKUP(A4097,'6.A'!$A$11:$E$564,4,FALSE))</f>
        <v/>
      </c>
      <c r="K4097" s="52" t="str">
        <f t="shared" ref="K4097:K4116" si="1772">IF(H4097="","",IF(J4097=D4097,"SIM","NÃO"))</f>
        <v/>
      </c>
      <c r="L4097" s="52" t="str">
        <f>IF(H4097="","",IF(C4097="","",G4068*C4097))</f>
        <v/>
      </c>
      <c r="M4097" s="117" t="str">
        <f>IF(A4097="","",VLOOKUP(A4097,'6.A'!$A$11:$C$564,2,FALSE))</f>
        <v/>
      </c>
      <c r="N4097" s="57" t="str">
        <f t="shared" ref="N4097:N4116" si="1773">IF(A4097="","",IF(M4097=B4097,"si","no"))</f>
        <v/>
      </c>
      <c r="O4097" s="56"/>
      <c r="P4097" s="56"/>
      <c r="Q4097" s="48"/>
      <c r="R4097" s="48"/>
      <c r="S4097" s="65"/>
      <c r="T4097" s="2"/>
      <c r="U4097" s="2"/>
      <c r="V4097" s="2"/>
    </row>
    <row r="4098" spans="1:22" s="149" customFormat="1" ht="12.75" customHeight="1" x14ac:dyDescent="0.2">
      <c r="A4098" s="155"/>
      <c r="B4098" s="138" t="str">
        <f>IF(A4098="","",VLOOKUP(A4098,'6.A'!$A$11:$G$180,2,FALSE))</f>
        <v/>
      </c>
      <c r="C4098" s="156"/>
      <c r="D4098" s="157" t="str">
        <f>IF(A4098="","",VLOOKUP(A4098,'6.A'!$A$11:$G$180,4,FALSE))</f>
        <v/>
      </c>
      <c r="E4098" s="158" t="str">
        <f>IF(A4098="","",VLOOKUP(A4098,'6.A'!$A$11:$G$180,5,FALSE))</f>
        <v/>
      </c>
      <c r="F4098" s="159" t="str">
        <f t="shared" si="1770"/>
        <v>0,00</v>
      </c>
      <c r="G4098" s="52"/>
      <c r="H4098" s="52" t="str">
        <f>IF(A4098="","",VLOOKUP(A4098,'6.A'!$A$11:$E$7984,5,FALSE))</f>
        <v/>
      </c>
      <c r="I4098" s="52" t="str">
        <f t="shared" si="1771"/>
        <v/>
      </c>
      <c r="J4098" s="52" t="str">
        <f>IF(H4098="","",VLOOKUP(A4098,'6.A'!$A$11:$E$564,4,FALSE))</f>
        <v/>
      </c>
      <c r="K4098" s="52" t="str">
        <f t="shared" si="1772"/>
        <v/>
      </c>
      <c r="L4098" s="52" t="str">
        <f>IF(H4098="","",IF(C4098="","",G4068*C4098))</f>
        <v/>
      </c>
      <c r="M4098" s="117" t="str">
        <f>IF(A4098="","",VLOOKUP(A4098,'6.A'!$A$11:$C$564,2,FALSE))</f>
        <v/>
      </c>
      <c r="N4098" s="57" t="str">
        <f t="shared" si="1773"/>
        <v/>
      </c>
      <c r="O4098" s="56"/>
      <c r="P4098" s="56"/>
      <c r="Q4098" s="48"/>
      <c r="R4098" s="48"/>
      <c r="S4098" s="65"/>
      <c r="T4098" s="2"/>
      <c r="U4098" s="2"/>
      <c r="V4098" s="2"/>
    </row>
    <row r="4099" spans="1:22" s="149" customFormat="1" ht="12.75" customHeight="1" x14ac:dyDescent="0.2">
      <c r="A4099" s="155"/>
      <c r="B4099" s="138" t="str">
        <f>IF(A4099="","",VLOOKUP(A4099,'6.A'!$A$11:$G$180,2,FALSE))</f>
        <v/>
      </c>
      <c r="C4099" s="156"/>
      <c r="D4099" s="157" t="str">
        <f>IF(A4099="","",VLOOKUP(A4099,'6.A'!$A$11:$G$180,4,FALSE))</f>
        <v/>
      </c>
      <c r="E4099" s="158" t="str">
        <f>IF(A4099="","",VLOOKUP(A4099,'6.A'!$A$11:$G$180,5,FALSE))</f>
        <v/>
      </c>
      <c r="F4099" s="159" t="str">
        <f t="shared" si="1770"/>
        <v>0,00</v>
      </c>
      <c r="G4099" s="52"/>
      <c r="H4099" s="52" t="str">
        <f>IF(A4099="","",VLOOKUP(A4099,'6.A'!$A$11:$E$7984,5,FALSE))</f>
        <v/>
      </c>
      <c r="I4099" s="52" t="str">
        <f t="shared" si="1771"/>
        <v/>
      </c>
      <c r="J4099" s="52" t="str">
        <f>IF(H4099="","",VLOOKUP(A4099,'6.A'!$A$11:$E$564,4,FALSE))</f>
        <v/>
      </c>
      <c r="K4099" s="52" t="str">
        <f t="shared" si="1772"/>
        <v/>
      </c>
      <c r="L4099" s="52" t="str">
        <f>IF(H4099="","",IF(C4099="","",G4068*C4099))</f>
        <v/>
      </c>
      <c r="M4099" s="117" t="str">
        <f>IF(A4099="","",VLOOKUP(A4099,'6.A'!$A$11:$C$564,2,FALSE))</f>
        <v/>
      </c>
      <c r="N4099" s="57" t="str">
        <f t="shared" si="1773"/>
        <v/>
      </c>
      <c r="O4099" s="56"/>
      <c r="P4099" s="56"/>
      <c r="Q4099" s="48"/>
      <c r="R4099" s="48"/>
      <c r="S4099" s="65"/>
      <c r="T4099" s="2"/>
      <c r="U4099" s="2"/>
      <c r="V4099" s="2"/>
    </row>
    <row r="4100" spans="1:22" s="149" customFormat="1" ht="12.75" customHeight="1" x14ac:dyDescent="0.2">
      <c r="A4100" s="155"/>
      <c r="B4100" s="138" t="str">
        <f>IF(A4100="","",VLOOKUP(A4100,'6.A'!$A$11:$G$180,2,FALSE))</f>
        <v/>
      </c>
      <c r="C4100" s="156"/>
      <c r="D4100" s="157" t="str">
        <f>IF(A4100="","",VLOOKUP(A4100,'6.A'!$A$11:$G$180,4,FALSE))</f>
        <v/>
      </c>
      <c r="E4100" s="158" t="str">
        <f>IF(A4100="","",VLOOKUP(A4100,'6.A'!$A$11:$G$180,5,FALSE))</f>
        <v/>
      </c>
      <c r="F4100" s="159" t="str">
        <f t="shared" si="1770"/>
        <v>0,00</v>
      </c>
      <c r="G4100" s="52"/>
      <c r="H4100" s="52" t="str">
        <f>IF(A4100="","",VLOOKUP(A4100,'6.A'!$A$11:$E$7984,5,FALSE))</f>
        <v/>
      </c>
      <c r="I4100" s="52" t="str">
        <f t="shared" si="1771"/>
        <v/>
      </c>
      <c r="J4100" s="52" t="str">
        <f>IF(H4100="","",VLOOKUP(A4100,'6.A'!$A$11:$E$564,4,FALSE))</f>
        <v/>
      </c>
      <c r="K4100" s="52" t="str">
        <f t="shared" si="1772"/>
        <v/>
      </c>
      <c r="L4100" s="52" t="str">
        <f>IF(H4100="","",IF(C4100="","",G4068*C4100))</f>
        <v/>
      </c>
      <c r="M4100" s="117" t="str">
        <f>IF(A4100="","",VLOOKUP(A4100,'6.A'!$A$11:$C$564,2,FALSE))</f>
        <v/>
      </c>
      <c r="N4100" s="57" t="str">
        <f t="shared" si="1773"/>
        <v/>
      </c>
      <c r="O4100" s="56"/>
      <c r="P4100" s="56"/>
      <c r="Q4100" s="48"/>
      <c r="R4100" s="48"/>
      <c r="S4100" s="65"/>
      <c r="T4100" s="2"/>
      <c r="U4100" s="2"/>
      <c r="V4100" s="2"/>
    </row>
    <row r="4101" spans="1:22" s="149" customFormat="1" ht="12.75" customHeight="1" x14ac:dyDescent="0.2">
      <c r="A4101" s="155"/>
      <c r="B4101" s="138" t="str">
        <f>IF(A4101="","",VLOOKUP(A4101,'6.A'!$A$11:$G$180,2,FALSE))</f>
        <v/>
      </c>
      <c r="C4101" s="156"/>
      <c r="D4101" s="141" t="str">
        <f>IF(A4101="","",VLOOKUP(A4101,'6.A'!$A$11:$G$180,4,FALSE))</f>
        <v/>
      </c>
      <c r="E4101" s="160" t="str">
        <f>IF(A4101="","",VLOOKUP(A4101,'6.A'!$A$11:$G$180,5,FALSE))</f>
        <v/>
      </c>
      <c r="F4101" s="159" t="str">
        <f t="shared" si="1770"/>
        <v>0,00</v>
      </c>
      <c r="G4101" s="52"/>
      <c r="H4101" s="52" t="str">
        <f>IF(A4101="","",VLOOKUP(A4101,'6.A'!$A$11:$E$7984,5,FALSE))</f>
        <v/>
      </c>
      <c r="I4101" s="52" t="str">
        <f t="shared" si="1771"/>
        <v/>
      </c>
      <c r="J4101" s="52" t="str">
        <f>IF(H4101="","",VLOOKUP(A4101,'6.A'!$A$11:$E$564,4,FALSE))</f>
        <v/>
      </c>
      <c r="K4101" s="52" t="str">
        <f t="shared" si="1772"/>
        <v/>
      </c>
      <c r="L4101" s="52" t="str">
        <f>IF(H4101="","",IF(C4101="","",G4068*C4101))</f>
        <v/>
      </c>
      <c r="M4101" s="117" t="str">
        <f>IF(A4101="","",VLOOKUP(A4101,'6.A'!$A$11:$C$564,2,FALSE))</f>
        <v/>
      </c>
      <c r="N4101" s="57" t="str">
        <f t="shared" si="1773"/>
        <v/>
      </c>
      <c r="O4101" s="56"/>
      <c r="P4101" s="56"/>
      <c r="Q4101" s="48"/>
      <c r="R4101" s="48"/>
      <c r="S4101" s="65"/>
      <c r="T4101" s="2"/>
      <c r="U4101" s="2"/>
      <c r="V4101" s="2"/>
    </row>
    <row r="4102" spans="1:22" s="149" customFormat="1" ht="12.75" customHeight="1" x14ac:dyDescent="0.2">
      <c r="A4102" s="155"/>
      <c r="B4102" s="138" t="str">
        <f>IF(A4102="","",VLOOKUP(A4102,'6.A'!$A$11:$G$180,2,FALSE))</f>
        <v/>
      </c>
      <c r="C4102" s="156"/>
      <c r="D4102" s="141" t="str">
        <f>IF(A4102="","",VLOOKUP(A4102,'6.A'!$A$11:$G$180,4,FALSE))</f>
        <v/>
      </c>
      <c r="E4102" s="160" t="str">
        <f>IF(A4102="","",VLOOKUP(A4102,'6.A'!$A$11:$G$180,5,FALSE))</f>
        <v/>
      </c>
      <c r="F4102" s="159" t="str">
        <f t="shared" si="1770"/>
        <v>0,00</v>
      </c>
      <c r="G4102" s="52"/>
      <c r="H4102" s="52" t="str">
        <f>IF(A4102="","",VLOOKUP(A4102,'6.A'!$A$11:$E$7984,5,FALSE))</f>
        <v/>
      </c>
      <c r="I4102" s="52" t="str">
        <f t="shared" si="1771"/>
        <v/>
      </c>
      <c r="J4102" s="52" t="str">
        <f>IF(H4102="","",VLOOKUP(A4102,'6.A'!$A$11:$E$564,4,FALSE))</f>
        <v/>
      </c>
      <c r="K4102" s="52" t="str">
        <f t="shared" si="1772"/>
        <v/>
      </c>
      <c r="L4102" s="52" t="str">
        <f>IF(H4102="","",IF(C4102="","",G4068*C4102))</f>
        <v/>
      </c>
      <c r="M4102" s="117" t="str">
        <f>IF(A4102="","",VLOOKUP(A4102,'6.A'!$A$11:$C$564,2,FALSE))</f>
        <v/>
      </c>
      <c r="N4102" s="57" t="str">
        <f t="shared" si="1773"/>
        <v/>
      </c>
      <c r="O4102" s="56"/>
      <c r="P4102" s="56"/>
      <c r="Q4102" s="48"/>
      <c r="R4102" s="48"/>
      <c r="S4102" s="65"/>
      <c r="T4102" s="2"/>
      <c r="U4102" s="2"/>
      <c r="V4102" s="2"/>
    </row>
    <row r="4103" spans="1:22" s="149" customFormat="1" ht="12.75" customHeight="1" x14ac:dyDescent="0.2">
      <c r="A4103" s="155"/>
      <c r="B4103" s="138" t="str">
        <f>IF(A4103="","",VLOOKUP(A4103,'6.A'!$A$11:$G$180,2,FALSE))</f>
        <v/>
      </c>
      <c r="C4103" s="156"/>
      <c r="D4103" s="157" t="str">
        <f>IF(A4103="","",VLOOKUP(A4103,'6.A'!$A$11:$G$180,4,FALSE))</f>
        <v/>
      </c>
      <c r="E4103" s="158" t="str">
        <f>IF(A4103="","",VLOOKUP(A4103,'6.A'!$A$11:$G$180,5,FALSE))</f>
        <v/>
      </c>
      <c r="F4103" s="159" t="str">
        <f t="shared" si="1770"/>
        <v>0,00</v>
      </c>
      <c r="G4103" s="52"/>
      <c r="H4103" s="52" t="str">
        <f>IF(A4103="","",VLOOKUP(A4103,'6.A'!$A$11:$E$7984,5,FALSE))</f>
        <v/>
      </c>
      <c r="I4103" s="52" t="str">
        <f t="shared" si="1771"/>
        <v/>
      </c>
      <c r="J4103" s="52" t="str">
        <f>IF(H4103="","",VLOOKUP(A4103,'6.A'!$A$11:$E$564,4,FALSE))</f>
        <v/>
      </c>
      <c r="K4103" s="52" t="str">
        <f t="shared" si="1772"/>
        <v/>
      </c>
      <c r="L4103" s="52" t="str">
        <f>IF(H4103="","",IF(C4103="","",G4068*C4103))</f>
        <v/>
      </c>
      <c r="M4103" s="117" t="str">
        <f>IF(A4103="","",VLOOKUP(A4103,'6.A'!$A$11:$C$564,2,FALSE))</f>
        <v/>
      </c>
      <c r="N4103" s="57" t="str">
        <f t="shared" si="1773"/>
        <v/>
      </c>
      <c r="O4103" s="56"/>
      <c r="P4103" s="56"/>
      <c r="Q4103" s="48"/>
      <c r="R4103" s="48"/>
      <c r="S4103" s="65"/>
      <c r="T4103" s="2"/>
      <c r="U4103" s="2"/>
      <c r="V4103" s="2"/>
    </row>
    <row r="4104" spans="1:22" s="149" customFormat="1" ht="12.75" customHeight="1" x14ac:dyDescent="0.2">
      <c r="A4104" s="155"/>
      <c r="B4104" s="138" t="str">
        <f>IF(A4104="","",VLOOKUP(A4104,'6.A'!$A$11:$G$180,2,FALSE))</f>
        <v/>
      </c>
      <c r="C4104" s="156"/>
      <c r="D4104" s="157" t="str">
        <f>IF(A4104="","",VLOOKUP(A4104,'6.A'!$A$11:$G$180,4,FALSE))</f>
        <v/>
      </c>
      <c r="E4104" s="158" t="str">
        <f>IF(A4104="","",VLOOKUP(A4104,'6.A'!$A$11:$G$180,5,FALSE))</f>
        <v/>
      </c>
      <c r="F4104" s="159" t="str">
        <f t="shared" si="1770"/>
        <v>0,00</v>
      </c>
      <c r="G4104" s="52"/>
      <c r="H4104" s="52" t="str">
        <f>IF(A4104="","",VLOOKUP(A4104,'6.A'!$A$11:$E$7984,5,FALSE))</f>
        <v/>
      </c>
      <c r="I4104" s="52" t="str">
        <f t="shared" si="1771"/>
        <v/>
      </c>
      <c r="J4104" s="52" t="str">
        <f>IF(H4104="","",VLOOKUP(A4104,'6.A'!$A$11:$E$564,4,FALSE))</f>
        <v/>
      </c>
      <c r="K4104" s="52" t="str">
        <f t="shared" si="1772"/>
        <v/>
      </c>
      <c r="L4104" s="52" t="str">
        <f>IF(H4104="","",IF(C4104="","",G4068*C4104))</f>
        <v/>
      </c>
      <c r="M4104" s="117" t="str">
        <f>IF(A4104="","",VLOOKUP(A4104,'6.A'!$A$11:$C$564,2,FALSE))</f>
        <v/>
      </c>
      <c r="N4104" s="57" t="str">
        <f t="shared" si="1773"/>
        <v/>
      </c>
      <c r="O4104" s="56"/>
      <c r="P4104" s="56"/>
      <c r="Q4104" s="48"/>
      <c r="R4104" s="48"/>
      <c r="S4104" s="65"/>
      <c r="T4104" s="2"/>
      <c r="U4104" s="2"/>
      <c r="V4104" s="2"/>
    </row>
    <row r="4105" spans="1:22" s="149" customFormat="1" ht="12.75" customHeight="1" x14ac:dyDescent="0.2">
      <c r="A4105" s="155"/>
      <c r="B4105" s="138" t="str">
        <f>IF(A4105="","",VLOOKUP(A4105,'6.A'!$A$11:$G$180,2,FALSE))</f>
        <v/>
      </c>
      <c r="C4105" s="156"/>
      <c r="D4105" s="141" t="str">
        <f>IF(A4105="","",VLOOKUP(A4105,'6.A'!$A$11:$G$180,4,FALSE))</f>
        <v/>
      </c>
      <c r="E4105" s="160" t="str">
        <f>IF(A4105="","",VLOOKUP(A4105,'6.A'!$A$11:$G$180,5,FALSE))</f>
        <v/>
      </c>
      <c r="F4105" s="159" t="str">
        <f t="shared" si="1770"/>
        <v>0,00</v>
      </c>
      <c r="G4105" s="52"/>
      <c r="H4105" s="52" t="str">
        <f>IF(A4105="","",VLOOKUP(A4105,'6.A'!$A$11:$E$7984,5,FALSE))</f>
        <v/>
      </c>
      <c r="I4105" s="52" t="str">
        <f t="shared" si="1771"/>
        <v/>
      </c>
      <c r="J4105" s="52" t="str">
        <f>IF(H4105="","",VLOOKUP(A4105,'6.A'!$A$11:$E$564,4,FALSE))</f>
        <v/>
      </c>
      <c r="K4105" s="52" t="str">
        <f t="shared" si="1772"/>
        <v/>
      </c>
      <c r="L4105" s="52" t="str">
        <f>IF(H4105="","",IF(C4105="","",G4068*C4105))</f>
        <v/>
      </c>
      <c r="M4105" s="117" t="str">
        <f>IF(A4105="","",VLOOKUP(A4105,'6.A'!$A$11:$C$564,2,FALSE))</f>
        <v/>
      </c>
      <c r="N4105" s="57" t="str">
        <f t="shared" si="1773"/>
        <v/>
      </c>
      <c r="O4105" s="56"/>
      <c r="P4105" s="56"/>
      <c r="Q4105" s="48"/>
      <c r="R4105" s="48"/>
      <c r="S4105" s="65"/>
      <c r="T4105" s="2"/>
      <c r="U4105" s="2"/>
      <c r="V4105" s="2"/>
    </row>
    <row r="4106" spans="1:22" s="149" customFormat="1" ht="12.75" customHeight="1" x14ac:dyDescent="0.2">
      <c r="A4106" s="155"/>
      <c r="B4106" s="138" t="str">
        <f>IF(A4106="","",VLOOKUP(A4106,'6.A'!$A$11:$G$180,2,FALSE))</f>
        <v/>
      </c>
      <c r="C4106" s="156"/>
      <c r="D4106" s="141" t="str">
        <f>IF(A4106="","",VLOOKUP(A4106,'6.A'!$A$11:$G$180,4,FALSE))</f>
        <v/>
      </c>
      <c r="E4106" s="160" t="str">
        <f>IF(A4106="","",VLOOKUP(A4106,'6.A'!$A$11:$G$180,5,FALSE))</f>
        <v/>
      </c>
      <c r="F4106" s="159" t="str">
        <f t="shared" si="1770"/>
        <v>0,00</v>
      </c>
      <c r="G4106" s="52"/>
      <c r="H4106" s="52" t="str">
        <f>IF(A4106="","",VLOOKUP(A4106,'6.A'!$A$11:$E$7984,5,FALSE))</f>
        <v/>
      </c>
      <c r="I4106" s="52" t="str">
        <f t="shared" si="1771"/>
        <v/>
      </c>
      <c r="J4106" s="52" t="str">
        <f>IF(H4106="","",VLOOKUP(A4106,'6.A'!$A$11:$E$564,4,FALSE))</f>
        <v/>
      </c>
      <c r="K4106" s="52" t="str">
        <f t="shared" si="1772"/>
        <v/>
      </c>
      <c r="L4106" s="52" t="str">
        <f>IF(H4106="","",IF(C4106="","",G4068*C4106))</f>
        <v/>
      </c>
      <c r="M4106" s="117" t="str">
        <f>IF(A4106="","",VLOOKUP(A4106,'6.A'!$A$11:$C$564,2,FALSE))</f>
        <v/>
      </c>
      <c r="N4106" s="57" t="str">
        <f t="shared" si="1773"/>
        <v/>
      </c>
      <c r="O4106" s="56"/>
      <c r="P4106" s="56"/>
      <c r="Q4106" s="48"/>
      <c r="R4106" s="48"/>
      <c r="S4106" s="65"/>
      <c r="T4106" s="2"/>
      <c r="U4106" s="2"/>
      <c r="V4106" s="2"/>
    </row>
    <row r="4107" spans="1:22" s="149" customFormat="1" ht="12.75" customHeight="1" x14ac:dyDescent="0.2">
      <c r="A4107" s="155"/>
      <c r="B4107" s="138" t="str">
        <f>IF(A4107="","",VLOOKUP(A4107,'6.A'!$A$11:$G$180,2,FALSE))</f>
        <v/>
      </c>
      <c r="C4107" s="156"/>
      <c r="D4107" s="141" t="str">
        <f>IF(A4107="","",VLOOKUP(A4107,'6.A'!$A$11:$G$180,4,FALSE))</f>
        <v/>
      </c>
      <c r="E4107" s="160" t="str">
        <f>IF(A4107="","",VLOOKUP(A4107,'6.A'!$A$11:$G$180,5,FALSE))</f>
        <v/>
      </c>
      <c r="F4107" s="159" t="str">
        <f t="shared" si="1770"/>
        <v>0,00</v>
      </c>
      <c r="G4107" s="52"/>
      <c r="H4107" s="52" t="str">
        <f>IF(A4107="","",VLOOKUP(A4107,'6.A'!$A$11:$E$7984,5,FALSE))</f>
        <v/>
      </c>
      <c r="I4107" s="52" t="str">
        <f t="shared" si="1771"/>
        <v/>
      </c>
      <c r="J4107" s="52" t="str">
        <f>IF(H4107="","",VLOOKUP(A4107,'6.A'!$A$11:$E$564,4,FALSE))</f>
        <v/>
      </c>
      <c r="K4107" s="52" t="str">
        <f t="shared" si="1772"/>
        <v/>
      </c>
      <c r="L4107" s="52" t="str">
        <f>IF(H4107="","",IF(C4107="","",G4068*C4107))</f>
        <v/>
      </c>
      <c r="M4107" s="117" t="str">
        <f>IF(A4107="","",VLOOKUP(A4107,'6.A'!$A$11:$C$564,2,FALSE))</f>
        <v/>
      </c>
      <c r="N4107" s="57" t="str">
        <f t="shared" si="1773"/>
        <v/>
      </c>
      <c r="O4107" s="56"/>
      <c r="P4107" s="56"/>
      <c r="Q4107" s="48"/>
      <c r="R4107" s="48"/>
      <c r="S4107" s="65"/>
      <c r="T4107" s="2"/>
      <c r="U4107" s="2"/>
      <c r="V4107" s="2"/>
    </row>
    <row r="4108" spans="1:22" s="149" customFormat="1" ht="12.75" customHeight="1" x14ac:dyDescent="0.2">
      <c r="A4108" s="155"/>
      <c r="B4108" s="138" t="str">
        <f>IF(A4108="","",VLOOKUP(A4108,'6.A'!$A$11:$G$180,2,FALSE))</f>
        <v/>
      </c>
      <c r="C4108" s="156"/>
      <c r="D4108" s="141" t="str">
        <f>IF(A4108="","",VLOOKUP(A4108,'6.A'!$A$11:$G$180,4,FALSE))</f>
        <v/>
      </c>
      <c r="E4108" s="160" t="str">
        <f>IF(A4108="","",VLOOKUP(A4108,'6.A'!$A$11:$G$180,5,FALSE))</f>
        <v/>
      </c>
      <c r="F4108" s="159" t="str">
        <f t="shared" si="1770"/>
        <v>0,00</v>
      </c>
      <c r="G4108" s="52"/>
      <c r="H4108" s="52" t="str">
        <f>IF(A4108="","",VLOOKUP(A4108,'6.A'!$A$11:$E$7984,5,FALSE))</f>
        <v/>
      </c>
      <c r="I4108" s="52" t="str">
        <f t="shared" si="1771"/>
        <v/>
      </c>
      <c r="J4108" s="52" t="str">
        <f>IF(H4108="","",VLOOKUP(A4108,'6.A'!$A$11:$E$564,4,FALSE))</f>
        <v/>
      </c>
      <c r="K4108" s="52" t="str">
        <f t="shared" si="1772"/>
        <v/>
      </c>
      <c r="L4108" s="52" t="str">
        <f>IF(H4108="","",IF(C4108="","",G4068*C4108))</f>
        <v/>
      </c>
      <c r="M4108" s="117" t="str">
        <f>IF(A4108="","",VLOOKUP(A4108,'6.A'!$A$11:$C$564,2,FALSE))</f>
        <v/>
      </c>
      <c r="N4108" s="57" t="str">
        <f t="shared" si="1773"/>
        <v/>
      </c>
      <c r="O4108" s="56"/>
      <c r="P4108" s="56"/>
      <c r="Q4108" s="48"/>
      <c r="R4108" s="48"/>
      <c r="S4108" s="65"/>
      <c r="T4108" s="2"/>
      <c r="U4108" s="2"/>
      <c r="V4108" s="2"/>
    </row>
    <row r="4109" spans="1:22" s="149" customFormat="1" ht="12.75" customHeight="1" x14ac:dyDescent="0.2">
      <c r="A4109" s="155"/>
      <c r="B4109" s="138" t="str">
        <f>IF(A4109="","",VLOOKUP(A4109,'6.A'!$A$11:$G$180,2,FALSE))</f>
        <v/>
      </c>
      <c r="C4109" s="156"/>
      <c r="D4109" s="141" t="str">
        <f>IF(A4109="","",VLOOKUP(A4109,'6.A'!$A$11:$G$180,4,FALSE))</f>
        <v/>
      </c>
      <c r="E4109" s="160" t="str">
        <f>IF(A4109="","",VLOOKUP(A4109,'6.A'!$A$11:$G$180,5,FALSE))</f>
        <v/>
      </c>
      <c r="F4109" s="159" t="str">
        <f t="shared" si="1770"/>
        <v>0,00</v>
      </c>
      <c r="G4109" s="52"/>
      <c r="H4109" s="52" t="str">
        <f>IF(A4109="","",VLOOKUP(A4109,'6.A'!$A$11:$E$7984,5,FALSE))</f>
        <v/>
      </c>
      <c r="I4109" s="52" t="str">
        <f t="shared" si="1771"/>
        <v/>
      </c>
      <c r="J4109" s="52" t="str">
        <f>IF(H4109="","",VLOOKUP(A4109,'6.A'!$A$11:$E$564,4,FALSE))</f>
        <v/>
      </c>
      <c r="K4109" s="52" t="str">
        <f t="shared" si="1772"/>
        <v/>
      </c>
      <c r="L4109" s="52" t="str">
        <f>IF(H4109="","",IF(C4109="","",G4068*C4109))</f>
        <v/>
      </c>
      <c r="M4109" s="117" t="str">
        <f>IF(A4109="","",VLOOKUP(A4109,'6.A'!$A$11:$C$564,2,FALSE))</f>
        <v/>
      </c>
      <c r="N4109" s="57" t="str">
        <f t="shared" si="1773"/>
        <v/>
      </c>
      <c r="O4109" s="56"/>
      <c r="P4109" s="56"/>
      <c r="Q4109" s="48"/>
      <c r="R4109" s="48"/>
      <c r="S4109" s="65"/>
      <c r="T4109" s="2"/>
      <c r="U4109" s="2"/>
      <c r="V4109" s="2"/>
    </row>
    <row r="4110" spans="1:22" s="149" customFormat="1" ht="12.75" customHeight="1" x14ac:dyDescent="0.2">
      <c r="A4110" s="155"/>
      <c r="B4110" s="138" t="str">
        <f>IF(A4110="","",VLOOKUP(A4110,'6.A'!$A$11:$G$180,2,FALSE))</f>
        <v/>
      </c>
      <c r="C4110" s="156"/>
      <c r="D4110" s="141" t="str">
        <f>IF(A4110="","",VLOOKUP(A4110,'6.A'!$A$11:$G$180,4,FALSE))</f>
        <v/>
      </c>
      <c r="E4110" s="160" t="str">
        <f>IF(A4110="","",VLOOKUP(A4110,'6.A'!$A$11:$G$180,5,FALSE))</f>
        <v/>
      </c>
      <c r="F4110" s="159" t="str">
        <f t="shared" si="1770"/>
        <v>0,00</v>
      </c>
      <c r="G4110" s="52"/>
      <c r="H4110" s="52" t="str">
        <f>IF(A4110="","",VLOOKUP(A4110,'6.A'!$A$11:$E$7984,5,FALSE))</f>
        <v/>
      </c>
      <c r="I4110" s="52" t="str">
        <f t="shared" si="1771"/>
        <v/>
      </c>
      <c r="J4110" s="52" t="str">
        <f>IF(H4110="","",VLOOKUP(A4110,'6.A'!$A$11:$E$564,4,FALSE))</f>
        <v/>
      </c>
      <c r="K4110" s="52" t="str">
        <f t="shared" si="1772"/>
        <v/>
      </c>
      <c r="L4110" s="52" t="str">
        <f>IF(H4110="","",IF(C4110="","",G4068*C4110))</f>
        <v/>
      </c>
      <c r="M4110" s="117" t="str">
        <f>IF(A4110="","",VLOOKUP(A4110,'6.A'!$A$11:$C$564,2,FALSE))</f>
        <v/>
      </c>
      <c r="N4110" s="57" t="str">
        <f t="shared" si="1773"/>
        <v/>
      </c>
      <c r="O4110" s="56"/>
      <c r="P4110" s="56"/>
      <c r="Q4110" s="48"/>
      <c r="R4110" s="48"/>
      <c r="S4110" s="65"/>
      <c r="T4110" s="2"/>
      <c r="U4110" s="2"/>
      <c r="V4110" s="2"/>
    </row>
    <row r="4111" spans="1:22" s="149" customFormat="1" ht="12.75" customHeight="1" x14ac:dyDescent="0.2">
      <c r="A4111" s="155"/>
      <c r="B4111" s="138" t="str">
        <f>IF(A4111="","",VLOOKUP(A4111,'6.A'!$A$11:$G$180,2,FALSE))</f>
        <v/>
      </c>
      <c r="C4111" s="156"/>
      <c r="D4111" s="141" t="str">
        <f>IF(A4111="","",VLOOKUP(A4111,'6.A'!$A$11:$G$180,4,FALSE))</f>
        <v/>
      </c>
      <c r="E4111" s="160" t="str">
        <f>IF(A4111="","",VLOOKUP(A4111,'6.A'!$A$11:$G$180,5,FALSE))</f>
        <v/>
      </c>
      <c r="F4111" s="159" t="str">
        <f t="shared" si="1770"/>
        <v>0,00</v>
      </c>
      <c r="G4111" s="52"/>
      <c r="H4111" s="52" t="str">
        <f>IF(A4111="","",VLOOKUP(A4111,'6.A'!$A$11:$E$7984,5,FALSE))</f>
        <v/>
      </c>
      <c r="I4111" s="52" t="str">
        <f t="shared" si="1771"/>
        <v/>
      </c>
      <c r="J4111" s="52" t="str">
        <f>IF(H4111="","",VLOOKUP(A4111,'6.A'!$A$11:$E$564,4,FALSE))</f>
        <v/>
      </c>
      <c r="K4111" s="52" t="str">
        <f t="shared" si="1772"/>
        <v/>
      </c>
      <c r="L4111" s="52" t="str">
        <f>IF(H4111="","",IF(C4111="","",G4068*C4111))</f>
        <v/>
      </c>
      <c r="M4111" s="117" t="str">
        <f>IF(A4111="","",VLOOKUP(A4111,'6.A'!$A$11:$C$564,2,FALSE))</f>
        <v/>
      </c>
      <c r="N4111" s="57" t="str">
        <f t="shared" si="1773"/>
        <v/>
      </c>
      <c r="O4111" s="56"/>
      <c r="P4111" s="56"/>
      <c r="Q4111" s="48"/>
      <c r="R4111" s="48"/>
      <c r="S4111" s="65"/>
      <c r="T4111" s="2"/>
      <c r="U4111" s="2"/>
      <c r="V4111" s="2"/>
    </row>
    <row r="4112" spans="1:22" s="149" customFormat="1" ht="12.75" customHeight="1" x14ac:dyDescent="0.2">
      <c r="A4112" s="155"/>
      <c r="B4112" s="138" t="str">
        <f>IF(A4112="","",VLOOKUP(A4112,'6.A'!$A$11:$G$180,2,FALSE))</f>
        <v/>
      </c>
      <c r="C4112" s="156"/>
      <c r="D4112" s="141" t="str">
        <f>IF(A4112="","",VLOOKUP(A4112,'6.A'!$A$11:$G$180,4,FALSE))</f>
        <v/>
      </c>
      <c r="E4112" s="160" t="str">
        <f>IF(A4112="","",VLOOKUP(A4112,'6.A'!$A$11:$G$180,5,FALSE))</f>
        <v/>
      </c>
      <c r="F4112" s="159" t="str">
        <f t="shared" si="1770"/>
        <v>0,00</v>
      </c>
      <c r="G4112" s="52"/>
      <c r="H4112" s="52" t="str">
        <f>IF(A4112="","",VLOOKUP(A4112,'6.A'!$A$11:$E$7984,5,FALSE))</f>
        <v/>
      </c>
      <c r="I4112" s="52" t="str">
        <f t="shared" si="1771"/>
        <v/>
      </c>
      <c r="J4112" s="52" t="str">
        <f>IF(H4112="","",VLOOKUP(A4112,'6.A'!$A$11:$E$564,4,FALSE))</f>
        <v/>
      </c>
      <c r="K4112" s="52" t="str">
        <f t="shared" si="1772"/>
        <v/>
      </c>
      <c r="L4112" s="52" t="str">
        <f>IF(H4112="","",IF(C4112="","",G4068*C4112))</f>
        <v/>
      </c>
      <c r="M4112" s="117" t="str">
        <f>IF(A4112="","",VLOOKUP(A4112,'6.A'!$A$11:$C$564,2,FALSE))</f>
        <v/>
      </c>
      <c r="N4112" s="57" t="str">
        <f t="shared" si="1773"/>
        <v/>
      </c>
      <c r="O4112" s="56"/>
      <c r="P4112" s="56"/>
      <c r="Q4112" s="48"/>
      <c r="R4112" s="48"/>
      <c r="S4112" s="65"/>
      <c r="T4112" s="2"/>
      <c r="U4112" s="2"/>
      <c r="V4112" s="2"/>
    </row>
    <row r="4113" spans="1:22" s="137" customFormat="1" ht="12.75" customHeight="1" x14ac:dyDescent="0.2">
      <c r="A4113" s="155"/>
      <c r="B4113" s="171" t="str">
        <f>IF(A4113="","",VLOOKUP(A4113,'6.A'!$A$11:$G$180,2,FALSE))</f>
        <v/>
      </c>
      <c r="C4113" s="156"/>
      <c r="D4113" s="141" t="str">
        <f>IF(A4113="","",VLOOKUP(A4113,'6.A'!$A$11:$G$180,4,FALSE))</f>
        <v/>
      </c>
      <c r="E4113" s="160" t="str">
        <f>IF(A4113="","",VLOOKUP(A4113,'6.A'!$A$11:$G$180,5,FALSE))</f>
        <v/>
      </c>
      <c r="F4113" s="159" t="str">
        <f t="shared" si="1770"/>
        <v>0,00</v>
      </c>
      <c r="G4113" s="52"/>
      <c r="H4113" s="52" t="str">
        <f>IF(A4113="","",VLOOKUP(A4113,'6.A'!$A$11:$E$7984,5,FALSE))</f>
        <v/>
      </c>
      <c r="I4113" s="52" t="str">
        <f t="shared" si="1771"/>
        <v/>
      </c>
      <c r="J4113" s="52" t="str">
        <f>IF(H4113="","",VLOOKUP(A4113,'6.A'!$A$11:$E$564,4,FALSE))</f>
        <v/>
      </c>
      <c r="K4113" s="52" t="str">
        <f t="shared" si="1772"/>
        <v/>
      </c>
      <c r="L4113" s="52" t="str">
        <f>IF(H4113="","",IF(C4113="","",G4068*C4113))</f>
        <v/>
      </c>
      <c r="M4113" s="117" t="str">
        <f>IF(A4113="","",VLOOKUP(A4113,'6.A'!$A$11:$C$564,2,FALSE))</f>
        <v/>
      </c>
      <c r="N4113" s="57" t="str">
        <f t="shared" si="1773"/>
        <v/>
      </c>
      <c r="O4113" s="56"/>
      <c r="P4113" s="56"/>
      <c r="Q4113" s="48"/>
      <c r="R4113" s="48"/>
      <c r="S4113" s="65"/>
      <c r="T4113" s="2"/>
      <c r="U4113" s="2"/>
      <c r="V4113" s="2"/>
    </row>
    <row r="4114" spans="1:22" s="137" customFormat="1" ht="12.75" customHeight="1" x14ac:dyDescent="0.2">
      <c r="A4114" s="155"/>
      <c r="B4114" s="171" t="str">
        <f>IF(A4114="","",VLOOKUP(A4114,'6.A'!$A$11:$G$180,2,FALSE))</f>
        <v/>
      </c>
      <c r="C4114" s="156"/>
      <c r="D4114" s="141" t="str">
        <f>IF(A4114="","",VLOOKUP(A4114,'6.A'!$A$11:$G$180,4,FALSE))</f>
        <v/>
      </c>
      <c r="E4114" s="160" t="str">
        <f>IF(A4114="","",VLOOKUP(A4114,'6.A'!$A$11:$G$180,5,FALSE))</f>
        <v/>
      </c>
      <c r="F4114" s="159" t="str">
        <f t="shared" si="1770"/>
        <v>0,00</v>
      </c>
      <c r="G4114" s="52"/>
      <c r="H4114" s="52" t="str">
        <f>IF(A4114="","",VLOOKUP(A4114,'6.A'!$A$11:$E$7984,5,FALSE))</f>
        <v/>
      </c>
      <c r="I4114" s="52" t="str">
        <f t="shared" si="1771"/>
        <v/>
      </c>
      <c r="J4114" s="52" t="str">
        <f>IF(H4114="","",VLOOKUP(A4114,'6.A'!$A$11:$E$564,4,FALSE))</f>
        <v/>
      </c>
      <c r="K4114" s="52" t="str">
        <f t="shared" si="1772"/>
        <v/>
      </c>
      <c r="L4114" s="52" t="str">
        <f>IF(H4114="","",IF(C4114="","",G4068*C4114))</f>
        <v/>
      </c>
      <c r="M4114" s="117" t="str">
        <f>IF(A4114="","",VLOOKUP(A4114,'6.A'!$A$11:$C$564,2,FALSE))</f>
        <v/>
      </c>
      <c r="N4114" s="57" t="str">
        <f t="shared" si="1773"/>
        <v/>
      </c>
      <c r="O4114" s="56"/>
      <c r="P4114" s="56"/>
      <c r="Q4114" s="48"/>
      <c r="R4114" s="48"/>
      <c r="S4114" s="65"/>
      <c r="T4114" s="2"/>
      <c r="U4114" s="2"/>
      <c r="V4114" s="2"/>
    </row>
    <row r="4115" spans="1:22" s="137" customFormat="1" ht="12.75" customHeight="1" x14ac:dyDescent="0.2">
      <c r="A4115" s="155"/>
      <c r="B4115" s="171" t="str">
        <f>IF(A4115="","",VLOOKUP(A4115,'6.A'!$A$11:$G$180,2,FALSE))</f>
        <v/>
      </c>
      <c r="C4115" s="156"/>
      <c r="D4115" s="141" t="str">
        <f>IF(A4115="","",VLOOKUP(A4115,'6.A'!$A$11:$G$180,4,FALSE))</f>
        <v/>
      </c>
      <c r="E4115" s="160" t="str">
        <f>IF(A4115="","",VLOOKUP(A4115,'6.A'!$A$11:$G$180,5,FALSE))</f>
        <v/>
      </c>
      <c r="F4115" s="159" t="str">
        <f t="shared" si="1770"/>
        <v>0,00</v>
      </c>
      <c r="G4115" s="52"/>
      <c r="H4115" s="52" t="str">
        <f>IF(A4115="","",VLOOKUP(A4115,'6.A'!$A$11:$E$7984,5,FALSE))</f>
        <v/>
      </c>
      <c r="I4115" s="52" t="str">
        <f t="shared" si="1771"/>
        <v/>
      </c>
      <c r="J4115" s="52" t="str">
        <f>IF(H4115="","",VLOOKUP(A4115,'6.A'!$A$11:$E$564,4,FALSE))</f>
        <v/>
      </c>
      <c r="K4115" s="52" t="str">
        <f t="shared" si="1772"/>
        <v/>
      </c>
      <c r="L4115" s="52" t="str">
        <f>IF(H4115="","",IF(C4115="","",G4068*C4115))</f>
        <v/>
      </c>
      <c r="M4115" s="117" t="str">
        <f>IF(A4115="","",VLOOKUP(A4115,'6.A'!$A$11:$C$564,2,FALSE))</f>
        <v/>
      </c>
      <c r="N4115" s="57" t="str">
        <f t="shared" si="1773"/>
        <v/>
      </c>
      <c r="O4115" s="56"/>
      <c r="P4115" s="56"/>
      <c r="Q4115" s="48"/>
      <c r="R4115" s="48"/>
      <c r="S4115" s="65"/>
      <c r="T4115" s="2"/>
      <c r="U4115" s="2"/>
      <c r="V4115" s="2"/>
    </row>
    <row r="4116" spans="1:22" s="137" customFormat="1" ht="12.75" customHeight="1" x14ac:dyDescent="0.2">
      <c r="A4116" s="155"/>
      <c r="B4116" s="171" t="str">
        <f>IF(A4116="","",VLOOKUP(A4116,'6.A'!$A$11:$G$180,2,FALSE))</f>
        <v/>
      </c>
      <c r="C4116" s="156"/>
      <c r="D4116" s="141" t="str">
        <f>IF(A4116="","",VLOOKUP(A4116,'6.A'!$A$11:$G$180,4,FALSE))</f>
        <v/>
      </c>
      <c r="E4116" s="160" t="str">
        <f>IF(A4116="","",VLOOKUP(A4116,'6.A'!$A$11:$G$180,5,FALSE))</f>
        <v/>
      </c>
      <c r="F4116" s="159" t="str">
        <f t="shared" si="1770"/>
        <v>0,00</v>
      </c>
      <c r="G4116" s="52"/>
      <c r="H4116" s="52" t="str">
        <f>IF(A4116="","",VLOOKUP(A4116,'6.A'!$A$11:$E$7984,5,FALSE))</f>
        <v/>
      </c>
      <c r="I4116" s="52" t="str">
        <f t="shared" si="1771"/>
        <v/>
      </c>
      <c r="J4116" s="52" t="str">
        <f>IF(H4116="","",VLOOKUP(A4116,'6.A'!$A$11:$E$564,4,FALSE))</f>
        <v/>
      </c>
      <c r="K4116" s="52" t="str">
        <f t="shared" si="1772"/>
        <v/>
      </c>
      <c r="L4116" s="52" t="str">
        <f>IF(H4116="","",IF(C4116="","",G4068*C4116))</f>
        <v/>
      </c>
      <c r="M4116" s="117" t="str">
        <f>IF(A4116="","",VLOOKUP(A4116,'6.A'!$A$11:$C$564,2,FALSE))</f>
        <v/>
      </c>
      <c r="N4116" s="57" t="str">
        <f t="shared" si="1773"/>
        <v/>
      </c>
      <c r="O4116" s="56"/>
      <c r="P4116" s="56"/>
      <c r="Q4116" s="48"/>
      <c r="R4116" s="48"/>
      <c r="S4116" s="65"/>
      <c r="T4116" s="2"/>
      <c r="U4116" s="2"/>
      <c r="V4116" s="2"/>
    </row>
    <row r="4117" spans="1:22" s="137" customFormat="1" ht="12.75" customHeight="1" x14ac:dyDescent="0.2">
      <c r="A4117" s="155"/>
      <c r="B4117" s="26" t="str">
        <f>$A$9</f>
        <v>BDI</v>
      </c>
      <c r="C4117" s="40">
        <f>$C$9</f>
        <v>0</v>
      </c>
      <c r="D4117" s="141"/>
      <c r="E4117" s="147"/>
      <c r="F4117" s="162">
        <f>ROUND(SUM(F4097:F4116)*C4117,2)</f>
        <v>0</v>
      </c>
      <c r="G4117" s="63"/>
      <c r="H4117" s="52"/>
      <c r="I4117" s="57"/>
      <c r="J4117" s="57"/>
      <c r="K4117" s="57"/>
      <c r="L4117" s="52"/>
      <c r="M4117" s="57"/>
      <c r="N4117" s="57"/>
      <c r="O4117" s="56"/>
      <c r="P4117" s="56"/>
      <c r="Q4117" s="48"/>
      <c r="R4117" s="48"/>
      <c r="S4117" s="65"/>
      <c r="T4117" s="2"/>
      <c r="U4117" s="2"/>
      <c r="V4117" s="2"/>
    </row>
    <row r="4118" spans="1:22" s="137" customFormat="1" ht="12.75" customHeight="1" thickBot="1" x14ac:dyDescent="0.25">
      <c r="A4118" s="172"/>
      <c r="B4118" s="42" t="s">
        <v>57</v>
      </c>
      <c r="C4118" s="43"/>
      <c r="D4118" s="173"/>
      <c r="E4118" s="174"/>
      <c r="F4118" s="175">
        <f>ROUND(SUM(F4097:F4117),2)</f>
        <v>0</v>
      </c>
      <c r="G4118" s="63"/>
      <c r="H4118" s="52"/>
      <c r="I4118" s="57"/>
      <c r="J4118" s="57"/>
      <c r="K4118" s="57"/>
      <c r="L4118" s="52"/>
      <c r="M4118" s="57"/>
      <c r="N4118" s="57"/>
      <c r="O4118" s="56"/>
      <c r="P4118" s="56"/>
      <c r="Q4118" s="48"/>
      <c r="R4118" s="48"/>
      <c r="S4118" s="65"/>
      <c r="T4118" s="2"/>
      <c r="U4118" s="2"/>
      <c r="V4118" s="2"/>
    </row>
    <row r="4119" spans="1:22" s="149" customFormat="1" ht="12" customHeight="1" thickBot="1" x14ac:dyDescent="0.25">
      <c r="A4119" s="150"/>
      <c r="B4119" s="145"/>
      <c r="C4119" s="146"/>
      <c r="D4119" s="141"/>
      <c r="E4119" s="147"/>
      <c r="F4119" s="142"/>
      <c r="G4119" s="142"/>
      <c r="H4119" s="139"/>
      <c r="I4119" s="141"/>
      <c r="J4119" s="141"/>
      <c r="K4119" s="141"/>
      <c r="L4119" s="139"/>
      <c r="M4119" s="143"/>
      <c r="N4119" s="143"/>
      <c r="O4119" s="144"/>
      <c r="P4119" s="144"/>
      <c r="Q4119" s="135"/>
      <c r="R4119" s="135"/>
      <c r="T4119" s="137"/>
      <c r="U4119" s="137"/>
      <c r="V4119" s="137"/>
    </row>
    <row r="4120" spans="1:22" s="137" customFormat="1" ht="50.1" customHeight="1" x14ac:dyDescent="0.2">
      <c r="A4120" s="151" t="str">
        <f>'3.A'!$A$232</f>
        <v>4.1.2</v>
      </c>
      <c r="B4120" s="14" t="str">
        <f>IF(A4120="","",VLOOKUP(A4120,'3.A'!$A$17:$M$279,2,FALSE))</f>
        <v>SERVIÇOS PARA DESATIVAÇÃO DA SUBESTAÇÃO EXISTENTE PTB 003</v>
      </c>
      <c r="C4120" s="413" t="s">
        <v>62</v>
      </c>
      <c r="D4120" s="413"/>
      <c r="E4120" s="15" t="str">
        <f>IF(A4120="","",VLOOKUP(A4120,'3.A'!$A$17:$M$279,3,FALSE))</f>
        <v>GB</v>
      </c>
      <c r="F4120" s="16">
        <f>ROUND(F4134+F4147+F4170,2)</f>
        <v>0</v>
      </c>
      <c r="G4120" s="118">
        <f>VLOOKUP(A4120,'3.A'!$A$19:$I$279,4,FALSE)</f>
        <v>1</v>
      </c>
      <c r="H4120" s="47">
        <f>SUM(F4122:F4133)</f>
        <v>0</v>
      </c>
      <c r="I4120" s="47">
        <f>SUM(F4136:F4146)</f>
        <v>0</v>
      </c>
      <c r="J4120" s="47">
        <f>SUM(F4149:F4169)</f>
        <v>0</v>
      </c>
      <c r="K4120" s="47">
        <f>SUM(H4120:J4120)</f>
        <v>0</v>
      </c>
      <c r="L4120" s="47" t="str">
        <f>IF(K4120=F4120,"SIM","NÃO")</f>
        <v>SIM</v>
      </c>
      <c r="M4120" s="58">
        <f>ROUND(SUM(F4122:F4131)*C4132,2)+ROUND(SUM(F4122:F4132)*C4133,2)+ROUND(SUM(F4122:F4131),2)+ROUND(SUM(F4136:F4145)*C4146,2)+ROUND(SUM(F4136:F4145),2)+ROUND(SUM(F4149:F4168)*C4169,2)+ROUND(SUM(F4149:F4168),2)</f>
        <v>0</v>
      </c>
      <c r="N4120" s="50" t="str">
        <f>IF(M4120=F4120,"SIM","NÃO")</f>
        <v>SIM</v>
      </c>
      <c r="O4120" s="51" t="str">
        <f>VLOOKUP(A4120,'3.A'!$A$8:$E$279,3,FALSE)</f>
        <v>GB</v>
      </c>
      <c r="P4120" s="51" t="str">
        <f>IF(O4120=E4120,"SIM","NÃO")</f>
        <v>SIM</v>
      </c>
      <c r="Q4120" s="53">
        <f>ROUND(G4120*F4134,2)+ROUND(G4120*F4147,2)+ROUND(G4120*F4170,2)</f>
        <v>0</v>
      </c>
      <c r="R4120" s="59">
        <f>VLOOKUP(A4120,'3.A'!$A$17:$L$279,12,FALSE)</f>
        <v>0</v>
      </c>
      <c r="S4120" s="60" t="str">
        <f>IF(Q4120=R4120,"si","no")</f>
        <v>si</v>
      </c>
      <c r="T4120" s="61">
        <f>SUM(L4122:L4131)+SUM(L4136:L4145)+SUM(L4149:L4168)</f>
        <v>60.644999999999996</v>
      </c>
      <c r="U4120" s="52">
        <f>G4120*C4128+G4120*C4130+G4120*C4123+G4120*C4124+G4120*C4126+G4120*C4129+G4120*C4127+G4120*C4122+G4120*C4125+G4120*C4131+G4120*C4142+G4120*C4136+G4120*C4144+G4120*C4143+G4120*C4141+G4120*C4138+G4120*C4137+G4120*C4139+G4120*C4145+G4120*C4140+G4120*C4149+G4120*C4150+G4120*C4151+G4120*C4159+G4120*C4160+G4120*C4161+G4120*C4162+G4120*C4163+G4120*C4164+G4120*C4165+G4120*C4166+G4120*C4167+G4120*C4168+G4120*C4157+G4120*C4158+G4120*C4152+G4120*C4153+G4120*C4154+G4120*C4155+G4120*C4156</f>
        <v>60.645000000000003</v>
      </c>
      <c r="V4120" s="54" t="str">
        <f>IF(T4120=U4120,"si","no")</f>
        <v>si</v>
      </c>
    </row>
    <row r="4121" spans="1:22" s="137" customFormat="1" ht="12.75" customHeight="1" x14ac:dyDescent="0.2">
      <c r="A4121" s="152" t="s">
        <v>3</v>
      </c>
      <c r="B4121" s="153" t="s">
        <v>58</v>
      </c>
      <c r="C4121" s="140" t="s">
        <v>59</v>
      </c>
      <c r="D4121" s="140" t="s">
        <v>16</v>
      </c>
      <c r="E4121" s="154" t="s">
        <v>60</v>
      </c>
      <c r="F4121" s="148" t="s">
        <v>61</v>
      </c>
      <c r="G4121" s="21"/>
      <c r="H4121" s="52"/>
      <c r="I4121" s="57"/>
      <c r="J4121" s="57"/>
      <c r="K4121" s="57"/>
      <c r="L4121" s="52"/>
      <c r="M4121" s="57"/>
      <c r="N4121" s="57"/>
      <c r="O4121" s="56"/>
      <c r="P4121" s="56"/>
      <c r="Q4121" s="48"/>
      <c r="R4121" s="48"/>
      <c r="S4121" s="65"/>
      <c r="T4121" s="2"/>
      <c r="U4121" s="2"/>
      <c r="V4121" s="2"/>
    </row>
    <row r="4122" spans="1:22" s="137" customFormat="1" ht="12.75" customHeight="1" x14ac:dyDescent="0.2">
      <c r="A4122" s="155">
        <f>'6.A'!$A$15</f>
        <v>88247</v>
      </c>
      <c r="B4122" s="138" t="str">
        <f>IF(A4122="","",VLOOKUP(A4122,'6.A'!$A$11:$G$180,2,FALSE))</f>
        <v>AUXILIAR DE ELETRICISTA COM ENCARGOS COMPLEMENTARES</v>
      </c>
      <c r="C4122" s="156">
        <v>24</v>
      </c>
      <c r="D4122" s="157" t="str">
        <f>IF(A4122="","",VLOOKUP(A4122,'6.A'!$A$11:$G$180,4,FALSE))</f>
        <v>H</v>
      </c>
      <c r="E4122" s="158">
        <f>IF(A4122="","",VLOOKUP(A4122,'6.A'!$A$11:$G$180,5,FALSE))</f>
        <v>0</v>
      </c>
      <c r="F4122" s="159">
        <f t="shared" ref="F4122" si="1774">IF(A4122="","0,00",ROUND(C4122*E4122,2))</f>
        <v>0</v>
      </c>
      <c r="G4122" s="52"/>
      <c r="H4122" s="52">
        <f>IF(A4122="","",VLOOKUP(A4122,'6.A'!$A$11:$E$7984,5,FALSE))</f>
        <v>0</v>
      </c>
      <c r="I4122" s="52" t="str">
        <f>IF(H4122="","",IF(E4122=H4122,"SIM","NÃO"))</f>
        <v>SIM</v>
      </c>
      <c r="J4122" s="52" t="str">
        <f>IF(H4122="","",VLOOKUP(A4122,'6.A'!$A$11:$E$564,4,FALSE))</f>
        <v>H</v>
      </c>
      <c r="K4122" s="52" t="str">
        <f>IF(H4122="","",IF(J4122=D4122,"SIM","NÃO"))</f>
        <v>SIM</v>
      </c>
      <c r="L4122" s="52">
        <f>IF(H4122="","",IF(C4122="","",G4120*C4122))</f>
        <v>24</v>
      </c>
      <c r="M4122" s="117" t="str">
        <f>IF(A4122="","",VLOOKUP(A4122,'6.A'!$A$11:$C$564,2,FALSE))</f>
        <v>AUXILIAR DE ELETRICISTA COM ENCARGOS COMPLEMENTARES</v>
      </c>
      <c r="N4122" s="57" t="str">
        <f>IF(A4122="","",IF(M4122=B4122,"si","no"))</f>
        <v>si</v>
      </c>
      <c r="O4122" s="56"/>
      <c r="P4122" s="56"/>
      <c r="Q4122" s="48"/>
      <c r="R4122" s="48"/>
      <c r="S4122" s="65"/>
      <c r="T4122" s="2"/>
      <c r="U4122" s="2"/>
      <c r="V4122" s="2"/>
    </row>
    <row r="4123" spans="1:22" s="137" customFormat="1" ht="12.75" customHeight="1" x14ac:dyDescent="0.2">
      <c r="A4123" s="155">
        <f>'6.A'!$A$18</f>
        <v>88264</v>
      </c>
      <c r="B4123" s="138" t="str">
        <f>IF(A4123="","",VLOOKUP(A4123,'6.A'!$A$11:$G$180,2,FALSE))</f>
        <v>ELETRICISTA COM ENCARGOS COMPLEMENTARES</v>
      </c>
      <c r="C4123" s="156">
        <v>24</v>
      </c>
      <c r="D4123" s="157" t="str">
        <f>IF(A4123="","",VLOOKUP(A4123,'6.A'!$A$11:$G$180,4,FALSE))</f>
        <v>H</v>
      </c>
      <c r="E4123" s="158">
        <f>IF(A4123="","",VLOOKUP(A4123,'6.A'!$A$11:$G$180,5,FALSE))</f>
        <v>0</v>
      </c>
      <c r="F4123" s="159">
        <f>IF(A4123="","0,00",ROUND(C4123*E4123,2))</f>
        <v>0</v>
      </c>
      <c r="G4123" s="52"/>
      <c r="H4123" s="52">
        <f>IF(A4123="","",VLOOKUP(A4123,'6.A'!$A$11:$E$7984,5,FALSE))</f>
        <v>0</v>
      </c>
      <c r="I4123" s="52" t="str">
        <f>IF(H4123="","",IF(E4123=H4123,"SIM","NÃO"))</f>
        <v>SIM</v>
      </c>
      <c r="J4123" s="52" t="str">
        <f>IF(H4123="","",VLOOKUP(A4123,'6.A'!$A$11:$E$564,4,FALSE))</f>
        <v>H</v>
      </c>
      <c r="K4123" s="52" t="str">
        <f>IF(H4123="","",IF(J4123=D4123,"SIM","NÃO"))</f>
        <v>SIM</v>
      </c>
      <c r="L4123" s="52">
        <f>IF(H4123="","",IF(C4123="","",G4120*C4123))</f>
        <v>24</v>
      </c>
      <c r="M4123" s="117" t="str">
        <f>IF(A4123="","",VLOOKUP(A4123,'6.A'!$A$11:$C$564,2,FALSE))</f>
        <v>ELETRICISTA COM ENCARGOS COMPLEMENTARES</v>
      </c>
      <c r="N4123" s="57" t="str">
        <f>IF(A4123="","",IF(M4123=B4123,"si","no"))</f>
        <v>si</v>
      </c>
      <c r="O4123" s="56"/>
      <c r="P4123" s="56"/>
      <c r="Q4123" s="48"/>
      <c r="R4123" s="48"/>
      <c r="S4123" s="65"/>
      <c r="T4123" s="2"/>
      <c r="U4123" s="2"/>
      <c r="V4123" s="2"/>
    </row>
    <row r="4124" spans="1:22" s="137" customFormat="1" ht="12.75" customHeight="1" x14ac:dyDescent="0.2">
      <c r="A4124" s="155"/>
      <c r="B4124" s="138" t="str">
        <f>IF(A4124="","",VLOOKUP(A4124,'6.A'!$A$11:$G$180,2,FALSE))</f>
        <v/>
      </c>
      <c r="C4124" s="156"/>
      <c r="D4124" s="157" t="str">
        <f>IF(A4124="","",VLOOKUP(A4124,'6.A'!$A$11:$G$180,4,FALSE))</f>
        <v/>
      </c>
      <c r="E4124" s="158" t="str">
        <f>IF(A4124="","",VLOOKUP(A4124,'6.A'!$A$11:$G$180,5,FALSE))</f>
        <v/>
      </c>
      <c r="F4124" s="159" t="str">
        <f t="shared" ref="F4124:F4131" si="1775">IF(A4124="","0,00",ROUND(C4124*E4124,2))</f>
        <v>0,00</v>
      </c>
      <c r="G4124" s="52"/>
      <c r="H4124" s="52" t="str">
        <f>IF(A4124="","",VLOOKUP(A4124,'6.A'!$A$11:$E$7984,5,FALSE))</f>
        <v/>
      </c>
      <c r="I4124" s="52" t="str">
        <f>IF(H4124="","",IF(E4124=H4124,"SIM","NÃO"))</f>
        <v/>
      </c>
      <c r="J4124" s="52" t="str">
        <f>IF(H4124="","",VLOOKUP(A4124,'6.A'!$A$11:$E$564,4,FALSE))</f>
        <v/>
      </c>
      <c r="K4124" s="52" t="str">
        <f t="shared" ref="K4124" si="1776">IF(H4124="","",IF(J4124=D4124,"SIM","NÃO"))</f>
        <v/>
      </c>
      <c r="L4124" s="52" t="str">
        <f>IF(H4124="","",IF(C4124="","",G4120*C4124))</f>
        <v/>
      </c>
      <c r="M4124" s="117" t="str">
        <f>IF(A4124="","",VLOOKUP(A4124,'6.A'!$A$11:$C$564,2,FALSE))</f>
        <v/>
      </c>
      <c r="N4124" s="57" t="str">
        <f t="shared" ref="N4124" si="1777">IF(A4124="","",IF(M4124=B4124,"si","no"))</f>
        <v/>
      </c>
      <c r="O4124" s="56"/>
      <c r="P4124" s="56"/>
      <c r="Q4124" s="48"/>
      <c r="R4124" s="48"/>
      <c r="S4124" s="65"/>
      <c r="T4124" s="2"/>
      <c r="U4124" s="2"/>
      <c r="V4124" s="2"/>
    </row>
    <row r="4125" spans="1:22" s="137" customFormat="1" ht="12.75" customHeight="1" x14ac:dyDescent="0.2">
      <c r="A4125" s="155"/>
      <c r="B4125" s="138" t="str">
        <f>IF(A4125="","",VLOOKUP(A4125,'6.A'!$A$11:$G$180,2,FALSE))</f>
        <v/>
      </c>
      <c r="C4125" s="156"/>
      <c r="D4125" s="157" t="str">
        <f>IF(A4125="","",VLOOKUP(A4125,'6.A'!$A$11:$G$180,4,FALSE))</f>
        <v/>
      </c>
      <c r="E4125" s="158" t="str">
        <f>IF(A4125="","",VLOOKUP(A4125,'6.A'!$A$11:$G$180,5,FALSE))</f>
        <v/>
      </c>
      <c r="F4125" s="159" t="str">
        <f t="shared" si="1775"/>
        <v>0,00</v>
      </c>
      <c r="G4125" s="52"/>
      <c r="H4125" s="52" t="str">
        <f>IF(A4125="","",VLOOKUP(A4125,'6.A'!$A$11:$E$7984,5,FALSE))</f>
        <v/>
      </c>
      <c r="I4125" s="52" t="str">
        <f>IF(H4125="","",IF(E4125=H4125,"SIM","NÃO"))</f>
        <v/>
      </c>
      <c r="J4125" s="52" t="str">
        <f>IF(H4125="","",VLOOKUP(A4125,'6.A'!$A$11:$E$564,4,FALSE))</f>
        <v/>
      </c>
      <c r="K4125" s="52" t="str">
        <f>IF(H4125="","",IF(J4125=D4125,"SIM","NÃO"))</f>
        <v/>
      </c>
      <c r="L4125" s="52" t="str">
        <f>IF(H4125="","",IF(C4125="","",G4120*C4125))</f>
        <v/>
      </c>
      <c r="M4125" s="117" t="str">
        <f>IF(A4125="","",VLOOKUP(A4125,'6.A'!$A$11:$C$564,2,FALSE))</f>
        <v/>
      </c>
      <c r="N4125" s="57" t="str">
        <f>IF(A4125="","",IF(M4125=B4125,"si","no"))</f>
        <v/>
      </c>
      <c r="O4125" s="56"/>
      <c r="P4125" s="56"/>
      <c r="Q4125" s="48"/>
      <c r="R4125" s="48"/>
      <c r="S4125" s="65"/>
      <c r="T4125" s="2"/>
      <c r="U4125" s="2"/>
      <c r="V4125" s="2"/>
    </row>
    <row r="4126" spans="1:22" s="137" customFormat="1" ht="12.75" customHeight="1" x14ac:dyDescent="0.2">
      <c r="A4126" s="155"/>
      <c r="B4126" s="138" t="str">
        <f>IF(A4126="","",VLOOKUP(A4126,'6.A'!$A$11:$G$180,2,FALSE))</f>
        <v/>
      </c>
      <c r="C4126" s="156"/>
      <c r="D4126" s="157" t="str">
        <f>IF(A4126="","",VLOOKUP(A4126,'6.A'!$A$11:$G$180,4,FALSE))</f>
        <v/>
      </c>
      <c r="E4126" s="158" t="str">
        <f>IF(A4126="","",VLOOKUP(A4126,'6.A'!$A$11:$G$180,5,FALSE))</f>
        <v/>
      </c>
      <c r="F4126" s="159" t="str">
        <f t="shared" si="1775"/>
        <v>0,00</v>
      </c>
      <c r="G4126" s="52"/>
      <c r="H4126" s="52" t="str">
        <f>IF(A4126="","",VLOOKUP(A4126,'6.A'!$A$11:$E$7984,5,FALSE))</f>
        <v/>
      </c>
      <c r="I4126" s="52" t="str">
        <f t="shared" ref="I4126" si="1778">IF(H4126="","",IF(E4126=H4126,"SIM","NÃO"))</f>
        <v/>
      </c>
      <c r="J4126" s="52" t="str">
        <f>IF(H4126="","",VLOOKUP(A4126,'6.A'!$A$11:$E$564,4,FALSE))</f>
        <v/>
      </c>
      <c r="K4126" s="52" t="str">
        <f t="shared" ref="K4126" si="1779">IF(H4126="","",IF(J4126=D4126,"SIM","NÃO"))</f>
        <v/>
      </c>
      <c r="L4126" s="52" t="str">
        <f>IF(H4126="","",IF(C4126="","",G4120*C4126))</f>
        <v/>
      </c>
      <c r="M4126" s="117" t="str">
        <f>IF(A4126="","",VLOOKUP(A4126,'6.A'!$A$11:$C$564,2,FALSE))</f>
        <v/>
      </c>
      <c r="N4126" s="57" t="str">
        <f t="shared" ref="N4126" si="1780">IF(A4126="","",IF(M4126=B4126,"si","no"))</f>
        <v/>
      </c>
      <c r="O4126" s="56"/>
      <c r="P4126" s="56"/>
      <c r="Q4126" s="48"/>
      <c r="R4126" s="48"/>
      <c r="S4126" s="65"/>
      <c r="T4126" s="2"/>
      <c r="U4126" s="2"/>
      <c r="V4126" s="2"/>
    </row>
    <row r="4127" spans="1:22" s="137" customFormat="1" ht="12.75" customHeight="1" x14ac:dyDescent="0.2">
      <c r="A4127" s="155"/>
      <c r="B4127" s="138" t="str">
        <f>IF(A4127="","",VLOOKUP(A4127,'6.A'!$A$11:$G$180,2,FALSE))</f>
        <v/>
      </c>
      <c r="C4127" s="156"/>
      <c r="D4127" s="157" t="str">
        <f>IF(A4127="","",VLOOKUP(A4127,'6.A'!$A$11:$G$180,4,FALSE))</f>
        <v/>
      </c>
      <c r="E4127" s="158" t="str">
        <f>IF(A4127="","",VLOOKUP(A4127,'6.A'!$A$11:$G$180,5,FALSE))</f>
        <v/>
      </c>
      <c r="F4127" s="159" t="str">
        <f t="shared" si="1775"/>
        <v>0,00</v>
      </c>
      <c r="G4127" s="52"/>
      <c r="H4127" s="52" t="str">
        <f>IF(A4127="","",VLOOKUP(A4127,'6.A'!$A$11:$E$7984,5,FALSE))</f>
        <v/>
      </c>
      <c r="I4127" s="52" t="str">
        <f>IF(H4127="","",IF(E4127=H4127,"SIM","NÃO"))</f>
        <v/>
      </c>
      <c r="J4127" s="52" t="str">
        <f>IF(H4127="","",VLOOKUP(A4127,'6.A'!$A$11:$E$564,4,FALSE))</f>
        <v/>
      </c>
      <c r="K4127" s="52" t="str">
        <f>IF(H4127="","",IF(J4127=D4127,"SIM","NÃO"))</f>
        <v/>
      </c>
      <c r="L4127" s="52" t="str">
        <f>IF(H4127="","",IF(C4127="","",G4120*C4127))</f>
        <v/>
      </c>
      <c r="M4127" s="117" t="str">
        <f>IF(A4127="","",VLOOKUP(A4127,'6.A'!$A$11:$C$564,2,FALSE))</f>
        <v/>
      </c>
      <c r="N4127" s="57" t="str">
        <f>IF(A4127="","",IF(M4127=B4127,"si","no"))</f>
        <v/>
      </c>
      <c r="O4127" s="56"/>
      <c r="P4127" s="56"/>
      <c r="Q4127" s="48"/>
      <c r="R4127" s="48"/>
      <c r="S4127" s="65"/>
      <c r="T4127" s="2"/>
      <c r="U4127" s="2"/>
      <c r="V4127" s="2"/>
    </row>
    <row r="4128" spans="1:22" s="137" customFormat="1" ht="12.75" customHeight="1" x14ac:dyDescent="0.2">
      <c r="A4128" s="155"/>
      <c r="B4128" s="138" t="str">
        <f>IF(A4128="","",VLOOKUP(A4128,'6.A'!$A$11:$G$180,2,FALSE))</f>
        <v/>
      </c>
      <c r="C4128" s="156"/>
      <c r="D4128" s="141" t="str">
        <f>IF(A4128="","",VLOOKUP(A4128,'6.A'!$A$11:$G$180,4,FALSE))</f>
        <v/>
      </c>
      <c r="E4128" s="160" t="str">
        <f>IF(A4128="","",VLOOKUP(A4128,'6.A'!$A$11:$G$180,5,FALSE))</f>
        <v/>
      </c>
      <c r="F4128" s="159" t="str">
        <f t="shared" si="1775"/>
        <v>0,00</v>
      </c>
      <c r="G4128" s="52"/>
      <c r="H4128" s="52" t="str">
        <f>IF(A4128="","",VLOOKUP(A4128,'6.A'!$A$11:$E$7984,5,FALSE))</f>
        <v/>
      </c>
      <c r="I4128" s="52" t="str">
        <f>IF(H4128="","",IF(E4128=H4128,"SIM","NÃO"))</f>
        <v/>
      </c>
      <c r="J4128" s="52" t="str">
        <f>IF(H4128="","",VLOOKUP(A4128,'6.A'!$A$11:$E$564,4,FALSE))</f>
        <v/>
      </c>
      <c r="K4128" s="52" t="str">
        <f>IF(H4128="","",IF(J4128=D4128,"SIM","NÃO"))</f>
        <v/>
      </c>
      <c r="L4128" s="52" t="str">
        <f>IF(H4128="","",IF(C4128="","",G4120*C4128))</f>
        <v/>
      </c>
      <c r="M4128" s="117" t="str">
        <f>IF(A4128="","",VLOOKUP(A4128,'6.A'!$A$11:$C$564,2,FALSE))</f>
        <v/>
      </c>
      <c r="N4128" s="57" t="str">
        <f>IF(A4128="","",IF(M4128=B4128,"si","no"))</f>
        <v/>
      </c>
      <c r="O4128" s="56"/>
      <c r="P4128" s="56"/>
      <c r="Q4128" s="48"/>
      <c r="R4128" s="48"/>
      <c r="S4128" s="65"/>
      <c r="T4128" s="2"/>
      <c r="U4128" s="2"/>
      <c r="V4128" s="2"/>
    </row>
    <row r="4129" spans="1:22" s="137" customFormat="1" ht="12.75" customHeight="1" x14ac:dyDescent="0.2">
      <c r="A4129" s="155"/>
      <c r="B4129" s="138" t="str">
        <f>IF(A4129="","",VLOOKUP(A4129,'6.A'!$A$11:$G$180,2,FALSE))</f>
        <v/>
      </c>
      <c r="C4129" s="156"/>
      <c r="D4129" s="141" t="str">
        <f>IF(A4129="","",VLOOKUP(A4129,'6.A'!$A$11:$G$180,4,FALSE))</f>
        <v/>
      </c>
      <c r="E4129" s="158" t="str">
        <f>IF(A4129="","",VLOOKUP(A4129,'6.A'!$A$11:$G$180,5,FALSE))</f>
        <v/>
      </c>
      <c r="F4129" s="159" t="str">
        <f t="shared" si="1775"/>
        <v>0,00</v>
      </c>
      <c r="G4129" s="52"/>
      <c r="H4129" s="52" t="str">
        <f>IF(A4129="","",VLOOKUP(A4129,'6.A'!$A$11:$E$7984,5,FALSE))</f>
        <v/>
      </c>
      <c r="I4129" s="52" t="str">
        <f t="shared" ref="I4129" si="1781">IF(H4129="","",IF(E4129=H4129,"SIM","NÃO"))</f>
        <v/>
      </c>
      <c r="J4129" s="52" t="str">
        <f>IF(H4129="","",VLOOKUP(A4129,'6.A'!$A$11:$E$564,4,FALSE))</f>
        <v/>
      </c>
      <c r="K4129" s="52" t="str">
        <f t="shared" ref="K4129" si="1782">IF(H4129="","",IF(J4129=D4129,"SIM","NÃO"))</f>
        <v/>
      </c>
      <c r="L4129" s="52" t="str">
        <f>IF(H4129="","",IF(C4129="","",G4120*C4129))</f>
        <v/>
      </c>
      <c r="M4129" s="117" t="str">
        <f>IF(A4129="","",VLOOKUP(A4129,'6.A'!$A$11:$C$564,2,FALSE))</f>
        <v/>
      </c>
      <c r="N4129" s="57" t="str">
        <f t="shared" ref="N4129" si="1783">IF(A4129="","",IF(M4129=B4129,"si","no"))</f>
        <v/>
      </c>
      <c r="O4129" s="56"/>
      <c r="P4129" s="56"/>
      <c r="Q4129" s="48"/>
      <c r="R4129" s="48"/>
      <c r="S4129" s="65"/>
      <c r="T4129" s="2"/>
      <c r="U4129" s="2"/>
      <c r="V4129" s="2"/>
    </row>
    <row r="4130" spans="1:22" s="137" customFormat="1" ht="12.75" customHeight="1" x14ac:dyDescent="0.2">
      <c r="A4130" s="155"/>
      <c r="B4130" s="138" t="str">
        <f>IF(A4130="","",VLOOKUP(A4130,'6.A'!$A$11:$G$180,2,FALSE))</f>
        <v/>
      </c>
      <c r="C4130" s="156"/>
      <c r="D4130" s="141" t="str">
        <f>IF(A4130="","",VLOOKUP(A4130,'6.A'!$A$11:$G$180,4,FALSE))</f>
        <v/>
      </c>
      <c r="E4130" s="158" t="str">
        <f>IF(A4130="","",VLOOKUP(A4130,'6.A'!$A$11:$G$180,5,FALSE))</f>
        <v/>
      </c>
      <c r="F4130" s="159" t="str">
        <f t="shared" si="1775"/>
        <v>0,00</v>
      </c>
      <c r="G4130" s="52"/>
      <c r="H4130" s="52" t="str">
        <f>IF(A4130="","",VLOOKUP(A4130,'6.A'!$A$11:$E$7984,5,FALSE))</f>
        <v/>
      </c>
      <c r="I4130" s="52" t="str">
        <f>IF(H4130="","",IF(E4130=H4130,"SIM","NÃO"))</f>
        <v/>
      </c>
      <c r="J4130" s="52" t="str">
        <f>IF(H4130="","",VLOOKUP(A4130,'6.A'!$A$11:$E$564,4,FALSE))</f>
        <v/>
      </c>
      <c r="K4130" s="52" t="str">
        <f>IF(H4130="","",IF(J4130=D4130,"SIM","NÃO"))</f>
        <v/>
      </c>
      <c r="L4130" s="52" t="str">
        <f>IF(H4130="","",IF(C4130="","",G4120*C4130))</f>
        <v/>
      </c>
      <c r="M4130" s="117" t="str">
        <f>IF(A4130="","",VLOOKUP(A4130,'6.A'!$A$11:$C$564,2,FALSE))</f>
        <v/>
      </c>
      <c r="N4130" s="57" t="str">
        <f>IF(A4130="","",IF(M4130=B4130,"si","no"))</f>
        <v/>
      </c>
      <c r="O4130" s="56"/>
      <c r="P4130" s="56"/>
      <c r="Q4130" s="48"/>
      <c r="R4130" s="48"/>
      <c r="S4130" s="65"/>
      <c r="T4130" s="2"/>
      <c r="U4130" s="2"/>
      <c r="V4130" s="2"/>
    </row>
    <row r="4131" spans="1:22" s="137" customFormat="1" ht="12.75" customHeight="1" x14ac:dyDescent="0.2">
      <c r="A4131" s="155"/>
      <c r="B4131" s="138" t="str">
        <f>IF(A4131="","",VLOOKUP(A4131,'6.A'!$A$11:$G$180,2,FALSE))</f>
        <v/>
      </c>
      <c r="C4131" s="156"/>
      <c r="D4131" s="161" t="str">
        <f>IF(A4131="","",VLOOKUP(A4131,'6.A'!$A$11:$G$180,4,FALSE))</f>
        <v/>
      </c>
      <c r="E4131" s="158" t="str">
        <f>IF(A4131="","",VLOOKUP(A4131,'6.A'!$A$11:$G$180,5,FALSE))</f>
        <v/>
      </c>
      <c r="F4131" s="159" t="str">
        <f t="shared" si="1775"/>
        <v>0,00</v>
      </c>
      <c r="G4131" s="52"/>
      <c r="H4131" s="52" t="str">
        <f>IF(A4131="","",VLOOKUP(A4131,'6.A'!$A$11:$E$7984,5,FALSE))</f>
        <v/>
      </c>
      <c r="I4131" s="52" t="str">
        <f t="shared" ref="I4131" si="1784">IF(H4131="","",IF(E4131=H4131,"SIM","NÃO"))</f>
        <v/>
      </c>
      <c r="J4131" s="52" t="str">
        <f>IF(H4131="","",VLOOKUP(A4131,'6.A'!$A$11:$E$564,4,FALSE))</f>
        <v/>
      </c>
      <c r="K4131" s="52" t="str">
        <f t="shared" ref="K4131" si="1785">IF(H4131="","",IF(J4131=D4131,"SIM","NÃO"))</f>
        <v/>
      </c>
      <c r="L4131" s="52" t="str">
        <f>IF(H4131="","",IF(C4131="","",G4120*C4131))</f>
        <v/>
      </c>
      <c r="M4131" s="117" t="str">
        <f>IF(A4131="","",VLOOKUP(A4131,'6.A'!$A$11:$C$564,2,FALSE))</f>
        <v/>
      </c>
      <c r="N4131" s="57" t="str">
        <f t="shared" ref="N4131" si="1786">IF(A4131="","",IF(M4131=B4131,"si","no"))</f>
        <v/>
      </c>
      <c r="O4131" s="56"/>
      <c r="P4131" s="56"/>
      <c r="Q4131" s="48"/>
      <c r="R4131" s="48"/>
      <c r="S4131" s="65"/>
      <c r="T4131" s="2"/>
      <c r="U4131" s="2"/>
      <c r="V4131" s="2"/>
    </row>
    <row r="4132" spans="1:22" s="137" customFormat="1" ht="12.75" customHeight="1" x14ac:dyDescent="0.2">
      <c r="A4132" s="152"/>
      <c r="B4132" s="26" t="str">
        <f>$A$8</f>
        <v>LEIS SOCIAIS HORISTA - JORNADA NORMAL</v>
      </c>
      <c r="C4132" s="27">
        <f>$C$8</f>
        <v>0</v>
      </c>
      <c r="D4132" s="141"/>
      <c r="E4132" s="147"/>
      <c r="F4132" s="162">
        <f>ROUND(SUM(F4122:F4131)*C4132,2)</f>
        <v>0</v>
      </c>
      <c r="G4132" s="63"/>
      <c r="H4132" s="52"/>
      <c r="I4132" s="57"/>
      <c r="J4132" s="57"/>
      <c r="K4132" s="57"/>
      <c r="L4132" s="52"/>
      <c r="M4132" s="62"/>
      <c r="N4132" s="57"/>
      <c r="O4132" s="56"/>
      <c r="P4132" s="56"/>
      <c r="Q4132" s="48"/>
      <c r="R4132" s="48"/>
      <c r="S4132" s="65"/>
      <c r="T4132" s="2"/>
      <c r="U4132" s="2"/>
      <c r="V4132" s="2"/>
    </row>
    <row r="4133" spans="1:22" s="137" customFormat="1" ht="12.75" customHeight="1" x14ac:dyDescent="0.2">
      <c r="A4133" s="155"/>
      <c r="B4133" s="26" t="str">
        <f>$A$9</f>
        <v>BDI</v>
      </c>
      <c r="C4133" s="27">
        <f>$C$9</f>
        <v>0</v>
      </c>
      <c r="D4133" s="136"/>
      <c r="E4133" s="147"/>
      <c r="F4133" s="162">
        <f>ROUND(SUM(F4122:F4132)*C4133,2)</f>
        <v>0</v>
      </c>
      <c r="G4133" s="63"/>
      <c r="H4133" s="52"/>
      <c r="I4133" s="57"/>
      <c r="J4133" s="57"/>
      <c r="K4133" s="57"/>
      <c r="L4133" s="52"/>
      <c r="M4133" s="62"/>
      <c r="N4133" s="57"/>
      <c r="O4133" s="56"/>
      <c r="P4133" s="56"/>
      <c r="Q4133" s="48"/>
      <c r="R4133" s="48"/>
      <c r="S4133" s="65"/>
      <c r="T4133" s="2"/>
      <c r="U4133" s="2"/>
      <c r="V4133" s="2"/>
    </row>
    <row r="4134" spans="1:22" s="149" customFormat="1" ht="12.75" customHeight="1" x14ac:dyDescent="0.2">
      <c r="A4134" s="163"/>
      <c r="B4134" s="164" t="s">
        <v>56</v>
      </c>
      <c r="C4134" s="165"/>
      <c r="D4134" s="166"/>
      <c r="E4134" s="167"/>
      <c r="F4134" s="168">
        <f>ROUND(SUM(F4122:F4133),2)</f>
        <v>0</v>
      </c>
      <c r="G4134" s="63"/>
      <c r="H4134" s="52"/>
      <c r="I4134" s="57"/>
      <c r="J4134" s="57"/>
      <c r="K4134" s="57"/>
      <c r="L4134" s="52"/>
      <c r="M4134" s="62"/>
      <c r="N4134" s="57"/>
      <c r="O4134" s="56"/>
      <c r="P4134" s="56"/>
      <c r="Q4134" s="48"/>
      <c r="R4134" s="48"/>
      <c r="S4134" s="65"/>
      <c r="T4134" s="2"/>
      <c r="U4134" s="2"/>
      <c r="V4134" s="2"/>
    </row>
    <row r="4135" spans="1:22" s="149" customFormat="1" ht="12.75" customHeight="1" x14ac:dyDescent="0.2">
      <c r="A4135" s="152" t="s">
        <v>5</v>
      </c>
      <c r="B4135" s="153" t="s">
        <v>130</v>
      </c>
      <c r="C4135" s="140" t="s">
        <v>59</v>
      </c>
      <c r="D4135" s="140" t="s">
        <v>16</v>
      </c>
      <c r="E4135" s="154" t="s">
        <v>60</v>
      </c>
      <c r="F4135" s="148" t="s">
        <v>61</v>
      </c>
      <c r="G4135" s="21"/>
      <c r="H4135" s="52"/>
      <c r="I4135" s="57"/>
      <c r="J4135" s="57"/>
      <c r="K4135" s="57"/>
      <c r="L4135" s="52"/>
      <c r="M4135" s="62"/>
      <c r="N4135" s="57"/>
      <c r="O4135" s="56"/>
      <c r="P4135" s="56"/>
      <c r="Q4135" s="48"/>
      <c r="R4135" s="48"/>
      <c r="S4135" s="65"/>
      <c r="T4135" s="2"/>
      <c r="U4135" s="2"/>
      <c r="V4135" s="2"/>
    </row>
    <row r="4136" spans="1:22" s="149" customFormat="1" ht="12.75" customHeight="1" x14ac:dyDescent="0.2">
      <c r="A4136" s="155">
        <f>'6.A'!$A$28</f>
        <v>5928</v>
      </c>
      <c r="B4136" s="138" t="str">
        <f>IF(A4136="","",VLOOKUP(A4136,'6.A'!$A$11:$G$180,2,FALSE))</f>
        <v>GUINDAUTO HIDRÁULICO COM CAMINHÃO TOCO 189 CV, CAP. CARGA 6200 KG, ALCANCE 9,70 M - CHP</v>
      </c>
      <c r="C4136" s="156">
        <f>0.0093*650</f>
        <v>6.0449999999999999</v>
      </c>
      <c r="D4136" s="157" t="str">
        <f>IF(A4136="","",VLOOKUP(A4136,'6.A'!$A$11:$G$180,4,FALSE))</f>
        <v>CHP</v>
      </c>
      <c r="E4136" s="158">
        <f>IF(A4136="","",VLOOKUP(A4136,'6.A'!$A$11:$G$180,5,FALSE))</f>
        <v>0</v>
      </c>
      <c r="F4136" s="159">
        <f t="shared" ref="F4136:F4137" si="1787">IF(A4136="","0,00",ROUND(C4136*E4136,2))</f>
        <v>0</v>
      </c>
      <c r="G4136" s="52"/>
      <c r="H4136" s="52">
        <f>IF(A4136="","",VLOOKUP(A4136,'6.A'!$A$11:$E$7984,5,FALSE))</f>
        <v>0</v>
      </c>
      <c r="I4136" s="52" t="str">
        <f t="shared" ref="I4136:I4137" si="1788">IF(H4136="","",IF(E4136=H4136,"SIM","NÃO"))</f>
        <v>SIM</v>
      </c>
      <c r="J4136" s="52" t="str">
        <f>IF(H4136="","",VLOOKUP(A4136,'6.A'!$A$11:$E$564,4,FALSE))</f>
        <v>CHP</v>
      </c>
      <c r="K4136" s="52" t="str">
        <f t="shared" ref="K4136:K4137" si="1789">IF(H4136="","",IF(J4136=D4136,"SIM","NÃO"))</f>
        <v>SIM</v>
      </c>
      <c r="L4136" s="52">
        <f>IF(H4136="","",IF(C4136="","",G4120*C4136))</f>
        <v>6.0449999999999999</v>
      </c>
      <c r="M4136" s="117" t="str">
        <f>IF(A4136="","",VLOOKUP(A4136,'6.A'!$A$11:$C$564,2,FALSE))</f>
        <v>GUINDAUTO HIDRÁULICO COM CAMINHÃO TOCO 189 CV, CAP. CARGA 6200 KG, ALCANCE 9,70 M - CHP</v>
      </c>
      <c r="N4136" s="57" t="str">
        <f t="shared" ref="N4136:N4137" si="1790">IF(A4136="","",IF(M4136=B4136,"si","no"))</f>
        <v>si</v>
      </c>
      <c r="O4136" s="56"/>
      <c r="P4136" s="56"/>
      <c r="Q4136" s="48"/>
      <c r="R4136" s="48"/>
      <c r="S4136" s="65"/>
      <c r="T4136" s="2"/>
      <c r="U4136" s="2"/>
      <c r="V4136" s="2"/>
    </row>
    <row r="4137" spans="1:22" s="149" customFormat="1" ht="12.75" customHeight="1" x14ac:dyDescent="0.2">
      <c r="A4137" s="155">
        <f>'6.A'!$A$29</f>
        <v>5930</v>
      </c>
      <c r="B4137" s="138" t="str">
        <f>IF(A4137="","",VLOOKUP(A4137,'6.A'!$A$11:$G$180,2,FALSE))</f>
        <v>GUINDAUTO HIDRÁULICO COM CAMINHÃO TOCO 189 CV, CAP. CARGA 6200 KG, ALCANCE 9,70 M - CHI</v>
      </c>
      <c r="C4137" s="156">
        <f>0.004*650</f>
        <v>2.6</v>
      </c>
      <c r="D4137" s="157" t="str">
        <f>IF(A4137="","",VLOOKUP(A4137,'6.A'!$A$11:$G$180,4,FALSE))</f>
        <v>CHI</v>
      </c>
      <c r="E4137" s="158">
        <f>IF(A4137="","",VLOOKUP(A4137,'6.A'!$A$11:$G$180,5,FALSE))</f>
        <v>0</v>
      </c>
      <c r="F4137" s="159">
        <f t="shared" si="1787"/>
        <v>0</v>
      </c>
      <c r="G4137" s="52"/>
      <c r="H4137" s="52">
        <f>IF(A4137="","",VLOOKUP(A4137,'6.A'!$A$11:$E$7984,5,FALSE))</f>
        <v>0</v>
      </c>
      <c r="I4137" s="52" t="str">
        <f t="shared" si="1788"/>
        <v>SIM</v>
      </c>
      <c r="J4137" s="52" t="str">
        <f>IF(H4137="","",VLOOKUP(A4137,'6.A'!$A$11:$E$564,4,FALSE))</f>
        <v>CHI</v>
      </c>
      <c r="K4137" s="52" t="str">
        <f t="shared" si="1789"/>
        <v>SIM</v>
      </c>
      <c r="L4137" s="52">
        <f>IF(H4137="","",IF(C4137="","",G4120*C4137))</f>
        <v>2.6</v>
      </c>
      <c r="M4137" s="117" t="str">
        <f>IF(A4137="","",VLOOKUP(A4137,'6.A'!$A$11:$C$564,2,FALSE))</f>
        <v>GUINDAUTO HIDRÁULICO COM CAMINHÃO TOCO 189 CV, CAP. CARGA 6200 KG, ALCANCE 9,70 M - CHI</v>
      </c>
      <c r="N4137" s="57" t="str">
        <f t="shared" si="1790"/>
        <v>si</v>
      </c>
      <c r="O4137" s="56"/>
      <c r="P4137" s="56"/>
      <c r="Q4137" s="48"/>
      <c r="R4137" s="48"/>
      <c r="S4137" s="65"/>
      <c r="T4137" s="2"/>
      <c r="U4137" s="2"/>
      <c r="V4137" s="2"/>
    </row>
    <row r="4138" spans="1:22" s="149" customFormat="1" ht="12.75" customHeight="1" x14ac:dyDescent="0.2">
      <c r="A4138" s="155">
        <f>'6.A'!$A$31</f>
        <v>20358</v>
      </c>
      <c r="B4138" s="138" t="str">
        <f>IF(A4138="","",VLOOKUP(A4138,'6.A'!$A$11:$G$180,2,FALSE))</f>
        <v xml:space="preserve">REMOÇÃO DE ENTULHO DE OBRA, TERRA, ALVENARIA, CONCRETO, ARGAMASSA, MADEIRA - CAPACIDADE DE 4M³ </v>
      </c>
      <c r="C4138" s="156">
        <v>4</v>
      </c>
      <c r="D4138" s="157" t="str">
        <f>IF(A4138="","",VLOOKUP(A4138,'6.A'!$A$11:$G$180,4,FALSE))</f>
        <v>M3</v>
      </c>
      <c r="E4138" s="158">
        <f>IF(A4138="","",VLOOKUP(A4138,'6.A'!$A$11:$G$180,5,FALSE))</f>
        <v>0</v>
      </c>
      <c r="F4138" s="159">
        <f>IF(A4138="","0,00",ROUND(C4138*E4138,2))</f>
        <v>0</v>
      </c>
      <c r="G4138" s="52"/>
      <c r="H4138" s="52">
        <f>IF(A4138="","",VLOOKUP(A4138,'6.A'!$A$11:$E$7984,5,FALSE))</f>
        <v>0</v>
      </c>
      <c r="I4138" s="52" t="str">
        <f>IF(H4138="","",IF(E4138=H4138,"SIM","NÃO"))</f>
        <v>SIM</v>
      </c>
      <c r="J4138" s="52" t="str">
        <f>IF(H4138="","",VLOOKUP(A4138,'6.A'!$A$11:$E$564,4,FALSE))</f>
        <v>M3</v>
      </c>
      <c r="K4138" s="52" t="str">
        <f>IF(H4138="","",IF(J4138=D4138,"SIM","NÃO"))</f>
        <v>SIM</v>
      </c>
      <c r="L4138" s="52">
        <f>IF(H4138="","",IF(C4138="","",G4120*C4138))</f>
        <v>4</v>
      </c>
      <c r="M4138" s="117" t="str">
        <f>IF(A4138="","",VLOOKUP(A4138,'6.A'!$A$11:$C$564,2,FALSE))</f>
        <v xml:space="preserve">REMOÇÃO DE ENTULHO DE OBRA, TERRA, ALVENARIA, CONCRETO, ARGAMASSA, MADEIRA - CAPACIDADE DE 4M³ </v>
      </c>
      <c r="N4138" s="57" t="str">
        <f>IF(A4138="","",IF(M4138=B4138,"si","no"))</f>
        <v>si</v>
      </c>
      <c r="O4138" s="56"/>
      <c r="P4138" s="56"/>
      <c r="Q4138" s="48"/>
      <c r="R4138" s="48"/>
      <c r="S4138" s="65"/>
      <c r="T4138" s="2"/>
      <c r="U4138" s="2"/>
      <c r="V4138" s="2"/>
    </row>
    <row r="4139" spans="1:22" s="149" customFormat="1" ht="12.75" customHeight="1" x14ac:dyDescent="0.2">
      <c r="A4139" s="155"/>
      <c r="B4139" s="176" t="str">
        <f>IF(A4139="","",VLOOKUP(A4139,'6.A'!$A$11:$G$180,2,FALSE))</f>
        <v/>
      </c>
      <c r="C4139" s="156"/>
      <c r="D4139" s="141" t="str">
        <f>IF(A4139="","",VLOOKUP(A4139,'6.A'!$A$11:$G$180,4,FALSE))</f>
        <v/>
      </c>
      <c r="E4139" s="160" t="str">
        <f>IF(A4139="","",VLOOKUP(A4139,'6.A'!$A$11:$G$180,5,FALSE))</f>
        <v/>
      </c>
      <c r="F4139" s="159" t="str">
        <f t="shared" ref="F4139:F4145" si="1791">IF(A4139="","0,00",ROUND(C4139*E4139,2))</f>
        <v>0,00</v>
      </c>
      <c r="G4139" s="52"/>
      <c r="H4139" s="52" t="str">
        <f>IF(A4139="","",VLOOKUP(A4139,'6.A'!$A$11:$E$7984,5,FALSE))</f>
        <v/>
      </c>
      <c r="I4139" s="52" t="str">
        <f t="shared" ref="I4139:I4145" si="1792">IF(H4139="","",IF(E4139=H4139,"SIM","NÃO"))</f>
        <v/>
      </c>
      <c r="J4139" s="52" t="str">
        <f>IF(H4139="","",VLOOKUP(A4139,'6.A'!$A$11:$E$564,4,FALSE))</f>
        <v/>
      </c>
      <c r="K4139" s="52" t="str">
        <f t="shared" ref="K4139:K4145" si="1793">IF(H4139="","",IF(J4139=D4139,"SIM","NÃO"))</f>
        <v/>
      </c>
      <c r="L4139" s="52" t="str">
        <f>IF(H4139="","",IF(C4139="","",G4120*C4139))</f>
        <v/>
      </c>
      <c r="M4139" s="117" t="str">
        <f>IF(A4139="","",VLOOKUP(A4139,'6.A'!$A$11:$C$564,2,FALSE))</f>
        <v/>
      </c>
      <c r="N4139" s="57" t="str">
        <f t="shared" ref="N4139:N4141" si="1794">IF(A4139="","",IF(M4139=B4139,"si","no"))</f>
        <v/>
      </c>
      <c r="O4139" s="56"/>
      <c r="P4139" s="56"/>
      <c r="Q4139" s="48"/>
      <c r="R4139" s="48"/>
      <c r="S4139" s="65"/>
      <c r="T4139" s="2"/>
      <c r="U4139" s="2"/>
      <c r="V4139" s="2"/>
    </row>
    <row r="4140" spans="1:22" s="149" customFormat="1" ht="12.75" customHeight="1" x14ac:dyDescent="0.2">
      <c r="A4140" s="155"/>
      <c r="B4140" s="176" t="str">
        <f>IF(A4140="","",VLOOKUP(A4140,'6.A'!$A$11:$G$180,2,FALSE))</f>
        <v/>
      </c>
      <c r="C4140" s="156"/>
      <c r="D4140" s="141" t="str">
        <f>IF(A4140="","",VLOOKUP(A4140,'6.A'!$A$11:$G$180,4,FALSE))</f>
        <v/>
      </c>
      <c r="E4140" s="160" t="str">
        <f>IF(A4140="","",VLOOKUP(A4140,'6.A'!$A$11:$G$180,5,FALSE))</f>
        <v/>
      </c>
      <c r="F4140" s="159" t="str">
        <f t="shared" si="1791"/>
        <v>0,00</v>
      </c>
      <c r="G4140" s="52"/>
      <c r="H4140" s="52" t="str">
        <f>IF(A4140="","",VLOOKUP(A4140,'6.A'!$A$11:$E$7984,5,FALSE))</f>
        <v/>
      </c>
      <c r="I4140" s="52" t="str">
        <f t="shared" si="1792"/>
        <v/>
      </c>
      <c r="J4140" s="52" t="str">
        <f>IF(H4140="","",VLOOKUP(A4140,'6.A'!$A$11:$E$564,4,FALSE))</f>
        <v/>
      </c>
      <c r="K4140" s="52" t="str">
        <f t="shared" si="1793"/>
        <v/>
      </c>
      <c r="L4140" s="52" t="str">
        <f>IF(H4140="","",IF(C4140="","",G4120*C4140))</f>
        <v/>
      </c>
      <c r="M4140" s="117" t="str">
        <f>IF(A4140="","",VLOOKUP(A4140,'6.A'!$A$11:$C$564,2,FALSE))</f>
        <v/>
      </c>
      <c r="N4140" s="57" t="str">
        <f t="shared" si="1794"/>
        <v/>
      </c>
      <c r="O4140" s="56"/>
      <c r="P4140" s="56"/>
      <c r="Q4140" s="48"/>
      <c r="R4140" s="48"/>
      <c r="S4140" s="65"/>
      <c r="T4140" s="2"/>
      <c r="U4140" s="2"/>
      <c r="V4140" s="2"/>
    </row>
    <row r="4141" spans="1:22" s="149" customFormat="1" ht="12.75" customHeight="1" x14ac:dyDescent="0.2">
      <c r="A4141" s="155"/>
      <c r="B4141" s="176" t="str">
        <f>IF(A4141="","",VLOOKUP(A4141,'6.A'!$A$11:$G$180,2,FALSE))</f>
        <v/>
      </c>
      <c r="C4141" s="156"/>
      <c r="D4141" s="141" t="str">
        <f>IF(A4141="","",VLOOKUP(A4141,'6.A'!$A$11:$G$180,4,FALSE))</f>
        <v/>
      </c>
      <c r="E4141" s="160" t="str">
        <f>IF(A4141="","",VLOOKUP(A4141,'6.A'!$A$11:$G$180,5,FALSE))</f>
        <v/>
      </c>
      <c r="F4141" s="159" t="str">
        <f t="shared" si="1791"/>
        <v>0,00</v>
      </c>
      <c r="G4141" s="52"/>
      <c r="H4141" s="52" t="str">
        <f>IF(A4141="","",VLOOKUP(A4141,'6.A'!$A$11:$E$7984,5,FALSE))</f>
        <v/>
      </c>
      <c r="I4141" s="52" t="str">
        <f t="shared" si="1792"/>
        <v/>
      </c>
      <c r="J4141" s="52" t="str">
        <f>IF(H4141="","",VLOOKUP(A4141,'6.A'!$A$11:$E$564,4,FALSE))</f>
        <v/>
      </c>
      <c r="K4141" s="52" t="str">
        <f t="shared" si="1793"/>
        <v/>
      </c>
      <c r="L4141" s="52" t="str">
        <f>IF(H4141="","",IF(C4141="","",G4120*C4141))</f>
        <v/>
      </c>
      <c r="M4141" s="117" t="str">
        <f>IF(A4141="","",VLOOKUP(A4141,'6.A'!$A$11:$C$564,2,FALSE))</f>
        <v/>
      </c>
      <c r="N4141" s="57" t="str">
        <f t="shared" si="1794"/>
        <v/>
      </c>
      <c r="O4141" s="56"/>
      <c r="P4141" s="56"/>
      <c r="Q4141" s="48"/>
      <c r="R4141" s="48"/>
      <c r="S4141" s="65"/>
      <c r="T4141" s="2"/>
      <c r="U4141" s="2"/>
      <c r="V4141" s="2"/>
    </row>
    <row r="4142" spans="1:22" s="149" customFormat="1" ht="12.75" customHeight="1" x14ac:dyDescent="0.2">
      <c r="A4142" s="155"/>
      <c r="B4142" s="176" t="str">
        <f>IF(A4142="","",VLOOKUP(A4142,'6.A'!$A$11:$G$180,2,FALSE))</f>
        <v/>
      </c>
      <c r="C4142" s="156"/>
      <c r="D4142" s="141" t="str">
        <f>IF(A4142="","",VLOOKUP(A4142,'6.A'!$A$11:$G$180,4,FALSE))</f>
        <v/>
      </c>
      <c r="E4142" s="160" t="str">
        <f>IF(A4142="","",VLOOKUP(A4142,'6.A'!$A$11:$G$180,5,FALSE))</f>
        <v/>
      </c>
      <c r="F4142" s="159" t="str">
        <f t="shared" si="1791"/>
        <v>0,00</v>
      </c>
      <c r="G4142" s="52"/>
      <c r="H4142" s="52" t="str">
        <f>IF(A4142="","",VLOOKUP(A4142,'6.A'!$A$11:$E$7984,5,FALSE))</f>
        <v/>
      </c>
      <c r="I4142" s="52" t="str">
        <f t="shared" si="1792"/>
        <v/>
      </c>
      <c r="J4142" s="52" t="str">
        <f>IF(H4142="","",VLOOKUP(A4142,'6.A'!$A$11:$E$564,4,FALSE))</f>
        <v/>
      </c>
      <c r="K4142" s="52" t="str">
        <f t="shared" si="1793"/>
        <v/>
      </c>
      <c r="L4142" s="52" t="str">
        <f>IF(H4142="","",IF(C4142="","",G4120*C4142))</f>
        <v/>
      </c>
      <c r="M4142" s="117" t="str">
        <f>IF(A4142="","",VLOOKUP(A4142,'6.A'!$A$11:$C$564,2,FALSE))</f>
        <v/>
      </c>
      <c r="N4142" s="57" t="str">
        <f>IF(A4142="","",IF(M4142=B4142,"si","no"))</f>
        <v/>
      </c>
      <c r="O4142" s="56"/>
      <c r="P4142" s="56"/>
      <c r="Q4142" s="48"/>
      <c r="R4142" s="48"/>
      <c r="S4142" s="65"/>
      <c r="T4142" s="2"/>
      <c r="U4142" s="2"/>
      <c r="V4142" s="2"/>
    </row>
    <row r="4143" spans="1:22" s="149" customFormat="1" ht="12.75" customHeight="1" x14ac:dyDescent="0.2">
      <c r="A4143" s="155"/>
      <c r="B4143" s="138" t="str">
        <f>IF(A4143="","",VLOOKUP(A4143,'6.A'!$A$11:$G$180,2,FALSE))</f>
        <v/>
      </c>
      <c r="C4143" s="156"/>
      <c r="D4143" s="141" t="str">
        <f>IF(A4143="","",VLOOKUP(A4143,'6.A'!$A$11:$G$180,4,FALSE))</f>
        <v/>
      </c>
      <c r="E4143" s="160" t="str">
        <f>IF(A4143="","",VLOOKUP(A4143,'6.A'!$A$11:$G$180,5,FALSE))</f>
        <v/>
      </c>
      <c r="F4143" s="159" t="str">
        <f t="shared" si="1791"/>
        <v>0,00</v>
      </c>
      <c r="G4143" s="52"/>
      <c r="H4143" s="52" t="str">
        <f>IF(A4143="","",VLOOKUP(A4143,'6.A'!$A$11:$E$7984,5,FALSE))</f>
        <v/>
      </c>
      <c r="I4143" s="52" t="str">
        <f t="shared" si="1792"/>
        <v/>
      </c>
      <c r="J4143" s="52" t="str">
        <f>IF(H4143="","",VLOOKUP(A4143,'6.A'!$A$11:$E$564,4,FALSE))</f>
        <v/>
      </c>
      <c r="K4143" s="52" t="str">
        <f t="shared" si="1793"/>
        <v/>
      </c>
      <c r="L4143" s="52" t="str">
        <f>IF(H4143="","",IF(C4143="","",G4120*C4143))</f>
        <v/>
      </c>
      <c r="M4143" s="117" t="str">
        <f>IF(A4143="","",VLOOKUP(A4143,'6.A'!$A$11:$C$564,2,FALSE))</f>
        <v/>
      </c>
      <c r="N4143" s="57" t="str">
        <f>IF(A4143="","",IF(M4143=B4143,"si","no"))</f>
        <v/>
      </c>
      <c r="O4143" s="56"/>
      <c r="P4143" s="56"/>
      <c r="Q4143" s="48"/>
      <c r="R4143" s="48"/>
      <c r="S4143" s="65"/>
      <c r="T4143" s="2"/>
      <c r="U4143" s="2"/>
      <c r="V4143" s="2"/>
    </row>
    <row r="4144" spans="1:22" s="149" customFormat="1" ht="12.75" customHeight="1" x14ac:dyDescent="0.2">
      <c r="A4144" s="155"/>
      <c r="B4144" s="138" t="str">
        <f>IF(A4144="","",VLOOKUP(A4144,'6.A'!$A$11:$G$180,2,FALSE))</f>
        <v/>
      </c>
      <c r="C4144" s="156"/>
      <c r="D4144" s="141" t="str">
        <f>IF(A4144="","",VLOOKUP(A4144,'6.A'!$A$11:$G$180,4,FALSE))</f>
        <v/>
      </c>
      <c r="E4144" s="160" t="str">
        <f>IF(A4144="","",VLOOKUP(A4144,'6.A'!$A$11:$G$180,5,FALSE))</f>
        <v/>
      </c>
      <c r="F4144" s="159" t="str">
        <f t="shared" si="1791"/>
        <v>0,00</v>
      </c>
      <c r="G4144" s="52"/>
      <c r="H4144" s="52" t="str">
        <f>IF(A4144="","",VLOOKUP(A4144,'6.A'!$A$11:$E$7984,5,FALSE))</f>
        <v/>
      </c>
      <c r="I4144" s="52" t="str">
        <f t="shared" si="1792"/>
        <v/>
      </c>
      <c r="J4144" s="52" t="str">
        <f>IF(H4144="","",VLOOKUP(A4144,'6.A'!$A$11:$E$564,4,FALSE))</f>
        <v/>
      </c>
      <c r="K4144" s="52" t="str">
        <f t="shared" si="1793"/>
        <v/>
      </c>
      <c r="L4144" s="52" t="str">
        <f>IF(H4144="","",IF(C4144="","",G4120*C4144))</f>
        <v/>
      </c>
      <c r="M4144" s="117" t="str">
        <f>IF(A4144="","",VLOOKUP(A4144,'6.A'!$A$11:$C$564,2,FALSE))</f>
        <v/>
      </c>
      <c r="N4144" s="57" t="str">
        <f t="shared" ref="N4144:N4145" si="1795">IF(A4144="","",IF(M4144=B4144,"si","no"))</f>
        <v/>
      </c>
      <c r="O4144" s="56"/>
      <c r="P4144" s="56"/>
      <c r="Q4144" s="48"/>
      <c r="R4144" s="48"/>
      <c r="S4144" s="65"/>
      <c r="T4144" s="2"/>
      <c r="U4144" s="2"/>
      <c r="V4144" s="2"/>
    </row>
    <row r="4145" spans="1:22" s="149" customFormat="1" ht="12.75" customHeight="1" x14ac:dyDescent="0.2">
      <c r="A4145" s="155"/>
      <c r="B4145" s="138" t="str">
        <f>IF(A4145="","",VLOOKUP(A4145,'6.A'!$A$11:$G$180,2,FALSE))</f>
        <v/>
      </c>
      <c r="C4145" s="156"/>
      <c r="D4145" s="141" t="str">
        <f>IF(A4145="","",VLOOKUP(A4145,'6.A'!$A$11:$G$180,4,FALSE))</f>
        <v/>
      </c>
      <c r="E4145" s="160" t="str">
        <f>IF(A4145="","",VLOOKUP(A4145,'6.A'!$A$11:$G$180,5,FALSE))</f>
        <v/>
      </c>
      <c r="F4145" s="159" t="str">
        <f t="shared" si="1791"/>
        <v>0,00</v>
      </c>
      <c r="G4145" s="52"/>
      <c r="H4145" s="52" t="str">
        <f>IF(A4145="","",VLOOKUP(A4145,'6.A'!$A$11:$E$7984,5,FALSE))</f>
        <v/>
      </c>
      <c r="I4145" s="52" t="str">
        <f t="shared" si="1792"/>
        <v/>
      </c>
      <c r="J4145" s="52" t="str">
        <f>IF(H4145="","",VLOOKUP(A4145,'6.A'!$A$11:$E$564,4,FALSE))</f>
        <v/>
      </c>
      <c r="K4145" s="52" t="str">
        <f t="shared" si="1793"/>
        <v/>
      </c>
      <c r="L4145" s="52" t="str">
        <f>IF(H4145="","",IF(C4145="","",G4120*C4145))</f>
        <v/>
      </c>
      <c r="M4145" s="117" t="str">
        <f>IF(A4145="","",VLOOKUP(A4145,'6.A'!$A$11:$C$564,2,FALSE))</f>
        <v/>
      </c>
      <c r="N4145" s="57" t="str">
        <f t="shared" si="1795"/>
        <v/>
      </c>
      <c r="O4145" s="56"/>
      <c r="P4145" s="56"/>
      <c r="Q4145" s="48"/>
      <c r="R4145" s="48"/>
      <c r="S4145" s="65"/>
      <c r="T4145" s="2"/>
      <c r="U4145" s="2"/>
      <c r="V4145" s="2"/>
    </row>
    <row r="4146" spans="1:22" s="149" customFormat="1" ht="12.75" customHeight="1" x14ac:dyDescent="0.2">
      <c r="A4146" s="155"/>
      <c r="B4146" s="26" t="str">
        <f>$A$9</f>
        <v>BDI</v>
      </c>
      <c r="C4146" s="27">
        <f>$C$9</f>
        <v>0</v>
      </c>
      <c r="D4146" s="141"/>
      <c r="E4146" s="147"/>
      <c r="F4146" s="162">
        <f>ROUND(SUM(F4136:F4145)*C4146,2)</f>
        <v>0</v>
      </c>
      <c r="G4146" s="63"/>
      <c r="H4146" s="52"/>
      <c r="I4146" s="57"/>
      <c r="J4146" s="57"/>
      <c r="K4146" s="57"/>
      <c r="L4146" s="52"/>
      <c r="M4146" s="62"/>
      <c r="N4146" s="57"/>
      <c r="O4146" s="56"/>
      <c r="P4146" s="56"/>
      <c r="Q4146" s="48"/>
      <c r="R4146" s="48"/>
      <c r="S4146" s="65"/>
      <c r="T4146" s="2"/>
      <c r="U4146" s="2"/>
      <c r="V4146" s="2"/>
    </row>
    <row r="4147" spans="1:22" s="149" customFormat="1" ht="12.75" customHeight="1" x14ac:dyDescent="0.2">
      <c r="A4147" s="163"/>
      <c r="B4147" s="31" t="s">
        <v>117</v>
      </c>
      <c r="C4147" s="36"/>
      <c r="D4147" s="169"/>
      <c r="E4147" s="170"/>
      <c r="F4147" s="168">
        <f>ROUND(SUM(F4136:F4146),2)</f>
        <v>0</v>
      </c>
      <c r="G4147" s="63"/>
      <c r="H4147" s="52"/>
      <c r="I4147" s="57"/>
      <c r="J4147" s="57"/>
      <c r="K4147" s="57"/>
      <c r="L4147" s="52"/>
      <c r="M4147" s="62"/>
      <c r="N4147" s="57"/>
      <c r="O4147" s="56"/>
      <c r="P4147" s="56"/>
      <c r="Q4147" s="48"/>
      <c r="R4147" s="48"/>
      <c r="S4147" s="65"/>
      <c r="T4147" s="2"/>
      <c r="U4147" s="2"/>
      <c r="V4147" s="2"/>
    </row>
    <row r="4148" spans="1:22" s="149" customFormat="1" ht="12.75" customHeight="1" x14ac:dyDescent="0.2">
      <c r="A4148" s="152" t="s">
        <v>6</v>
      </c>
      <c r="B4148" s="153" t="s">
        <v>17</v>
      </c>
      <c r="C4148" s="140" t="s">
        <v>59</v>
      </c>
      <c r="D4148" s="140" t="s">
        <v>16</v>
      </c>
      <c r="E4148" s="154" t="s">
        <v>60</v>
      </c>
      <c r="F4148" s="148" t="s">
        <v>61</v>
      </c>
      <c r="G4148" s="21"/>
      <c r="H4148" s="52"/>
      <c r="I4148" s="57"/>
      <c r="J4148" s="57"/>
      <c r="K4148" s="57"/>
      <c r="L4148" s="52"/>
      <c r="M4148" s="62"/>
      <c r="N4148" s="57"/>
      <c r="O4148" s="56"/>
      <c r="P4148" s="56"/>
      <c r="Q4148" s="48"/>
      <c r="R4148" s="48"/>
      <c r="S4148" s="65"/>
      <c r="T4148" s="2"/>
      <c r="U4148" s="2"/>
      <c r="V4148" s="2"/>
    </row>
    <row r="4149" spans="1:22" s="149" customFormat="1" ht="12.75" customHeight="1" x14ac:dyDescent="0.2">
      <c r="A4149" s="155"/>
      <c r="B4149" s="138" t="str">
        <f>IF(A4149="","",VLOOKUP(A4149,'6.A'!$A$11:$G$180,2,FALSE))</f>
        <v/>
      </c>
      <c r="C4149" s="156"/>
      <c r="D4149" s="157" t="str">
        <f>IF(A4149="","",VLOOKUP(A4149,'6.A'!$A$11:$G$180,4,FALSE))</f>
        <v/>
      </c>
      <c r="E4149" s="158" t="str">
        <f>IF(A4149="","",VLOOKUP(A4149,'6.A'!$A$11:$G$180,5,FALSE))</f>
        <v/>
      </c>
      <c r="F4149" s="159" t="str">
        <f t="shared" ref="F4149:F4168" si="1796">IF(A4149="","0,00",ROUND(C4149*E4149,2))</f>
        <v>0,00</v>
      </c>
      <c r="G4149" s="52"/>
      <c r="H4149" s="52" t="str">
        <f>IF(A4149="","",VLOOKUP(A4149,'6.A'!$A$11:$E$7984,5,FALSE))</f>
        <v/>
      </c>
      <c r="I4149" s="52" t="str">
        <f t="shared" ref="I4149:I4168" si="1797">IF(H4149="","",IF(E4149=H4149,"SIM","NÃO"))</f>
        <v/>
      </c>
      <c r="J4149" s="52" t="str">
        <f>IF(H4149="","",VLOOKUP(A4149,'6.A'!$A$11:$E$564,4,FALSE))</f>
        <v/>
      </c>
      <c r="K4149" s="52" t="str">
        <f t="shared" ref="K4149:K4168" si="1798">IF(H4149="","",IF(J4149=D4149,"SIM","NÃO"))</f>
        <v/>
      </c>
      <c r="L4149" s="52" t="str">
        <f>IF(H4149="","",IF(C4149="","",G4120*C4149))</f>
        <v/>
      </c>
      <c r="M4149" s="117" t="str">
        <f>IF(A4149="","",VLOOKUP(A4149,'6.A'!$A$11:$C$564,2,FALSE))</f>
        <v/>
      </c>
      <c r="N4149" s="57" t="str">
        <f t="shared" ref="N4149:N4168" si="1799">IF(A4149="","",IF(M4149=B4149,"si","no"))</f>
        <v/>
      </c>
      <c r="O4149" s="56"/>
      <c r="P4149" s="56"/>
      <c r="Q4149" s="48"/>
      <c r="R4149" s="48"/>
      <c r="S4149" s="65"/>
      <c r="T4149" s="2"/>
      <c r="U4149" s="2"/>
      <c r="V4149" s="2"/>
    </row>
    <row r="4150" spans="1:22" s="149" customFormat="1" ht="12.75" customHeight="1" x14ac:dyDescent="0.2">
      <c r="A4150" s="155"/>
      <c r="B4150" s="138" t="str">
        <f>IF(A4150="","",VLOOKUP(A4150,'6.A'!$A$11:$G$180,2,FALSE))</f>
        <v/>
      </c>
      <c r="C4150" s="156"/>
      <c r="D4150" s="157" t="str">
        <f>IF(A4150="","",VLOOKUP(A4150,'6.A'!$A$11:$G$180,4,FALSE))</f>
        <v/>
      </c>
      <c r="E4150" s="158" t="str">
        <f>IF(A4150="","",VLOOKUP(A4150,'6.A'!$A$11:$G$180,5,FALSE))</f>
        <v/>
      </c>
      <c r="F4150" s="159" t="str">
        <f t="shared" si="1796"/>
        <v>0,00</v>
      </c>
      <c r="G4150" s="52"/>
      <c r="H4150" s="52" t="str">
        <f>IF(A4150="","",VLOOKUP(A4150,'6.A'!$A$11:$E$7984,5,FALSE))</f>
        <v/>
      </c>
      <c r="I4150" s="52" t="str">
        <f t="shared" si="1797"/>
        <v/>
      </c>
      <c r="J4150" s="52" t="str">
        <f>IF(H4150="","",VLOOKUP(A4150,'6.A'!$A$11:$E$564,4,FALSE))</f>
        <v/>
      </c>
      <c r="K4150" s="52" t="str">
        <f t="shared" si="1798"/>
        <v/>
      </c>
      <c r="L4150" s="52" t="str">
        <f>IF(H4150="","",IF(C4150="","",G4120*C4150))</f>
        <v/>
      </c>
      <c r="M4150" s="117" t="str">
        <f>IF(A4150="","",VLOOKUP(A4150,'6.A'!$A$11:$C$564,2,FALSE))</f>
        <v/>
      </c>
      <c r="N4150" s="57" t="str">
        <f t="shared" si="1799"/>
        <v/>
      </c>
      <c r="O4150" s="56"/>
      <c r="P4150" s="56"/>
      <c r="Q4150" s="48"/>
      <c r="R4150" s="48"/>
      <c r="S4150" s="65"/>
      <c r="T4150" s="2"/>
      <c r="U4150" s="2"/>
      <c r="V4150" s="2"/>
    </row>
    <row r="4151" spans="1:22" s="149" customFormat="1" ht="12.75" customHeight="1" x14ac:dyDescent="0.2">
      <c r="A4151" s="155"/>
      <c r="B4151" s="138" t="str">
        <f>IF(A4151="","",VLOOKUP(A4151,'6.A'!$A$11:$G$180,2,FALSE))</f>
        <v/>
      </c>
      <c r="C4151" s="156"/>
      <c r="D4151" s="157" t="str">
        <f>IF(A4151="","",VLOOKUP(A4151,'6.A'!$A$11:$G$180,4,FALSE))</f>
        <v/>
      </c>
      <c r="E4151" s="158" t="str">
        <f>IF(A4151="","",VLOOKUP(A4151,'6.A'!$A$11:$G$180,5,FALSE))</f>
        <v/>
      </c>
      <c r="F4151" s="159" t="str">
        <f t="shared" si="1796"/>
        <v>0,00</v>
      </c>
      <c r="G4151" s="52"/>
      <c r="H4151" s="52" t="str">
        <f>IF(A4151="","",VLOOKUP(A4151,'6.A'!$A$11:$E$7984,5,FALSE))</f>
        <v/>
      </c>
      <c r="I4151" s="52" t="str">
        <f t="shared" si="1797"/>
        <v/>
      </c>
      <c r="J4151" s="52" t="str">
        <f>IF(H4151="","",VLOOKUP(A4151,'6.A'!$A$11:$E$564,4,FALSE))</f>
        <v/>
      </c>
      <c r="K4151" s="52" t="str">
        <f t="shared" si="1798"/>
        <v/>
      </c>
      <c r="L4151" s="52" t="str">
        <f>IF(H4151="","",IF(C4151="","",G4120*C4151))</f>
        <v/>
      </c>
      <c r="M4151" s="117" t="str">
        <f>IF(A4151="","",VLOOKUP(A4151,'6.A'!$A$11:$C$564,2,FALSE))</f>
        <v/>
      </c>
      <c r="N4151" s="57" t="str">
        <f t="shared" si="1799"/>
        <v/>
      </c>
      <c r="O4151" s="56"/>
      <c r="P4151" s="56"/>
      <c r="Q4151" s="48"/>
      <c r="R4151" s="48"/>
      <c r="S4151" s="65"/>
      <c r="T4151" s="2"/>
      <c r="U4151" s="2"/>
      <c r="V4151" s="2"/>
    </row>
    <row r="4152" spans="1:22" s="149" customFormat="1" ht="12.75" customHeight="1" x14ac:dyDescent="0.2">
      <c r="A4152" s="155"/>
      <c r="B4152" s="138" t="str">
        <f>IF(A4152="","",VLOOKUP(A4152,'6.A'!$A$11:$G$180,2,FALSE))</f>
        <v/>
      </c>
      <c r="C4152" s="156"/>
      <c r="D4152" s="157" t="str">
        <f>IF(A4152="","",VLOOKUP(A4152,'6.A'!$A$11:$G$180,4,FALSE))</f>
        <v/>
      </c>
      <c r="E4152" s="158" t="str">
        <f>IF(A4152="","",VLOOKUP(A4152,'6.A'!$A$11:$G$180,5,FALSE))</f>
        <v/>
      </c>
      <c r="F4152" s="159" t="str">
        <f t="shared" si="1796"/>
        <v>0,00</v>
      </c>
      <c r="G4152" s="52"/>
      <c r="H4152" s="52" t="str">
        <f>IF(A4152="","",VLOOKUP(A4152,'6.A'!$A$11:$E$7984,5,FALSE))</f>
        <v/>
      </c>
      <c r="I4152" s="52" t="str">
        <f t="shared" si="1797"/>
        <v/>
      </c>
      <c r="J4152" s="52" t="str">
        <f>IF(H4152="","",VLOOKUP(A4152,'6.A'!$A$11:$E$564,4,FALSE))</f>
        <v/>
      </c>
      <c r="K4152" s="52" t="str">
        <f t="shared" si="1798"/>
        <v/>
      </c>
      <c r="L4152" s="52" t="str">
        <f>IF(H4152="","",IF(C4152="","",G4120*C4152))</f>
        <v/>
      </c>
      <c r="M4152" s="117" t="str">
        <f>IF(A4152="","",VLOOKUP(A4152,'6.A'!$A$11:$C$564,2,FALSE))</f>
        <v/>
      </c>
      <c r="N4152" s="57" t="str">
        <f t="shared" si="1799"/>
        <v/>
      </c>
      <c r="O4152" s="56"/>
      <c r="P4152" s="56"/>
      <c r="Q4152" s="48"/>
      <c r="R4152" s="48"/>
      <c r="S4152" s="65"/>
      <c r="T4152" s="2"/>
      <c r="U4152" s="2"/>
      <c r="V4152" s="2"/>
    </row>
    <row r="4153" spans="1:22" s="149" customFormat="1" ht="12.75" customHeight="1" x14ac:dyDescent="0.2">
      <c r="A4153" s="155"/>
      <c r="B4153" s="138" t="str">
        <f>IF(A4153="","",VLOOKUP(A4153,'6.A'!$A$11:$G$180,2,FALSE))</f>
        <v/>
      </c>
      <c r="C4153" s="156"/>
      <c r="D4153" s="141" t="str">
        <f>IF(A4153="","",VLOOKUP(A4153,'6.A'!$A$11:$G$180,4,FALSE))</f>
        <v/>
      </c>
      <c r="E4153" s="160" t="str">
        <f>IF(A4153="","",VLOOKUP(A4153,'6.A'!$A$11:$G$180,5,FALSE))</f>
        <v/>
      </c>
      <c r="F4153" s="159" t="str">
        <f t="shared" si="1796"/>
        <v>0,00</v>
      </c>
      <c r="G4153" s="52"/>
      <c r="H4153" s="52" t="str">
        <f>IF(A4153="","",VLOOKUP(A4153,'6.A'!$A$11:$E$7984,5,FALSE))</f>
        <v/>
      </c>
      <c r="I4153" s="52" t="str">
        <f t="shared" si="1797"/>
        <v/>
      </c>
      <c r="J4153" s="52" t="str">
        <f>IF(H4153="","",VLOOKUP(A4153,'6.A'!$A$11:$E$564,4,FALSE))</f>
        <v/>
      </c>
      <c r="K4153" s="52" t="str">
        <f t="shared" si="1798"/>
        <v/>
      </c>
      <c r="L4153" s="52" t="str">
        <f>IF(H4153="","",IF(C4153="","",G4120*C4153))</f>
        <v/>
      </c>
      <c r="M4153" s="117" t="str">
        <f>IF(A4153="","",VLOOKUP(A4153,'6.A'!$A$11:$C$564,2,FALSE))</f>
        <v/>
      </c>
      <c r="N4153" s="57" t="str">
        <f t="shared" si="1799"/>
        <v/>
      </c>
      <c r="O4153" s="56"/>
      <c r="P4153" s="56"/>
      <c r="Q4153" s="48"/>
      <c r="R4153" s="48"/>
      <c r="S4153" s="65"/>
      <c r="T4153" s="2"/>
      <c r="U4153" s="2"/>
      <c r="V4153" s="2"/>
    </row>
    <row r="4154" spans="1:22" s="149" customFormat="1" ht="12.75" customHeight="1" x14ac:dyDescent="0.2">
      <c r="A4154" s="155"/>
      <c r="B4154" s="138" t="str">
        <f>IF(A4154="","",VLOOKUP(A4154,'6.A'!$A$11:$G$180,2,FALSE))</f>
        <v/>
      </c>
      <c r="C4154" s="156"/>
      <c r="D4154" s="141" t="str">
        <f>IF(A4154="","",VLOOKUP(A4154,'6.A'!$A$11:$G$180,4,FALSE))</f>
        <v/>
      </c>
      <c r="E4154" s="160" t="str">
        <f>IF(A4154="","",VLOOKUP(A4154,'6.A'!$A$11:$G$180,5,FALSE))</f>
        <v/>
      </c>
      <c r="F4154" s="159" t="str">
        <f t="shared" si="1796"/>
        <v>0,00</v>
      </c>
      <c r="G4154" s="52"/>
      <c r="H4154" s="52" t="str">
        <f>IF(A4154="","",VLOOKUP(A4154,'6.A'!$A$11:$E$7984,5,FALSE))</f>
        <v/>
      </c>
      <c r="I4154" s="52" t="str">
        <f t="shared" si="1797"/>
        <v/>
      </c>
      <c r="J4154" s="52" t="str">
        <f>IF(H4154="","",VLOOKUP(A4154,'6.A'!$A$11:$E$564,4,FALSE))</f>
        <v/>
      </c>
      <c r="K4154" s="52" t="str">
        <f t="shared" si="1798"/>
        <v/>
      </c>
      <c r="L4154" s="52" t="str">
        <f>IF(H4154="","",IF(C4154="","",G4120*C4154))</f>
        <v/>
      </c>
      <c r="M4154" s="117" t="str">
        <f>IF(A4154="","",VLOOKUP(A4154,'6.A'!$A$11:$C$564,2,FALSE))</f>
        <v/>
      </c>
      <c r="N4154" s="57" t="str">
        <f t="shared" si="1799"/>
        <v/>
      </c>
      <c r="O4154" s="56"/>
      <c r="P4154" s="56"/>
      <c r="Q4154" s="48"/>
      <c r="R4154" s="48"/>
      <c r="S4154" s="65"/>
      <c r="T4154" s="2"/>
      <c r="U4154" s="2"/>
      <c r="V4154" s="2"/>
    </row>
    <row r="4155" spans="1:22" s="149" customFormat="1" ht="12.75" customHeight="1" x14ac:dyDescent="0.2">
      <c r="A4155" s="155"/>
      <c r="B4155" s="138" t="str">
        <f>IF(A4155="","",VLOOKUP(A4155,'6.A'!$A$11:$G$180,2,FALSE))</f>
        <v/>
      </c>
      <c r="C4155" s="156"/>
      <c r="D4155" s="157" t="str">
        <f>IF(A4155="","",VLOOKUP(A4155,'6.A'!$A$11:$G$180,4,FALSE))</f>
        <v/>
      </c>
      <c r="E4155" s="158" t="str">
        <f>IF(A4155="","",VLOOKUP(A4155,'6.A'!$A$11:$G$180,5,FALSE))</f>
        <v/>
      </c>
      <c r="F4155" s="159" t="str">
        <f t="shared" si="1796"/>
        <v>0,00</v>
      </c>
      <c r="G4155" s="52"/>
      <c r="H4155" s="52" t="str">
        <f>IF(A4155="","",VLOOKUP(A4155,'6.A'!$A$11:$E$7984,5,FALSE))</f>
        <v/>
      </c>
      <c r="I4155" s="52" t="str">
        <f t="shared" si="1797"/>
        <v/>
      </c>
      <c r="J4155" s="52" t="str">
        <f>IF(H4155="","",VLOOKUP(A4155,'6.A'!$A$11:$E$564,4,FALSE))</f>
        <v/>
      </c>
      <c r="K4155" s="52" t="str">
        <f t="shared" si="1798"/>
        <v/>
      </c>
      <c r="L4155" s="52" t="str">
        <f>IF(H4155="","",IF(C4155="","",G4120*C4155))</f>
        <v/>
      </c>
      <c r="M4155" s="117" t="str">
        <f>IF(A4155="","",VLOOKUP(A4155,'6.A'!$A$11:$C$564,2,FALSE))</f>
        <v/>
      </c>
      <c r="N4155" s="57" t="str">
        <f t="shared" si="1799"/>
        <v/>
      </c>
      <c r="O4155" s="56"/>
      <c r="P4155" s="56"/>
      <c r="Q4155" s="48"/>
      <c r="R4155" s="48"/>
      <c r="S4155" s="65"/>
      <c r="T4155" s="2"/>
      <c r="U4155" s="2"/>
      <c r="V4155" s="2"/>
    </row>
    <row r="4156" spans="1:22" s="149" customFormat="1" ht="12.75" customHeight="1" x14ac:dyDescent="0.2">
      <c r="A4156" s="155"/>
      <c r="B4156" s="138" t="str">
        <f>IF(A4156="","",VLOOKUP(A4156,'6.A'!$A$11:$G$180,2,FALSE))</f>
        <v/>
      </c>
      <c r="C4156" s="156"/>
      <c r="D4156" s="157" t="str">
        <f>IF(A4156="","",VLOOKUP(A4156,'6.A'!$A$11:$G$180,4,FALSE))</f>
        <v/>
      </c>
      <c r="E4156" s="158" t="str">
        <f>IF(A4156="","",VLOOKUP(A4156,'6.A'!$A$11:$G$180,5,FALSE))</f>
        <v/>
      </c>
      <c r="F4156" s="159" t="str">
        <f t="shared" si="1796"/>
        <v>0,00</v>
      </c>
      <c r="G4156" s="52"/>
      <c r="H4156" s="52" t="str">
        <f>IF(A4156="","",VLOOKUP(A4156,'6.A'!$A$11:$E$7984,5,FALSE))</f>
        <v/>
      </c>
      <c r="I4156" s="52" t="str">
        <f t="shared" si="1797"/>
        <v/>
      </c>
      <c r="J4156" s="52" t="str">
        <f>IF(H4156="","",VLOOKUP(A4156,'6.A'!$A$11:$E$564,4,FALSE))</f>
        <v/>
      </c>
      <c r="K4156" s="52" t="str">
        <f t="shared" si="1798"/>
        <v/>
      </c>
      <c r="L4156" s="52" t="str">
        <f>IF(H4156="","",IF(C4156="","",G4120*C4156))</f>
        <v/>
      </c>
      <c r="M4156" s="117" t="str">
        <f>IF(A4156="","",VLOOKUP(A4156,'6.A'!$A$11:$C$564,2,FALSE))</f>
        <v/>
      </c>
      <c r="N4156" s="57" t="str">
        <f t="shared" si="1799"/>
        <v/>
      </c>
      <c r="O4156" s="56"/>
      <c r="P4156" s="56"/>
      <c r="Q4156" s="48"/>
      <c r="R4156" s="48"/>
      <c r="S4156" s="65"/>
      <c r="T4156" s="2"/>
      <c r="U4156" s="2"/>
      <c r="V4156" s="2"/>
    </row>
    <row r="4157" spans="1:22" s="149" customFormat="1" ht="12.75" customHeight="1" x14ac:dyDescent="0.2">
      <c r="A4157" s="155"/>
      <c r="B4157" s="138" t="str">
        <f>IF(A4157="","",VLOOKUP(A4157,'6.A'!$A$11:$G$180,2,FALSE))</f>
        <v/>
      </c>
      <c r="C4157" s="156"/>
      <c r="D4157" s="141" t="str">
        <f>IF(A4157="","",VLOOKUP(A4157,'6.A'!$A$11:$G$180,4,FALSE))</f>
        <v/>
      </c>
      <c r="E4157" s="160" t="str">
        <f>IF(A4157="","",VLOOKUP(A4157,'6.A'!$A$11:$G$180,5,FALSE))</f>
        <v/>
      </c>
      <c r="F4157" s="159" t="str">
        <f t="shared" si="1796"/>
        <v>0,00</v>
      </c>
      <c r="G4157" s="52"/>
      <c r="H4157" s="52" t="str">
        <f>IF(A4157="","",VLOOKUP(A4157,'6.A'!$A$11:$E$7984,5,FALSE))</f>
        <v/>
      </c>
      <c r="I4157" s="52" t="str">
        <f t="shared" si="1797"/>
        <v/>
      </c>
      <c r="J4157" s="52" t="str">
        <f>IF(H4157="","",VLOOKUP(A4157,'6.A'!$A$11:$E$564,4,FALSE))</f>
        <v/>
      </c>
      <c r="K4157" s="52" t="str">
        <f t="shared" si="1798"/>
        <v/>
      </c>
      <c r="L4157" s="52" t="str">
        <f>IF(H4157="","",IF(C4157="","",G4120*C4157))</f>
        <v/>
      </c>
      <c r="M4157" s="117" t="str">
        <f>IF(A4157="","",VLOOKUP(A4157,'6.A'!$A$11:$C$564,2,FALSE))</f>
        <v/>
      </c>
      <c r="N4157" s="57" t="str">
        <f t="shared" si="1799"/>
        <v/>
      </c>
      <c r="O4157" s="56"/>
      <c r="P4157" s="56"/>
      <c r="Q4157" s="48"/>
      <c r="R4157" s="48"/>
      <c r="S4157" s="65"/>
      <c r="T4157" s="2"/>
      <c r="U4157" s="2"/>
      <c r="V4157" s="2"/>
    </row>
    <row r="4158" spans="1:22" s="149" customFormat="1" ht="12.75" customHeight="1" x14ac:dyDescent="0.2">
      <c r="A4158" s="155"/>
      <c r="B4158" s="138" t="str">
        <f>IF(A4158="","",VLOOKUP(A4158,'6.A'!$A$11:$G$180,2,FALSE))</f>
        <v/>
      </c>
      <c r="C4158" s="156"/>
      <c r="D4158" s="141" t="str">
        <f>IF(A4158="","",VLOOKUP(A4158,'6.A'!$A$11:$G$180,4,FALSE))</f>
        <v/>
      </c>
      <c r="E4158" s="160" t="str">
        <f>IF(A4158="","",VLOOKUP(A4158,'6.A'!$A$11:$G$180,5,FALSE))</f>
        <v/>
      </c>
      <c r="F4158" s="159" t="str">
        <f t="shared" si="1796"/>
        <v>0,00</v>
      </c>
      <c r="G4158" s="52"/>
      <c r="H4158" s="52" t="str">
        <f>IF(A4158="","",VLOOKUP(A4158,'6.A'!$A$11:$E$7984,5,FALSE))</f>
        <v/>
      </c>
      <c r="I4158" s="52" t="str">
        <f t="shared" si="1797"/>
        <v/>
      </c>
      <c r="J4158" s="52" t="str">
        <f>IF(H4158="","",VLOOKUP(A4158,'6.A'!$A$11:$E$564,4,FALSE))</f>
        <v/>
      </c>
      <c r="K4158" s="52" t="str">
        <f t="shared" si="1798"/>
        <v/>
      </c>
      <c r="L4158" s="52" t="str">
        <f>IF(H4158="","",IF(C4158="","",G4120*C4158))</f>
        <v/>
      </c>
      <c r="M4158" s="117" t="str">
        <f>IF(A4158="","",VLOOKUP(A4158,'6.A'!$A$11:$C$564,2,FALSE))</f>
        <v/>
      </c>
      <c r="N4158" s="57" t="str">
        <f t="shared" si="1799"/>
        <v/>
      </c>
      <c r="O4158" s="56"/>
      <c r="P4158" s="56"/>
      <c r="Q4158" s="48"/>
      <c r="R4158" s="48"/>
      <c r="S4158" s="65"/>
      <c r="T4158" s="2"/>
      <c r="U4158" s="2"/>
      <c r="V4158" s="2"/>
    </row>
    <row r="4159" spans="1:22" s="149" customFormat="1" ht="12.75" customHeight="1" x14ac:dyDescent="0.2">
      <c r="A4159" s="155"/>
      <c r="B4159" s="138" t="str">
        <f>IF(A4159="","",VLOOKUP(A4159,'6.A'!$A$11:$G$180,2,FALSE))</f>
        <v/>
      </c>
      <c r="C4159" s="156"/>
      <c r="D4159" s="141" t="str">
        <f>IF(A4159="","",VLOOKUP(A4159,'6.A'!$A$11:$G$180,4,FALSE))</f>
        <v/>
      </c>
      <c r="E4159" s="160" t="str">
        <f>IF(A4159="","",VLOOKUP(A4159,'6.A'!$A$11:$G$180,5,FALSE))</f>
        <v/>
      </c>
      <c r="F4159" s="159" t="str">
        <f t="shared" si="1796"/>
        <v>0,00</v>
      </c>
      <c r="G4159" s="52"/>
      <c r="H4159" s="52" t="str">
        <f>IF(A4159="","",VLOOKUP(A4159,'6.A'!$A$11:$E$7984,5,FALSE))</f>
        <v/>
      </c>
      <c r="I4159" s="52" t="str">
        <f t="shared" si="1797"/>
        <v/>
      </c>
      <c r="J4159" s="52" t="str">
        <f>IF(H4159="","",VLOOKUP(A4159,'6.A'!$A$11:$E$564,4,FALSE))</f>
        <v/>
      </c>
      <c r="K4159" s="52" t="str">
        <f t="shared" si="1798"/>
        <v/>
      </c>
      <c r="L4159" s="52" t="str">
        <f>IF(H4159="","",IF(C4159="","",G4120*C4159))</f>
        <v/>
      </c>
      <c r="M4159" s="117" t="str">
        <f>IF(A4159="","",VLOOKUP(A4159,'6.A'!$A$11:$C$564,2,FALSE))</f>
        <v/>
      </c>
      <c r="N4159" s="57" t="str">
        <f t="shared" si="1799"/>
        <v/>
      </c>
      <c r="O4159" s="56"/>
      <c r="P4159" s="56"/>
      <c r="Q4159" s="48"/>
      <c r="R4159" s="48"/>
      <c r="S4159" s="65"/>
      <c r="T4159" s="2"/>
      <c r="U4159" s="2"/>
      <c r="V4159" s="2"/>
    </row>
    <row r="4160" spans="1:22" s="149" customFormat="1" ht="12.75" customHeight="1" x14ac:dyDescent="0.2">
      <c r="A4160" s="155"/>
      <c r="B4160" s="138" t="str">
        <f>IF(A4160="","",VLOOKUP(A4160,'6.A'!$A$11:$G$180,2,FALSE))</f>
        <v/>
      </c>
      <c r="C4160" s="156"/>
      <c r="D4160" s="141" t="str">
        <f>IF(A4160="","",VLOOKUP(A4160,'6.A'!$A$11:$G$180,4,FALSE))</f>
        <v/>
      </c>
      <c r="E4160" s="160" t="str">
        <f>IF(A4160="","",VLOOKUP(A4160,'6.A'!$A$11:$G$180,5,FALSE))</f>
        <v/>
      </c>
      <c r="F4160" s="159" t="str">
        <f t="shared" si="1796"/>
        <v>0,00</v>
      </c>
      <c r="G4160" s="52"/>
      <c r="H4160" s="52" t="str">
        <f>IF(A4160="","",VLOOKUP(A4160,'6.A'!$A$11:$E$7984,5,FALSE))</f>
        <v/>
      </c>
      <c r="I4160" s="52" t="str">
        <f t="shared" si="1797"/>
        <v/>
      </c>
      <c r="J4160" s="52" t="str">
        <f>IF(H4160="","",VLOOKUP(A4160,'6.A'!$A$11:$E$564,4,FALSE))</f>
        <v/>
      </c>
      <c r="K4160" s="52" t="str">
        <f t="shared" si="1798"/>
        <v/>
      </c>
      <c r="L4160" s="52" t="str">
        <f>IF(H4160="","",IF(C4160="","",G4120*C4160))</f>
        <v/>
      </c>
      <c r="M4160" s="117" t="str">
        <f>IF(A4160="","",VLOOKUP(A4160,'6.A'!$A$11:$C$564,2,FALSE))</f>
        <v/>
      </c>
      <c r="N4160" s="57" t="str">
        <f t="shared" si="1799"/>
        <v/>
      </c>
      <c r="O4160" s="56"/>
      <c r="P4160" s="56"/>
      <c r="Q4160" s="48"/>
      <c r="R4160" s="48"/>
      <c r="S4160" s="65"/>
      <c r="T4160" s="2"/>
      <c r="U4160" s="2"/>
      <c r="V4160" s="2"/>
    </row>
    <row r="4161" spans="1:22" s="149" customFormat="1" ht="12.75" customHeight="1" x14ac:dyDescent="0.2">
      <c r="A4161" s="155"/>
      <c r="B4161" s="138" t="str">
        <f>IF(A4161="","",VLOOKUP(A4161,'6.A'!$A$11:$G$180,2,FALSE))</f>
        <v/>
      </c>
      <c r="C4161" s="156"/>
      <c r="D4161" s="141" t="str">
        <f>IF(A4161="","",VLOOKUP(A4161,'6.A'!$A$11:$G$180,4,FALSE))</f>
        <v/>
      </c>
      <c r="E4161" s="160" t="str">
        <f>IF(A4161="","",VLOOKUP(A4161,'6.A'!$A$11:$G$180,5,FALSE))</f>
        <v/>
      </c>
      <c r="F4161" s="159" t="str">
        <f t="shared" si="1796"/>
        <v>0,00</v>
      </c>
      <c r="G4161" s="52"/>
      <c r="H4161" s="52" t="str">
        <f>IF(A4161="","",VLOOKUP(A4161,'6.A'!$A$11:$E$7984,5,FALSE))</f>
        <v/>
      </c>
      <c r="I4161" s="52" t="str">
        <f t="shared" si="1797"/>
        <v/>
      </c>
      <c r="J4161" s="52" t="str">
        <f>IF(H4161="","",VLOOKUP(A4161,'6.A'!$A$11:$E$564,4,FALSE))</f>
        <v/>
      </c>
      <c r="K4161" s="52" t="str">
        <f t="shared" si="1798"/>
        <v/>
      </c>
      <c r="L4161" s="52" t="str">
        <f>IF(H4161="","",IF(C4161="","",G4120*C4161))</f>
        <v/>
      </c>
      <c r="M4161" s="117" t="str">
        <f>IF(A4161="","",VLOOKUP(A4161,'6.A'!$A$11:$C$564,2,FALSE))</f>
        <v/>
      </c>
      <c r="N4161" s="57" t="str">
        <f t="shared" si="1799"/>
        <v/>
      </c>
      <c r="O4161" s="56"/>
      <c r="P4161" s="56"/>
      <c r="Q4161" s="48"/>
      <c r="R4161" s="48"/>
      <c r="S4161" s="65"/>
      <c r="T4161" s="2"/>
      <c r="U4161" s="2"/>
      <c r="V4161" s="2"/>
    </row>
    <row r="4162" spans="1:22" s="149" customFormat="1" ht="12.75" customHeight="1" x14ac:dyDescent="0.2">
      <c r="A4162" s="155"/>
      <c r="B4162" s="138" t="str">
        <f>IF(A4162="","",VLOOKUP(A4162,'6.A'!$A$11:$G$180,2,FALSE))</f>
        <v/>
      </c>
      <c r="C4162" s="156"/>
      <c r="D4162" s="141" t="str">
        <f>IF(A4162="","",VLOOKUP(A4162,'6.A'!$A$11:$G$180,4,FALSE))</f>
        <v/>
      </c>
      <c r="E4162" s="160" t="str">
        <f>IF(A4162="","",VLOOKUP(A4162,'6.A'!$A$11:$G$180,5,FALSE))</f>
        <v/>
      </c>
      <c r="F4162" s="159" t="str">
        <f t="shared" si="1796"/>
        <v>0,00</v>
      </c>
      <c r="G4162" s="52"/>
      <c r="H4162" s="52" t="str">
        <f>IF(A4162="","",VLOOKUP(A4162,'6.A'!$A$11:$E$7984,5,FALSE))</f>
        <v/>
      </c>
      <c r="I4162" s="52" t="str">
        <f t="shared" si="1797"/>
        <v/>
      </c>
      <c r="J4162" s="52" t="str">
        <f>IF(H4162="","",VLOOKUP(A4162,'6.A'!$A$11:$E$564,4,FALSE))</f>
        <v/>
      </c>
      <c r="K4162" s="52" t="str">
        <f t="shared" si="1798"/>
        <v/>
      </c>
      <c r="L4162" s="52" t="str">
        <f>IF(H4162="","",IF(C4162="","",G4120*C4162))</f>
        <v/>
      </c>
      <c r="M4162" s="117" t="str">
        <f>IF(A4162="","",VLOOKUP(A4162,'6.A'!$A$11:$C$564,2,FALSE))</f>
        <v/>
      </c>
      <c r="N4162" s="57" t="str">
        <f t="shared" si="1799"/>
        <v/>
      </c>
      <c r="O4162" s="56"/>
      <c r="P4162" s="56"/>
      <c r="Q4162" s="48"/>
      <c r="R4162" s="48"/>
      <c r="S4162" s="65"/>
      <c r="T4162" s="2"/>
      <c r="U4162" s="2"/>
      <c r="V4162" s="2"/>
    </row>
    <row r="4163" spans="1:22" s="149" customFormat="1" ht="12.75" customHeight="1" x14ac:dyDescent="0.2">
      <c r="A4163" s="155"/>
      <c r="B4163" s="138" t="str">
        <f>IF(A4163="","",VLOOKUP(A4163,'6.A'!$A$11:$G$180,2,FALSE))</f>
        <v/>
      </c>
      <c r="C4163" s="156"/>
      <c r="D4163" s="141" t="str">
        <f>IF(A4163="","",VLOOKUP(A4163,'6.A'!$A$11:$G$180,4,FALSE))</f>
        <v/>
      </c>
      <c r="E4163" s="160" t="str">
        <f>IF(A4163="","",VLOOKUP(A4163,'6.A'!$A$11:$G$180,5,FALSE))</f>
        <v/>
      </c>
      <c r="F4163" s="159" t="str">
        <f t="shared" si="1796"/>
        <v>0,00</v>
      </c>
      <c r="G4163" s="52"/>
      <c r="H4163" s="52" t="str">
        <f>IF(A4163="","",VLOOKUP(A4163,'6.A'!$A$11:$E$7984,5,FALSE))</f>
        <v/>
      </c>
      <c r="I4163" s="52" t="str">
        <f t="shared" si="1797"/>
        <v/>
      </c>
      <c r="J4163" s="52" t="str">
        <f>IF(H4163="","",VLOOKUP(A4163,'6.A'!$A$11:$E$564,4,FALSE))</f>
        <v/>
      </c>
      <c r="K4163" s="52" t="str">
        <f t="shared" si="1798"/>
        <v/>
      </c>
      <c r="L4163" s="52" t="str">
        <f>IF(H4163="","",IF(C4163="","",G4120*C4163))</f>
        <v/>
      </c>
      <c r="M4163" s="117" t="str">
        <f>IF(A4163="","",VLOOKUP(A4163,'6.A'!$A$11:$C$564,2,FALSE))</f>
        <v/>
      </c>
      <c r="N4163" s="57" t="str">
        <f t="shared" si="1799"/>
        <v/>
      </c>
      <c r="O4163" s="56"/>
      <c r="P4163" s="56"/>
      <c r="Q4163" s="48"/>
      <c r="R4163" s="48"/>
      <c r="S4163" s="65"/>
      <c r="T4163" s="2"/>
      <c r="U4163" s="2"/>
      <c r="V4163" s="2"/>
    </row>
    <row r="4164" spans="1:22" s="149" customFormat="1" ht="12.75" customHeight="1" x14ac:dyDescent="0.2">
      <c r="A4164" s="155"/>
      <c r="B4164" s="138" t="str">
        <f>IF(A4164="","",VLOOKUP(A4164,'6.A'!$A$11:$G$180,2,FALSE))</f>
        <v/>
      </c>
      <c r="C4164" s="156"/>
      <c r="D4164" s="141" t="str">
        <f>IF(A4164="","",VLOOKUP(A4164,'6.A'!$A$11:$G$180,4,FALSE))</f>
        <v/>
      </c>
      <c r="E4164" s="160" t="str">
        <f>IF(A4164="","",VLOOKUP(A4164,'6.A'!$A$11:$G$180,5,FALSE))</f>
        <v/>
      </c>
      <c r="F4164" s="159" t="str">
        <f t="shared" si="1796"/>
        <v>0,00</v>
      </c>
      <c r="G4164" s="52"/>
      <c r="H4164" s="52" t="str">
        <f>IF(A4164="","",VLOOKUP(A4164,'6.A'!$A$11:$E$7984,5,FALSE))</f>
        <v/>
      </c>
      <c r="I4164" s="52" t="str">
        <f t="shared" si="1797"/>
        <v/>
      </c>
      <c r="J4164" s="52" t="str">
        <f>IF(H4164="","",VLOOKUP(A4164,'6.A'!$A$11:$E$564,4,FALSE))</f>
        <v/>
      </c>
      <c r="K4164" s="52" t="str">
        <f t="shared" si="1798"/>
        <v/>
      </c>
      <c r="L4164" s="52" t="str">
        <f>IF(H4164="","",IF(C4164="","",G4120*C4164))</f>
        <v/>
      </c>
      <c r="M4164" s="117" t="str">
        <f>IF(A4164="","",VLOOKUP(A4164,'6.A'!$A$11:$C$564,2,FALSE))</f>
        <v/>
      </c>
      <c r="N4164" s="57" t="str">
        <f t="shared" si="1799"/>
        <v/>
      </c>
      <c r="O4164" s="56"/>
      <c r="P4164" s="56"/>
      <c r="Q4164" s="48"/>
      <c r="R4164" s="48"/>
      <c r="S4164" s="65"/>
      <c r="T4164" s="2"/>
      <c r="U4164" s="2"/>
      <c r="V4164" s="2"/>
    </row>
    <row r="4165" spans="1:22" s="137" customFormat="1" ht="12.75" customHeight="1" x14ac:dyDescent="0.2">
      <c r="A4165" s="155"/>
      <c r="B4165" s="171" t="str">
        <f>IF(A4165="","",VLOOKUP(A4165,'6.A'!$A$11:$G$180,2,FALSE))</f>
        <v/>
      </c>
      <c r="C4165" s="156"/>
      <c r="D4165" s="141" t="str">
        <f>IF(A4165="","",VLOOKUP(A4165,'6.A'!$A$11:$G$180,4,FALSE))</f>
        <v/>
      </c>
      <c r="E4165" s="160" t="str">
        <f>IF(A4165="","",VLOOKUP(A4165,'6.A'!$A$11:$G$180,5,FALSE))</f>
        <v/>
      </c>
      <c r="F4165" s="159" t="str">
        <f t="shared" si="1796"/>
        <v>0,00</v>
      </c>
      <c r="G4165" s="52"/>
      <c r="H4165" s="52" t="str">
        <f>IF(A4165="","",VLOOKUP(A4165,'6.A'!$A$11:$E$7984,5,FALSE))</f>
        <v/>
      </c>
      <c r="I4165" s="52" t="str">
        <f t="shared" si="1797"/>
        <v/>
      </c>
      <c r="J4165" s="52" t="str">
        <f>IF(H4165="","",VLOOKUP(A4165,'6.A'!$A$11:$E$564,4,FALSE))</f>
        <v/>
      </c>
      <c r="K4165" s="52" t="str">
        <f t="shared" si="1798"/>
        <v/>
      </c>
      <c r="L4165" s="52" t="str">
        <f>IF(H4165="","",IF(C4165="","",G4120*C4165))</f>
        <v/>
      </c>
      <c r="M4165" s="117" t="str">
        <f>IF(A4165="","",VLOOKUP(A4165,'6.A'!$A$11:$C$564,2,FALSE))</f>
        <v/>
      </c>
      <c r="N4165" s="57" t="str">
        <f t="shared" si="1799"/>
        <v/>
      </c>
      <c r="O4165" s="56"/>
      <c r="P4165" s="56"/>
      <c r="Q4165" s="48"/>
      <c r="R4165" s="48"/>
      <c r="S4165" s="65"/>
      <c r="T4165" s="2"/>
      <c r="U4165" s="2"/>
      <c r="V4165" s="2"/>
    </row>
    <row r="4166" spans="1:22" s="137" customFormat="1" ht="12.75" customHeight="1" x14ac:dyDescent="0.2">
      <c r="A4166" s="155"/>
      <c r="B4166" s="171" t="str">
        <f>IF(A4166="","",VLOOKUP(A4166,'6.A'!$A$11:$G$180,2,FALSE))</f>
        <v/>
      </c>
      <c r="C4166" s="156"/>
      <c r="D4166" s="141" t="str">
        <f>IF(A4166="","",VLOOKUP(A4166,'6.A'!$A$11:$G$180,4,FALSE))</f>
        <v/>
      </c>
      <c r="E4166" s="160" t="str">
        <f>IF(A4166="","",VLOOKUP(A4166,'6.A'!$A$11:$G$180,5,FALSE))</f>
        <v/>
      </c>
      <c r="F4166" s="159" t="str">
        <f t="shared" si="1796"/>
        <v>0,00</v>
      </c>
      <c r="G4166" s="52"/>
      <c r="H4166" s="52" t="str">
        <f>IF(A4166="","",VLOOKUP(A4166,'6.A'!$A$11:$E$7984,5,FALSE))</f>
        <v/>
      </c>
      <c r="I4166" s="52" t="str">
        <f t="shared" si="1797"/>
        <v/>
      </c>
      <c r="J4166" s="52" t="str">
        <f>IF(H4166="","",VLOOKUP(A4166,'6.A'!$A$11:$E$564,4,FALSE))</f>
        <v/>
      </c>
      <c r="K4166" s="52" t="str">
        <f t="shared" si="1798"/>
        <v/>
      </c>
      <c r="L4166" s="52" t="str">
        <f>IF(H4166="","",IF(C4166="","",G4120*C4166))</f>
        <v/>
      </c>
      <c r="M4166" s="117" t="str">
        <f>IF(A4166="","",VLOOKUP(A4166,'6.A'!$A$11:$C$564,2,FALSE))</f>
        <v/>
      </c>
      <c r="N4166" s="57" t="str">
        <f t="shared" si="1799"/>
        <v/>
      </c>
      <c r="O4166" s="56"/>
      <c r="P4166" s="56"/>
      <c r="Q4166" s="48"/>
      <c r="R4166" s="48"/>
      <c r="S4166" s="65"/>
      <c r="T4166" s="2"/>
      <c r="U4166" s="2"/>
      <c r="V4166" s="2"/>
    </row>
    <row r="4167" spans="1:22" s="137" customFormat="1" ht="12.75" customHeight="1" x14ac:dyDescent="0.2">
      <c r="A4167" s="155"/>
      <c r="B4167" s="171" t="str">
        <f>IF(A4167="","",VLOOKUP(A4167,'6.A'!$A$11:$G$180,2,FALSE))</f>
        <v/>
      </c>
      <c r="C4167" s="156"/>
      <c r="D4167" s="141" t="str">
        <f>IF(A4167="","",VLOOKUP(A4167,'6.A'!$A$11:$G$180,4,FALSE))</f>
        <v/>
      </c>
      <c r="E4167" s="160" t="str">
        <f>IF(A4167="","",VLOOKUP(A4167,'6.A'!$A$11:$G$180,5,FALSE))</f>
        <v/>
      </c>
      <c r="F4167" s="159" t="str">
        <f t="shared" si="1796"/>
        <v>0,00</v>
      </c>
      <c r="G4167" s="52"/>
      <c r="H4167" s="52" t="str">
        <f>IF(A4167="","",VLOOKUP(A4167,'6.A'!$A$11:$E$7984,5,FALSE))</f>
        <v/>
      </c>
      <c r="I4167" s="52" t="str">
        <f t="shared" si="1797"/>
        <v/>
      </c>
      <c r="J4167" s="52" t="str">
        <f>IF(H4167="","",VLOOKUP(A4167,'6.A'!$A$11:$E$564,4,FALSE))</f>
        <v/>
      </c>
      <c r="K4167" s="52" t="str">
        <f t="shared" si="1798"/>
        <v/>
      </c>
      <c r="L4167" s="52" t="str">
        <f>IF(H4167="","",IF(C4167="","",G4120*C4167))</f>
        <v/>
      </c>
      <c r="M4167" s="117" t="str">
        <f>IF(A4167="","",VLOOKUP(A4167,'6.A'!$A$11:$C$564,2,FALSE))</f>
        <v/>
      </c>
      <c r="N4167" s="57" t="str">
        <f t="shared" si="1799"/>
        <v/>
      </c>
      <c r="O4167" s="56"/>
      <c r="P4167" s="56"/>
      <c r="Q4167" s="48"/>
      <c r="R4167" s="48"/>
      <c r="S4167" s="65"/>
      <c r="T4167" s="2"/>
      <c r="U4167" s="2"/>
      <c r="V4167" s="2"/>
    </row>
    <row r="4168" spans="1:22" s="137" customFormat="1" ht="12.75" customHeight="1" x14ac:dyDescent="0.2">
      <c r="A4168" s="155"/>
      <c r="B4168" s="171" t="str">
        <f>IF(A4168="","",VLOOKUP(A4168,'6.A'!$A$11:$G$180,2,FALSE))</f>
        <v/>
      </c>
      <c r="C4168" s="156"/>
      <c r="D4168" s="141" t="str">
        <f>IF(A4168="","",VLOOKUP(A4168,'6.A'!$A$11:$G$180,4,FALSE))</f>
        <v/>
      </c>
      <c r="E4168" s="160" t="str">
        <f>IF(A4168="","",VLOOKUP(A4168,'6.A'!$A$11:$G$180,5,FALSE))</f>
        <v/>
      </c>
      <c r="F4168" s="159" t="str">
        <f t="shared" si="1796"/>
        <v>0,00</v>
      </c>
      <c r="G4168" s="52"/>
      <c r="H4168" s="52" t="str">
        <f>IF(A4168="","",VLOOKUP(A4168,'6.A'!$A$11:$E$7984,5,FALSE))</f>
        <v/>
      </c>
      <c r="I4168" s="52" t="str">
        <f t="shared" si="1797"/>
        <v/>
      </c>
      <c r="J4168" s="52" t="str">
        <f>IF(H4168="","",VLOOKUP(A4168,'6.A'!$A$11:$E$564,4,FALSE))</f>
        <v/>
      </c>
      <c r="K4168" s="52" t="str">
        <f t="shared" si="1798"/>
        <v/>
      </c>
      <c r="L4168" s="52" t="str">
        <f>IF(H4168="","",IF(C4168="","",G4120*C4168))</f>
        <v/>
      </c>
      <c r="M4168" s="117" t="str">
        <f>IF(A4168="","",VLOOKUP(A4168,'6.A'!$A$11:$C$564,2,FALSE))</f>
        <v/>
      </c>
      <c r="N4168" s="57" t="str">
        <f t="shared" si="1799"/>
        <v/>
      </c>
      <c r="O4168" s="56"/>
      <c r="P4168" s="56"/>
      <c r="Q4168" s="48"/>
      <c r="R4168" s="48"/>
      <c r="S4168" s="65"/>
      <c r="T4168" s="2"/>
      <c r="U4168" s="2"/>
      <c r="V4168" s="2"/>
    </row>
    <row r="4169" spans="1:22" s="137" customFormat="1" ht="12.75" customHeight="1" x14ac:dyDescent="0.2">
      <c r="A4169" s="155"/>
      <c r="B4169" s="26" t="str">
        <f>$A$9</f>
        <v>BDI</v>
      </c>
      <c r="C4169" s="40">
        <f>$C$9</f>
        <v>0</v>
      </c>
      <c r="D4169" s="141"/>
      <c r="E4169" s="147"/>
      <c r="F4169" s="162">
        <f>ROUND(SUM(F4149:F4168)*C4169,2)</f>
        <v>0</v>
      </c>
      <c r="G4169" s="63"/>
      <c r="H4169" s="52"/>
      <c r="I4169" s="57"/>
      <c r="J4169" s="57"/>
      <c r="K4169" s="57"/>
      <c r="L4169" s="52"/>
      <c r="M4169" s="57"/>
      <c r="N4169" s="57"/>
      <c r="O4169" s="56"/>
      <c r="P4169" s="56"/>
      <c r="Q4169" s="48"/>
      <c r="R4169" s="48"/>
      <c r="S4169" s="65"/>
      <c r="T4169" s="2"/>
      <c r="U4169" s="2"/>
      <c r="V4169" s="2"/>
    </row>
    <row r="4170" spans="1:22" s="137" customFormat="1" ht="12.75" customHeight="1" thickBot="1" x14ac:dyDescent="0.25">
      <c r="A4170" s="172"/>
      <c r="B4170" s="42" t="s">
        <v>57</v>
      </c>
      <c r="C4170" s="43"/>
      <c r="D4170" s="173"/>
      <c r="E4170" s="174"/>
      <c r="F4170" s="175">
        <f>ROUND(SUM(F4149:F4169),2)</f>
        <v>0</v>
      </c>
      <c r="G4170" s="63"/>
      <c r="H4170" s="52"/>
      <c r="I4170" s="57"/>
      <c r="J4170" s="57"/>
      <c r="K4170" s="57"/>
      <c r="L4170" s="52"/>
      <c r="M4170" s="57"/>
      <c r="N4170" s="57"/>
      <c r="O4170" s="56"/>
      <c r="P4170" s="56"/>
      <c r="Q4170" s="48"/>
      <c r="R4170" s="48"/>
      <c r="S4170" s="65"/>
      <c r="T4170" s="2"/>
      <c r="U4170" s="2"/>
      <c r="V4170" s="2"/>
    </row>
    <row r="4171" spans="1:22" s="149" customFormat="1" ht="12" customHeight="1" thickBot="1" x14ac:dyDescent="0.25">
      <c r="A4171" s="150"/>
      <c r="B4171" s="145"/>
      <c r="C4171" s="146"/>
      <c r="D4171" s="141"/>
      <c r="E4171" s="147"/>
      <c r="F4171" s="142"/>
      <c r="G4171" s="142"/>
      <c r="H4171" s="139"/>
      <c r="I4171" s="141"/>
      <c r="J4171" s="141"/>
      <c r="K4171" s="141"/>
      <c r="L4171" s="139"/>
      <c r="M4171" s="143"/>
      <c r="N4171" s="143"/>
      <c r="O4171" s="144"/>
      <c r="P4171" s="144"/>
      <c r="Q4171" s="135"/>
      <c r="R4171" s="135"/>
      <c r="T4171" s="137"/>
      <c r="U4171" s="137"/>
      <c r="V4171" s="137"/>
    </row>
    <row r="4172" spans="1:22" s="137" customFormat="1" ht="50.1" customHeight="1" x14ac:dyDescent="0.2">
      <c r="A4172" s="151" t="str">
        <f>'3.A'!$A$91</f>
        <v>4.2.1</v>
      </c>
      <c r="B4172" s="14" t="str">
        <f>IF(A4172="","",VLOOKUP(A4172,'3.A'!$A$17:$M$279,2,FALSE))</f>
        <v>SERVIÇOS PARA PARADA PROGRAMADA PARA TRANSFERÊNCIA DA ENTRADA DE ENERGIA</v>
      </c>
      <c r="C4172" s="413" t="s">
        <v>62</v>
      </c>
      <c r="D4172" s="413"/>
      <c r="E4172" s="15" t="str">
        <f>IF(A4172="","",VLOOKUP(A4172,'3.A'!$A$17:$M$279,3,FALSE))</f>
        <v>GB</v>
      </c>
      <c r="F4172" s="16">
        <f>ROUND(F4186+F4199+F4222,2)</f>
        <v>0</v>
      </c>
      <c r="G4172" s="118">
        <f>VLOOKUP(A4172,'3.A'!$A$19:$I$279,4,FALSE)</f>
        <v>1</v>
      </c>
      <c r="H4172" s="47">
        <f>SUM(F4174:F4185)</f>
        <v>0</v>
      </c>
      <c r="I4172" s="47">
        <f>SUM(F4188:F4198)</f>
        <v>0</v>
      </c>
      <c r="J4172" s="47">
        <f>SUM(F4201:F4221)</f>
        <v>0</v>
      </c>
      <c r="K4172" s="47">
        <f>SUM(H4172:J4172)</f>
        <v>0</v>
      </c>
      <c r="L4172" s="47" t="str">
        <f>IF(K4172=F4172,"SIM","NÃO")</f>
        <v>SIM</v>
      </c>
      <c r="M4172" s="58">
        <f>ROUND(SUM(F4174:F4183)*C4184,2)+ROUND(SUM(F4174:F4184)*C4185,2)+ROUND(SUM(F4174:F4183),2)+ROUND(SUM(F4188:F4197)*C4198,2)+ROUND(SUM(F4188:F4197),2)+ROUND(SUM(F4201:F4220)*C4221,2)+ROUND(SUM(F4201:F4220),2)</f>
        <v>0</v>
      </c>
      <c r="N4172" s="50" t="str">
        <f>IF(M4172=F4172,"SIM","NÃO")</f>
        <v>SIM</v>
      </c>
      <c r="O4172" s="51" t="str">
        <f>VLOOKUP(A4172,'3.A'!$A$8:$E$279,3,FALSE)</f>
        <v>GB</v>
      </c>
      <c r="P4172" s="51" t="str">
        <f>IF(O4172=E4172,"SIM","NÃO")</f>
        <v>SIM</v>
      </c>
      <c r="Q4172" s="53">
        <f>ROUND(G4172*F4186,2)+ROUND(G4172*F4199,2)+ROUND(G4172*F4222,2)</f>
        <v>0</v>
      </c>
      <c r="R4172" s="59">
        <f>VLOOKUP(A4172,'3.A'!$A$17:$L$279,12,FALSE)</f>
        <v>0</v>
      </c>
      <c r="S4172" s="60" t="str">
        <f>IF(Q4172=R4172,"si","no")</f>
        <v>si</v>
      </c>
      <c r="T4172" s="61">
        <f>SUM(L4174:L4183)+SUM(L4188:L4197)+SUM(L4201:L4220)</f>
        <v>144</v>
      </c>
      <c r="U4172" s="52">
        <f>G4172*C4180+G4172*C4182+G4172*C4175+G4172*C4176+G4172*C4178+G4172*C4181+G4172*C4179+G4172*C4174+G4172*C4177+G4172*C4183+G4172*C4194+G4172*C4188+G4172*C4196+G4172*C4195+G4172*C4193+G4172*C4190+G4172*C4189+G4172*C4191+G4172*C4197+G4172*C4192+G4172*C4201+G4172*C4202+G4172*C4203+G4172*C4211+G4172*C4212+G4172*C4213+G4172*C4214+G4172*C4215+G4172*C4216+G4172*C4217+G4172*C4218+G4172*C4219+G4172*C4220+G4172*C4209+G4172*C4210+G4172*C4204+G4172*C4205+G4172*C4206+G4172*C4207+G4172*C4208</f>
        <v>144</v>
      </c>
      <c r="V4172" s="54" t="str">
        <f>IF(T4172=U4172,"si","no")</f>
        <v>si</v>
      </c>
    </row>
    <row r="4173" spans="1:22" s="137" customFormat="1" ht="12.75" customHeight="1" x14ac:dyDescent="0.2">
      <c r="A4173" s="152" t="s">
        <v>3</v>
      </c>
      <c r="B4173" s="153" t="s">
        <v>58</v>
      </c>
      <c r="C4173" s="140" t="s">
        <v>59</v>
      </c>
      <c r="D4173" s="140" t="s">
        <v>16</v>
      </c>
      <c r="E4173" s="154" t="s">
        <v>60</v>
      </c>
      <c r="F4173" s="148" t="s">
        <v>61</v>
      </c>
      <c r="G4173" s="21"/>
      <c r="H4173" s="52"/>
      <c r="I4173" s="57"/>
      <c r="J4173" s="57"/>
      <c r="K4173" s="57"/>
      <c r="L4173" s="52"/>
      <c r="M4173" s="57"/>
      <c r="N4173" s="57"/>
      <c r="O4173" s="56"/>
      <c r="P4173" s="56"/>
      <c r="Q4173" s="48"/>
      <c r="R4173" s="48"/>
      <c r="S4173" s="65"/>
      <c r="T4173" s="2"/>
      <c r="U4173" s="2"/>
      <c r="V4173" s="2"/>
    </row>
    <row r="4174" spans="1:22" s="137" customFormat="1" ht="12.75" customHeight="1" x14ac:dyDescent="0.2">
      <c r="A4174" s="22">
        <f>'6.A'!$A$18</f>
        <v>88264</v>
      </c>
      <c r="B4174" s="23" t="str">
        <f>IF(A4174="","",VLOOKUP(A4174,'6.A'!$A$11:$G$180,2,FALSE))</f>
        <v>ELETRICISTA COM ENCARGOS COMPLEMENTARES</v>
      </c>
      <c r="C4174" s="99">
        <v>72</v>
      </c>
      <c r="D4174" s="57" t="str">
        <f>IF(A4174="","",VLOOKUP(A4174,'6.A'!$A$11:$G$180,4,FALSE))</f>
        <v>H</v>
      </c>
      <c r="E4174" s="100">
        <f>IF(A4174="","",VLOOKUP(A4174,'6.A'!$A$11:$G$180,5,FALSE))</f>
        <v>0</v>
      </c>
      <c r="F4174" s="159">
        <f t="shared" ref="F4174:F4183" si="1800">IF(A4174="","0,00",ROUND(C4174*E4174,2))</f>
        <v>0</v>
      </c>
      <c r="G4174" s="52"/>
      <c r="H4174" s="52">
        <f>IF(A4174="","",VLOOKUP(A4174,'6.A'!$A$11:$E$7984,5,FALSE))</f>
        <v>0</v>
      </c>
      <c r="I4174" s="52" t="str">
        <f>IF(H4174="","",IF(E4174=H4174,"SIM","NÃO"))</f>
        <v>SIM</v>
      </c>
      <c r="J4174" s="52" t="str">
        <f>IF(H4174="","",VLOOKUP(A4174,'6.A'!$A$11:$E$564,4,FALSE))</f>
        <v>H</v>
      </c>
      <c r="K4174" s="52" t="str">
        <f>IF(H4174="","",IF(J4174=D4174,"SIM","NÃO"))</f>
        <v>SIM</v>
      </c>
      <c r="L4174" s="52">
        <f>IF(H4174="","",IF(C4174="","",G4172*C4174))</f>
        <v>72</v>
      </c>
      <c r="M4174" s="117" t="str">
        <f>IF(A4174="","",VLOOKUP(A4174,'6.A'!$A$11:$C$564,2,FALSE))</f>
        <v>ELETRICISTA COM ENCARGOS COMPLEMENTARES</v>
      </c>
      <c r="N4174" s="57" t="str">
        <f>IF(A4174="","",IF(M4174=B4174,"si","no"))</f>
        <v>si</v>
      </c>
      <c r="O4174" s="56"/>
      <c r="P4174" s="56"/>
      <c r="Q4174" s="48"/>
      <c r="R4174" s="48"/>
      <c r="S4174" s="65"/>
      <c r="T4174" s="2"/>
      <c r="U4174" s="2"/>
      <c r="V4174" s="2"/>
    </row>
    <row r="4175" spans="1:22" s="137" customFormat="1" ht="12.75" customHeight="1" x14ac:dyDescent="0.2">
      <c r="A4175" s="22">
        <f>'6.A'!$A$15</f>
        <v>88247</v>
      </c>
      <c r="B4175" s="23" t="str">
        <f>IF(A4175="","",VLOOKUP(A4175,'6.A'!$A$11:$G$180,2,FALSE))</f>
        <v>AUXILIAR DE ELETRICISTA COM ENCARGOS COMPLEMENTARES</v>
      </c>
      <c r="C4175" s="99">
        <v>72</v>
      </c>
      <c r="D4175" s="57" t="str">
        <f>IF(A4175="","",VLOOKUP(A4175,'6.A'!$A$11:$G$180,4,FALSE))</f>
        <v>H</v>
      </c>
      <c r="E4175" s="100">
        <f>IF(A4175="","",VLOOKUP(A4175,'6.A'!$A$11:$G$180,5,FALSE))</f>
        <v>0</v>
      </c>
      <c r="F4175" s="159">
        <f t="shared" si="1800"/>
        <v>0</v>
      </c>
      <c r="G4175" s="52"/>
      <c r="H4175" s="52">
        <f>IF(A4175="","",VLOOKUP(A4175,'6.A'!$A$11:$E$7984,5,FALSE))</f>
        <v>0</v>
      </c>
      <c r="I4175" s="52" t="str">
        <f>IF(H4175="","",IF(E4175=H4175,"SIM","NÃO"))</f>
        <v>SIM</v>
      </c>
      <c r="J4175" s="52" t="str">
        <f>IF(H4175="","",VLOOKUP(A4175,'6.A'!$A$11:$E$564,4,FALSE))</f>
        <v>H</v>
      </c>
      <c r="K4175" s="52" t="str">
        <f>IF(H4175="","",IF(J4175=D4175,"SIM","NÃO"))</f>
        <v>SIM</v>
      </c>
      <c r="L4175" s="52">
        <f>IF(H4175="","",IF(C4175="","",G4172*C4175))</f>
        <v>72</v>
      </c>
      <c r="M4175" s="117" t="str">
        <f>IF(A4175="","",VLOOKUP(A4175,'6.A'!$A$11:$C$564,2,FALSE))</f>
        <v>AUXILIAR DE ELETRICISTA COM ENCARGOS COMPLEMENTARES</v>
      </c>
      <c r="N4175" s="57" t="str">
        <f>IF(A4175="","",IF(M4175=B4175,"si","no"))</f>
        <v>si</v>
      </c>
      <c r="O4175" s="56"/>
      <c r="P4175" s="56"/>
      <c r="Q4175" s="48"/>
      <c r="R4175" s="48"/>
      <c r="S4175" s="65"/>
      <c r="T4175" s="2"/>
      <c r="U4175" s="2"/>
      <c r="V4175" s="2"/>
    </row>
    <row r="4176" spans="1:22" s="137" customFormat="1" ht="12.75" customHeight="1" x14ac:dyDescent="0.2">
      <c r="A4176" s="22"/>
      <c r="B4176" s="23" t="str">
        <f>IF(A4176="","",VLOOKUP(A4176,'6.A'!$A$11:$G$180,2,FALSE))</f>
        <v/>
      </c>
      <c r="C4176" s="99"/>
      <c r="D4176" s="57" t="str">
        <f>IF(A4176="","",VLOOKUP(A4176,'6.A'!$A$11:$G$180,4,FALSE))</f>
        <v/>
      </c>
      <c r="E4176" s="100" t="str">
        <f>IF(A4176="","",VLOOKUP(A4176,'6.A'!$A$11:$G$180,5,FALSE))</f>
        <v/>
      </c>
      <c r="F4176" s="159" t="str">
        <f t="shared" si="1800"/>
        <v>0,00</v>
      </c>
      <c r="G4176" s="52"/>
      <c r="H4176" s="52" t="str">
        <f>IF(A4176="","",VLOOKUP(A4176,'6.A'!$A$11:$E$7984,5,FALSE))</f>
        <v/>
      </c>
      <c r="I4176" s="52" t="str">
        <f>IF(H4176="","",IF(E4176=H4176,"SIM","NÃO"))</f>
        <v/>
      </c>
      <c r="J4176" s="52" t="str">
        <f>IF(H4176="","",VLOOKUP(A4176,'6.A'!$A$11:$E$564,4,FALSE))</f>
        <v/>
      </c>
      <c r="K4176" s="52" t="str">
        <f t="shared" ref="K4176" si="1801">IF(H4176="","",IF(J4176=D4176,"SIM","NÃO"))</f>
        <v/>
      </c>
      <c r="L4176" s="52" t="str">
        <f>IF(H4176="","",IF(C4176="","",G4172*C4176))</f>
        <v/>
      </c>
      <c r="M4176" s="117" t="str">
        <f>IF(A4176="","",VLOOKUP(A4176,'6.A'!$A$11:$C$564,2,FALSE))</f>
        <v/>
      </c>
      <c r="N4176" s="57" t="str">
        <f t="shared" ref="N4176" si="1802">IF(A4176="","",IF(M4176=B4176,"si","no"))</f>
        <v/>
      </c>
      <c r="O4176" s="56"/>
      <c r="P4176" s="56"/>
      <c r="Q4176" s="48"/>
      <c r="R4176" s="48"/>
      <c r="S4176" s="65"/>
      <c r="T4176" s="2"/>
      <c r="U4176" s="2"/>
      <c r="V4176" s="2"/>
    </row>
    <row r="4177" spans="1:22" s="137" customFormat="1" ht="12.75" customHeight="1" x14ac:dyDescent="0.2">
      <c r="A4177" s="22"/>
      <c r="B4177" s="23" t="str">
        <f>IF(A4177="","",VLOOKUP(A4177,'6.A'!$A$11:$G$180,2,FALSE))</f>
        <v/>
      </c>
      <c r="C4177" s="99"/>
      <c r="D4177" s="57" t="str">
        <f>IF(A4177="","",VLOOKUP(A4177,'6.A'!$A$11:$G$180,4,FALSE))</f>
        <v/>
      </c>
      <c r="E4177" s="100" t="str">
        <f>IF(A4177="","",VLOOKUP(A4177,'6.A'!$A$11:$G$180,5,FALSE))</f>
        <v/>
      </c>
      <c r="F4177" s="159" t="str">
        <f t="shared" si="1800"/>
        <v>0,00</v>
      </c>
      <c r="G4177" s="52"/>
      <c r="H4177" s="52" t="str">
        <f>IF(A4177="","",VLOOKUP(A4177,'6.A'!$A$11:$E$7984,5,FALSE))</f>
        <v/>
      </c>
      <c r="I4177" s="52" t="str">
        <f>IF(H4177="","",IF(E4177=H4177,"SIM","NÃO"))</f>
        <v/>
      </c>
      <c r="J4177" s="52" t="str">
        <f>IF(H4177="","",VLOOKUP(A4177,'6.A'!$A$11:$E$564,4,FALSE))</f>
        <v/>
      </c>
      <c r="K4177" s="52" t="str">
        <f>IF(H4177="","",IF(J4177=D4177,"SIM","NÃO"))</f>
        <v/>
      </c>
      <c r="L4177" s="52" t="str">
        <f>IF(H4177="","",IF(C4177="","",G4172*C4177))</f>
        <v/>
      </c>
      <c r="M4177" s="117" t="str">
        <f>IF(A4177="","",VLOOKUP(A4177,'6.A'!$A$11:$C$564,2,FALSE))</f>
        <v/>
      </c>
      <c r="N4177" s="57" t="str">
        <f>IF(A4177="","",IF(M4177=B4177,"si","no"))</f>
        <v/>
      </c>
      <c r="O4177" s="56"/>
      <c r="P4177" s="56"/>
      <c r="Q4177" s="48"/>
      <c r="R4177" s="48"/>
      <c r="S4177" s="65"/>
      <c r="T4177" s="2"/>
      <c r="U4177" s="2"/>
      <c r="V4177" s="2"/>
    </row>
    <row r="4178" spans="1:22" s="137" customFormat="1" ht="12.75" customHeight="1" x14ac:dyDescent="0.2">
      <c r="A4178" s="22"/>
      <c r="B4178" s="23" t="str">
        <f>IF(A4178="","",VLOOKUP(A4178,'6.A'!$A$11:$G$180,2,FALSE))</f>
        <v/>
      </c>
      <c r="C4178" s="99"/>
      <c r="D4178" s="57" t="str">
        <f>IF(A4178="","",VLOOKUP(A4178,'6.A'!$A$11:$G$180,4,FALSE))</f>
        <v/>
      </c>
      <c r="E4178" s="100" t="str">
        <f>IF(A4178="","",VLOOKUP(A4178,'6.A'!$A$11:$G$180,5,FALSE))</f>
        <v/>
      </c>
      <c r="F4178" s="159" t="str">
        <f t="shared" si="1800"/>
        <v>0,00</v>
      </c>
      <c r="G4178" s="52"/>
      <c r="H4178" s="52" t="str">
        <f>IF(A4178="","",VLOOKUP(A4178,'6.A'!$A$11:$E$7984,5,FALSE))</f>
        <v/>
      </c>
      <c r="I4178" s="52" t="str">
        <f t="shared" ref="I4178" si="1803">IF(H4178="","",IF(E4178=H4178,"SIM","NÃO"))</f>
        <v/>
      </c>
      <c r="J4178" s="52" t="str">
        <f>IF(H4178="","",VLOOKUP(A4178,'6.A'!$A$11:$E$564,4,FALSE))</f>
        <v/>
      </c>
      <c r="K4178" s="52" t="str">
        <f t="shared" ref="K4178" si="1804">IF(H4178="","",IF(J4178=D4178,"SIM","NÃO"))</f>
        <v/>
      </c>
      <c r="L4178" s="52" t="str">
        <f>IF(H4178="","",IF(C4178="","",G4172*C4178))</f>
        <v/>
      </c>
      <c r="M4178" s="117" t="str">
        <f>IF(A4178="","",VLOOKUP(A4178,'6.A'!$A$11:$C$564,2,FALSE))</f>
        <v/>
      </c>
      <c r="N4178" s="57" t="str">
        <f t="shared" ref="N4178" si="1805">IF(A4178="","",IF(M4178=B4178,"si","no"))</f>
        <v/>
      </c>
      <c r="O4178" s="56"/>
      <c r="P4178" s="56"/>
      <c r="Q4178" s="48"/>
      <c r="R4178" s="48"/>
      <c r="S4178" s="65"/>
      <c r="T4178" s="2"/>
      <c r="U4178" s="2"/>
      <c r="V4178" s="2"/>
    </row>
    <row r="4179" spans="1:22" s="137" customFormat="1" ht="12.75" customHeight="1" x14ac:dyDescent="0.2">
      <c r="A4179" s="22"/>
      <c r="B4179" s="23" t="str">
        <f>IF(A4179="","",VLOOKUP(A4179,'6.A'!$A$11:$G$180,2,FALSE))</f>
        <v/>
      </c>
      <c r="C4179" s="99"/>
      <c r="D4179" s="57" t="str">
        <f>IF(A4179="","",VLOOKUP(A4179,'6.A'!$A$11:$G$180,4,FALSE))</f>
        <v/>
      </c>
      <c r="E4179" s="101" t="str">
        <f>IF(A4179="","",VLOOKUP(A4179,'6.A'!$A$11:$G$180,5,FALSE))</f>
        <v/>
      </c>
      <c r="F4179" s="159" t="str">
        <f t="shared" si="1800"/>
        <v>0,00</v>
      </c>
      <c r="G4179" s="52"/>
      <c r="H4179" s="52" t="str">
        <f>IF(A4179="","",VLOOKUP(A4179,'6.A'!$A$11:$E$7984,5,FALSE))</f>
        <v/>
      </c>
      <c r="I4179" s="52" t="str">
        <f>IF(H4179="","",IF(E4179=H4179,"SIM","NÃO"))</f>
        <v/>
      </c>
      <c r="J4179" s="52" t="str">
        <f>IF(H4179="","",VLOOKUP(A4179,'6.A'!$A$11:$E$564,4,FALSE))</f>
        <v/>
      </c>
      <c r="K4179" s="52" t="str">
        <f>IF(H4179="","",IF(J4179=D4179,"SIM","NÃO"))</f>
        <v/>
      </c>
      <c r="L4179" s="52" t="str">
        <f>IF(H4179="","",IF(C4179="","",G4172*C4179))</f>
        <v/>
      </c>
      <c r="M4179" s="117" t="str">
        <f>IF(A4179="","",VLOOKUP(A4179,'6.A'!$A$11:$C$564,2,FALSE))</f>
        <v/>
      </c>
      <c r="N4179" s="57" t="str">
        <f>IF(A4179="","",IF(M4179=B4179,"si","no"))</f>
        <v/>
      </c>
      <c r="O4179" s="56"/>
      <c r="P4179" s="56"/>
      <c r="Q4179" s="48"/>
      <c r="R4179" s="48"/>
      <c r="S4179" s="65"/>
      <c r="T4179" s="2"/>
      <c r="U4179" s="2"/>
      <c r="V4179" s="2"/>
    </row>
    <row r="4180" spans="1:22" s="137" customFormat="1" ht="12.75" customHeight="1" x14ac:dyDescent="0.2">
      <c r="A4180" s="22"/>
      <c r="B4180" s="23" t="str">
        <f>IF(A4180="","",VLOOKUP(A4180,'6.A'!$A$11:$G$180,2,FALSE))</f>
        <v/>
      </c>
      <c r="C4180" s="99"/>
      <c r="D4180" s="57" t="str">
        <f>IF(A4180="","",VLOOKUP(A4180,'6.A'!$A$11:$G$180,4,FALSE))</f>
        <v/>
      </c>
      <c r="E4180" s="100" t="str">
        <f>IF(A4180="","",VLOOKUP(A4180,'6.A'!$A$11:$G$180,5,FALSE))</f>
        <v/>
      </c>
      <c r="F4180" s="159" t="str">
        <f t="shared" si="1800"/>
        <v>0,00</v>
      </c>
      <c r="G4180" s="52"/>
      <c r="H4180" s="52" t="str">
        <f>IF(A4180="","",VLOOKUP(A4180,'6.A'!$A$11:$E$7984,5,FALSE))</f>
        <v/>
      </c>
      <c r="I4180" s="52" t="str">
        <f>IF(H4180="","",IF(E4180=H4180,"SIM","NÃO"))</f>
        <v/>
      </c>
      <c r="J4180" s="52" t="str">
        <f>IF(H4180="","",VLOOKUP(A4180,'6.A'!$A$11:$E$564,4,FALSE))</f>
        <v/>
      </c>
      <c r="K4180" s="52" t="str">
        <f>IF(H4180="","",IF(J4180=D4180,"SIM","NÃO"))</f>
        <v/>
      </c>
      <c r="L4180" s="52" t="str">
        <f>IF(H4180="","",IF(C4180="","",G4172*C4180))</f>
        <v/>
      </c>
      <c r="M4180" s="117" t="str">
        <f>IF(A4180="","",VLOOKUP(A4180,'6.A'!$A$11:$C$564,2,FALSE))</f>
        <v/>
      </c>
      <c r="N4180" s="57" t="str">
        <f>IF(A4180="","",IF(M4180=B4180,"si","no"))</f>
        <v/>
      </c>
      <c r="O4180" s="56"/>
      <c r="P4180" s="56"/>
      <c r="Q4180" s="48"/>
      <c r="R4180" s="48"/>
      <c r="S4180" s="65"/>
      <c r="T4180" s="2"/>
      <c r="U4180" s="2"/>
      <c r="V4180" s="2"/>
    </row>
    <row r="4181" spans="1:22" s="137" customFormat="1" ht="12.75" customHeight="1" x14ac:dyDescent="0.2">
      <c r="A4181" s="22"/>
      <c r="B4181" s="23" t="str">
        <f>IF(A4181="","",VLOOKUP(A4181,'6.A'!$A$11:$G$180,2,FALSE))</f>
        <v/>
      </c>
      <c r="C4181" s="99"/>
      <c r="D4181" s="57" t="str">
        <f>IF(A4181="","",VLOOKUP(A4181,'6.A'!$A$11:$G$180,4,FALSE))</f>
        <v/>
      </c>
      <c r="E4181" s="100" t="str">
        <f>IF(A4181="","",VLOOKUP(A4181,'6.A'!$A$11:$G$180,5,FALSE))</f>
        <v/>
      </c>
      <c r="F4181" s="159" t="str">
        <f t="shared" si="1800"/>
        <v>0,00</v>
      </c>
      <c r="G4181" s="52"/>
      <c r="H4181" s="52" t="str">
        <f>IF(A4181="","",VLOOKUP(A4181,'6.A'!$A$11:$E$7984,5,FALSE))</f>
        <v/>
      </c>
      <c r="I4181" s="52" t="str">
        <f t="shared" ref="I4181" si="1806">IF(H4181="","",IF(E4181=H4181,"SIM","NÃO"))</f>
        <v/>
      </c>
      <c r="J4181" s="52" t="str">
        <f>IF(H4181="","",VLOOKUP(A4181,'6.A'!$A$11:$E$564,4,FALSE))</f>
        <v/>
      </c>
      <c r="K4181" s="52" t="str">
        <f t="shared" ref="K4181" si="1807">IF(H4181="","",IF(J4181=D4181,"SIM","NÃO"))</f>
        <v/>
      </c>
      <c r="L4181" s="52" t="str">
        <f>IF(H4181="","",IF(C4181="","",G4172*C4181))</f>
        <v/>
      </c>
      <c r="M4181" s="117" t="str">
        <f>IF(A4181="","",VLOOKUP(A4181,'6.A'!$A$11:$C$564,2,FALSE))</f>
        <v/>
      </c>
      <c r="N4181" s="57" t="str">
        <f t="shared" ref="N4181" si="1808">IF(A4181="","",IF(M4181=B4181,"si","no"))</f>
        <v/>
      </c>
      <c r="O4181" s="56"/>
      <c r="P4181" s="56"/>
      <c r="Q4181" s="48"/>
      <c r="R4181" s="48"/>
      <c r="S4181" s="65"/>
      <c r="T4181" s="2"/>
      <c r="U4181" s="2"/>
      <c r="V4181" s="2"/>
    </row>
    <row r="4182" spans="1:22" s="137" customFormat="1" ht="12.75" customHeight="1" x14ac:dyDescent="0.2">
      <c r="A4182" s="22"/>
      <c r="B4182" s="23" t="str">
        <f>IF(A4182="","",VLOOKUP(A4182,'6.A'!$A$11:$G$180,2,FALSE))</f>
        <v/>
      </c>
      <c r="C4182" s="99"/>
      <c r="D4182" s="73" t="str">
        <f>IF(A4182="","",VLOOKUP(A4182,'6.A'!$A$11:$G$180,4,FALSE))</f>
        <v/>
      </c>
      <c r="E4182" s="101" t="str">
        <f>IF(A4182="","",VLOOKUP(A4182,'6.A'!$A$11:$G$180,5,FALSE))</f>
        <v/>
      </c>
      <c r="F4182" s="159" t="str">
        <f t="shared" si="1800"/>
        <v>0,00</v>
      </c>
      <c r="G4182" s="52"/>
      <c r="H4182" s="52" t="str">
        <f>IF(A4182="","",VLOOKUP(A4182,'6.A'!$A$11:$E$7984,5,FALSE))</f>
        <v/>
      </c>
      <c r="I4182" s="52" t="str">
        <f>IF(H4182="","",IF(E4182=H4182,"SIM","NÃO"))</f>
        <v/>
      </c>
      <c r="J4182" s="52" t="str">
        <f>IF(H4182="","",VLOOKUP(A4182,'6.A'!$A$11:$E$564,4,FALSE))</f>
        <v/>
      </c>
      <c r="K4182" s="52" t="str">
        <f>IF(H4182="","",IF(J4182=D4182,"SIM","NÃO"))</f>
        <v/>
      </c>
      <c r="L4182" s="52" t="str">
        <f>IF(H4182="","",IF(C4182="","",G4172*C4182))</f>
        <v/>
      </c>
      <c r="M4182" s="117" t="str">
        <f>IF(A4182="","",VLOOKUP(A4182,'6.A'!$A$11:$C$564,2,FALSE))</f>
        <v/>
      </c>
      <c r="N4182" s="57" t="str">
        <f>IF(A4182="","",IF(M4182=B4182,"si","no"))</f>
        <v/>
      </c>
      <c r="O4182" s="56"/>
      <c r="P4182" s="56"/>
      <c r="Q4182" s="48"/>
      <c r="R4182" s="48"/>
      <c r="S4182" s="65"/>
      <c r="T4182" s="2"/>
      <c r="U4182" s="2"/>
      <c r="V4182" s="2"/>
    </row>
    <row r="4183" spans="1:22" s="137" customFormat="1" ht="12.75" customHeight="1" x14ac:dyDescent="0.2">
      <c r="A4183" s="22"/>
      <c r="B4183" s="23" t="str">
        <f>IF(A4183="","",VLOOKUP(A4183,'6.A'!$A$11:$G$180,2,FALSE))</f>
        <v/>
      </c>
      <c r="C4183" s="99"/>
      <c r="D4183" s="25" t="str">
        <f>IF(A4183="","",VLOOKUP(A4183,'6.A'!$A$11:$G$180,4,FALSE))</f>
        <v/>
      </c>
      <c r="E4183" s="101" t="str">
        <f>IF(A4183="","",VLOOKUP(A4183,'6.A'!$A$11:$G$180,5,FALSE))</f>
        <v/>
      </c>
      <c r="F4183" s="159" t="str">
        <f t="shared" si="1800"/>
        <v>0,00</v>
      </c>
      <c r="G4183" s="52"/>
      <c r="H4183" s="52" t="str">
        <f>IF(A4183="","",VLOOKUP(A4183,'6.A'!$A$11:$E$7984,5,FALSE))</f>
        <v/>
      </c>
      <c r="I4183" s="52" t="str">
        <f t="shared" ref="I4183" si="1809">IF(H4183="","",IF(E4183=H4183,"SIM","NÃO"))</f>
        <v/>
      </c>
      <c r="J4183" s="52" t="str">
        <f>IF(H4183="","",VLOOKUP(A4183,'6.A'!$A$11:$E$564,4,FALSE))</f>
        <v/>
      </c>
      <c r="K4183" s="52" t="str">
        <f t="shared" ref="K4183" si="1810">IF(H4183="","",IF(J4183=D4183,"SIM","NÃO"))</f>
        <v/>
      </c>
      <c r="L4183" s="52" t="str">
        <f>IF(H4183="","",IF(C4183="","",G4172*C4183))</f>
        <v/>
      </c>
      <c r="M4183" s="117" t="str">
        <f>IF(A4183="","",VLOOKUP(A4183,'6.A'!$A$11:$C$564,2,FALSE))</f>
        <v/>
      </c>
      <c r="N4183" s="57" t="str">
        <f t="shared" ref="N4183" si="1811">IF(A4183="","",IF(M4183=B4183,"si","no"))</f>
        <v/>
      </c>
      <c r="O4183" s="56"/>
      <c r="P4183" s="56"/>
      <c r="Q4183" s="48"/>
      <c r="R4183" s="48"/>
      <c r="S4183" s="65"/>
      <c r="T4183" s="2"/>
      <c r="U4183" s="2"/>
      <c r="V4183" s="2"/>
    </row>
    <row r="4184" spans="1:22" s="137" customFormat="1" ht="12.75" customHeight="1" x14ac:dyDescent="0.2">
      <c r="A4184" s="17"/>
      <c r="B4184" s="26" t="str">
        <f>$A$8</f>
        <v>LEIS SOCIAIS HORISTA - JORNADA NORMAL</v>
      </c>
      <c r="C4184" s="27">
        <f>$C$8</f>
        <v>0</v>
      </c>
      <c r="D4184" s="57"/>
      <c r="E4184" s="11"/>
      <c r="F4184" s="162">
        <f>ROUND(SUM(F4174:F4183)*C4184,2)</f>
        <v>0</v>
      </c>
      <c r="G4184" s="63"/>
      <c r="H4184" s="52"/>
      <c r="I4184" s="57"/>
      <c r="J4184" s="57"/>
      <c r="K4184" s="57"/>
      <c r="L4184" s="52"/>
      <c r="M4184" s="62"/>
      <c r="N4184" s="57"/>
      <c r="O4184" s="56"/>
      <c r="P4184" s="56"/>
      <c r="Q4184" s="48"/>
      <c r="R4184" s="48"/>
      <c r="S4184" s="65"/>
      <c r="T4184" s="2"/>
      <c r="U4184" s="2"/>
      <c r="V4184" s="2"/>
    </row>
    <row r="4185" spans="1:22" s="137" customFormat="1" ht="12.75" customHeight="1" x14ac:dyDescent="0.2">
      <c r="A4185" s="22"/>
      <c r="B4185" s="26" t="str">
        <f>$A$9</f>
        <v>BDI</v>
      </c>
      <c r="C4185" s="27">
        <f>$C$9</f>
        <v>0</v>
      </c>
      <c r="D4185" s="29"/>
      <c r="E4185" s="11"/>
      <c r="F4185" s="162">
        <f>ROUND(SUM(F4174:F4184)*C4185,2)</f>
        <v>0</v>
      </c>
      <c r="G4185" s="63"/>
      <c r="H4185" s="52"/>
      <c r="I4185" s="57"/>
      <c r="J4185" s="57"/>
      <c r="K4185" s="57"/>
      <c r="L4185" s="52"/>
      <c r="M4185" s="62"/>
      <c r="N4185" s="57"/>
      <c r="O4185" s="56"/>
      <c r="P4185" s="56"/>
      <c r="Q4185" s="48"/>
      <c r="R4185" s="48"/>
      <c r="S4185" s="65"/>
      <c r="T4185" s="2"/>
      <c r="U4185" s="2"/>
      <c r="V4185" s="2"/>
    </row>
    <row r="4186" spans="1:22" s="149" customFormat="1" ht="12.75" customHeight="1" x14ac:dyDescent="0.2">
      <c r="A4186" s="30"/>
      <c r="B4186" s="31" t="s">
        <v>56</v>
      </c>
      <c r="C4186" s="32"/>
      <c r="D4186" s="33"/>
      <c r="E4186" s="34"/>
      <c r="F4186" s="168">
        <f>ROUND(SUM(F4174:F4185),2)</f>
        <v>0</v>
      </c>
      <c r="G4186" s="63"/>
      <c r="H4186" s="52"/>
      <c r="I4186" s="57"/>
      <c r="J4186" s="57"/>
      <c r="K4186" s="57"/>
      <c r="L4186" s="52"/>
      <c r="M4186" s="62"/>
      <c r="N4186" s="57"/>
      <c r="O4186" s="56"/>
      <c r="P4186" s="56"/>
      <c r="Q4186" s="48"/>
      <c r="R4186" s="48"/>
      <c r="S4186" s="65"/>
      <c r="T4186" s="2"/>
      <c r="U4186" s="2"/>
      <c r="V4186" s="2"/>
    </row>
    <row r="4187" spans="1:22" s="149" customFormat="1" ht="12.75" customHeight="1" x14ac:dyDescent="0.2">
      <c r="A4187" s="17" t="s">
        <v>5</v>
      </c>
      <c r="B4187" s="153" t="s">
        <v>130</v>
      </c>
      <c r="C4187" s="56" t="s">
        <v>59</v>
      </c>
      <c r="D4187" s="56" t="s">
        <v>16</v>
      </c>
      <c r="E4187" s="19" t="s">
        <v>60</v>
      </c>
      <c r="F4187" s="148" t="s">
        <v>61</v>
      </c>
      <c r="G4187" s="21"/>
      <c r="H4187" s="52"/>
      <c r="I4187" s="57"/>
      <c r="J4187" s="57"/>
      <c r="K4187" s="57"/>
      <c r="L4187" s="52"/>
      <c r="M4187" s="62"/>
      <c r="N4187" s="57"/>
      <c r="O4187" s="56"/>
      <c r="P4187" s="56"/>
      <c r="Q4187" s="48"/>
      <c r="R4187" s="48"/>
      <c r="S4187" s="65"/>
      <c r="T4187" s="2"/>
      <c r="U4187" s="2"/>
      <c r="V4187" s="2"/>
    </row>
    <row r="4188" spans="1:22" s="149" customFormat="1" ht="12.75" customHeight="1" x14ac:dyDescent="0.2">
      <c r="A4188" s="22"/>
      <c r="B4188" s="23" t="str">
        <f>IF(A4188="","",VLOOKUP(A4188,'6.A'!$A$11:$G$180,2,FALSE))</f>
        <v/>
      </c>
      <c r="C4188" s="99"/>
      <c r="D4188" s="57" t="str">
        <f>IF(A4188="","",VLOOKUP(A4188,'6.A'!$A$11:$G$180,4,FALSE))</f>
        <v/>
      </c>
      <c r="E4188" s="100" t="str">
        <f>IF(A4188="","",VLOOKUP(A4188,'6.A'!$A$11:$G$180,5,FALSE))</f>
        <v/>
      </c>
      <c r="F4188" s="159" t="str">
        <f t="shared" ref="F4188:F4197" si="1812">IF(A4188="","0,00",ROUND(C4188*E4188,2))</f>
        <v>0,00</v>
      </c>
      <c r="G4188" s="52"/>
      <c r="H4188" s="52" t="str">
        <f>IF(A4188="","",VLOOKUP(A4188,'6.A'!$A$11:$E$7984,5,FALSE))</f>
        <v/>
      </c>
      <c r="I4188" s="52" t="str">
        <f t="shared" ref="I4188:I4197" si="1813">IF(H4188="","",IF(E4188=H4188,"SIM","NÃO"))</f>
        <v/>
      </c>
      <c r="J4188" s="52" t="str">
        <f>IF(H4188="","",VLOOKUP(A4188,'6.A'!$A$11:$E$564,4,FALSE))</f>
        <v/>
      </c>
      <c r="K4188" s="52" t="str">
        <f t="shared" ref="K4188:K4197" si="1814">IF(H4188="","",IF(J4188=D4188,"SIM","NÃO"))</f>
        <v/>
      </c>
      <c r="L4188" s="52" t="str">
        <f>IF(H4188="","",IF(C4188="","",G4172*C4188))</f>
        <v/>
      </c>
      <c r="M4188" s="117" t="str">
        <f>IF(A4188="","",VLOOKUP(A4188,'6.A'!$A$11:$C$564,2,FALSE))</f>
        <v/>
      </c>
      <c r="N4188" s="57" t="str">
        <f t="shared" ref="N4188:N4193" si="1815">IF(A4188="","",IF(M4188=B4188,"si","no"))</f>
        <v/>
      </c>
      <c r="O4188" s="56"/>
      <c r="P4188" s="56"/>
      <c r="Q4188" s="48"/>
      <c r="R4188" s="48"/>
      <c r="S4188" s="65"/>
      <c r="T4188" s="2"/>
      <c r="U4188" s="2"/>
      <c r="V4188" s="2"/>
    </row>
    <row r="4189" spans="1:22" s="149" customFormat="1" ht="12.75" customHeight="1" x14ac:dyDescent="0.2">
      <c r="A4189" s="22"/>
      <c r="B4189" s="23" t="str">
        <f>IF(A4189="","",VLOOKUP(A4189,'6.A'!$A$11:$G$180,2,FALSE))</f>
        <v/>
      </c>
      <c r="C4189" s="99"/>
      <c r="D4189" s="57" t="str">
        <f>IF(A4189="","",VLOOKUP(A4189,'6.A'!$A$11:$G$180,4,FALSE))</f>
        <v/>
      </c>
      <c r="E4189" s="100" t="str">
        <f>IF(A4189="","",VLOOKUP(A4189,'6.A'!$A$11:$G$180,5,FALSE))</f>
        <v/>
      </c>
      <c r="F4189" s="159" t="str">
        <f t="shared" si="1812"/>
        <v>0,00</v>
      </c>
      <c r="G4189" s="52"/>
      <c r="H4189" s="52" t="str">
        <f>IF(A4189="","",VLOOKUP(A4189,'6.A'!$A$11:$E$7984,5,FALSE))</f>
        <v/>
      </c>
      <c r="I4189" s="52" t="str">
        <f t="shared" si="1813"/>
        <v/>
      </c>
      <c r="J4189" s="52" t="str">
        <f>IF(H4189="","",VLOOKUP(A4189,'6.A'!$A$11:$E$564,4,FALSE))</f>
        <v/>
      </c>
      <c r="K4189" s="52" t="str">
        <f t="shared" si="1814"/>
        <v/>
      </c>
      <c r="L4189" s="52" t="str">
        <f>IF(H4189="","",IF(C4189="","",G4172*C4189))</f>
        <v/>
      </c>
      <c r="M4189" s="117" t="str">
        <f>IF(A4189="","",VLOOKUP(A4189,'6.A'!$A$11:$C$564,2,FALSE))</f>
        <v/>
      </c>
      <c r="N4189" s="57" t="str">
        <f t="shared" si="1815"/>
        <v/>
      </c>
      <c r="O4189" s="56"/>
      <c r="P4189" s="56"/>
      <c r="Q4189" s="48"/>
      <c r="R4189" s="48"/>
      <c r="S4189" s="65"/>
      <c r="T4189" s="2"/>
      <c r="U4189" s="2"/>
      <c r="V4189" s="2"/>
    </row>
    <row r="4190" spans="1:22" s="149" customFormat="1" ht="12.75" customHeight="1" x14ac:dyDescent="0.2">
      <c r="A4190" s="22"/>
      <c r="B4190" s="23" t="str">
        <f>IF(A4190="","",VLOOKUP(A4190,'6.A'!$A$11:$G$180,2,FALSE))</f>
        <v/>
      </c>
      <c r="C4190" s="99"/>
      <c r="D4190" s="57" t="str">
        <f>IF(A4190="","",VLOOKUP(A4190,'6.A'!$A$11:$G$180,4,FALSE))</f>
        <v/>
      </c>
      <c r="E4190" s="100" t="str">
        <f>IF(A4190="","",VLOOKUP(A4190,'6.A'!$A$11:$G$180,5,FALSE))</f>
        <v/>
      </c>
      <c r="F4190" s="159" t="str">
        <f t="shared" si="1812"/>
        <v>0,00</v>
      </c>
      <c r="G4190" s="52"/>
      <c r="H4190" s="52" t="str">
        <f>IF(A4190="","",VLOOKUP(A4190,'6.A'!$A$11:$E$7984,5,FALSE))</f>
        <v/>
      </c>
      <c r="I4190" s="52" t="str">
        <f t="shared" si="1813"/>
        <v/>
      </c>
      <c r="J4190" s="52" t="str">
        <f>IF(H4190="","",VLOOKUP(A4190,'6.A'!$A$11:$E$564,4,FALSE))</f>
        <v/>
      </c>
      <c r="K4190" s="52" t="str">
        <f t="shared" si="1814"/>
        <v/>
      </c>
      <c r="L4190" s="52" t="str">
        <f>IF(H4190="","",IF(C4190="","",G4172*C4190))</f>
        <v/>
      </c>
      <c r="M4190" s="117" t="str">
        <f>IF(A4190="","",VLOOKUP(A4190,'6.A'!$A$11:$C$564,2,FALSE))</f>
        <v/>
      </c>
      <c r="N4190" s="57" t="str">
        <f t="shared" si="1815"/>
        <v/>
      </c>
      <c r="O4190" s="56"/>
      <c r="P4190" s="56"/>
      <c r="Q4190" s="48"/>
      <c r="R4190" s="48"/>
      <c r="S4190" s="65"/>
      <c r="T4190" s="2"/>
      <c r="U4190" s="2"/>
      <c r="V4190" s="2"/>
    </row>
    <row r="4191" spans="1:22" s="149" customFormat="1" ht="12.75" customHeight="1" x14ac:dyDescent="0.2">
      <c r="A4191" s="22"/>
      <c r="B4191" s="23" t="str">
        <f>IF(A4191="","",VLOOKUP(A4191,'6.A'!$A$11:$G$180,2,FALSE))</f>
        <v/>
      </c>
      <c r="C4191" s="99"/>
      <c r="D4191" s="57" t="str">
        <f>IF(A4191="","",VLOOKUP(A4191,'6.A'!$A$11:$G$180,4,FALSE))</f>
        <v/>
      </c>
      <c r="E4191" s="100" t="str">
        <f>IF(A4191="","",VLOOKUP(A4191,'6.A'!$A$11:$G$180,5,FALSE))</f>
        <v/>
      </c>
      <c r="F4191" s="159" t="str">
        <f t="shared" si="1812"/>
        <v>0,00</v>
      </c>
      <c r="G4191" s="52"/>
      <c r="H4191" s="52" t="str">
        <f>IF(A4191="","",VLOOKUP(A4191,'6.A'!$A$11:$E$7984,5,FALSE))</f>
        <v/>
      </c>
      <c r="I4191" s="52" t="str">
        <f t="shared" si="1813"/>
        <v/>
      </c>
      <c r="J4191" s="52" t="str">
        <f>IF(H4191="","",VLOOKUP(A4191,'6.A'!$A$11:$E$564,4,FALSE))</f>
        <v/>
      </c>
      <c r="K4191" s="52" t="str">
        <f t="shared" si="1814"/>
        <v/>
      </c>
      <c r="L4191" s="52" t="str">
        <f>IF(H4191="","",IF(C4191="","",G4172*C4191))</f>
        <v/>
      </c>
      <c r="M4191" s="117" t="str">
        <f>IF(A4191="","",VLOOKUP(A4191,'6.A'!$A$11:$C$564,2,FALSE))</f>
        <v/>
      </c>
      <c r="N4191" s="57" t="str">
        <f t="shared" si="1815"/>
        <v/>
      </c>
      <c r="O4191" s="56"/>
      <c r="P4191" s="56"/>
      <c r="Q4191" s="48"/>
      <c r="R4191" s="48"/>
      <c r="S4191" s="65"/>
      <c r="T4191" s="2"/>
      <c r="U4191" s="2"/>
      <c r="V4191" s="2"/>
    </row>
    <row r="4192" spans="1:22" s="149" customFormat="1" ht="12.75" customHeight="1" x14ac:dyDescent="0.2">
      <c r="A4192" s="22"/>
      <c r="B4192" s="23" t="str">
        <f>IF(A4192="","",VLOOKUP(A4192,'6.A'!$A$11:$G$180,2,FALSE))</f>
        <v/>
      </c>
      <c r="C4192" s="99"/>
      <c r="D4192" s="57" t="str">
        <f>IF(A4192="","",VLOOKUP(A4192,'6.A'!$A$11:$G$180,4,FALSE))</f>
        <v/>
      </c>
      <c r="E4192" s="100" t="str">
        <f>IF(A4192="","",VLOOKUP(A4192,'6.A'!$A$11:$G$180,5,FALSE))</f>
        <v/>
      </c>
      <c r="F4192" s="159" t="str">
        <f t="shared" si="1812"/>
        <v>0,00</v>
      </c>
      <c r="G4192" s="52"/>
      <c r="H4192" s="52" t="str">
        <f>IF(A4192="","",VLOOKUP(A4192,'6.A'!$A$11:$E$7984,5,FALSE))</f>
        <v/>
      </c>
      <c r="I4192" s="52" t="str">
        <f t="shared" si="1813"/>
        <v/>
      </c>
      <c r="J4192" s="52" t="str">
        <f>IF(H4192="","",VLOOKUP(A4192,'6.A'!$A$11:$E$564,4,FALSE))</f>
        <v/>
      </c>
      <c r="K4192" s="52" t="str">
        <f t="shared" si="1814"/>
        <v/>
      </c>
      <c r="L4192" s="52" t="str">
        <f>IF(H4192="","",IF(C4192="","",G4172*C4192))</f>
        <v/>
      </c>
      <c r="M4192" s="117" t="str">
        <f>IF(A4192="","",VLOOKUP(A4192,'6.A'!$A$11:$C$564,2,FALSE))</f>
        <v/>
      </c>
      <c r="N4192" s="57" t="str">
        <f t="shared" si="1815"/>
        <v/>
      </c>
      <c r="O4192" s="56"/>
      <c r="P4192" s="56"/>
      <c r="Q4192" s="48"/>
      <c r="R4192" s="48"/>
      <c r="S4192" s="65"/>
      <c r="T4192" s="2"/>
      <c r="U4192" s="2"/>
      <c r="V4192" s="2"/>
    </row>
    <row r="4193" spans="1:22" s="149" customFormat="1" ht="12.75" customHeight="1" x14ac:dyDescent="0.2">
      <c r="A4193" s="22"/>
      <c r="B4193" s="23" t="str">
        <f>IF(A4193="","",VLOOKUP(A4193,'6.A'!$A$11:$G$180,2,FALSE))</f>
        <v/>
      </c>
      <c r="C4193" s="99"/>
      <c r="D4193" s="57" t="str">
        <f>IF(A4193="","",VLOOKUP(A4193,'6.A'!$A$11:$G$180,4,FALSE))</f>
        <v/>
      </c>
      <c r="E4193" s="100" t="str">
        <f>IF(A4193="","",VLOOKUP(A4193,'6.A'!$A$11:$G$180,5,FALSE))</f>
        <v/>
      </c>
      <c r="F4193" s="159" t="str">
        <f t="shared" si="1812"/>
        <v>0,00</v>
      </c>
      <c r="G4193" s="52"/>
      <c r="H4193" s="52" t="str">
        <f>IF(A4193="","",VLOOKUP(A4193,'6.A'!$A$11:$E$7984,5,FALSE))</f>
        <v/>
      </c>
      <c r="I4193" s="52" t="str">
        <f t="shared" si="1813"/>
        <v/>
      </c>
      <c r="J4193" s="52" t="str">
        <f>IF(H4193="","",VLOOKUP(A4193,'6.A'!$A$11:$E$564,4,FALSE))</f>
        <v/>
      </c>
      <c r="K4193" s="52" t="str">
        <f t="shared" si="1814"/>
        <v/>
      </c>
      <c r="L4193" s="52" t="str">
        <f>IF(H4193="","",IF(C4193="","",G4172*C4193))</f>
        <v/>
      </c>
      <c r="M4193" s="117" t="str">
        <f>IF(A4193="","",VLOOKUP(A4193,'6.A'!$A$11:$C$564,2,FALSE))</f>
        <v/>
      </c>
      <c r="N4193" s="57" t="str">
        <f t="shared" si="1815"/>
        <v/>
      </c>
      <c r="O4193" s="56"/>
      <c r="P4193" s="56"/>
      <c r="Q4193" s="48"/>
      <c r="R4193" s="48"/>
      <c r="S4193" s="65"/>
      <c r="T4193" s="2"/>
      <c r="U4193" s="2"/>
      <c r="V4193" s="2"/>
    </row>
    <row r="4194" spans="1:22" s="149" customFormat="1" ht="12.75" customHeight="1" x14ac:dyDescent="0.2">
      <c r="A4194" s="22"/>
      <c r="B4194" s="23" t="str">
        <f>IF(A4194="","",VLOOKUP(A4194,'6.A'!$A$11:$G$180,2,FALSE))</f>
        <v/>
      </c>
      <c r="C4194" s="99"/>
      <c r="D4194" s="57" t="str">
        <f>IF(A4194="","",VLOOKUP(A4194,'6.A'!$A$11:$G$180,4,FALSE))</f>
        <v/>
      </c>
      <c r="E4194" s="100" t="str">
        <f>IF(A4194="","",VLOOKUP(A4194,'6.A'!$A$11:$G$180,5,FALSE))</f>
        <v/>
      </c>
      <c r="F4194" s="159" t="str">
        <f t="shared" si="1812"/>
        <v>0,00</v>
      </c>
      <c r="G4194" s="52"/>
      <c r="H4194" s="52" t="str">
        <f>IF(A4194="","",VLOOKUP(A4194,'6.A'!$A$11:$E$7984,5,FALSE))</f>
        <v/>
      </c>
      <c r="I4194" s="52" t="str">
        <f t="shared" si="1813"/>
        <v/>
      </c>
      <c r="J4194" s="52" t="str">
        <f>IF(H4194="","",VLOOKUP(A4194,'6.A'!$A$11:$E$564,4,FALSE))</f>
        <v/>
      </c>
      <c r="K4194" s="52" t="str">
        <f t="shared" si="1814"/>
        <v/>
      </c>
      <c r="L4194" s="52" t="str">
        <f>IF(H4194="","",IF(C4194="","",G4172*C4194))</f>
        <v/>
      </c>
      <c r="M4194" s="117" t="str">
        <f>IF(A4194="","",VLOOKUP(A4194,'6.A'!$A$11:$C$564,2,FALSE))</f>
        <v/>
      </c>
      <c r="N4194" s="57" t="str">
        <f>IF(A4194="","",IF(M4194=B4194,"si","no"))</f>
        <v/>
      </c>
      <c r="O4194" s="56"/>
      <c r="P4194" s="56"/>
      <c r="Q4194" s="48"/>
      <c r="R4194" s="48"/>
      <c r="S4194" s="65"/>
      <c r="T4194" s="2"/>
      <c r="U4194" s="2"/>
      <c r="V4194" s="2"/>
    </row>
    <row r="4195" spans="1:22" s="149" customFormat="1" ht="12.75" customHeight="1" x14ac:dyDescent="0.2">
      <c r="A4195" s="22"/>
      <c r="B4195" s="23" t="str">
        <f>IF(A4195="","",VLOOKUP(A4195,'6.A'!$A$11:$G$180,2,FALSE))</f>
        <v/>
      </c>
      <c r="C4195" s="99"/>
      <c r="D4195" s="57" t="str">
        <f>IF(A4195="","",VLOOKUP(A4195,'6.A'!$A$11:$G$180,4,FALSE))</f>
        <v/>
      </c>
      <c r="E4195" s="100" t="str">
        <f>IF(A4195="","",VLOOKUP(A4195,'6.A'!$A$11:$G$180,5,FALSE))</f>
        <v/>
      </c>
      <c r="F4195" s="159" t="str">
        <f t="shared" si="1812"/>
        <v>0,00</v>
      </c>
      <c r="G4195" s="52"/>
      <c r="H4195" s="52" t="str">
        <f>IF(A4195="","",VLOOKUP(A4195,'6.A'!$A$11:$E$7984,5,FALSE))</f>
        <v/>
      </c>
      <c r="I4195" s="52" t="str">
        <f t="shared" si="1813"/>
        <v/>
      </c>
      <c r="J4195" s="52" t="str">
        <f>IF(H4195="","",VLOOKUP(A4195,'6.A'!$A$11:$E$564,4,FALSE))</f>
        <v/>
      </c>
      <c r="K4195" s="52" t="str">
        <f t="shared" si="1814"/>
        <v/>
      </c>
      <c r="L4195" s="52" t="str">
        <f>IF(H4195="","",IF(C4195="","",G4172*C4195))</f>
        <v/>
      </c>
      <c r="M4195" s="117" t="str">
        <f>IF(A4195="","",VLOOKUP(A4195,'6.A'!$A$11:$C$564,2,FALSE))</f>
        <v/>
      </c>
      <c r="N4195" s="57" t="str">
        <f>IF(A4195="","",IF(M4195=B4195,"si","no"))</f>
        <v/>
      </c>
      <c r="O4195" s="56"/>
      <c r="P4195" s="56"/>
      <c r="Q4195" s="48"/>
      <c r="R4195" s="48"/>
      <c r="S4195" s="65"/>
      <c r="T4195" s="2"/>
      <c r="U4195" s="2"/>
      <c r="V4195" s="2"/>
    </row>
    <row r="4196" spans="1:22" s="149" customFormat="1" ht="12.75" customHeight="1" x14ac:dyDescent="0.2">
      <c r="A4196" s="22"/>
      <c r="B4196" s="23" t="str">
        <f>IF(A4196="","",VLOOKUP(A4196,'6.A'!$A$11:$G$180,2,FALSE))</f>
        <v/>
      </c>
      <c r="C4196" s="99"/>
      <c r="D4196" s="57" t="str">
        <f>IF(A4196="","",VLOOKUP(A4196,'6.A'!$A$11:$G$180,4,FALSE))</f>
        <v/>
      </c>
      <c r="E4196" s="100" t="str">
        <f>IF(A4196="","",VLOOKUP(A4196,'6.A'!$A$11:$G$180,5,FALSE))</f>
        <v/>
      </c>
      <c r="F4196" s="159" t="str">
        <f t="shared" si="1812"/>
        <v>0,00</v>
      </c>
      <c r="G4196" s="52"/>
      <c r="H4196" s="52" t="str">
        <f>IF(A4196="","",VLOOKUP(A4196,'6.A'!$A$11:$E$7984,5,FALSE))</f>
        <v/>
      </c>
      <c r="I4196" s="52" t="str">
        <f t="shared" si="1813"/>
        <v/>
      </c>
      <c r="J4196" s="52" t="str">
        <f>IF(H4196="","",VLOOKUP(A4196,'6.A'!$A$11:$E$564,4,FALSE))</f>
        <v/>
      </c>
      <c r="K4196" s="52" t="str">
        <f t="shared" si="1814"/>
        <v/>
      </c>
      <c r="L4196" s="52" t="str">
        <f>IF(H4196="","",IF(C4196="","",G4172*C4196))</f>
        <v/>
      </c>
      <c r="M4196" s="117" t="str">
        <f>IF(A4196="","",VLOOKUP(A4196,'6.A'!$A$11:$C$564,2,FALSE))</f>
        <v/>
      </c>
      <c r="N4196" s="57" t="str">
        <f t="shared" ref="N4196:N4197" si="1816">IF(A4196="","",IF(M4196=B4196,"si","no"))</f>
        <v/>
      </c>
      <c r="O4196" s="56"/>
      <c r="P4196" s="56"/>
      <c r="Q4196" s="48"/>
      <c r="R4196" s="48"/>
      <c r="S4196" s="65"/>
      <c r="T4196" s="2"/>
      <c r="U4196" s="2"/>
      <c r="V4196" s="2"/>
    </row>
    <row r="4197" spans="1:22" s="149" customFormat="1" ht="12.75" customHeight="1" x14ac:dyDescent="0.2">
      <c r="A4197" s="22"/>
      <c r="B4197" s="23" t="str">
        <f>IF(A4197="","",VLOOKUP(A4197,'6.A'!$A$11:$G$180,2,FALSE))</f>
        <v/>
      </c>
      <c r="C4197" s="99"/>
      <c r="D4197" s="57" t="str">
        <f>IF(A4197="","",VLOOKUP(A4197,'6.A'!$A$11:$G$180,4,FALSE))</f>
        <v/>
      </c>
      <c r="E4197" s="100" t="str">
        <f>IF(A4197="","",VLOOKUP(A4197,'6.A'!$A$11:$G$180,5,FALSE))</f>
        <v/>
      </c>
      <c r="F4197" s="159" t="str">
        <f t="shared" si="1812"/>
        <v>0,00</v>
      </c>
      <c r="G4197" s="52"/>
      <c r="H4197" s="52" t="str">
        <f>IF(A4197="","",VLOOKUP(A4197,'6.A'!$A$11:$E$7984,5,FALSE))</f>
        <v/>
      </c>
      <c r="I4197" s="52" t="str">
        <f t="shared" si="1813"/>
        <v/>
      </c>
      <c r="J4197" s="52" t="str">
        <f>IF(H4197="","",VLOOKUP(A4197,'6.A'!$A$11:$E$564,4,FALSE))</f>
        <v/>
      </c>
      <c r="K4197" s="52" t="str">
        <f t="shared" si="1814"/>
        <v/>
      </c>
      <c r="L4197" s="52" t="str">
        <f>IF(H4197="","",IF(C4197="","",G4172*C4197))</f>
        <v/>
      </c>
      <c r="M4197" s="117" t="str">
        <f>IF(A4197="","",VLOOKUP(A4197,'6.A'!$A$11:$C$564,2,FALSE))</f>
        <v/>
      </c>
      <c r="N4197" s="57" t="str">
        <f t="shared" si="1816"/>
        <v/>
      </c>
      <c r="O4197" s="56"/>
      <c r="P4197" s="56"/>
      <c r="Q4197" s="48"/>
      <c r="R4197" s="48"/>
      <c r="S4197" s="65"/>
      <c r="T4197" s="2"/>
      <c r="U4197" s="2"/>
      <c r="V4197" s="2"/>
    </row>
    <row r="4198" spans="1:22" s="149" customFormat="1" ht="12.75" customHeight="1" x14ac:dyDescent="0.2">
      <c r="A4198" s="22"/>
      <c r="B4198" s="26" t="str">
        <f>$A$9</f>
        <v>BDI</v>
      </c>
      <c r="C4198" s="27">
        <f>$C$9</f>
        <v>0</v>
      </c>
      <c r="D4198" s="57"/>
      <c r="E4198" s="11"/>
      <c r="F4198" s="162">
        <f>ROUND(SUM(F4188:F4197)*C4198,2)</f>
        <v>0</v>
      </c>
      <c r="G4198" s="63"/>
      <c r="H4198" s="52"/>
      <c r="I4198" s="57"/>
      <c r="J4198" s="57"/>
      <c r="K4198" s="57"/>
      <c r="L4198" s="52"/>
      <c r="M4198" s="62"/>
      <c r="N4198" s="57"/>
      <c r="O4198" s="56"/>
      <c r="P4198" s="56"/>
      <c r="Q4198" s="48"/>
      <c r="R4198" s="48"/>
      <c r="S4198" s="65"/>
      <c r="T4198" s="2"/>
      <c r="U4198" s="2"/>
      <c r="V4198" s="2"/>
    </row>
    <row r="4199" spans="1:22" s="149" customFormat="1" ht="12.75" customHeight="1" x14ac:dyDescent="0.2">
      <c r="A4199" s="30"/>
      <c r="B4199" s="31" t="s">
        <v>117</v>
      </c>
      <c r="C4199" s="36"/>
      <c r="D4199" s="37"/>
      <c r="E4199" s="38"/>
      <c r="F4199" s="168">
        <f>ROUND(SUM(F4188:F4198),2)</f>
        <v>0</v>
      </c>
      <c r="G4199" s="63"/>
      <c r="H4199" s="52"/>
      <c r="I4199" s="57"/>
      <c r="J4199" s="57"/>
      <c r="K4199" s="57"/>
      <c r="L4199" s="52"/>
      <c r="M4199" s="62"/>
      <c r="N4199" s="57"/>
      <c r="O4199" s="56"/>
      <c r="P4199" s="56"/>
      <c r="Q4199" s="48"/>
      <c r="R4199" s="48"/>
      <c r="S4199" s="65"/>
      <c r="T4199" s="2"/>
      <c r="U4199" s="2"/>
      <c r="V4199" s="2"/>
    </row>
    <row r="4200" spans="1:22" s="149" customFormat="1" ht="12.75" customHeight="1" x14ac:dyDescent="0.2">
      <c r="A4200" s="17" t="s">
        <v>6</v>
      </c>
      <c r="B4200" s="18" t="s">
        <v>17</v>
      </c>
      <c r="C4200" s="56" t="s">
        <v>59</v>
      </c>
      <c r="D4200" s="56" t="s">
        <v>16</v>
      </c>
      <c r="E4200" s="19" t="s">
        <v>60</v>
      </c>
      <c r="F4200" s="148" t="s">
        <v>61</v>
      </c>
      <c r="G4200" s="21"/>
      <c r="H4200" s="52"/>
      <c r="I4200" s="57"/>
      <c r="J4200" s="57"/>
      <c r="K4200" s="57"/>
      <c r="L4200" s="52"/>
      <c r="M4200" s="62"/>
      <c r="N4200" s="57"/>
      <c r="O4200" s="56"/>
      <c r="P4200" s="56"/>
      <c r="Q4200" s="48"/>
      <c r="R4200" s="48"/>
      <c r="S4200" s="65"/>
      <c r="T4200" s="2"/>
      <c r="U4200" s="2"/>
      <c r="V4200" s="2"/>
    </row>
    <row r="4201" spans="1:22" s="149" customFormat="1" ht="12.75" customHeight="1" x14ac:dyDescent="0.2">
      <c r="A4201" s="22"/>
      <c r="B4201" s="23" t="str">
        <f>IF(A4201="","",VLOOKUP(A4201,'6.A'!$A$11:$G$180,2,FALSE))</f>
        <v/>
      </c>
      <c r="C4201" s="99"/>
      <c r="D4201" s="57" t="str">
        <f>IF(A4201="","",VLOOKUP(A4201,'6.A'!$A$11:$G$180,4,FALSE))</f>
        <v/>
      </c>
      <c r="E4201" s="100" t="str">
        <f>IF(A4201="","",VLOOKUP(A4201,'6.A'!$A$11:$G$180,5,FALSE))</f>
        <v/>
      </c>
      <c r="F4201" s="159" t="str">
        <f t="shared" ref="F4201:F4220" si="1817">IF(A4201="","0,00",ROUND(C4201*E4201,2))</f>
        <v>0,00</v>
      </c>
      <c r="G4201" s="52"/>
      <c r="H4201" s="52" t="str">
        <f>IF(A4201="","",VLOOKUP(A4201,'6.A'!$A$11:$E$7984,5,FALSE))</f>
        <v/>
      </c>
      <c r="I4201" s="52" t="str">
        <f t="shared" ref="I4201:I4220" si="1818">IF(H4201="","",IF(E4201=H4201,"SIM","NÃO"))</f>
        <v/>
      </c>
      <c r="J4201" s="52" t="str">
        <f>IF(H4201="","",VLOOKUP(A4201,'6.A'!$A$11:$E$564,4,FALSE))</f>
        <v/>
      </c>
      <c r="K4201" s="52" t="str">
        <f t="shared" ref="K4201:K4220" si="1819">IF(H4201="","",IF(J4201=D4201,"SIM","NÃO"))</f>
        <v/>
      </c>
      <c r="L4201" s="52" t="str">
        <f>IF(H4201="","",IF(C4201="","",G4172*C4201))</f>
        <v/>
      </c>
      <c r="M4201" s="117" t="str">
        <f>IF(A4201="","",VLOOKUP(A4201,'6.A'!$A$11:$C$564,2,FALSE))</f>
        <v/>
      </c>
      <c r="N4201" s="57" t="str">
        <f t="shared" ref="N4201:N4220" si="1820">IF(A4201="","",IF(M4201=B4201,"si","no"))</f>
        <v/>
      </c>
      <c r="O4201" s="56"/>
      <c r="P4201" s="56"/>
      <c r="Q4201" s="48"/>
      <c r="R4201" s="48"/>
      <c r="S4201" s="65"/>
      <c r="T4201" s="2"/>
      <c r="U4201" s="2"/>
      <c r="V4201" s="2"/>
    </row>
    <row r="4202" spans="1:22" s="149" customFormat="1" ht="12.75" customHeight="1" x14ac:dyDescent="0.2">
      <c r="A4202" s="22"/>
      <c r="B4202" s="23" t="str">
        <f>IF(A4202="","",VLOOKUP(A4202,'6.A'!$A$11:$G$180,2,FALSE))</f>
        <v/>
      </c>
      <c r="C4202" s="99"/>
      <c r="D4202" s="57" t="str">
        <f>IF(A4202="","",VLOOKUP(A4202,'6.A'!$A$11:$G$180,4,FALSE))</f>
        <v/>
      </c>
      <c r="E4202" s="100" t="str">
        <f>IF(A4202="","",VLOOKUP(A4202,'6.A'!$A$11:$G$180,5,FALSE))</f>
        <v/>
      </c>
      <c r="F4202" s="159" t="str">
        <f t="shared" si="1817"/>
        <v>0,00</v>
      </c>
      <c r="G4202" s="52"/>
      <c r="H4202" s="52" t="str">
        <f>IF(A4202="","",VLOOKUP(A4202,'6.A'!$A$11:$E$7984,5,FALSE))</f>
        <v/>
      </c>
      <c r="I4202" s="52" t="str">
        <f t="shared" si="1818"/>
        <v/>
      </c>
      <c r="J4202" s="52" t="str">
        <f>IF(H4202="","",VLOOKUP(A4202,'6.A'!$A$11:$E$564,4,FALSE))</f>
        <v/>
      </c>
      <c r="K4202" s="52" t="str">
        <f t="shared" si="1819"/>
        <v/>
      </c>
      <c r="L4202" s="52" t="str">
        <f>IF(H4202="","",IF(C4202="","",G4172*C4202))</f>
        <v/>
      </c>
      <c r="M4202" s="117" t="str">
        <f>IF(A4202="","",VLOOKUP(A4202,'6.A'!$A$11:$C$564,2,FALSE))</f>
        <v/>
      </c>
      <c r="N4202" s="57" t="str">
        <f t="shared" si="1820"/>
        <v/>
      </c>
      <c r="O4202" s="56"/>
      <c r="P4202" s="56"/>
      <c r="Q4202" s="48"/>
      <c r="R4202" s="48"/>
      <c r="S4202" s="65"/>
      <c r="T4202" s="2"/>
      <c r="U4202" s="2"/>
      <c r="V4202" s="2"/>
    </row>
    <row r="4203" spans="1:22" s="149" customFormat="1" ht="12.75" customHeight="1" x14ac:dyDescent="0.2">
      <c r="A4203" s="22"/>
      <c r="B4203" s="23" t="str">
        <f>IF(A4203="","",VLOOKUP(A4203,'6.A'!$A$11:$G$180,2,FALSE))</f>
        <v/>
      </c>
      <c r="C4203" s="99"/>
      <c r="D4203" s="57" t="str">
        <f>IF(A4203="","",VLOOKUP(A4203,'6.A'!$A$11:$G$180,4,FALSE))</f>
        <v/>
      </c>
      <c r="E4203" s="100" t="str">
        <f>IF(A4203="","",VLOOKUP(A4203,'6.A'!$A$11:$G$180,5,FALSE))</f>
        <v/>
      </c>
      <c r="F4203" s="159" t="str">
        <f t="shared" si="1817"/>
        <v>0,00</v>
      </c>
      <c r="G4203" s="52"/>
      <c r="H4203" s="52" t="str">
        <f>IF(A4203="","",VLOOKUP(A4203,'6.A'!$A$11:$E$7984,5,FALSE))</f>
        <v/>
      </c>
      <c r="I4203" s="52" t="str">
        <f t="shared" si="1818"/>
        <v/>
      </c>
      <c r="J4203" s="52" t="str">
        <f>IF(H4203="","",VLOOKUP(A4203,'6.A'!$A$11:$E$564,4,FALSE))</f>
        <v/>
      </c>
      <c r="K4203" s="52" t="str">
        <f t="shared" si="1819"/>
        <v/>
      </c>
      <c r="L4203" s="52" t="str">
        <f>IF(H4203="","",IF(C4203="","",G4172*C4203))</f>
        <v/>
      </c>
      <c r="M4203" s="117" t="str">
        <f>IF(A4203="","",VLOOKUP(A4203,'6.A'!$A$11:$C$564,2,FALSE))</f>
        <v/>
      </c>
      <c r="N4203" s="57" t="str">
        <f t="shared" si="1820"/>
        <v/>
      </c>
      <c r="O4203" s="56"/>
      <c r="P4203" s="56"/>
      <c r="Q4203" s="48"/>
      <c r="R4203" s="48"/>
      <c r="S4203" s="65"/>
      <c r="T4203" s="2"/>
      <c r="U4203" s="2"/>
      <c r="V4203" s="2"/>
    </row>
    <row r="4204" spans="1:22" s="149" customFormat="1" ht="12.75" customHeight="1" x14ac:dyDescent="0.2">
      <c r="A4204" s="22"/>
      <c r="B4204" s="23" t="str">
        <f>IF(A4204="","",VLOOKUP(A4204,'6.A'!$A$11:$G$180,2,FALSE))</f>
        <v/>
      </c>
      <c r="C4204" s="99"/>
      <c r="D4204" s="57" t="str">
        <f>IF(A4204="","",VLOOKUP(A4204,'6.A'!$A$11:$G$180,4,FALSE))</f>
        <v/>
      </c>
      <c r="E4204" s="100" t="str">
        <f>IF(A4204="","",VLOOKUP(A4204,'6.A'!$A$11:$G$180,5,FALSE))</f>
        <v/>
      </c>
      <c r="F4204" s="159" t="str">
        <f t="shared" si="1817"/>
        <v>0,00</v>
      </c>
      <c r="G4204" s="52"/>
      <c r="H4204" s="52" t="str">
        <f>IF(A4204="","",VLOOKUP(A4204,'6.A'!$A$11:$E$7984,5,FALSE))</f>
        <v/>
      </c>
      <c r="I4204" s="52" t="str">
        <f t="shared" si="1818"/>
        <v/>
      </c>
      <c r="J4204" s="52" t="str">
        <f>IF(H4204="","",VLOOKUP(A4204,'6.A'!$A$11:$E$564,4,FALSE))</f>
        <v/>
      </c>
      <c r="K4204" s="52" t="str">
        <f t="shared" si="1819"/>
        <v/>
      </c>
      <c r="L4204" s="52" t="str">
        <f>IF(H4204="","",IF(C4204="","",G4172*C4204))</f>
        <v/>
      </c>
      <c r="M4204" s="117" t="str">
        <f>IF(A4204="","",VLOOKUP(A4204,'6.A'!$A$11:$C$564,2,FALSE))</f>
        <v/>
      </c>
      <c r="N4204" s="57" t="str">
        <f t="shared" si="1820"/>
        <v/>
      </c>
      <c r="O4204" s="56"/>
      <c r="P4204" s="56"/>
      <c r="Q4204" s="48"/>
      <c r="R4204" s="48"/>
      <c r="S4204" s="65"/>
      <c r="T4204" s="2"/>
      <c r="U4204" s="2"/>
      <c r="V4204" s="2"/>
    </row>
    <row r="4205" spans="1:22" s="149" customFormat="1" ht="12.75" customHeight="1" x14ac:dyDescent="0.2">
      <c r="A4205" s="22"/>
      <c r="B4205" s="23" t="str">
        <f>IF(A4205="","",VLOOKUP(A4205,'6.A'!$A$11:$G$180,2,FALSE))</f>
        <v/>
      </c>
      <c r="C4205" s="99"/>
      <c r="D4205" s="57" t="str">
        <f>IF(A4205="","",VLOOKUP(A4205,'6.A'!$A$11:$G$180,4,FALSE))</f>
        <v/>
      </c>
      <c r="E4205" s="100" t="str">
        <f>IF(A4205="","",VLOOKUP(A4205,'6.A'!$A$11:$G$180,5,FALSE))</f>
        <v/>
      </c>
      <c r="F4205" s="159" t="str">
        <f t="shared" si="1817"/>
        <v>0,00</v>
      </c>
      <c r="G4205" s="52"/>
      <c r="H4205" s="52" t="str">
        <f>IF(A4205="","",VLOOKUP(A4205,'6.A'!$A$11:$E$7984,5,FALSE))</f>
        <v/>
      </c>
      <c r="I4205" s="52" t="str">
        <f t="shared" si="1818"/>
        <v/>
      </c>
      <c r="J4205" s="52" t="str">
        <f>IF(H4205="","",VLOOKUP(A4205,'6.A'!$A$11:$E$564,4,FALSE))</f>
        <v/>
      </c>
      <c r="K4205" s="52" t="str">
        <f t="shared" si="1819"/>
        <v/>
      </c>
      <c r="L4205" s="52" t="str">
        <f>IF(H4205="","",IF(C4205="","",G4172*C4205))</f>
        <v/>
      </c>
      <c r="M4205" s="117" t="str">
        <f>IF(A4205="","",VLOOKUP(A4205,'6.A'!$A$11:$C$564,2,FALSE))</f>
        <v/>
      </c>
      <c r="N4205" s="57" t="str">
        <f t="shared" si="1820"/>
        <v/>
      </c>
      <c r="O4205" s="56"/>
      <c r="P4205" s="56"/>
      <c r="Q4205" s="48"/>
      <c r="R4205" s="48"/>
      <c r="S4205" s="65"/>
      <c r="T4205" s="2"/>
      <c r="U4205" s="2"/>
      <c r="V4205" s="2"/>
    </row>
    <row r="4206" spans="1:22" s="149" customFormat="1" ht="12.75" customHeight="1" x14ac:dyDescent="0.2">
      <c r="A4206" s="22"/>
      <c r="B4206" s="23" t="str">
        <f>IF(A4206="","",VLOOKUP(A4206,'6.A'!$A$11:$G$180,2,FALSE))</f>
        <v/>
      </c>
      <c r="C4206" s="99"/>
      <c r="D4206" s="57" t="str">
        <f>IF(A4206="","",VLOOKUP(A4206,'6.A'!$A$11:$G$180,4,FALSE))</f>
        <v/>
      </c>
      <c r="E4206" s="100" t="str">
        <f>IF(A4206="","",VLOOKUP(A4206,'6.A'!$A$11:$G$180,5,FALSE))</f>
        <v/>
      </c>
      <c r="F4206" s="159" t="str">
        <f t="shared" si="1817"/>
        <v>0,00</v>
      </c>
      <c r="G4206" s="52"/>
      <c r="H4206" s="52" t="str">
        <f>IF(A4206="","",VLOOKUP(A4206,'6.A'!$A$11:$E$7984,5,FALSE))</f>
        <v/>
      </c>
      <c r="I4206" s="52" t="str">
        <f t="shared" si="1818"/>
        <v/>
      </c>
      <c r="J4206" s="52" t="str">
        <f>IF(H4206="","",VLOOKUP(A4206,'6.A'!$A$11:$E$564,4,FALSE))</f>
        <v/>
      </c>
      <c r="K4206" s="52" t="str">
        <f t="shared" si="1819"/>
        <v/>
      </c>
      <c r="L4206" s="52" t="str">
        <f>IF(H4206="","",IF(C4206="","",G4172*C4206))</f>
        <v/>
      </c>
      <c r="M4206" s="117" t="str">
        <f>IF(A4206="","",VLOOKUP(A4206,'6.A'!$A$11:$C$564,2,FALSE))</f>
        <v/>
      </c>
      <c r="N4206" s="57" t="str">
        <f t="shared" si="1820"/>
        <v/>
      </c>
      <c r="O4206" s="56"/>
      <c r="P4206" s="56"/>
      <c r="Q4206" s="48"/>
      <c r="R4206" s="48"/>
      <c r="S4206" s="65"/>
      <c r="T4206" s="2"/>
      <c r="U4206" s="2"/>
      <c r="V4206" s="2"/>
    </row>
    <row r="4207" spans="1:22" s="149" customFormat="1" ht="12.75" customHeight="1" x14ac:dyDescent="0.2">
      <c r="A4207" s="155"/>
      <c r="B4207" s="138" t="str">
        <f>IF(A4207="","",VLOOKUP(A4207,'6.A'!$A$11:$G$180,2,FALSE))</f>
        <v/>
      </c>
      <c r="C4207" s="156"/>
      <c r="D4207" s="157" t="str">
        <f>IF(A4207="","",VLOOKUP(A4207,'6.A'!$A$11:$G$180,4,FALSE))</f>
        <v/>
      </c>
      <c r="E4207" s="158" t="str">
        <f>IF(A4207="","",VLOOKUP(A4207,'6.A'!$A$11:$G$180,5,FALSE))</f>
        <v/>
      </c>
      <c r="F4207" s="159" t="str">
        <f t="shared" si="1817"/>
        <v>0,00</v>
      </c>
      <c r="G4207" s="52"/>
      <c r="H4207" s="52" t="str">
        <f>IF(A4207="","",VLOOKUP(A4207,'6.A'!$A$11:$E$7984,5,FALSE))</f>
        <v/>
      </c>
      <c r="I4207" s="52" t="str">
        <f t="shared" si="1818"/>
        <v/>
      </c>
      <c r="J4207" s="52" t="str">
        <f>IF(H4207="","",VLOOKUP(A4207,'6.A'!$A$11:$E$564,4,FALSE))</f>
        <v/>
      </c>
      <c r="K4207" s="52" t="str">
        <f t="shared" si="1819"/>
        <v/>
      </c>
      <c r="L4207" s="52" t="str">
        <f>IF(H4207="","",IF(C4207="","",G4172*C4207))</f>
        <v/>
      </c>
      <c r="M4207" s="117" t="str">
        <f>IF(A4207="","",VLOOKUP(A4207,'6.A'!$A$11:$C$564,2,FALSE))</f>
        <v/>
      </c>
      <c r="N4207" s="57" t="str">
        <f t="shared" si="1820"/>
        <v/>
      </c>
      <c r="O4207" s="56"/>
      <c r="P4207" s="56"/>
      <c r="Q4207" s="48"/>
      <c r="R4207" s="48"/>
      <c r="S4207" s="65"/>
      <c r="T4207" s="2"/>
      <c r="U4207" s="2"/>
      <c r="V4207" s="2"/>
    </row>
    <row r="4208" spans="1:22" s="149" customFormat="1" ht="12.75" customHeight="1" x14ac:dyDescent="0.2">
      <c r="A4208" s="155"/>
      <c r="B4208" s="138" t="str">
        <f>IF(A4208="","",VLOOKUP(A4208,'6.A'!$A$11:$G$180,2,FALSE))</f>
        <v/>
      </c>
      <c r="C4208" s="156"/>
      <c r="D4208" s="157" t="str">
        <f>IF(A4208="","",VLOOKUP(A4208,'6.A'!$A$11:$G$180,4,FALSE))</f>
        <v/>
      </c>
      <c r="E4208" s="158" t="str">
        <f>IF(A4208="","",VLOOKUP(A4208,'6.A'!$A$11:$G$180,5,FALSE))</f>
        <v/>
      </c>
      <c r="F4208" s="159" t="str">
        <f t="shared" si="1817"/>
        <v>0,00</v>
      </c>
      <c r="G4208" s="52"/>
      <c r="H4208" s="52" t="str">
        <f>IF(A4208="","",VLOOKUP(A4208,'6.A'!$A$11:$E$7984,5,FALSE))</f>
        <v/>
      </c>
      <c r="I4208" s="52" t="str">
        <f t="shared" si="1818"/>
        <v/>
      </c>
      <c r="J4208" s="52" t="str">
        <f>IF(H4208="","",VLOOKUP(A4208,'6.A'!$A$11:$E$564,4,FALSE))</f>
        <v/>
      </c>
      <c r="K4208" s="52" t="str">
        <f t="shared" si="1819"/>
        <v/>
      </c>
      <c r="L4208" s="52" t="str">
        <f>IF(H4208="","",IF(C4208="","",G4172*C4208))</f>
        <v/>
      </c>
      <c r="M4208" s="117" t="str">
        <f>IF(A4208="","",VLOOKUP(A4208,'6.A'!$A$11:$C$564,2,FALSE))</f>
        <v/>
      </c>
      <c r="N4208" s="57" t="str">
        <f t="shared" si="1820"/>
        <v/>
      </c>
      <c r="O4208" s="56"/>
      <c r="P4208" s="56"/>
      <c r="Q4208" s="48"/>
      <c r="R4208" s="48"/>
      <c r="S4208" s="65"/>
      <c r="T4208" s="2"/>
      <c r="U4208" s="2"/>
      <c r="V4208" s="2"/>
    </row>
    <row r="4209" spans="1:22" s="149" customFormat="1" ht="12.75" customHeight="1" x14ac:dyDescent="0.2">
      <c r="A4209" s="155"/>
      <c r="B4209" s="138" t="str">
        <f>IF(A4209="","",VLOOKUP(A4209,'6.A'!$A$11:$G$180,2,FALSE))</f>
        <v/>
      </c>
      <c r="C4209" s="156"/>
      <c r="D4209" s="141" t="str">
        <f>IF(A4209="","",VLOOKUP(A4209,'6.A'!$A$11:$G$180,4,FALSE))</f>
        <v/>
      </c>
      <c r="E4209" s="160" t="str">
        <f>IF(A4209="","",VLOOKUP(A4209,'6.A'!$A$11:$G$180,5,FALSE))</f>
        <v/>
      </c>
      <c r="F4209" s="159" t="str">
        <f t="shared" si="1817"/>
        <v>0,00</v>
      </c>
      <c r="G4209" s="52"/>
      <c r="H4209" s="52" t="str">
        <f>IF(A4209="","",VLOOKUP(A4209,'6.A'!$A$11:$E$7984,5,FALSE))</f>
        <v/>
      </c>
      <c r="I4209" s="52" t="str">
        <f t="shared" si="1818"/>
        <v/>
      </c>
      <c r="J4209" s="52" t="str">
        <f>IF(H4209="","",VLOOKUP(A4209,'6.A'!$A$11:$E$564,4,FALSE))</f>
        <v/>
      </c>
      <c r="K4209" s="52" t="str">
        <f t="shared" si="1819"/>
        <v/>
      </c>
      <c r="L4209" s="52" t="str">
        <f>IF(H4209="","",IF(C4209="","",G4172*C4209))</f>
        <v/>
      </c>
      <c r="M4209" s="117" t="str">
        <f>IF(A4209="","",VLOOKUP(A4209,'6.A'!$A$11:$C$564,2,FALSE))</f>
        <v/>
      </c>
      <c r="N4209" s="57" t="str">
        <f t="shared" si="1820"/>
        <v/>
      </c>
      <c r="O4209" s="56"/>
      <c r="P4209" s="56"/>
      <c r="Q4209" s="48"/>
      <c r="R4209" s="48"/>
      <c r="S4209" s="65"/>
      <c r="T4209" s="2"/>
      <c r="U4209" s="2"/>
      <c r="V4209" s="2"/>
    </row>
    <row r="4210" spans="1:22" s="149" customFormat="1" ht="12.75" customHeight="1" x14ac:dyDescent="0.2">
      <c r="A4210" s="155"/>
      <c r="B4210" s="138" t="str">
        <f>IF(A4210="","",VLOOKUP(A4210,'6.A'!$A$11:$G$180,2,FALSE))</f>
        <v/>
      </c>
      <c r="C4210" s="156"/>
      <c r="D4210" s="141" t="str">
        <f>IF(A4210="","",VLOOKUP(A4210,'6.A'!$A$11:$G$180,4,FALSE))</f>
        <v/>
      </c>
      <c r="E4210" s="160" t="str">
        <f>IF(A4210="","",VLOOKUP(A4210,'6.A'!$A$11:$G$180,5,FALSE))</f>
        <v/>
      </c>
      <c r="F4210" s="159" t="str">
        <f t="shared" si="1817"/>
        <v>0,00</v>
      </c>
      <c r="G4210" s="52"/>
      <c r="H4210" s="52" t="str">
        <f>IF(A4210="","",VLOOKUP(A4210,'6.A'!$A$11:$E$7984,5,FALSE))</f>
        <v/>
      </c>
      <c r="I4210" s="52" t="str">
        <f t="shared" si="1818"/>
        <v/>
      </c>
      <c r="J4210" s="52" t="str">
        <f>IF(H4210="","",VLOOKUP(A4210,'6.A'!$A$11:$E$564,4,FALSE))</f>
        <v/>
      </c>
      <c r="K4210" s="52" t="str">
        <f t="shared" si="1819"/>
        <v/>
      </c>
      <c r="L4210" s="52" t="str">
        <f>IF(H4210="","",IF(C4210="","",G4172*C4210))</f>
        <v/>
      </c>
      <c r="M4210" s="117" t="str">
        <f>IF(A4210="","",VLOOKUP(A4210,'6.A'!$A$11:$C$564,2,FALSE))</f>
        <v/>
      </c>
      <c r="N4210" s="57" t="str">
        <f t="shared" si="1820"/>
        <v/>
      </c>
      <c r="O4210" s="56"/>
      <c r="P4210" s="56"/>
      <c r="Q4210" s="48"/>
      <c r="R4210" s="48"/>
      <c r="S4210" s="65"/>
      <c r="T4210" s="2"/>
      <c r="U4210" s="2"/>
      <c r="V4210" s="2"/>
    </row>
    <row r="4211" spans="1:22" s="149" customFormat="1" ht="12.75" customHeight="1" x14ac:dyDescent="0.2">
      <c r="A4211" s="155"/>
      <c r="B4211" s="138" t="str">
        <f>IF(A4211="","",VLOOKUP(A4211,'6.A'!$A$11:$G$180,2,FALSE))</f>
        <v/>
      </c>
      <c r="C4211" s="156"/>
      <c r="D4211" s="141" t="str">
        <f>IF(A4211="","",VLOOKUP(A4211,'6.A'!$A$11:$G$180,4,FALSE))</f>
        <v/>
      </c>
      <c r="E4211" s="160" t="str">
        <f>IF(A4211="","",VLOOKUP(A4211,'6.A'!$A$11:$G$180,5,FALSE))</f>
        <v/>
      </c>
      <c r="F4211" s="159" t="str">
        <f t="shared" si="1817"/>
        <v>0,00</v>
      </c>
      <c r="G4211" s="52"/>
      <c r="H4211" s="52" t="str">
        <f>IF(A4211="","",VLOOKUP(A4211,'6.A'!$A$11:$E$7984,5,FALSE))</f>
        <v/>
      </c>
      <c r="I4211" s="52" t="str">
        <f t="shared" si="1818"/>
        <v/>
      </c>
      <c r="J4211" s="52" t="str">
        <f>IF(H4211="","",VLOOKUP(A4211,'6.A'!$A$11:$E$564,4,FALSE))</f>
        <v/>
      </c>
      <c r="K4211" s="52" t="str">
        <f t="shared" si="1819"/>
        <v/>
      </c>
      <c r="L4211" s="52" t="str">
        <f>IF(H4211="","",IF(C4211="","",G4172*C4211))</f>
        <v/>
      </c>
      <c r="M4211" s="117" t="str">
        <f>IF(A4211="","",VLOOKUP(A4211,'6.A'!$A$11:$C$564,2,FALSE))</f>
        <v/>
      </c>
      <c r="N4211" s="57" t="str">
        <f t="shared" si="1820"/>
        <v/>
      </c>
      <c r="O4211" s="56"/>
      <c r="P4211" s="56"/>
      <c r="Q4211" s="48"/>
      <c r="R4211" s="48"/>
      <c r="S4211" s="65"/>
      <c r="T4211" s="2"/>
      <c r="U4211" s="2"/>
      <c r="V4211" s="2"/>
    </row>
    <row r="4212" spans="1:22" s="149" customFormat="1" ht="12.75" customHeight="1" x14ac:dyDescent="0.2">
      <c r="A4212" s="155"/>
      <c r="B4212" s="138" t="str">
        <f>IF(A4212="","",VLOOKUP(A4212,'6.A'!$A$11:$G$180,2,FALSE))</f>
        <v/>
      </c>
      <c r="C4212" s="156"/>
      <c r="D4212" s="141" t="str">
        <f>IF(A4212="","",VLOOKUP(A4212,'6.A'!$A$11:$G$180,4,FALSE))</f>
        <v/>
      </c>
      <c r="E4212" s="160" t="str">
        <f>IF(A4212="","",VLOOKUP(A4212,'6.A'!$A$11:$G$180,5,FALSE))</f>
        <v/>
      </c>
      <c r="F4212" s="159" t="str">
        <f t="shared" si="1817"/>
        <v>0,00</v>
      </c>
      <c r="G4212" s="52"/>
      <c r="H4212" s="52" t="str">
        <f>IF(A4212="","",VLOOKUP(A4212,'6.A'!$A$11:$E$7984,5,FALSE))</f>
        <v/>
      </c>
      <c r="I4212" s="52" t="str">
        <f t="shared" si="1818"/>
        <v/>
      </c>
      <c r="J4212" s="52" t="str">
        <f>IF(H4212="","",VLOOKUP(A4212,'6.A'!$A$11:$E$564,4,FALSE))</f>
        <v/>
      </c>
      <c r="K4212" s="52" t="str">
        <f t="shared" si="1819"/>
        <v/>
      </c>
      <c r="L4212" s="52" t="str">
        <f>IF(H4212="","",IF(C4212="","",G4172*C4212))</f>
        <v/>
      </c>
      <c r="M4212" s="117" t="str">
        <f>IF(A4212="","",VLOOKUP(A4212,'6.A'!$A$11:$C$564,2,FALSE))</f>
        <v/>
      </c>
      <c r="N4212" s="57" t="str">
        <f t="shared" si="1820"/>
        <v/>
      </c>
      <c r="O4212" s="56"/>
      <c r="P4212" s="56"/>
      <c r="Q4212" s="48"/>
      <c r="R4212" s="48"/>
      <c r="S4212" s="65"/>
      <c r="T4212" s="2"/>
      <c r="U4212" s="2"/>
      <c r="V4212" s="2"/>
    </row>
    <row r="4213" spans="1:22" s="149" customFormat="1" ht="12.75" customHeight="1" x14ac:dyDescent="0.2">
      <c r="A4213" s="155"/>
      <c r="B4213" s="138" t="str">
        <f>IF(A4213="","",VLOOKUP(A4213,'6.A'!$A$11:$G$180,2,FALSE))</f>
        <v/>
      </c>
      <c r="C4213" s="156"/>
      <c r="D4213" s="141" t="str">
        <f>IF(A4213="","",VLOOKUP(A4213,'6.A'!$A$11:$G$180,4,FALSE))</f>
        <v/>
      </c>
      <c r="E4213" s="160" t="str">
        <f>IF(A4213="","",VLOOKUP(A4213,'6.A'!$A$11:$G$180,5,FALSE))</f>
        <v/>
      </c>
      <c r="F4213" s="159" t="str">
        <f t="shared" si="1817"/>
        <v>0,00</v>
      </c>
      <c r="G4213" s="52"/>
      <c r="H4213" s="52" t="str">
        <f>IF(A4213="","",VLOOKUP(A4213,'6.A'!$A$11:$E$7984,5,FALSE))</f>
        <v/>
      </c>
      <c r="I4213" s="52" t="str">
        <f t="shared" si="1818"/>
        <v/>
      </c>
      <c r="J4213" s="52" t="str">
        <f>IF(H4213="","",VLOOKUP(A4213,'6.A'!$A$11:$E$564,4,FALSE))</f>
        <v/>
      </c>
      <c r="K4213" s="52" t="str">
        <f t="shared" si="1819"/>
        <v/>
      </c>
      <c r="L4213" s="52" t="str">
        <f>IF(H4213="","",IF(C4213="","",G4172*C4213))</f>
        <v/>
      </c>
      <c r="M4213" s="117" t="str">
        <f>IF(A4213="","",VLOOKUP(A4213,'6.A'!$A$11:$C$564,2,FALSE))</f>
        <v/>
      </c>
      <c r="N4213" s="57" t="str">
        <f t="shared" si="1820"/>
        <v/>
      </c>
      <c r="O4213" s="56"/>
      <c r="P4213" s="56"/>
      <c r="Q4213" s="48"/>
      <c r="R4213" s="48"/>
      <c r="S4213" s="65"/>
      <c r="T4213" s="2"/>
      <c r="U4213" s="2"/>
      <c r="V4213" s="2"/>
    </row>
    <row r="4214" spans="1:22" s="149" customFormat="1" ht="12.75" customHeight="1" x14ac:dyDescent="0.2">
      <c r="A4214" s="155"/>
      <c r="B4214" s="138" t="str">
        <f>IF(A4214="","",VLOOKUP(A4214,'6.A'!$A$11:$G$180,2,FALSE))</f>
        <v/>
      </c>
      <c r="C4214" s="156"/>
      <c r="D4214" s="141" t="str">
        <f>IF(A4214="","",VLOOKUP(A4214,'6.A'!$A$11:$G$180,4,FALSE))</f>
        <v/>
      </c>
      <c r="E4214" s="160" t="str">
        <f>IF(A4214="","",VLOOKUP(A4214,'6.A'!$A$11:$G$180,5,FALSE))</f>
        <v/>
      </c>
      <c r="F4214" s="159" t="str">
        <f t="shared" si="1817"/>
        <v>0,00</v>
      </c>
      <c r="G4214" s="52"/>
      <c r="H4214" s="52" t="str">
        <f>IF(A4214="","",VLOOKUP(A4214,'6.A'!$A$11:$E$7984,5,FALSE))</f>
        <v/>
      </c>
      <c r="I4214" s="52" t="str">
        <f t="shared" si="1818"/>
        <v/>
      </c>
      <c r="J4214" s="52" t="str">
        <f>IF(H4214="","",VLOOKUP(A4214,'6.A'!$A$11:$E$564,4,FALSE))</f>
        <v/>
      </c>
      <c r="K4214" s="52" t="str">
        <f t="shared" si="1819"/>
        <v/>
      </c>
      <c r="L4214" s="52" t="str">
        <f>IF(H4214="","",IF(C4214="","",G4172*C4214))</f>
        <v/>
      </c>
      <c r="M4214" s="117" t="str">
        <f>IF(A4214="","",VLOOKUP(A4214,'6.A'!$A$11:$C$564,2,FALSE))</f>
        <v/>
      </c>
      <c r="N4214" s="57" t="str">
        <f t="shared" si="1820"/>
        <v/>
      </c>
      <c r="O4214" s="56"/>
      <c r="P4214" s="56"/>
      <c r="Q4214" s="48"/>
      <c r="R4214" s="48"/>
      <c r="S4214" s="65"/>
      <c r="T4214" s="2"/>
      <c r="U4214" s="2"/>
      <c r="V4214" s="2"/>
    </row>
    <row r="4215" spans="1:22" s="149" customFormat="1" ht="12.75" customHeight="1" x14ac:dyDescent="0.2">
      <c r="A4215" s="155"/>
      <c r="B4215" s="138" t="str">
        <f>IF(A4215="","",VLOOKUP(A4215,'6.A'!$A$11:$G$180,2,FALSE))</f>
        <v/>
      </c>
      <c r="C4215" s="156"/>
      <c r="D4215" s="141" t="str">
        <f>IF(A4215="","",VLOOKUP(A4215,'6.A'!$A$11:$G$180,4,FALSE))</f>
        <v/>
      </c>
      <c r="E4215" s="160" t="str">
        <f>IF(A4215="","",VLOOKUP(A4215,'6.A'!$A$11:$G$180,5,FALSE))</f>
        <v/>
      </c>
      <c r="F4215" s="159" t="str">
        <f t="shared" si="1817"/>
        <v>0,00</v>
      </c>
      <c r="G4215" s="52"/>
      <c r="H4215" s="52" t="str">
        <f>IF(A4215="","",VLOOKUP(A4215,'6.A'!$A$11:$E$7984,5,FALSE))</f>
        <v/>
      </c>
      <c r="I4215" s="52" t="str">
        <f t="shared" si="1818"/>
        <v/>
      </c>
      <c r="J4215" s="52" t="str">
        <f>IF(H4215="","",VLOOKUP(A4215,'6.A'!$A$11:$E$564,4,FALSE))</f>
        <v/>
      </c>
      <c r="K4215" s="52" t="str">
        <f t="shared" si="1819"/>
        <v/>
      </c>
      <c r="L4215" s="52" t="str">
        <f>IF(H4215="","",IF(C4215="","",G4172*C4215))</f>
        <v/>
      </c>
      <c r="M4215" s="117" t="str">
        <f>IF(A4215="","",VLOOKUP(A4215,'6.A'!$A$11:$C$564,2,FALSE))</f>
        <v/>
      </c>
      <c r="N4215" s="57" t="str">
        <f t="shared" si="1820"/>
        <v/>
      </c>
      <c r="O4215" s="56"/>
      <c r="P4215" s="56"/>
      <c r="Q4215" s="48"/>
      <c r="R4215" s="48"/>
      <c r="S4215" s="65"/>
      <c r="T4215" s="2"/>
      <c r="U4215" s="2"/>
      <c r="V4215" s="2"/>
    </row>
    <row r="4216" spans="1:22" s="149" customFormat="1" ht="12.75" customHeight="1" x14ac:dyDescent="0.2">
      <c r="A4216" s="155"/>
      <c r="B4216" s="138" t="str">
        <f>IF(A4216="","",VLOOKUP(A4216,'6.A'!$A$11:$G$180,2,FALSE))</f>
        <v/>
      </c>
      <c r="C4216" s="156"/>
      <c r="D4216" s="141" t="str">
        <f>IF(A4216="","",VLOOKUP(A4216,'6.A'!$A$11:$G$180,4,FALSE))</f>
        <v/>
      </c>
      <c r="E4216" s="160" t="str">
        <f>IF(A4216="","",VLOOKUP(A4216,'6.A'!$A$11:$G$180,5,FALSE))</f>
        <v/>
      </c>
      <c r="F4216" s="159" t="str">
        <f t="shared" si="1817"/>
        <v>0,00</v>
      </c>
      <c r="G4216" s="52"/>
      <c r="H4216" s="52" t="str">
        <f>IF(A4216="","",VLOOKUP(A4216,'6.A'!$A$11:$E$7984,5,FALSE))</f>
        <v/>
      </c>
      <c r="I4216" s="52" t="str">
        <f t="shared" si="1818"/>
        <v/>
      </c>
      <c r="J4216" s="52" t="str">
        <f>IF(H4216="","",VLOOKUP(A4216,'6.A'!$A$11:$E$564,4,FALSE))</f>
        <v/>
      </c>
      <c r="K4216" s="52" t="str">
        <f t="shared" si="1819"/>
        <v/>
      </c>
      <c r="L4216" s="52" t="str">
        <f>IF(H4216="","",IF(C4216="","",G4172*C4216))</f>
        <v/>
      </c>
      <c r="M4216" s="117" t="str">
        <f>IF(A4216="","",VLOOKUP(A4216,'6.A'!$A$11:$C$564,2,FALSE))</f>
        <v/>
      </c>
      <c r="N4216" s="57" t="str">
        <f t="shared" si="1820"/>
        <v/>
      </c>
      <c r="O4216" s="56"/>
      <c r="P4216" s="56"/>
      <c r="Q4216" s="48"/>
      <c r="R4216" s="48"/>
      <c r="S4216" s="65"/>
      <c r="T4216" s="2"/>
      <c r="U4216" s="2"/>
      <c r="V4216" s="2"/>
    </row>
    <row r="4217" spans="1:22" s="137" customFormat="1" ht="12.75" customHeight="1" x14ac:dyDescent="0.2">
      <c r="A4217" s="155"/>
      <c r="B4217" s="171" t="str">
        <f>IF(A4217="","",VLOOKUP(A4217,'6.A'!$A$11:$G$180,2,FALSE))</f>
        <v/>
      </c>
      <c r="C4217" s="156"/>
      <c r="D4217" s="141" t="str">
        <f>IF(A4217="","",VLOOKUP(A4217,'6.A'!$A$11:$G$180,4,FALSE))</f>
        <v/>
      </c>
      <c r="E4217" s="160" t="str">
        <f>IF(A4217="","",VLOOKUP(A4217,'6.A'!$A$11:$G$180,5,FALSE))</f>
        <v/>
      </c>
      <c r="F4217" s="159" t="str">
        <f t="shared" si="1817"/>
        <v>0,00</v>
      </c>
      <c r="G4217" s="52"/>
      <c r="H4217" s="52" t="str">
        <f>IF(A4217="","",VLOOKUP(A4217,'6.A'!$A$11:$E$7984,5,FALSE))</f>
        <v/>
      </c>
      <c r="I4217" s="52" t="str">
        <f t="shared" si="1818"/>
        <v/>
      </c>
      <c r="J4217" s="52" t="str">
        <f>IF(H4217="","",VLOOKUP(A4217,'6.A'!$A$11:$E$564,4,FALSE))</f>
        <v/>
      </c>
      <c r="K4217" s="52" t="str">
        <f t="shared" si="1819"/>
        <v/>
      </c>
      <c r="L4217" s="52" t="str">
        <f>IF(H4217="","",IF(C4217="","",G4172*C4217))</f>
        <v/>
      </c>
      <c r="M4217" s="117" t="str">
        <f>IF(A4217="","",VLOOKUP(A4217,'6.A'!$A$11:$C$564,2,FALSE))</f>
        <v/>
      </c>
      <c r="N4217" s="57" t="str">
        <f t="shared" si="1820"/>
        <v/>
      </c>
      <c r="O4217" s="56"/>
      <c r="P4217" s="56"/>
      <c r="Q4217" s="48"/>
      <c r="R4217" s="48"/>
      <c r="S4217" s="65"/>
      <c r="T4217" s="2"/>
      <c r="U4217" s="2"/>
      <c r="V4217" s="2"/>
    </row>
    <row r="4218" spans="1:22" s="137" customFormat="1" ht="12.75" customHeight="1" x14ac:dyDescent="0.2">
      <c r="A4218" s="155"/>
      <c r="B4218" s="171" t="str">
        <f>IF(A4218="","",VLOOKUP(A4218,'6.A'!$A$11:$G$180,2,FALSE))</f>
        <v/>
      </c>
      <c r="C4218" s="156"/>
      <c r="D4218" s="141" t="str">
        <f>IF(A4218="","",VLOOKUP(A4218,'6.A'!$A$11:$G$180,4,FALSE))</f>
        <v/>
      </c>
      <c r="E4218" s="160" t="str">
        <f>IF(A4218="","",VLOOKUP(A4218,'6.A'!$A$11:$G$180,5,FALSE))</f>
        <v/>
      </c>
      <c r="F4218" s="159" t="str">
        <f t="shared" si="1817"/>
        <v>0,00</v>
      </c>
      <c r="G4218" s="52"/>
      <c r="H4218" s="52" t="str">
        <f>IF(A4218="","",VLOOKUP(A4218,'6.A'!$A$11:$E$7984,5,FALSE))</f>
        <v/>
      </c>
      <c r="I4218" s="52" t="str">
        <f t="shared" si="1818"/>
        <v/>
      </c>
      <c r="J4218" s="52" t="str">
        <f>IF(H4218="","",VLOOKUP(A4218,'6.A'!$A$11:$E$564,4,FALSE))</f>
        <v/>
      </c>
      <c r="K4218" s="52" t="str">
        <f t="shared" si="1819"/>
        <v/>
      </c>
      <c r="L4218" s="52" t="str">
        <f>IF(H4218="","",IF(C4218="","",G4172*C4218))</f>
        <v/>
      </c>
      <c r="M4218" s="117" t="str">
        <f>IF(A4218="","",VLOOKUP(A4218,'6.A'!$A$11:$C$564,2,FALSE))</f>
        <v/>
      </c>
      <c r="N4218" s="57" t="str">
        <f t="shared" si="1820"/>
        <v/>
      </c>
      <c r="O4218" s="56"/>
      <c r="P4218" s="56"/>
      <c r="Q4218" s="48"/>
      <c r="R4218" s="48"/>
      <c r="S4218" s="65"/>
      <c r="T4218" s="2"/>
      <c r="U4218" s="2"/>
      <c r="V4218" s="2"/>
    </row>
    <row r="4219" spans="1:22" s="137" customFormat="1" ht="12.75" customHeight="1" x14ac:dyDescent="0.2">
      <c r="A4219" s="155"/>
      <c r="B4219" s="171" t="str">
        <f>IF(A4219="","",VLOOKUP(A4219,'6.A'!$A$11:$G$180,2,FALSE))</f>
        <v/>
      </c>
      <c r="C4219" s="156"/>
      <c r="D4219" s="141" t="str">
        <f>IF(A4219="","",VLOOKUP(A4219,'6.A'!$A$11:$G$180,4,FALSE))</f>
        <v/>
      </c>
      <c r="E4219" s="160" t="str">
        <f>IF(A4219="","",VLOOKUP(A4219,'6.A'!$A$11:$G$180,5,FALSE))</f>
        <v/>
      </c>
      <c r="F4219" s="159" t="str">
        <f t="shared" si="1817"/>
        <v>0,00</v>
      </c>
      <c r="G4219" s="52"/>
      <c r="H4219" s="52" t="str">
        <f>IF(A4219="","",VLOOKUP(A4219,'6.A'!$A$11:$E$7984,5,FALSE))</f>
        <v/>
      </c>
      <c r="I4219" s="52" t="str">
        <f t="shared" si="1818"/>
        <v/>
      </c>
      <c r="J4219" s="52" t="str">
        <f>IF(H4219="","",VLOOKUP(A4219,'6.A'!$A$11:$E$564,4,FALSE))</f>
        <v/>
      </c>
      <c r="K4219" s="52" t="str">
        <f t="shared" si="1819"/>
        <v/>
      </c>
      <c r="L4219" s="52" t="str">
        <f>IF(H4219="","",IF(C4219="","",G4172*C4219))</f>
        <v/>
      </c>
      <c r="M4219" s="117" t="str">
        <f>IF(A4219="","",VLOOKUP(A4219,'6.A'!$A$11:$C$564,2,FALSE))</f>
        <v/>
      </c>
      <c r="N4219" s="57" t="str">
        <f t="shared" si="1820"/>
        <v/>
      </c>
      <c r="O4219" s="56"/>
      <c r="P4219" s="56"/>
      <c r="Q4219" s="48"/>
      <c r="R4219" s="48"/>
      <c r="S4219" s="65"/>
      <c r="T4219" s="2"/>
      <c r="U4219" s="2"/>
      <c r="V4219" s="2"/>
    </row>
    <row r="4220" spans="1:22" s="137" customFormat="1" ht="12.75" customHeight="1" x14ac:dyDescent="0.2">
      <c r="A4220" s="155"/>
      <c r="B4220" s="171" t="str">
        <f>IF(A4220="","",VLOOKUP(A4220,'6.A'!$A$11:$G$180,2,FALSE))</f>
        <v/>
      </c>
      <c r="C4220" s="156"/>
      <c r="D4220" s="141" t="str">
        <f>IF(A4220="","",VLOOKUP(A4220,'6.A'!$A$11:$G$180,4,FALSE))</f>
        <v/>
      </c>
      <c r="E4220" s="160" t="str">
        <f>IF(A4220="","",VLOOKUP(A4220,'6.A'!$A$11:$G$180,5,FALSE))</f>
        <v/>
      </c>
      <c r="F4220" s="159" t="str">
        <f t="shared" si="1817"/>
        <v>0,00</v>
      </c>
      <c r="G4220" s="52"/>
      <c r="H4220" s="52" t="str">
        <f>IF(A4220="","",VLOOKUP(A4220,'6.A'!$A$11:$E$7984,5,FALSE))</f>
        <v/>
      </c>
      <c r="I4220" s="52" t="str">
        <f t="shared" si="1818"/>
        <v/>
      </c>
      <c r="J4220" s="52" t="str">
        <f>IF(H4220="","",VLOOKUP(A4220,'6.A'!$A$11:$E$564,4,FALSE))</f>
        <v/>
      </c>
      <c r="K4220" s="52" t="str">
        <f t="shared" si="1819"/>
        <v/>
      </c>
      <c r="L4220" s="52" t="str">
        <f>IF(H4220="","",IF(C4220="","",G4172*C4220))</f>
        <v/>
      </c>
      <c r="M4220" s="117" t="str">
        <f>IF(A4220="","",VLOOKUP(A4220,'6.A'!$A$11:$C$564,2,FALSE))</f>
        <v/>
      </c>
      <c r="N4220" s="57" t="str">
        <f t="shared" si="1820"/>
        <v/>
      </c>
      <c r="O4220" s="56"/>
      <c r="P4220" s="56"/>
      <c r="Q4220" s="48"/>
      <c r="R4220" s="48"/>
      <c r="S4220" s="65"/>
      <c r="T4220" s="2"/>
      <c r="U4220" s="2"/>
      <c r="V4220" s="2"/>
    </row>
    <row r="4221" spans="1:22" s="137" customFormat="1" ht="12.75" customHeight="1" x14ac:dyDescent="0.2">
      <c r="A4221" s="155"/>
      <c r="B4221" s="26" t="str">
        <f>$A$9</f>
        <v>BDI</v>
      </c>
      <c r="C4221" s="40">
        <f>$C$9</f>
        <v>0</v>
      </c>
      <c r="D4221" s="141"/>
      <c r="E4221" s="147"/>
      <c r="F4221" s="162">
        <f>ROUND(SUM(F4201:F4220)*C4221,2)</f>
        <v>0</v>
      </c>
      <c r="G4221" s="63"/>
      <c r="H4221" s="52"/>
      <c r="I4221" s="57"/>
      <c r="J4221" s="57"/>
      <c r="K4221" s="57"/>
      <c r="L4221" s="52"/>
      <c r="M4221" s="57"/>
      <c r="N4221" s="57"/>
      <c r="O4221" s="56"/>
      <c r="P4221" s="56"/>
      <c r="Q4221" s="48"/>
      <c r="R4221" s="48"/>
      <c r="S4221" s="65"/>
      <c r="T4221" s="2"/>
      <c r="U4221" s="2"/>
      <c r="V4221" s="2"/>
    </row>
    <row r="4222" spans="1:22" s="137" customFormat="1" ht="12.75" customHeight="1" thickBot="1" x14ac:dyDescent="0.25">
      <c r="A4222" s="172"/>
      <c r="B4222" s="42" t="s">
        <v>57</v>
      </c>
      <c r="C4222" s="43"/>
      <c r="D4222" s="173"/>
      <c r="E4222" s="174"/>
      <c r="F4222" s="175">
        <f>ROUND(SUM(F4201:F4221),2)</f>
        <v>0</v>
      </c>
      <c r="G4222" s="63"/>
      <c r="H4222" s="52"/>
      <c r="I4222" s="57"/>
      <c r="J4222" s="57"/>
      <c r="K4222" s="57"/>
      <c r="L4222" s="52"/>
      <c r="M4222" s="57"/>
      <c r="N4222" s="57"/>
      <c r="O4222" s="56"/>
      <c r="P4222" s="56"/>
      <c r="Q4222" s="48"/>
      <c r="R4222" s="48"/>
      <c r="S4222" s="65"/>
      <c r="T4222" s="2"/>
      <c r="U4222" s="2"/>
      <c r="V4222" s="2"/>
    </row>
    <row r="4223" spans="1:22" x14ac:dyDescent="0.2">
      <c r="G4223" s="52">
        <f>SUM(G12:G4222)</f>
        <v>917</v>
      </c>
      <c r="H4223" s="52">
        <f>'3.A'!N243</f>
        <v>1416</v>
      </c>
      <c r="I4223" s="54">
        <f>G4223-H4223</f>
        <v>-499</v>
      </c>
      <c r="K4223" s="52">
        <f>'6.A'!H184</f>
        <v>4735.5037688585317</v>
      </c>
      <c r="L4223" s="52">
        <f>SUM(L12:L4222)</f>
        <v>4735.5037688585317</v>
      </c>
      <c r="M4223" s="54">
        <f>K4223-L4223</f>
        <v>0</v>
      </c>
    </row>
    <row r="4224" spans="1:22" x14ac:dyDescent="0.2">
      <c r="G4224" s="434" t="str">
        <f>IF(G4223=H4223,"si","no")</f>
        <v>no</v>
      </c>
      <c r="H4224" s="434"/>
      <c r="K4224" s="433" t="str">
        <f>IF(K4223=L4223,"si","no")</f>
        <v>si</v>
      </c>
      <c r="L4224" s="433"/>
    </row>
    <row r="4225" spans="1:21" x14ac:dyDescent="0.2">
      <c r="U4225" s="52"/>
    </row>
    <row r="4227" spans="1:21" x14ac:dyDescent="0.2">
      <c r="L4227" s="52" t="str">
        <f>IF(C4227="","",G4225*C4227)</f>
        <v/>
      </c>
    </row>
    <row r="4228" spans="1:21" x14ac:dyDescent="0.2">
      <c r="L4228" s="52" t="str">
        <f>IF(C4228="","",G4225*C4228)</f>
        <v/>
      </c>
    </row>
    <row r="4229" spans="1:21" x14ac:dyDescent="0.2">
      <c r="L4229" s="52" t="str">
        <f>IF(C4229="","",G4225*C4229)</f>
        <v/>
      </c>
    </row>
    <row r="4230" spans="1:21" x14ac:dyDescent="0.2">
      <c r="A4230" s="104"/>
      <c r="K4230" s="54">
        <f>K4223-L4223</f>
        <v>0</v>
      </c>
      <c r="L4230" s="52" t="str">
        <f>IF(C4230="","",G4225*C4230)</f>
        <v/>
      </c>
    </row>
    <row r="4231" spans="1:21" x14ac:dyDescent="0.2">
      <c r="A4231" s="104"/>
      <c r="K4231" s="54">
        <f>K4230/2</f>
        <v>0</v>
      </c>
      <c r="L4231" s="52" t="str">
        <f>IF(C4231="","",G4225*C4231)</f>
        <v/>
      </c>
    </row>
    <row r="4232" spans="1:21" x14ac:dyDescent="0.2">
      <c r="A4232" s="104"/>
      <c r="L4232" s="52" t="str">
        <f>IF(C4232="","",G4225*C4232)</f>
        <v/>
      </c>
    </row>
    <row r="4233" spans="1:21" x14ac:dyDescent="0.2">
      <c r="A4233" s="104"/>
      <c r="L4233" s="52" t="str">
        <f>IF(C4233="","",G4225*C4233)</f>
        <v/>
      </c>
    </row>
    <row r="4234" spans="1:21" x14ac:dyDescent="0.2">
      <c r="A4234" s="104"/>
      <c r="L4234" s="52" t="str">
        <f>IF(C4234="","",G4225*C4234)</f>
        <v/>
      </c>
    </row>
    <row r="4235" spans="1:21" x14ac:dyDescent="0.2">
      <c r="A4235" s="104"/>
      <c r="L4235" s="52" t="str">
        <f>IF(C4235="","",G4225*C4235)</f>
        <v/>
      </c>
    </row>
  </sheetData>
  <sheetProtection algorithmName="SHA-512" hashValue="FQxfJnx4JLsdbL87oWidyho30BOcppIvqqyq2L1r30/olzfOeUZimmk5c9748mg+dc6U5U9AJI5YZjxWfIbNdw==" saltValue="fuQT2t6OiDbjZoXyJ3gZDQ==" spinCount="100000" sheet="1" objects="1" scenarios="1" selectLockedCells="1"/>
  <mergeCells count="90">
    <mergeCell ref="C376:D376"/>
    <mergeCell ref="C636:D636"/>
    <mergeCell ref="C1000:D1000"/>
    <mergeCell ref="C792:D792"/>
    <mergeCell ref="C532:D532"/>
    <mergeCell ref="C584:D584"/>
    <mergeCell ref="C428:D428"/>
    <mergeCell ref="C480:D480"/>
    <mergeCell ref="C688:D688"/>
    <mergeCell ref="C740:D740"/>
    <mergeCell ref="C948:D948"/>
    <mergeCell ref="C844:D844"/>
    <mergeCell ref="C896:D896"/>
    <mergeCell ref="C12:D12"/>
    <mergeCell ref="C116:D116"/>
    <mergeCell ref="C168:D168"/>
    <mergeCell ref="C324:D324"/>
    <mergeCell ref="C272:D272"/>
    <mergeCell ref="C220:D220"/>
    <mergeCell ref="C64:D64"/>
    <mergeCell ref="K4224:L4224"/>
    <mergeCell ref="G4224:H4224"/>
    <mergeCell ref="C1156:D1156"/>
    <mergeCell ref="C1104:D1104"/>
    <mergeCell ref="C1052:D1052"/>
    <mergeCell ref="C1832:D1832"/>
    <mergeCell ref="C1572:D1572"/>
    <mergeCell ref="C2040:D2040"/>
    <mergeCell ref="C4068:D4068"/>
    <mergeCell ref="C4172:D4172"/>
    <mergeCell ref="C1208:D1208"/>
    <mergeCell ref="C3808:D3808"/>
    <mergeCell ref="C1780:D1780"/>
    <mergeCell ref="C3080:D3080"/>
    <mergeCell ref="A10:F10"/>
    <mergeCell ref="D8:E9"/>
    <mergeCell ref="A7:F7"/>
    <mergeCell ref="F8:F9"/>
    <mergeCell ref="A8:B8"/>
    <mergeCell ref="A9:B9"/>
    <mergeCell ref="A1:F5"/>
    <mergeCell ref="C4120:D4120"/>
    <mergeCell ref="C3704:D3704"/>
    <mergeCell ref="C3548:D3548"/>
    <mergeCell ref="C2768:D2768"/>
    <mergeCell ref="C3392:D3392"/>
    <mergeCell ref="C2976:D2976"/>
    <mergeCell ref="C3860:D3860"/>
    <mergeCell ref="C3912:D3912"/>
    <mergeCell ref="C3964:D3964"/>
    <mergeCell ref="C4016:D4016"/>
    <mergeCell ref="C3496:D3496"/>
    <mergeCell ref="C3600:D3600"/>
    <mergeCell ref="C3756:D3756"/>
    <mergeCell ref="C3652:D3652"/>
    <mergeCell ref="C3444:D3444"/>
    <mergeCell ref="C3028:D3028"/>
    <mergeCell ref="C1936:D1936"/>
    <mergeCell ref="C1260:D1260"/>
    <mergeCell ref="C1728:D1728"/>
    <mergeCell ref="C1624:D1624"/>
    <mergeCell ref="C1884:D1884"/>
    <mergeCell ref="C1520:D1520"/>
    <mergeCell ref="C1676:D1676"/>
    <mergeCell ref="C1468:D1468"/>
    <mergeCell ref="C1312:D1312"/>
    <mergeCell ref="C1416:D1416"/>
    <mergeCell ref="C1364:D1364"/>
    <mergeCell ref="C1988:D1988"/>
    <mergeCell ref="C2352:D2352"/>
    <mergeCell ref="C2508:D2508"/>
    <mergeCell ref="C2560:D2560"/>
    <mergeCell ref="C2612:D2612"/>
    <mergeCell ref="C2092:D2092"/>
    <mergeCell ref="C2248:D2248"/>
    <mergeCell ref="C2300:D2300"/>
    <mergeCell ref="C2456:D2456"/>
    <mergeCell ref="C2196:D2196"/>
    <mergeCell ref="C2144:D2144"/>
    <mergeCell ref="C2404:D2404"/>
    <mergeCell ref="C2664:D2664"/>
    <mergeCell ref="C2716:D2716"/>
    <mergeCell ref="C2820:D2820"/>
    <mergeCell ref="C2872:D2872"/>
    <mergeCell ref="C2924:D2924"/>
    <mergeCell ref="C3132:D3132"/>
    <mergeCell ref="C3184:D3184"/>
    <mergeCell ref="C3236:D3236"/>
    <mergeCell ref="C3288:D3288"/>
    <mergeCell ref="C3340:D3340"/>
  </mergeCells>
  <printOptions horizontalCentered="1"/>
  <pageMargins left="0.59055118110236227" right="0.59055118110236227" top="0.51" bottom="0.39370078740157483" header="0.59055118110236227" footer="0.23622047244094491"/>
  <pageSetup paperSize="9" scale="63" fitToHeight="81" orientation="landscape" horizontalDpi="4294967293" verticalDpi="4294967293" r:id="rId1"/>
  <headerFooter alignWithMargins="0">
    <oddFooter>&amp;C&amp;"Arial,Negrito itálico"Página &amp;P / &amp;N</oddFooter>
  </headerFooter>
  <rowBreaks count="103" manualBreakCount="103">
    <brk id="62" min="1" max="5" man="1"/>
    <brk id="114" min="1" max="5" man="1"/>
    <brk id="166" max="5" man="1"/>
    <brk id="218" max="5" man="1"/>
    <brk id="270" max="5" man="1"/>
    <brk id="322" max="5" man="1"/>
    <brk id="374" max="5" man="1"/>
    <brk id="426" max="5" man="1"/>
    <brk id="478" max="5" man="1"/>
    <brk id="530" max="5" man="1"/>
    <brk id="582" max="5" man="1"/>
    <brk id="634" max="5" man="1"/>
    <brk id="686" max="5" man="1"/>
    <brk id="738" max="5" man="1"/>
    <brk id="790" max="5" man="1"/>
    <brk id="842" max="5" man="1"/>
    <brk id="894" max="5" man="1"/>
    <brk id="946" max="5" man="1"/>
    <brk id="998" max="5" man="1"/>
    <brk id="1050" max="5" man="1"/>
    <brk id="1102" max="5" man="1"/>
    <brk id="1154" max="5" man="1"/>
    <brk id="1206" max="5" man="1"/>
    <brk id="1258" max="5" man="1"/>
    <brk id="1310" max="5" man="1"/>
    <brk id="1362" max="5" man="1"/>
    <brk id="1414" max="5" man="1"/>
    <brk id="1466" max="5" man="1"/>
    <brk id="1518" max="5" man="1"/>
    <brk id="1570" max="5" man="1"/>
    <brk id="1622" max="5" man="1"/>
    <brk id="1674" max="5" man="1"/>
    <brk id="1726" max="5" man="1"/>
    <brk id="1778" max="5" man="1"/>
    <brk id="1830" max="5" man="1"/>
    <brk id="1882" max="5" man="1"/>
    <brk id="1934" max="5" man="1"/>
    <brk id="1986" max="5" man="1"/>
    <brk id="2038" max="5" man="1"/>
    <brk id="2090" max="5" man="1"/>
    <brk id="2142" max="5" man="1"/>
    <brk id="2194" max="5" man="1"/>
    <brk id="2246" max="5" man="1"/>
    <brk id="2298" max="5" man="1"/>
    <brk id="2350" max="5" man="1"/>
    <brk id="2402" max="5" man="1"/>
    <brk id="2454" max="5" man="1"/>
    <brk id="2506" max="5" man="1"/>
    <brk id="2558" max="5" man="1"/>
    <brk id="2610" max="5" man="1"/>
    <brk id="2662" max="5" man="1"/>
    <brk id="2714" max="5" man="1"/>
    <brk id="2766" max="5" man="1"/>
    <brk id="2818" max="5" man="1"/>
    <brk id="2870" max="5" man="1"/>
    <brk id="2922" max="5" man="1"/>
    <brk id="2974" max="5" man="1"/>
    <brk id="3026" max="5" man="1"/>
    <brk id="3078" max="5" man="1"/>
    <brk id="3130" max="5" man="1"/>
    <brk id="3182" max="5" man="1"/>
    <brk id="3234" max="5" man="1"/>
    <brk id="3286" max="5" man="1"/>
    <brk id="3338" max="5" man="1"/>
    <brk id="3390" max="5" man="1"/>
    <brk id="3442" max="5" man="1"/>
    <brk id="3494" max="5" man="1"/>
    <brk id="3546" max="5" man="1"/>
    <brk id="3598" max="5" man="1"/>
    <brk id="3650" max="5" man="1"/>
    <brk id="3702" max="5" man="1"/>
    <brk id="3754" max="5" man="1"/>
    <brk id="3806" max="5" man="1"/>
    <brk id="3858" max="5" man="1"/>
    <brk id="3910" max="5" man="1"/>
    <brk id="3962" max="5" man="1"/>
    <brk id="4014" max="5" man="1"/>
    <brk id="4066" min="1" max="5" man="1"/>
    <brk id="4118" max="5" man="1"/>
    <brk id="4170" max="5" man="1"/>
    <brk id="426" max="5" man="1"/>
    <brk id="478" max="5" man="1"/>
    <brk id="530" max="5" man="1"/>
    <brk id="582" max="5" man="1"/>
    <brk id="790" max="5" man="1"/>
    <brk id="894" max="5" man="1"/>
    <brk id="998" max="5" man="1"/>
    <brk id="1206" max="5" man="1"/>
    <brk id="1518" max="5" man="1"/>
    <brk id="1674" max="5" man="1"/>
    <brk id="1466" max="5" man="1"/>
    <brk id="2142" max="5" man="1"/>
    <brk id="1986" max="5" man="1"/>
    <brk id="2402" max="5" man="1"/>
    <brk id="2766" max="5" man="1"/>
    <brk id="3026" max="5" man="1"/>
    <brk id="3390" max="5" man="1"/>
    <brk id="1310" max="5" man="1"/>
    <brk id="3546" max="5" man="1"/>
    <brk id="3702" max="5" man="1"/>
    <brk id="1726" max="5" man="1"/>
    <brk id="1778" max="5" man="1"/>
    <brk id="4118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1">
    <pageSetUpPr fitToPage="1"/>
  </sheetPr>
  <dimension ref="A1:HS189"/>
  <sheetViews>
    <sheetView showGridLines="0" view="pageBreakPreview" zoomScale="90" zoomScaleSheetLayoutView="90" workbookViewId="0">
      <pane xSplit="6" ySplit="7" topLeftCell="G12" activePane="bottomRight" state="frozen"/>
      <selection pane="topRight" activeCell="G1" sqref="G1"/>
      <selection pane="bottomLeft" activeCell="A8" sqref="A8"/>
      <selection pane="bottomRight" activeCell="E24" sqref="E24"/>
    </sheetView>
  </sheetViews>
  <sheetFormatPr defaultRowHeight="15" x14ac:dyDescent="0.2"/>
  <cols>
    <col min="1" max="1" width="10.7109375" style="207" customWidth="1"/>
    <col min="2" max="2" width="18.7109375" style="49" customWidth="1"/>
    <col min="3" max="3" width="113.5703125" style="68" customWidth="1"/>
    <col min="4" max="4" width="8" style="64" customWidth="1"/>
    <col min="5" max="5" width="14.28515625" style="210" bestFit="1" customWidth="1"/>
    <col min="6" max="6" width="11.85546875" style="241" hidden="1" customWidth="1"/>
    <col min="7" max="7" width="7.28515625" style="211" hidden="1" customWidth="1"/>
    <col min="8" max="8" width="11.7109375" style="66" hidden="1" customWidth="1"/>
    <col min="9" max="9" width="6.5703125" style="64" hidden="1" customWidth="1"/>
    <col min="10" max="10" width="14.5703125" style="67" hidden="1" customWidth="1"/>
    <col min="11" max="11" width="14.42578125" style="67" hidden="1" customWidth="1"/>
    <col min="12" max="12" width="9.140625" style="1" hidden="1" customWidth="1"/>
    <col min="13" max="13" width="12" style="1" hidden="1" customWidth="1"/>
    <col min="14" max="14" width="9.140625" style="242" hidden="1" customWidth="1"/>
    <col min="15" max="15" width="11" style="1" hidden="1" customWidth="1"/>
    <col min="16" max="16" width="12" style="1" hidden="1" customWidth="1"/>
    <col min="17" max="17" width="9.140625" style="1" hidden="1" customWidth="1"/>
    <col min="18" max="23" width="9.140625" style="1" customWidth="1"/>
    <col min="24" max="211" width="9.140625" style="1"/>
    <col min="212" max="212" width="11.42578125" style="1" bestFit="1" customWidth="1"/>
    <col min="213" max="16384" width="9.140625" style="1"/>
  </cols>
  <sheetData>
    <row r="1" spans="1:227" s="69" customFormat="1" ht="15" customHeight="1" x14ac:dyDescent="0.2">
      <c r="A1" s="440" t="str">
        <f>'3.A'!$A$1</f>
        <v>TIMBRE DO LICITANTE</v>
      </c>
      <c r="B1" s="440"/>
      <c r="C1" s="440"/>
      <c r="D1" s="440"/>
      <c r="E1" s="440"/>
      <c r="F1" s="440"/>
      <c r="G1" s="217"/>
      <c r="H1" s="107"/>
      <c r="I1" s="107"/>
      <c r="J1" s="107"/>
      <c r="N1" s="242"/>
    </row>
    <row r="2" spans="1:227" s="69" customFormat="1" ht="15" customHeight="1" x14ac:dyDescent="0.2">
      <c r="A2" s="440"/>
      <c r="B2" s="440"/>
      <c r="C2" s="440"/>
      <c r="D2" s="440"/>
      <c r="E2" s="440"/>
      <c r="F2" s="440"/>
      <c r="G2" s="217"/>
      <c r="N2" s="242"/>
    </row>
    <row r="3" spans="1:227" s="69" customFormat="1" ht="3.75" customHeight="1" x14ac:dyDescent="0.2">
      <c r="A3" s="440"/>
      <c r="B3" s="440"/>
      <c r="C3" s="440"/>
      <c r="D3" s="440"/>
      <c r="E3" s="440"/>
      <c r="F3" s="440"/>
      <c r="G3" s="206"/>
      <c r="H3" s="108"/>
      <c r="I3" s="109"/>
      <c r="J3" s="103"/>
      <c r="N3" s="242"/>
    </row>
    <row r="4" spans="1:227" s="69" customFormat="1" ht="15" customHeight="1" x14ac:dyDescent="0.2">
      <c r="A4" s="440"/>
      <c r="B4" s="440"/>
      <c r="C4" s="440"/>
      <c r="D4" s="440"/>
      <c r="E4" s="440"/>
      <c r="F4" s="440"/>
      <c r="G4" s="218"/>
      <c r="H4" s="107"/>
      <c r="I4" s="403">
        <f>'3.A'!$F$248</f>
        <v>0</v>
      </c>
      <c r="J4" s="403"/>
      <c r="K4" s="403"/>
      <c r="N4" s="242"/>
    </row>
    <row r="5" spans="1:227" s="69" customFormat="1" ht="11.25" customHeight="1" x14ac:dyDescent="0.2">
      <c r="A5" s="440"/>
      <c r="B5" s="440"/>
      <c r="C5" s="440"/>
      <c r="D5" s="440"/>
      <c r="E5" s="440"/>
      <c r="F5" s="440"/>
      <c r="G5" s="218"/>
      <c r="N5" s="242"/>
    </row>
    <row r="6" spans="1:227" ht="15.75" x14ac:dyDescent="0.2">
      <c r="A6" s="448" t="s">
        <v>636</v>
      </c>
      <c r="B6" s="448"/>
      <c r="C6" s="448"/>
      <c r="D6" s="448"/>
      <c r="E6" s="448"/>
      <c r="F6" s="448"/>
      <c r="G6" s="216"/>
      <c r="H6" s="112"/>
      <c r="I6" s="112"/>
      <c r="J6" s="113"/>
      <c r="K6" s="113"/>
      <c r="L6" s="114"/>
      <c r="M6" s="114"/>
      <c r="N6" s="370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  <c r="BC6" s="114"/>
      <c r="BD6" s="114"/>
      <c r="BE6" s="114"/>
      <c r="BF6" s="114"/>
      <c r="BG6" s="114"/>
      <c r="BH6" s="114"/>
      <c r="BI6" s="114"/>
      <c r="BJ6" s="114"/>
      <c r="BK6" s="114"/>
      <c r="BL6" s="114"/>
      <c r="BM6" s="114"/>
      <c r="BN6" s="114"/>
      <c r="BO6" s="114"/>
      <c r="BP6" s="114"/>
      <c r="BQ6" s="114"/>
      <c r="BR6" s="114"/>
      <c r="BS6" s="114"/>
      <c r="BT6" s="114"/>
      <c r="BU6" s="114"/>
      <c r="BV6" s="114"/>
      <c r="BW6" s="114"/>
      <c r="BX6" s="114"/>
      <c r="BY6" s="114"/>
      <c r="BZ6" s="114"/>
      <c r="CA6" s="114"/>
      <c r="CB6" s="114"/>
      <c r="CC6" s="114"/>
      <c r="CD6" s="114"/>
      <c r="CE6" s="114"/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  <c r="DL6" s="114"/>
      <c r="DM6" s="114"/>
      <c r="DN6" s="114"/>
      <c r="DO6" s="114"/>
      <c r="DP6" s="114"/>
      <c r="DQ6" s="114"/>
      <c r="DR6" s="114"/>
      <c r="DS6" s="114"/>
      <c r="DT6" s="114"/>
      <c r="DU6" s="114"/>
      <c r="DV6" s="114"/>
      <c r="DW6" s="114"/>
      <c r="DX6" s="114"/>
      <c r="DY6" s="114"/>
      <c r="DZ6" s="114"/>
      <c r="EA6" s="114"/>
      <c r="EB6" s="114"/>
      <c r="EC6" s="114"/>
      <c r="ED6" s="114"/>
      <c r="EE6" s="114"/>
      <c r="EF6" s="114"/>
      <c r="EG6" s="114"/>
      <c r="EH6" s="114"/>
      <c r="EI6" s="114"/>
      <c r="EJ6" s="114"/>
      <c r="EK6" s="114"/>
      <c r="EL6" s="114"/>
      <c r="EM6" s="114"/>
      <c r="EN6" s="114"/>
      <c r="EO6" s="114"/>
      <c r="EP6" s="114"/>
      <c r="EQ6" s="114"/>
      <c r="ER6" s="114"/>
      <c r="ES6" s="114"/>
      <c r="ET6" s="114"/>
      <c r="EU6" s="114"/>
      <c r="EV6" s="114"/>
      <c r="EW6" s="114"/>
      <c r="EX6" s="114"/>
      <c r="EY6" s="114"/>
      <c r="EZ6" s="114"/>
      <c r="FA6" s="114"/>
      <c r="FB6" s="114"/>
      <c r="FC6" s="114"/>
      <c r="FD6" s="114"/>
      <c r="FE6" s="114"/>
      <c r="FF6" s="114"/>
      <c r="FG6" s="114"/>
      <c r="FH6" s="114"/>
      <c r="FI6" s="114"/>
      <c r="FJ6" s="114"/>
      <c r="FK6" s="114"/>
      <c r="FL6" s="114"/>
      <c r="FM6" s="114"/>
      <c r="FN6" s="114"/>
      <c r="FO6" s="114"/>
      <c r="FP6" s="114"/>
      <c r="FQ6" s="114"/>
      <c r="FR6" s="114"/>
      <c r="FS6" s="114"/>
      <c r="FT6" s="114"/>
      <c r="FU6" s="114"/>
      <c r="FV6" s="114"/>
      <c r="FW6" s="114"/>
      <c r="FX6" s="114"/>
      <c r="FY6" s="114"/>
      <c r="FZ6" s="114"/>
      <c r="GA6" s="114"/>
      <c r="GB6" s="114"/>
      <c r="GC6" s="114"/>
      <c r="GD6" s="114"/>
      <c r="GE6" s="114"/>
      <c r="GF6" s="114"/>
      <c r="GG6" s="114"/>
      <c r="GH6" s="114"/>
      <c r="GI6" s="114"/>
      <c r="GJ6" s="114"/>
      <c r="GK6" s="114"/>
      <c r="GL6" s="114"/>
      <c r="GM6" s="114"/>
      <c r="GN6" s="114"/>
      <c r="GO6" s="114"/>
      <c r="GP6" s="114"/>
      <c r="GQ6" s="114"/>
      <c r="GR6" s="114"/>
      <c r="GS6" s="114"/>
      <c r="GT6" s="114"/>
      <c r="GU6" s="114"/>
      <c r="GV6" s="114"/>
      <c r="GW6" s="114"/>
      <c r="GX6" s="114"/>
      <c r="GY6" s="114"/>
      <c r="GZ6" s="114"/>
      <c r="HA6" s="114"/>
      <c r="HB6" s="114"/>
      <c r="HC6" s="114"/>
      <c r="HD6" s="114"/>
      <c r="HE6" s="114"/>
      <c r="HF6" s="114"/>
      <c r="HG6" s="114"/>
      <c r="HH6" s="114"/>
      <c r="HI6" s="114"/>
      <c r="HJ6" s="114"/>
      <c r="HK6" s="114"/>
      <c r="HL6" s="114"/>
      <c r="HM6" s="114"/>
      <c r="HN6" s="114"/>
      <c r="HO6" s="114"/>
      <c r="HP6" s="114"/>
      <c r="HQ6" s="114"/>
      <c r="HR6" s="114"/>
      <c r="HS6" s="114"/>
    </row>
    <row r="7" spans="1:227" s="69" customFormat="1" ht="6.95" customHeight="1" x14ac:dyDescent="0.2">
      <c r="A7" s="441"/>
      <c r="B7" s="441"/>
      <c r="C7" s="441"/>
      <c r="D7" s="441"/>
      <c r="E7" s="441"/>
      <c r="F7" s="441"/>
      <c r="G7" s="441"/>
      <c r="H7" s="110"/>
      <c r="I7" s="111"/>
      <c r="J7" s="66"/>
      <c r="N7" s="242"/>
    </row>
    <row r="8" spans="1:227" s="214" customFormat="1" ht="24.75" customHeight="1" x14ac:dyDescent="0.2">
      <c r="A8" s="443" t="str">
        <f>'3.A'!$A$8</f>
        <v>REFORMA DE 3 ENTRADAS DE ENERGIA EM 3 POÇOS TUBULARES DO AQUÍFERO BAURU (PTB) NO MUNÍCIPIO DE SÃO JOSÉ DO RIO PRETO</v>
      </c>
      <c r="B8" s="443"/>
      <c r="C8" s="443"/>
      <c r="D8" s="443"/>
      <c r="E8" s="443"/>
      <c r="F8" s="443"/>
      <c r="G8" s="215"/>
      <c r="H8" s="212"/>
      <c r="I8" s="213"/>
      <c r="J8" s="179"/>
      <c r="N8" s="371"/>
    </row>
    <row r="9" spans="1:227" s="69" customFormat="1" ht="6" customHeight="1" x14ac:dyDescent="0.2">
      <c r="A9" s="441"/>
      <c r="B9" s="441"/>
      <c r="C9" s="441"/>
      <c r="D9" s="441"/>
      <c r="E9" s="441"/>
      <c r="F9" s="441"/>
      <c r="G9" s="441"/>
      <c r="H9" s="110"/>
      <c r="I9" s="111"/>
      <c r="J9" s="66"/>
      <c r="N9" s="242"/>
    </row>
    <row r="10" spans="1:227" ht="6.95" customHeight="1" thickBot="1" x14ac:dyDescent="0.25">
      <c r="A10" s="442"/>
      <c r="B10" s="442"/>
      <c r="C10" s="442"/>
      <c r="D10" s="442"/>
      <c r="E10" s="442"/>
      <c r="F10" s="442"/>
      <c r="G10" s="442"/>
      <c r="J10" s="115"/>
      <c r="K10" s="115"/>
      <c r="L10" s="114"/>
      <c r="M10" s="114"/>
      <c r="N10" s="370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/>
      <c r="BT10" s="114"/>
      <c r="BU10" s="114"/>
      <c r="BV10" s="114"/>
      <c r="BW10" s="114"/>
      <c r="BX10" s="114"/>
      <c r="BY10" s="114"/>
      <c r="BZ10" s="114"/>
      <c r="CA10" s="114"/>
      <c r="CB10" s="114"/>
      <c r="CC10" s="114"/>
      <c r="CD10" s="114"/>
      <c r="CE10" s="114"/>
      <c r="CF10" s="11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/>
      <c r="CT10" s="114"/>
      <c r="CU10" s="114"/>
      <c r="CV10" s="114"/>
      <c r="CW10" s="114"/>
      <c r="CX10" s="114"/>
      <c r="CY10" s="114"/>
      <c r="CZ10" s="114"/>
      <c r="DA10" s="114"/>
      <c r="DB10" s="114"/>
      <c r="DC10" s="114"/>
      <c r="DD10" s="114"/>
      <c r="DE10" s="114"/>
      <c r="DF10" s="114"/>
      <c r="DG10" s="114"/>
      <c r="DH10" s="114"/>
      <c r="DI10" s="114"/>
      <c r="DJ10" s="114"/>
      <c r="DK10" s="114"/>
      <c r="DL10" s="114"/>
      <c r="DM10" s="114"/>
      <c r="DN10" s="114"/>
      <c r="DO10" s="114"/>
      <c r="DP10" s="114"/>
      <c r="DQ10" s="114"/>
      <c r="DR10" s="114"/>
      <c r="DS10" s="114"/>
      <c r="DT10" s="114"/>
      <c r="DU10" s="114"/>
      <c r="DV10" s="114"/>
      <c r="DW10" s="114"/>
      <c r="DX10" s="114"/>
      <c r="DY10" s="114"/>
      <c r="DZ10" s="114"/>
      <c r="EA10" s="114"/>
      <c r="EB10" s="114"/>
      <c r="EC10" s="114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4"/>
      <c r="EU10" s="114"/>
      <c r="EV10" s="114"/>
      <c r="EW10" s="114"/>
      <c r="EX10" s="114"/>
      <c r="EY10" s="114"/>
      <c r="EZ10" s="114"/>
      <c r="FA10" s="114"/>
      <c r="FB10" s="114"/>
      <c r="FC10" s="114"/>
      <c r="FD10" s="114"/>
      <c r="FE10" s="114"/>
      <c r="FF10" s="114"/>
      <c r="FG10" s="114"/>
      <c r="FH10" s="114"/>
      <c r="FI10" s="114"/>
      <c r="FJ10" s="114"/>
      <c r="FK10" s="114"/>
      <c r="FL10" s="114"/>
      <c r="FM10" s="114"/>
      <c r="FN10" s="114"/>
      <c r="FO10" s="114"/>
      <c r="FP10" s="114"/>
      <c r="FQ10" s="114"/>
      <c r="FR10" s="114"/>
      <c r="FS10" s="114"/>
      <c r="FT10" s="114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G10" s="114"/>
      <c r="GH10" s="114"/>
      <c r="GI10" s="114"/>
      <c r="GJ10" s="114"/>
      <c r="GK10" s="114"/>
      <c r="GL10" s="114"/>
      <c r="GM10" s="114"/>
      <c r="GN10" s="114"/>
      <c r="GO10" s="114"/>
      <c r="GP10" s="114"/>
      <c r="GQ10" s="114"/>
      <c r="GR10" s="114"/>
      <c r="GS10" s="114"/>
      <c r="GT10" s="114"/>
      <c r="GU10" s="114"/>
      <c r="GV10" s="114"/>
      <c r="GW10" s="114"/>
      <c r="GX10" s="114"/>
      <c r="GY10" s="114"/>
      <c r="GZ10" s="114"/>
      <c r="HA10" s="114"/>
      <c r="HB10" s="114"/>
      <c r="HC10" s="114"/>
      <c r="HD10" s="114"/>
      <c r="HE10" s="114"/>
      <c r="HF10" s="114"/>
      <c r="HG10" s="114"/>
      <c r="HH10" s="114"/>
      <c r="HI10" s="114"/>
      <c r="HJ10" s="114"/>
      <c r="HK10" s="114"/>
    </row>
    <row r="11" spans="1:227" ht="20.100000000000001" customHeight="1" thickBot="1" x14ac:dyDescent="0.25">
      <c r="A11" s="119" t="s">
        <v>3</v>
      </c>
      <c r="B11" s="446" t="s">
        <v>0</v>
      </c>
      <c r="C11" s="447"/>
      <c r="D11" s="120" t="s">
        <v>66</v>
      </c>
      <c r="E11" s="121" t="s">
        <v>1</v>
      </c>
      <c r="F11" s="239" t="s">
        <v>67</v>
      </c>
      <c r="G11" s="116" t="s">
        <v>54</v>
      </c>
      <c r="N11" s="72" t="s">
        <v>32</v>
      </c>
      <c r="O11" s="125">
        <f>'8.A'!C43</f>
        <v>0</v>
      </c>
    </row>
    <row r="12" spans="1:227" ht="18" customHeight="1" x14ac:dyDescent="0.2">
      <c r="A12" s="261">
        <v>88238</v>
      </c>
      <c r="B12" s="476" t="s">
        <v>115</v>
      </c>
      <c r="C12" s="477"/>
      <c r="D12" s="262" t="s">
        <v>35</v>
      </c>
      <c r="E12" s="921">
        <v>0</v>
      </c>
      <c r="F12" s="263" t="s">
        <v>28</v>
      </c>
      <c r="G12" s="254">
        <f t="shared" ref="G12:G25" si="0">IF(F12="SINAPI",$D$186,IF(F12="SICRO",$D$185,IF(F12="SIURB",$D$187,IF(F12="SABESP",$D$188,IF(F12="CDHU",$D$189,"-")))))</f>
        <v>46023</v>
      </c>
      <c r="H12" s="66">
        <f>SUMIF('5.A'!$B$7:$B$4222,B12,'5.A'!$L$7:$L$4222)</f>
        <v>1.8431933783999999</v>
      </c>
      <c r="I12" s="64" t="str">
        <f t="shared" ref="I12" si="1">IF(H12=0,"no","si")</f>
        <v>si</v>
      </c>
      <c r="J12" s="127">
        <v>33.49</v>
      </c>
      <c r="K12" s="127">
        <f t="shared" ref="K12" si="2">ROUND(J12/(1+$O$11),2)</f>
        <v>33.49</v>
      </c>
      <c r="AM12" s="1" t="s">
        <v>115</v>
      </c>
    </row>
    <row r="13" spans="1:227" ht="18" customHeight="1" x14ac:dyDescent="0.2">
      <c r="A13" s="264">
        <v>88239</v>
      </c>
      <c r="B13" s="444" t="s">
        <v>36</v>
      </c>
      <c r="C13" s="445"/>
      <c r="D13" s="265" t="s">
        <v>35</v>
      </c>
      <c r="E13" s="922">
        <v>0</v>
      </c>
      <c r="F13" s="240" t="s">
        <v>28</v>
      </c>
      <c r="G13" s="205">
        <f t="shared" si="0"/>
        <v>46023</v>
      </c>
      <c r="H13" s="66">
        <f>SUMIF('5.A'!$B$7:$B$4222,B13,'5.A'!$L$7:$L$4222)</f>
        <v>3.8551840000000004</v>
      </c>
      <c r="I13" s="64" t="str">
        <f t="shared" ref="I13:I22" si="3">IF(H13=0,"no","si")</f>
        <v>si</v>
      </c>
      <c r="J13" s="127">
        <v>33.11</v>
      </c>
      <c r="K13" s="127">
        <f t="shared" ref="K13:K25" si="4">ROUND(J13/(1+$O$11),2)</f>
        <v>33.11</v>
      </c>
      <c r="N13" s="72"/>
      <c r="O13" s="125"/>
      <c r="AM13" s="1" t="s">
        <v>36</v>
      </c>
    </row>
    <row r="14" spans="1:227" ht="18" customHeight="1" x14ac:dyDescent="0.2">
      <c r="A14" s="264">
        <v>88245</v>
      </c>
      <c r="B14" s="444" t="s">
        <v>114</v>
      </c>
      <c r="C14" s="445"/>
      <c r="D14" s="265" t="s">
        <v>35</v>
      </c>
      <c r="E14" s="922">
        <v>0</v>
      </c>
      <c r="F14" s="240" t="s">
        <v>28</v>
      </c>
      <c r="G14" s="205">
        <f t="shared" si="0"/>
        <v>46023</v>
      </c>
      <c r="H14" s="66">
        <f>SUMIF('5.A'!$B$7:$B$4222,B14,'5.A'!$L$7:$L$4222)</f>
        <v>3.2766233007999999</v>
      </c>
      <c r="I14" s="64" t="str">
        <f t="shared" ref="I14:I15" si="5">IF(H14=0,"no","si")</f>
        <v>si</v>
      </c>
      <c r="J14" s="127">
        <v>35.619999999999997</v>
      </c>
      <c r="K14" s="127">
        <f t="shared" ref="K14" si="6">ROUND(J14/(1+$O$11),2)</f>
        <v>35.619999999999997</v>
      </c>
      <c r="AM14" s="1" t="s">
        <v>114</v>
      </c>
    </row>
    <row r="15" spans="1:227" ht="18" customHeight="1" x14ac:dyDescent="0.2">
      <c r="A15" s="264">
        <v>88247</v>
      </c>
      <c r="B15" s="444" t="s">
        <v>144</v>
      </c>
      <c r="C15" s="445"/>
      <c r="D15" s="265" t="s">
        <v>35</v>
      </c>
      <c r="E15" s="922">
        <v>0</v>
      </c>
      <c r="F15" s="240" t="s">
        <v>28</v>
      </c>
      <c r="G15" s="205">
        <f t="shared" si="0"/>
        <v>46023</v>
      </c>
      <c r="H15" s="66">
        <f>SUMIF('5.A'!$B$7:$B$4222,B15,'5.A'!$L$7:$L$4222)</f>
        <v>418.96147699999989</v>
      </c>
      <c r="I15" s="64" t="str">
        <f t="shared" si="5"/>
        <v>si</v>
      </c>
      <c r="J15" s="127">
        <v>34.119999999999997</v>
      </c>
      <c r="K15" s="127">
        <f t="shared" ref="K15" si="7">ROUND(J15/(1+$O$11),2)</f>
        <v>34.119999999999997</v>
      </c>
      <c r="AM15" s="1" t="s">
        <v>118</v>
      </c>
    </row>
    <row r="16" spans="1:227" ht="18" customHeight="1" x14ac:dyDescent="0.2">
      <c r="A16" s="264">
        <v>88261</v>
      </c>
      <c r="B16" s="444" t="s">
        <v>174</v>
      </c>
      <c r="C16" s="445"/>
      <c r="D16" s="265" t="s">
        <v>35</v>
      </c>
      <c r="E16" s="922">
        <v>0</v>
      </c>
      <c r="F16" s="240" t="s">
        <v>28</v>
      </c>
      <c r="G16" s="205">
        <f t="shared" si="0"/>
        <v>46023</v>
      </c>
      <c r="H16" s="66">
        <f>SUMIF('5.A'!$B$7:$B$4222,B16,'5.A'!$L$7:$L$4222)</f>
        <v>3.5009200000000003</v>
      </c>
      <c r="I16" s="64" t="str">
        <f t="shared" ref="I16" si="8">IF(H16=0,"no","si")</f>
        <v>si</v>
      </c>
      <c r="J16" s="127">
        <v>35.24</v>
      </c>
      <c r="K16" s="127">
        <f t="shared" ref="K16" si="9">ROUND(J16/(1+$O$11),2)</f>
        <v>35.24</v>
      </c>
      <c r="L16" s="68"/>
      <c r="AM16" s="1" t="s">
        <v>34</v>
      </c>
    </row>
    <row r="17" spans="1:216" ht="18" customHeight="1" x14ac:dyDescent="0.2">
      <c r="A17" s="264">
        <v>88262</v>
      </c>
      <c r="B17" s="444" t="s">
        <v>34</v>
      </c>
      <c r="C17" s="445"/>
      <c r="D17" s="265" t="s">
        <v>35</v>
      </c>
      <c r="E17" s="922">
        <v>0</v>
      </c>
      <c r="F17" s="240" t="s">
        <v>28</v>
      </c>
      <c r="G17" s="205">
        <f t="shared" si="0"/>
        <v>46023</v>
      </c>
      <c r="H17" s="66">
        <f>SUMIF('5.A'!$B$7:$B$4222,B17,'5.A'!$L$7:$L$4222)</f>
        <v>5.2755720000000004</v>
      </c>
      <c r="I17" s="64" t="str">
        <f t="shared" si="3"/>
        <v>si</v>
      </c>
      <c r="J17" s="127">
        <v>35.159999999999997</v>
      </c>
      <c r="K17" s="127">
        <f t="shared" si="4"/>
        <v>35.159999999999997</v>
      </c>
      <c r="L17" s="68"/>
      <c r="AM17" s="1" t="s">
        <v>34</v>
      </c>
    </row>
    <row r="18" spans="1:216" ht="18" customHeight="1" x14ac:dyDescent="0.2">
      <c r="A18" s="264">
        <v>88264</v>
      </c>
      <c r="B18" s="444" t="s">
        <v>145</v>
      </c>
      <c r="C18" s="445"/>
      <c r="D18" s="265" t="s">
        <v>35</v>
      </c>
      <c r="E18" s="922">
        <v>0</v>
      </c>
      <c r="F18" s="240" t="s">
        <v>28</v>
      </c>
      <c r="G18" s="205">
        <f t="shared" si="0"/>
        <v>46023</v>
      </c>
      <c r="H18" s="66">
        <f>SUMIF('5.A'!$B$7:$B$4222,B18,'5.A'!$L$7:$L$4222)</f>
        <v>549.42097699999999</v>
      </c>
      <c r="I18" s="64" t="str">
        <f t="shared" ref="I18" si="10">IF(H18=0,"no","si")</f>
        <v>si</v>
      </c>
      <c r="J18" s="127">
        <v>45.04</v>
      </c>
      <c r="K18" s="127">
        <f t="shared" ref="K18" si="11">ROUND(J18/(1+$O$11),2)</f>
        <v>45.04</v>
      </c>
      <c r="L18" s="68"/>
      <c r="AM18" s="1" t="s">
        <v>34</v>
      </c>
    </row>
    <row r="19" spans="1:216" ht="18" customHeight="1" x14ac:dyDescent="0.2">
      <c r="A19" s="264">
        <v>88266</v>
      </c>
      <c r="B19" s="444" t="s">
        <v>472</v>
      </c>
      <c r="C19" s="445"/>
      <c r="D19" s="265" t="s">
        <v>35</v>
      </c>
      <c r="E19" s="922">
        <v>0</v>
      </c>
      <c r="F19" s="240" t="s">
        <v>28</v>
      </c>
      <c r="G19" s="205">
        <f t="shared" si="0"/>
        <v>46023</v>
      </c>
      <c r="H19" s="66">
        <f>SUMIF('5.A'!$B$7:$B$4222,B19,'5.A'!$L$7:$L$4222)</f>
        <v>8.3999999999999986</v>
      </c>
      <c r="I19" s="64" t="str">
        <f>IF(H19=0,"no","si")</f>
        <v>si</v>
      </c>
      <c r="J19" s="127">
        <v>51.1</v>
      </c>
      <c r="K19" s="127">
        <f>ROUND(J19/(1+$O$11),2)</f>
        <v>51.1</v>
      </c>
      <c r="L19" s="68"/>
      <c r="AM19" s="1" t="s">
        <v>113</v>
      </c>
    </row>
    <row r="20" spans="1:216" ht="18" customHeight="1" x14ac:dyDescent="0.2">
      <c r="A20" s="264">
        <v>88309</v>
      </c>
      <c r="B20" s="444" t="s">
        <v>113</v>
      </c>
      <c r="C20" s="445"/>
      <c r="D20" s="265" t="s">
        <v>35</v>
      </c>
      <c r="E20" s="922">
        <v>0</v>
      </c>
      <c r="F20" s="240" t="s">
        <v>28</v>
      </c>
      <c r="G20" s="205">
        <f t="shared" si="0"/>
        <v>46023</v>
      </c>
      <c r="H20" s="66">
        <f>SUMIF('5.A'!$B$7:$B$4222,B20,'5.A'!$L$7:$L$4222)</f>
        <v>66.5470294</v>
      </c>
      <c r="I20" s="64" t="str">
        <f>IF(H20=0,"no","si")</f>
        <v>si</v>
      </c>
      <c r="J20" s="127">
        <v>35.869999999999997</v>
      </c>
      <c r="K20" s="127">
        <f>ROUND(J20/(1+$O$11),2)</f>
        <v>35.869999999999997</v>
      </c>
      <c r="L20" s="68"/>
      <c r="AM20" s="1" t="s">
        <v>113</v>
      </c>
    </row>
    <row r="21" spans="1:216" ht="18" customHeight="1" x14ac:dyDescent="0.2">
      <c r="A21" s="266">
        <v>88310</v>
      </c>
      <c r="B21" s="444" t="s">
        <v>143</v>
      </c>
      <c r="C21" s="445"/>
      <c r="D21" s="265" t="s">
        <v>35</v>
      </c>
      <c r="E21" s="922">
        <v>0</v>
      </c>
      <c r="F21" s="240" t="s">
        <v>28</v>
      </c>
      <c r="G21" s="205">
        <f t="shared" si="0"/>
        <v>46023</v>
      </c>
      <c r="H21" s="66">
        <f>SUMIF('5.A'!$B$7:$B$4222,B21,'5.A'!$L$7:$L$4222)</f>
        <v>23.128700000000002</v>
      </c>
      <c r="I21" s="64" t="str">
        <f>IF(H21=0,"no","si")</f>
        <v>si</v>
      </c>
      <c r="J21" s="127">
        <v>37.450000000000003</v>
      </c>
      <c r="K21" s="127">
        <f t="shared" ref="K21" si="12">ROUND(J21/(1+$O$11),2)</f>
        <v>37.450000000000003</v>
      </c>
      <c r="M21" s="126"/>
      <c r="N21" s="72"/>
      <c r="O21" s="125"/>
      <c r="AM21" s="1" t="s">
        <v>74</v>
      </c>
    </row>
    <row r="22" spans="1:216" ht="18" customHeight="1" x14ac:dyDescent="0.2">
      <c r="A22" s="264">
        <v>88316</v>
      </c>
      <c r="B22" s="444" t="s">
        <v>33</v>
      </c>
      <c r="C22" s="445"/>
      <c r="D22" s="265" t="s">
        <v>35</v>
      </c>
      <c r="E22" s="922">
        <v>0</v>
      </c>
      <c r="F22" s="240" t="s">
        <v>28</v>
      </c>
      <c r="G22" s="205">
        <f t="shared" si="0"/>
        <v>46023</v>
      </c>
      <c r="H22" s="66">
        <f>SUMIF('5.A'!$B$7:$B$4222,B22,'5.A'!$L$7:$L$4222)</f>
        <v>254.12123902000002</v>
      </c>
      <c r="I22" s="64" t="str">
        <f t="shared" si="3"/>
        <v>si</v>
      </c>
      <c r="J22" s="127">
        <v>31.15</v>
      </c>
      <c r="K22" s="127">
        <f t="shared" si="4"/>
        <v>31.15</v>
      </c>
      <c r="AM22" s="1" t="s">
        <v>33</v>
      </c>
    </row>
    <row r="23" spans="1:216" ht="18" customHeight="1" x14ac:dyDescent="0.2">
      <c r="A23" s="264">
        <v>88377</v>
      </c>
      <c r="B23" s="444" t="s">
        <v>172</v>
      </c>
      <c r="C23" s="445"/>
      <c r="D23" s="265" t="s">
        <v>35</v>
      </c>
      <c r="E23" s="922">
        <v>0</v>
      </c>
      <c r="F23" s="240" t="s">
        <v>28</v>
      </c>
      <c r="G23" s="205">
        <f t="shared" si="0"/>
        <v>46023</v>
      </c>
      <c r="H23" s="66">
        <f>SUMIF('5.A'!$B$7:$B$4222,B23,'5.A'!$L$7:$L$4222)</f>
        <v>4.4055599999999995</v>
      </c>
      <c r="I23" s="64" t="str">
        <f>IF(H23=0,"no","si")</f>
        <v>si</v>
      </c>
      <c r="J23" s="127">
        <v>34.17</v>
      </c>
      <c r="K23" s="127">
        <f>ROUND(J23/(1+$O$11),2)</f>
        <v>34.17</v>
      </c>
      <c r="AM23" s="1" t="s">
        <v>72</v>
      </c>
    </row>
    <row r="24" spans="1:216" ht="18" customHeight="1" x14ac:dyDescent="0.2">
      <c r="A24" s="267">
        <v>90776</v>
      </c>
      <c r="B24" s="444" t="s">
        <v>106</v>
      </c>
      <c r="C24" s="475"/>
      <c r="D24" s="265" t="s">
        <v>35</v>
      </c>
      <c r="E24" s="922">
        <v>0</v>
      </c>
      <c r="F24" s="240" t="s">
        <v>28</v>
      </c>
      <c r="G24" s="205">
        <f t="shared" si="0"/>
        <v>46023</v>
      </c>
      <c r="H24" s="66">
        <f>SUMIF('5.A'!$B$7:$B$4222,B24,'5.A'!$L$7:$L$4222)</f>
        <v>88</v>
      </c>
      <c r="I24" s="64" t="str">
        <f>IF(H24=0,"no","si")</f>
        <v>si</v>
      </c>
      <c r="J24" s="127">
        <v>55.46</v>
      </c>
      <c r="K24" s="127">
        <f>ROUND(J24/(1+$O$11),2)</f>
        <v>55.46</v>
      </c>
      <c r="L24" s="114"/>
      <c r="M24" s="114"/>
      <c r="N24" s="370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" t="s">
        <v>106</v>
      </c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  <c r="AX24" s="114"/>
      <c r="AY24" s="114"/>
      <c r="AZ24" s="114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4"/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4"/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4"/>
      <c r="DC24" s="114"/>
      <c r="DD24" s="114"/>
      <c r="DE24" s="114"/>
      <c r="DF24" s="114"/>
      <c r="DG24" s="114"/>
      <c r="DH24" s="114"/>
      <c r="DI24" s="114"/>
      <c r="DJ24" s="114"/>
      <c r="DK24" s="114"/>
      <c r="DL24" s="114"/>
      <c r="DM24" s="114"/>
      <c r="DN24" s="114"/>
      <c r="DO24" s="114"/>
      <c r="DP24" s="114"/>
      <c r="DQ24" s="114"/>
      <c r="DR24" s="114"/>
      <c r="DS24" s="114"/>
      <c r="DT24" s="114"/>
      <c r="DU24" s="114"/>
      <c r="DV24" s="114"/>
      <c r="DW24" s="114"/>
      <c r="DX24" s="114"/>
      <c r="DY24" s="114"/>
      <c r="DZ24" s="114"/>
      <c r="EA24" s="114"/>
      <c r="EB24" s="114"/>
      <c r="EC24" s="114"/>
      <c r="ED24" s="114"/>
      <c r="EE24" s="114"/>
      <c r="EF24" s="114"/>
      <c r="EG24" s="114"/>
      <c r="EH24" s="114"/>
      <c r="EI24" s="114"/>
      <c r="EJ24" s="114"/>
      <c r="EK24" s="114"/>
      <c r="EL24" s="114"/>
      <c r="EM24" s="114"/>
      <c r="EN24" s="114"/>
      <c r="EO24" s="114"/>
      <c r="EP24" s="114"/>
      <c r="EQ24" s="114"/>
      <c r="ER24" s="114"/>
      <c r="ES24" s="114"/>
      <c r="ET24" s="114"/>
      <c r="EU24" s="114"/>
      <c r="EV24" s="114"/>
      <c r="EW24" s="114"/>
      <c r="EX24" s="114"/>
      <c r="EY24" s="114"/>
      <c r="EZ24" s="114"/>
      <c r="FA24" s="114"/>
      <c r="FB24" s="114"/>
      <c r="FC24" s="114"/>
      <c r="FD24" s="114"/>
      <c r="FE24" s="114"/>
      <c r="FF24" s="114"/>
      <c r="FG24" s="114"/>
      <c r="FH24" s="114"/>
      <c r="FI24" s="114"/>
      <c r="FJ24" s="114"/>
      <c r="FK24" s="114"/>
      <c r="FL24" s="114"/>
      <c r="FM24" s="114"/>
      <c r="FN24" s="114"/>
      <c r="FO24" s="114"/>
      <c r="FP24" s="114"/>
      <c r="FQ24" s="114"/>
      <c r="FR24" s="114"/>
      <c r="FS24" s="114"/>
      <c r="FT24" s="114"/>
      <c r="FU24" s="114"/>
      <c r="FV24" s="114"/>
      <c r="FW24" s="114"/>
      <c r="FX24" s="114"/>
      <c r="FY24" s="114"/>
      <c r="FZ24" s="114"/>
      <c r="GA24" s="114"/>
      <c r="GB24" s="114"/>
      <c r="GC24" s="114"/>
      <c r="GD24" s="114"/>
      <c r="GE24" s="114"/>
      <c r="GF24" s="114"/>
      <c r="GG24" s="114"/>
      <c r="GH24" s="114"/>
      <c r="GI24" s="114"/>
      <c r="GJ24" s="114"/>
      <c r="GK24" s="114"/>
      <c r="GL24" s="114"/>
      <c r="GM24" s="114"/>
      <c r="GN24" s="114"/>
      <c r="GO24" s="114"/>
      <c r="GP24" s="114"/>
      <c r="GQ24" s="114"/>
      <c r="GR24" s="114"/>
      <c r="GS24" s="114"/>
      <c r="GT24" s="114"/>
      <c r="GU24" s="114"/>
      <c r="GV24" s="114"/>
      <c r="GW24" s="114"/>
      <c r="GX24" s="114"/>
      <c r="GY24" s="114"/>
      <c r="GZ24" s="114"/>
      <c r="HA24" s="114"/>
      <c r="HB24" s="114"/>
      <c r="HC24" s="114"/>
      <c r="HD24" s="114"/>
      <c r="HE24" s="114"/>
      <c r="HF24" s="114"/>
      <c r="HG24" s="114"/>
      <c r="HH24" s="114"/>
    </row>
    <row r="25" spans="1:216" ht="18" customHeight="1" thickBot="1" x14ac:dyDescent="0.25">
      <c r="A25" s="268">
        <v>100301</v>
      </c>
      <c r="B25" s="478" t="s">
        <v>136</v>
      </c>
      <c r="C25" s="479"/>
      <c r="D25" s="269" t="s">
        <v>35</v>
      </c>
      <c r="E25" s="923">
        <v>0</v>
      </c>
      <c r="F25" s="270" t="s">
        <v>28</v>
      </c>
      <c r="G25" s="255">
        <f t="shared" si="0"/>
        <v>46023</v>
      </c>
      <c r="H25" s="66">
        <f>SUMIF('5.A'!$B$7:$B$4222,B25,'5.A'!$L$7:$L$4222)</f>
        <v>8.7199999999999989</v>
      </c>
      <c r="I25" s="64" t="str">
        <f t="shared" ref="I25" si="13">IF(H25=0,"no","si")</f>
        <v>si</v>
      </c>
      <c r="J25" s="127">
        <v>35.32</v>
      </c>
      <c r="K25" s="127">
        <f t="shared" si="4"/>
        <v>35.32</v>
      </c>
      <c r="L25" s="114"/>
      <c r="M25" s="114"/>
      <c r="N25" s="370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4"/>
      <c r="AZ25" s="114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  <c r="BR25" s="114"/>
      <c r="BS25" s="114"/>
      <c r="BT25" s="114"/>
      <c r="BU25" s="114"/>
      <c r="BV25" s="114"/>
      <c r="BW25" s="114"/>
      <c r="BX25" s="114"/>
      <c r="BY25" s="114"/>
      <c r="BZ25" s="114"/>
      <c r="CA25" s="114"/>
      <c r="CB25" s="114"/>
      <c r="CC25" s="114"/>
      <c r="CD25" s="114"/>
      <c r="CE25" s="114"/>
      <c r="CF25" s="114"/>
      <c r="CG25" s="114"/>
      <c r="CH25" s="114"/>
      <c r="CI25" s="114"/>
      <c r="CJ25" s="114"/>
      <c r="CK25" s="114"/>
      <c r="CL25" s="114"/>
      <c r="CM25" s="114"/>
      <c r="CN25" s="114"/>
      <c r="CO25" s="114"/>
      <c r="CP25" s="114"/>
      <c r="CQ25" s="114"/>
      <c r="CR25" s="114"/>
      <c r="CS25" s="114"/>
      <c r="CT25" s="114"/>
      <c r="CU25" s="114"/>
      <c r="CV25" s="114"/>
      <c r="CW25" s="114"/>
      <c r="CX25" s="114"/>
      <c r="CY25" s="114"/>
      <c r="CZ25" s="114"/>
      <c r="DA25" s="114"/>
      <c r="DB25" s="114"/>
      <c r="DC25" s="114"/>
      <c r="DD25" s="114"/>
      <c r="DE25" s="114"/>
      <c r="DF25" s="114"/>
      <c r="DG25" s="114"/>
      <c r="DH25" s="114"/>
      <c r="DI25" s="114"/>
      <c r="DJ25" s="114"/>
      <c r="DK25" s="114"/>
      <c r="DL25" s="114"/>
      <c r="DM25" s="114"/>
      <c r="DN25" s="114"/>
      <c r="DO25" s="114"/>
      <c r="DP25" s="114"/>
      <c r="DQ25" s="114"/>
      <c r="DR25" s="114"/>
      <c r="DS25" s="114"/>
      <c r="DT25" s="114"/>
      <c r="DU25" s="114"/>
      <c r="DV25" s="114"/>
      <c r="DW25" s="114"/>
      <c r="DX25" s="114"/>
      <c r="DY25" s="114"/>
      <c r="DZ25" s="114"/>
      <c r="EA25" s="114"/>
      <c r="EB25" s="114"/>
      <c r="EC25" s="114"/>
      <c r="ED25" s="114"/>
      <c r="EE25" s="114"/>
      <c r="EF25" s="114"/>
      <c r="EG25" s="114"/>
      <c r="EH25" s="114"/>
      <c r="EI25" s="114"/>
      <c r="EJ25" s="114"/>
      <c r="EK25" s="114"/>
      <c r="EL25" s="114"/>
      <c r="EM25" s="114"/>
      <c r="EN25" s="114"/>
      <c r="EO25" s="114"/>
      <c r="EP25" s="114"/>
      <c r="EQ25" s="114"/>
      <c r="ER25" s="114"/>
      <c r="ES25" s="114"/>
      <c r="ET25" s="114"/>
      <c r="EU25" s="114"/>
      <c r="EV25" s="114"/>
      <c r="EW25" s="114"/>
      <c r="EX25" s="114"/>
      <c r="EY25" s="114"/>
      <c r="EZ25" s="114"/>
      <c r="FA25" s="114"/>
      <c r="FB25" s="114"/>
      <c r="FC25" s="114"/>
      <c r="FD25" s="114"/>
      <c r="FE25" s="114"/>
      <c r="FF25" s="114"/>
      <c r="FG25" s="114"/>
      <c r="FH25" s="114"/>
      <c r="FI25" s="114"/>
      <c r="FJ25" s="114"/>
      <c r="FK25" s="114"/>
      <c r="FL25" s="114"/>
      <c r="FM25" s="114"/>
      <c r="FN25" s="114"/>
      <c r="FO25" s="114"/>
      <c r="FP25" s="114"/>
      <c r="FQ25" s="114"/>
      <c r="FR25" s="114"/>
      <c r="FS25" s="114"/>
      <c r="FT25" s="114"/>
      <c r="FU25" s="114"/>
      <c r="FV25" s="114"/>
      <c r="FW25" s="114"/>
      <c r="FX25" s="114"/>
      <c r="FY25" s="114"/>
      <c r="FZ25" s="114"/>
      <c r="GA25" s="114"/>
      <c r="GB25" s="114"/>
      <c r="GC25" s="114"/>
      <c r="GD25" s="114"/>
      <c r="GE25" s="114"/>
      <c r="GF25" s="114"/>
      <c r="GG25" s="114"/>
      <c r="GH25" s="114"/>
      <c r="GI25" s="114"/>
      <c r="GJ25" s="114"/>
      <c r="GK25" s="114"/>
      <c r="GL25" s="114"/>
      <c r="GM25" s="114"/>
      <c r="GN25" s="114"/>
      <c r="GO25" s="114"/>
      <c r="GP25" s="114"/>
      <c r="GQ25" s="114"/>
      <c r="GR25" s="114"/>
      <c r="GS25" s="114"/>
      <c r="GT25" s="114"/>
      <c r="GU25" s="114"/>
      <c r="GV25" s="114"/>
      <c r="GW25" s="114"/>
      <c r="GX25" s="114"/>
      <c r="GY25" s="114"/>
      <c r="GZ25" s="114"/>
      <c r="HA25" s="114"/>
      <c r="HB25" s="114"/>
      <c r="HC25" s="114"/>
      <c r="HD25" s="114"/>
      <c r="HE25" s="114"/>
      <c r="HF25" s="114"/>
      <c r="HG25" s="114"/>
      <c r="HH25" s="114"/>
    </row>
    <row r="26" spans="1:216" ht="15.75" thickBot="1" x14ac:dyDescent="0.25">
      <c r="A26" s="474"/>
      <c r="B26" s="474"/>
      <c r="C26" s="474"/>
      <c r="D26" s="474"/>
      <c r="E26" s="474"/>
      <c r="F26" s="474"/>
      <c r="G26" s="474"/>
    </row>
    <row r="27" spans="1:216" s="112" customFormat="1" ht="20.100000000000001" customHeight="1" thickBot="1" x14ac:dyDescent="0.25">
      <c r="A27" s="285" t="s">
        <v>5</v>
      </c>
      <c r="B27" s="471" t="s">
        <v>8</v>
      </c>
      <c r="C27" s="472"/>
      <c r="D27" s="286" t="s">
        <v>66</v>
      </c>
      <c r="E27" s="287" t="s">
        <v>1</v>
      </c>
      <c r="F27" s="288" t="s">
        <v>67</v>
      </c>
      <c r="G27" s="221" t="s">
        <v>54</v>
      </c>
      <c r="H27" s="103"/>
      <c r="I27" s="102"/>
      <c r="J27" s="209"/>
      <c r="K27" s="209"/>
      <c r="N27" s="372"/>
      <c r="AM27" s="1"/>
    </row>
    <row r="28" spans="1:216" ht="18" customHeight="1" x14ac:dyDescent="0.2">
      <c r="A28" s="261">
        <v>5928</v>
      </c>
      <c r="B28" s="449" t="s">
        <v>247</v>
      </c>
      <c r="C28" s="450"/>
      <c r="D28" s="290" t="s">
        <v>37</v>
      </c>
      <c r="E28" s="921">
        <v>0</v>
      </c>
      <c r="F28" s="263" t="s">
        <v>28</v>
      </c>
      <c r="G28" s="281">
        <f t="shared" ref="G28:G39" si="14">IF(F28="SINAPI",$D$186,IF(F28="SICRO",$D$185,IF(F28="SIURB",$D$187,IF(F28="SABESP",$D$188,IF(F28="CDHU",$D$189,"-")))))</f>
        <v>46023</v>
      </c>
      <c r="H28" s="66">
        <f>SUMIF('5.A'!$B$7:$B$4222,B28,'5.A'!$L$7:$L$4222)</f>
        <v>22.226999999999997</v>
      </c>
      <c r="I28" s="64" t="str">
        <f>IF(H28=0,"no","si")</f>
        <v>si</v>
      </c>
      <c r="AM28" s="1" t="s">
        <v>132</v>
      </c>
    </row>
    <row r="29" spans="1:216" ht="18" customHeight="1" x14ac:dyDescent="0.2">
      <c r="A29" s="264">
        <v>5930</v>
      </c>
      <c r="B29" s="438" t="s">
        <v>248</v>
      </c>
      <c r="C29" s="439"/>
      <c r="D29" s="271" t="s">
        <v>50</v>
      </c>
      <c r="E29" s="922">
        <v>0</v>
      </c>
      <c r="F29" s="240" t="s">
        <v>28</v>
      </c>
      <c r="G29" s="283">
        <f t="shared" si="14"/>
        <v>46023</v>
      </c>
      <c r="H29" s="66">
        <f>SUMIF('5.A'!$B$7:$B$4222,B29,'5.A'!$L$7:$L$4222)</f>
        <v>9.56</v>
      </c>
      <c r="I29" s="64" t="str">
        <f>IF(H29=0,"no","si")</f>
        <v>si</v>
      </c>
      <c r="AM29" s="1" t="s">
        <v>132</v>
      </c>
    </row>
    <row r="30" spans="1:216" ht="18" customHeight="1" x14ac:dyDescent="0.2">
      <c r="A30" s="264">
        <v>10776</v>
      </c>
      <c r="B30" s="438" t="s">
        <v>232</v>
      </c>
      <c r="C30" s="438"/>
      <c r="D30" s="289" t="s">
        <v>52</v>
      </c>
      <c r="E30" s="922">
        <v>0</v>
      </c>
      <c r="F30" s="240" t="s">
        <v>28</v>
      </c>
      <c r="G30" s="291">
        <f t="shared" si="14"/>
        <v>46023</v>
      </c>
      <c r="H30" s="66">
        <f>SUMIF('5.A'!$B$7:$B$4222,B30,'5.A'!$L$7:$L$4222)</f>
        <v>2</v>
      </c>
      <c r="I30" s="64" t="str">
        <f t="shared" ref="I30" si="15">IF(H30=0,"no","si")</f>
        <v>si</v>
      </c>
    </row>
    <row r="31" spans="1:216" ht="18" customHeight="1" x14ac:dyDescent="0.2">
      <c r="A31" s="264">
        <v>20358</v>
      </c>
      <c r="B31" s="438" t="s">
        <v>288</v>
      </c>
      <c r="C31" s="438"/>
      <c r="D31" s="289" t="s">
        <v>44</v>
      </c>
      <c r="E31" s="922">
        <v>0</v>
      </c>
      <c r="F31" s="240" t="s">
        <v>68</v>
      </c>
      <c r="G31" s="291">
        <f t="shared" si="14"/>
        <v>45870</v>
      </c>
      <c r="H31" s="66">
        <f>SUMIF('5.A'!$B$7:$B$4222,B31,'5.A'!$L$7:$L$4222)</f>
        <v>8</v>
      </c>
      <c r="I31" s="64" t="str">
        <f t="shared" ref="I31" si="16">IF(H31=0,"no","si")</f>
        <v>si</v>
      </c>
    </row>
    <row r="32" spans="1:216" ht="18" customHeight="1" x14ac:dyDescent="0.2">
      <c r="A32" s="264">
        <v>88830</v>
      </c>
      <c r="B32" s="438" t="s">
        <v>237</v>
      </c>
      <c r="C32" s="439"/>
      <c r="D32" s="271" t="s">
        <v>37</v>
      </c>
      <c r="E32" s="922">
        <v>0</v>
      </c>
      <c r="F32" s="240" t="s">
        <v>28</v>
      </c>
      <c r="G32" s="283">
        <f t="shared" si="14"/>
        <v>46023</v>
      </c>
      <c r="H32" s="66">
        <f>SUMIF('5.A'!$B$7:$B$4222,B32,'5.A'!$L$7:$L$4222)</f>
        <v>2.4264276000000002</v>
      </c>
      <c r="I32" s="64" t="str">
        <f t="shared" ref="I32:I33" si="17">IF(H32=0,"no","si")</f>
        <v>si</v>
      </c>
    </row>
    <row r="33" spans="1:39" ht="18" customHeight="1" x14ac:dyDescent="0.2">
      <c r="A33" s="264">
        <v>88831</v>
      </c>
      <c r="B33" s="438" t="s">
        <v>238</v>
      </c>
      <c r="C33" s="439"/>
      <c r="D33" s="271" t="s">
        <v>50</v>
      </c>
      <c r="E33" s="922">
        <v>0</v>
      </c>
      <c r="F33" s="240" t="s">
        <v>28</v>
      </c>
      <c r="G33" s="283">
        <f t="shared" si="14"/>
        <v>46023</v>
      </c>
      <c r="H33" s="66">
        <f>SUMIF('5.A'!$B$7:$B$4222,B33,'5.A'!$L$7:$L$4222)</f>
        <v>2.9062063999999999</v>
      </c>
      <c r="I33" s="64" t="str">
        <f t="shared" si="17"/>
        <v>si</v>
      </c>
    </row>
    <row r="34" spans="1:39" ht="18" customHeight="1" x14ac:dyDescent="0.2">
      <c r="A34" s="264">
        <v>90586</v>
      </c>
      <c r="B34" s="438" t="s">
        <v>479</v>
      </c>
      <c r="C34" s="439"/>
      <c r="D34" s="271" t="s">
        <v>37</v>
      </c>
      <c r="E34" s="922">
        <v>0</v>
      </c>
      <c r="F34" s="240" t="s">
        <v>28</v>
      </c>
      <c r="G34" s="283">
        <f t="shared" si="14"/>
        <v>46023</v>
      </c>
      <c r="H34" s="66">
        <f>SUMIF('5.A'!$B$7:$B$4222,B34,'5.A'!$L$7:$L$4222)</f>
        <v>7.4358000000000007E-2</v>
      </c>
      <c r="I34" s="64" t="str">
        <f>IF(H34=0,"no","si")</f>
        <v>si</v>
      </c>
      <c r="AM34" s="1" t="s">
        <v>132</v>
      </c>
    </row>
    <row r="35" spans="1:39" ht="18" customHeight="1" x14ac:dyDescent="0.2">
      <c r="A35" s="264">
        <v>90587</v>
      </c>
      <c r="B35" s="438" t="s">
        <v>480</v>
      </c>
      <c r="C35" s="439"/>
      <c r="D35" s="271" t="s">
        <v>50</v>
      </c>
      <c r="E35" s="922">
        <v>0</v>
      </c>
      <c r="F35" s="240" t="s">
        <v>28</v>
      </c>
      <c r="G35" s="283">
        <f t="shared" si="14"/>
        <v>46023</v>
      </c>
      <c r="H35" s="66">
        <f>SUMIF('5.A'!$B$7:$B$4222,B35,'5.A'!$L$7:$L$4222)</f>
        <v>6.8687999999999999E-2</v>
      </c>
      <c r="I35" s="64" t="str">
        <f>IF(H35=0,"no","si")</f>
        <v>si</v>
      </c>
      <c r="AM35" s="1" t="s">
        <v>132</v>
      </c>
    </row>
    <row r="36" spans="1:39" ht="18" customHeight="1" x14ac:dyDescent="0.2">
      <c r="A36" s="264">
        <v>91533</v>
      </c>
      <c r="B36" s="438" t="s">
        <v>245</v>
      </c>
      <c r="C36" s="439"/>
      <c r="D36" s="271" t="s">
        <v>37</v>
      </c>
      <c r="E36" s="922">
        <v>0</v>
      </c>
      <c r="F36" s="240" t="s">
        <v>28</v>
      </c>
      <c r="G36" s="283">
        <f t="shared" si="14"/>
        <v>46023</v>
      </c>
      <c r="H36" s="66">
        <f>SUMIF('5.A'!$B$7:$B$4222,B36,'5.A'!$L$7:$L$4222)</f>
        <v>4.8254000000000001</v>
      </c>
      <c r="I36" s="64" t="str">
        <f>IF(H36=0,"no","si")</f>
        <v>si</v>
      </c>
      <c r="AM36" s="1" t="s">
        <v>132</v>
      </c>
    </row>
    <row r="37" spans="1:39" ht="18" customHeight="1" x14ac:dyDescent="0.2">
      <c r="A37" s="264">
        <v>91534</v>
      </c>
      <c r="B37" s="438" t="s">
        <v>244</v>
      </c>
      <c r="C37" s="439"/>
      <c r="D37" s="271" t="s">
        <v>50</v>
      </c>
      <c r="E37" s="922">
        <v>0</v>
      </c>
      <c r="F37" s="240" t="s">
        <v>28</v>
      </c>
      <c r="G37" s="283">
        <f t="shared" si="14"/>
        <v>46023</v>
      </c>
      <c r="H37" s="66">
        <f>SUMIF('5.A'!$B$7:$B$4222,B37,'5.A'!$L$7:$L$4222)</f>
        <v>0.4032</v>
      </c>
      <c r="I37" s="64" t="str">
        <f>IF(H37=0,"no","si")</f>
        <v>si</v>
      </c>
    </row>
    <row r="38" spans="1:39" ht="18" customHeight="1" x14ac:dyDescent="0.2">
      <c r="A38" s="264">
        <v>91692</v>
      </c>
      <c r="B38" s="438" t="s">
        <v>400</v>
      </c>
      <c r="C38" s="439"/>
      <c r="D38" s="271" t="s">
        <v>37</v>
      </c>
      <c r="E38" s="922">
        <v>0</v>
      </c>
      <c r="F38" s="240" t="s">
        <v>28</v>
      </c>
      <c r="G38" s="283">
        <f t="shared" si="14"/>
        <v>46023</v>
      </c>
      <c r="H38" s="66">
        <f>SUMIF('5.A'!$B$7:$B$4222,B38,'5.A'!$L$7:$L$4222)</f>
        <v>2.4359999999999996E-2</v>
      </c>
      <c r="I38" s="64" t="str">
        <f t="shared" ref="I38:I39" si="18">IF(H38=0,"no","si")</f>
        <v>si</v>
      </c>
    </row>
    <row r="39" spans="1:39" ht="18" customHeight="1" thickBot="1" x14ac:dyDescent="0.25">
      <c r="A39" s="268">
        <v>91693</v>
      </c>
      <c r="B39" s="469" t="s">
        <v>401</v>
      </c>
      <c r="C39" s="470"/>
      <c r="D39" s="272" t="s">
        <v>50</v>
      </c>
      <c r="E39" s="924">
        <v>0</v>
      </c>
      <c r="F39" s="270" t="s">
        <v>28</v>
      </c>
      <c r="G39" s="292">
        <f t="shared" si="14"/>
        <v>46023</v>
      </c>
      <c r="H39" s="66">
        <f>SUMIF('5.A'!$B$7:$B$4222,B39,'5.A'!$L$7:$L$4222)</f>
        <v>0.10439999999999999</v>
      </c>
      <c r="I39" s="64" t="str">
        <f t="shared" si="18"/>
        <v>si</v>
      </c>
    </row>
    <row r="40" spans="1:39" ht="12" customHeight="1" thickBot="1" x14ac:dyDescent="0.25">
      <c r="A40" s="483"/>
      <c r="B40" s="483"/>
      <c r="C40" s="483"/>
      <c r="D40" s="483"/>
      <c r="E40" s="483"/>
      <c r="F40" s="483"/>
      <c r="G40" s="133"/>
    </row>
    <row r="41" spans="1:39" s="112" customFormat="1" ht="20.100000000000001" customHeight="1" thickBot="1" x14ac:dyDescent="0.25">
      <c r="A41" s="285" t="s">
        <v>6</v>
      </c>
      <c r="B41" s="471" t="s">
        <v>17</v>
      </c>
      <c r="C41" s="472"/>
      <c r="D41" s="286" t="s">
        <v>66</v>
      </c>
      <c r="E41" s="287" t="s">
        <v>1</v>
      </c>
      <c r="F41" s="288" t="s">
        <v>67</v>
      </c>
      <c r="G41" s="221" t="s">
        <v>54</v>
      </c>
      <c r="H41" s="103"/>
      <c r="I41" s="102"/>
      <c r="J41" s="209"/>
      <c r="K41" s="209"/>
      <c r="N41" s="372"/>
      <c r="AM41" s="1"/>
    </row>
    <row r="42" spans="1:39" ht="18" customHeight="1" x14ac:dyDescent="0.2">
      <c r="A42" s="261" t="str">
        <f>COTAÇÕES!$A$11</f>
        <v>TRA.001</v>
      </c>
      <c r="B42" s="481" t="str">
        <f>VLOOKUP(A42,COTAÇÕES!$A$7:$P$21,2,FALSE)</f>
        <v>TRANSFORMADOR DE CORRENTE, EM TERMOPLÁSTICO, TIPO JANELA, VMAX=600VCA, RELAÇÃO DE 300/5A</v>
      </c>
      <c r="C42" s="482"/>
      <c r="D42" s="262" t="str">
        <f>VLOOKUP(A42,COTAÇÕES!$A$7:$P$21,3,FALSE)</f>
        <v>M</v>
      </c>
      <c r="E42" s="925">
        <v>0</v>
      </c>
      <c r="F42" s="926" t="s">
        <v>451</v>
      </c>
      <c r="G42" s="927" t="str">
        <f t="shared" ref="G42:G76" si="19">IF(F42="SINAPI",$D$186,IF(F42="SICRO",$D$185,IF(F42="SIURB",$D$187,IF(F42="SABESP",$D$188,IF(F42="CDHU",$D$189,"-")))))</f>
        <v>-</v>
      </c>
      <c r="H42" s="928">
        <f>SUMIF('5.A'!$B$7:$B$4222,B42,'5.A'!$L$7:$L$4222)</f>
        <v>3</v>
      </c>
      <c r="I42" s="929" t="str">
        <f t="shared" ref="I42" si="20">IF(H42=0,"no","si")</f>
        <v>si</v>
      </c>
      <c r="J42" s="930"/>
      <c r="K42" s="930"/>
      <c r="L42" s="931"/>
      <c r="AM42" s="1" t="s">
        <v>49</v>
      </c>
    </row>
    <row r="43" spans="1:39" ht="18" customHeight="1" x14ac:dyDescent="0.2">
      <c r="A43" s="264" t="str">
        <f>COTAÇÕES!$A$12</f>
        <v>TRA.002</v>
      </c>
      <c r="B43" s="467" t="str">
        <f>VLOOKUP(A43,COTAÇÕES!$A$7:$P$21,2,FALSE)</f>
        <v>TRANSFORMADOR DE CORRENTE, EM TERMOPLÁSTICO, TIPO JANELA, VMAX=600VCA, RELAÇÃO DE 600/5A</v>
      </c>
      <c r="C43" s="468"/>
      <c r="D43" s="265" t="str">
        <f>VLOOKUP(A43,COTAÇÕES!$A$7:$P$21,3,FALSE)</f>
        <v>M</v>
      </c>
      <c r="E43" s="932">
        <v>0</v>
      </c>
      <c r="F43" s="933" t="s">
        <v>451</v>
      </c>
      <c r="G43" s="934" t="str">
        <f t="shared" si="19"/>
        <v>-</v>
      </c>
      <c r="H43" s="928">
        <f>SUMIF('5.A'!$B$7:$B$4222,B43,'5.A'!$L$7:$L$4222)</f>
        <v>3</v>
      </c>
      <c r="I43" s="929" t="str">
        <f t="shared" ref="I43:I45" si="21">IF(H43=0,"no","si")</f>
        <v>si</v>
      </c>
      <c r="J43" s="930"/>
      <c r="K43" s="930"/>
      <c r="L43" s="931"/>
      <c r="AM43" s="1" t="s">
        <v>49</v>
      </c>
    </row>
    <row r="44" spans="1:39" ht="18" customHeight="1" x14ac:dyDescent="0.2">
      <c r="A44" s="264" t="str">
        <f>COTAÇÕES!$A$14</f>
        <v>CHAVE.001</v>
      </c>
      <c r="B44" s="467" t="str">
        <f>VLOOKUP(A44,COTAÇÕES!$A$7:$P$21,2,FALSE)</f>
        <v>CHAVE DE AFERIÇÃO, DE SOBREPOR, VN= 600V, IN=20A, 10 POLOS</v>
      </c>
      <c r="C44" s="468"/>
      <c r="D44" s="265" t="str">
        <f>VLOOKUP(A44,COTAÇÕES!$A$7:$P$21,3,FALSE)</f>
        <v>CJ</v>
      </c>
      <c r="E44" s="932">
        <v>0</v>
      </c>
      <c r="F44" s="933" t="s">
        <v>451</v>
      </c>
      <c r="G44" s="934" t="str">
        <f t="shared" si="19"/>
        <v>-</v>
      </c>
      <c r="H44" s="928">
        <f>SUMIF('5.A'!$B$7:$B$4222,B44,'5.A'!$L$7:$L$4222)</f>
        <v>2</v>
      </c>
      <c r="I44" s="929" t="str">
        <f t="shared" si="21"/>
        <v>si</v>
      </c>
      <c r="J44" s="930"/>
      <c r="K44" s="930"/>
      <c r="L44" s="931"/>
      <c r="AM44" s="1" t="s">
        <v>49</v>
      </c>
    </row>
    <row r="45" spans="1:39" ht="24.95" customHeight="1" x14ac:dyDescent="0.2">
      <c r="A45" s="264" t="str">
        <f>COTAÇÕES!$A$16</f>
        <v>DIS.001</v>
      </c>
      <c r="B45" s="467" t="str">
        <f>VLOOKUP(A45,COTAÇÕES!$A$7:$P$21,2,FALSE)</f>
        <v>CONTROLADOR AUTOMÁTICO DE FATOR DE POTÊNCIA, 06 ESTÁGIOS, MEDIÇÃO TRIFÁSICA, LIGAÇÃO PARA ATÉ 3 TCS, FIXAÇÃO DE EMBUTIR, TENSÃO DE ALIMENTAÇÃO 90-270VCA</v>
      </c>
      <c r="C45" s="468"/>
      <c r="D45" s="265" t="str">
        <f>VLOOKUP(A45,COTAÇÕES!$A$7:$P$21,3,FALSE)</f>
        <v>UN</v>
      </c>
      <c r="E45" s="932">
        <v>0</v>
      </c>
      <c r="F45" s="933" t="s">
        <v>451</v>
      </c>
      <c r="G45" s="934" t="str">
        <f t="shared" si="19"/>
        <v>-</v>
      </c>
      <c r="H45" s="928">
        <f>SUMIF('5.A'!$B$7:$B$4222,B45,'5.A'!$L$7:$L$4222)</f>
        <v>1</v>
      </c>
      <c r="I45" s="929" t="str">
        <f t="shared" si="21"/>
        <v>si</v>
      </c>
      <c r="J45" s="930"/>
      <c r="K45" s="930"/>
      <c r="L45" s="931"/>
      <c r="AM45" s="1" t="s">
        <v>49</v>
      </c>
    </row>
    <row r="46" spans="1:39" ht="24.95" customHeight="1" x14ac:dyDescent="0.2">
      <c r="A46" s="264" t="str">
        <f>COTAÇÕES!$A$17</f>
        <v>DIS.002</v>
      </c>
      <c r="B46" s="467" t="str">
        <f>VLOOKUP(A46,COTAÇÕES!$A$7:$P$21,2,FALSE)</f>
        <v>CONTATOR PARA MANOBRA DE CAPACITOR PARA CORREÇÃO DO FATOR DE POTÊNCIA, COM RESITORES DE PRÉ CARGA, CONTATO AUXILAR 1NA, IN=16A, VN=220VAC, VCOMANDO=220VAC, F=60HZ</v>
      </c>
      <c r="C46" s="468"/>
      <c r="D46" s="265" t="str">
        <f>VLOOKUP(A46,COTAÇÕES!$A$7:$P$21,3,FALSE)</f>
        <v>UN</v>
      </c>
      <c r="E46" s="932">
        <v>0</v>
      </c>
      <c r="F46" s="933" t="s">
        <v>451</v>
      </c>
      <c r="G46" s="934" t="str">
        <f t="shared" si="19"/>
        <v>-</v>
      </c>
      <c r="H46" s="928">
        <f>SUMIF('5.A'!$B$7:$B$4222,B46,'5.A'!$L$7:$L$4222)</f>
        <v>6</v>
      </c>
      <c r="I46" s="929" t="str">
        <f t="shared" ref="I46:I49" si="22">IF(H46=0,"no","si")</f>
        <v>si</v>
      </c>
      <c r="J46" s="930"/>
      <c r="K46" s="930"/>
      <c r="L46" s="931"/>
      <c r="AM46" s="1" t="s">
        <v>49</v>
      </c>
    </row>
    <row r="47" spans="1:39" ht="24.95" customHeight="1" x14ac:dyDescent="0.2">
      <c r="A47" s="264" t="str">
        <f>COTAÇÕES!$A$18</f>
        <v>DIS.003</v>
      </c>
      <c r="B47" s="467" t="str">
        <f>VLOOKUP(A47,COTAÇÕES!$A$7:$P$21,2,FALSE)</f>
        <v>UNIDADE CAPACITIVA TRIFÁSICA, COM CAPA PROTETORA IP-50, COM RESISTOR INTERNO E PARAFUSO DE FIXAÇÃO E ATERRAMENTO, POTÊNCIA REATIVA DE 5,0 KVAR, VN=220VAC, F=60HZ</v>
      </c>
      <c r="C47" s="468"/>
      <c r="D47" s="265" t="str">
        <f>VLOOKUP(A47,COTAÇÕES!$A$7:$P$21,3,FALSE)</f>
        <v>UN</v>
      </c>
      <c r="E47" s="932">
        <v>0</v>
      </c>
      <c r="F47" s="933" t="s">
        <v>451</v>
      </c>
      <c r="G47" s="934" t="str">
        <f t="shared" si="19"/>
        <v>-</v>
      </c>
      <c r="H47" s="928">
        <f>SUMIF('5.A'!$B$7:$B$4222,B47,'5.A'!$L$7:$L$4222)</f>
        <v>5</v>
      </c>
      <c r="I47" s="929" t="str">
        <f t="shared" si="22"/>
        <v>si</v>
      </c>
      <c r="J47" s="930"/>
      <c r="K47" s="930"/>
      <c r="L47" s="931"/>
      <c r="AM47" s="1" t="s">
        <v>49</v>
      </c>
    </row>
    <row r="48" spans="1:39" ht="24.95" customHeight="1" x14ac:dyDescent="0.2">
      <c r="A48" s="264" t="str">
        <f>COTAÇÕES!$A$19</f>
        <v>DIS.004</v>
      </c>
      <c r="B48" s="467" t="str">
        <f>VLOOKUP(A48,COTAÇÕES!$A$7:$P$21,2,FALSE)</f>
        <v>CONTATOR PARA MANOBRA DE CAPACITOR PARA CORREÇÃO DO FATOR DE POTÊNCIA, COM RESITORES DE PRÉ CARGA, CONTATO AUXILAR 1NA, IN=30A, VN=220VAC, VCOMANDO=220VAC, F=60HZ</v>
      </c>
      <c r="C48" s="468"/>
      <c r="D48" s="265" t="str">
        <f>VLOOKUP(A48,COTAÇÕES!$A$7:$P$21,3,FALSE)</f>
        <v>UN</v>
      </c>
      <c r="E48" s="932">
        <v>0</v>
      </c>
      <c r="F48" s="933" t="s">
        <v>451</v>
      </c>
      <c r="G48" s="934" t="str">
        <f t="shared" si="19"/>
        <v>-</v>
      </c>
      <c r="H48" s="928">
        <f>SUMIF('5.A'!$B$7:$B$4222,B48,'5.A'!$L$7:$L$4222)</f>
        <v>6</v>
      </c>
      <c r="I48" s="929" t="str">
        <f t="shared" si="22"/>
        <v>si</v>
      </c>
      <c r="J48" s="930"/>
      <c r="K48" s="930"/>
      <c r="L48" s="931"/>
      <c r="AM48" s="1" t="s">
        <v>49</v>
      </c>
    </row>
    <row r="49" spans="1:39" ht="24.95" customHeight="1" x14ac:dyDescent="0.2">
      <c r="A49" s="264" t="str">
        <f>COTAÇÕES!$A$20</f>
        <v>DIS.005</v>
      </c>
      <c r="B49" s="467" t="str">
        <f>VLOOKUP(A49,COTAÇÕES!$A$7:$P$21,2,FALSE)</f>
        <v>UNIDADE CAPACITIVA TRIFÁSICA, COM CAPA PROTETORA IP-50, COM RESISTOR INTERNO E PARAFUSO DE FIXAÇÃO E ATERRAMENTO, POTÊNCIA REATIVA DE 10,0 KVAR, VN=220VAC, F=60HZ</v>
      </c>
      <c r="C49" s="468"/>
      <c r="D49" s="265" t="str">
        <f>VLOOKUP(A49,COTAÇÕES!$A$7:$P$21,3,FALSE)</f>
        <v>UN</v>
      </c>
      <c r="E49" s="932">
        <v>0</v>
      </c>
      <c r="F49" s="933" t="s">
        <v>451</v>
      </c>
      <c r="G49" s="934" t="str">
        <f t="shared" si="19"/>
        <v>-</v>
      </c>
      <c r="H49" s="928">
        <f>SUMIF('5.A'!$B$7:$B$4222,B49,'5.A'!$L$7:$L$4222)</f>
        <v>5</v>
      </c>
      <c r="I49" s="929" t="str">
        <f t="shared" si="22"/>
        <v>si</v>
      </c>
      <c r="J49" s="930"/>
      <c r="K49" s="930"/>
      <c r="L49" s="931"/>
      <c r="AM49" s="1" t="s">
        <v>49</v>
      </c>
    </row>
    <row r="50" spans="1:39" ht="18" customHeight="1" x14ac:dyDescent="0.2">
      <c r="A50" s="264" t="s">
        <v>184</v>
      </c>
      <c r="B50" s="467" t="s">
        <v>185</v>
      </c>
      <c r="C50" s="468" t="s">
        <v>185</v>
      </c>
      <c r="D50" s="265" t="s">
        <v>47</v>
      </c>
      <c r="E50" s="932">
        <v>0</v>
      </c>
      <c r="F50" s="933" t="s">
        <v>73</v>
      </c>
      <c r="G50" s="934">
        <f t="shared" si="19"/>
        <v>45931</v>
      </c>
      <c r="H50" s="928">
        <f>SUMIF('5.A'!$B$7:$B$4222,B50,'5.A'!$L$7:$L$4222)</f>
        <v>6</v>
      </c>
      <c r="I50" s="929" t="str">
        <f t="shared" ref="I50" si="23">IF(H50=0,"no","si")</f>
        <v>si</v>
      </c>
      <c r="J50" s="930"/>
      <c r="K50" s="930"/>
      <c r="L50" s="931"/>
      <c r="AM50" s="1" t="s">
        <v>49</v>
      </c>
    </row>
    <row r="51" spans="1:39" ht="18" customHeight="1" x14ac:dyDescent="0.2">
      <c r="A51" s="264" t="s">
        <v>240</v>
      </c>
      <c r="B51" s="437" t="s">
        <v>239</v>
      </c>
      <c r="C51" s="437"/>
      <c r="D51" s="265" t="s">
        <v>44</v>
      </c>
      <c r="E51" s="932">
        <v>0</v>
      </c>
      <c r="F51" s="933" t="s">
        <v>29</v>
      </c>
      <c r="G51" s="935">
        <f t="shared" si="19"/>
        <v>45839</v>
      </c>
      <c r="H51" s="928">
        <f>SUMIF('5.A'!$B$7:$B$4222,B51,'5.A'!$L$7:$L$4222)</f>
        <v>3.5291999999999997E-2</v>
      </c>
      <c r="I51" s="929" t="str">
        <f>IF(H51=0,"no","si")</f>
        <v>si</v>
      </c>
      <c r="J51" s="930"/>
      <c r="K51" s="930"/>
      <c r="L51" s="931"/>
    </row>
    <row r="52" spans="1:39" ht="18" customHeight="1" x14ac:dyDescent="0.2">
      <c r="A52" s="264" t="s">
        <v>242</v>
      </c>
      <c r="B52" s="437" t="s">
        <v>241</v>
      </c>
      <c r="C52" s="437"/>
      <c r="D52" s="265" t="s">
        <v>44</v>
      </c>
      <c r="E52" s="932">
        <v>0</v>
      </c>
      <c r="F52" s="933" t="s">
        <v>29</v>
      </c>
      <c r="G52" s="935">
        <f t="shared" si="19"/>
        <v>45839</v>
      </c>
      <c r="H52" s="928">
        <f>SUMIF('5.A'!$B$7:$B$4222,B52,'5.A'!$L$7:$L$4222)</f>
        <v>3.7128532000000001</v>
      </c>
      <c r="I52" s="929" t="str">
        <f>IF(H52=0,"no","si")</f>
        <v>si</v>
      </c>
      <c r="J52" s="930"/>
      <c r="K52" s="930"/>
      <c r="L52" s="931"/>
    </row>
    <row r="53" spans="1:39" ht="18" customHeight="1" x14ac:dyDescent="0.2">
      <c r="A53" s="264" t="s">
        <v>177</v>
      </c>
      <c r="B53" s="438" t="s">
        <v>176</v>
      </c>
      <c r="C53" s="439"/>
      <c r="D53" s="265" t="s">
        <v>44</v>
      </c>
      <c r="E53" s="932">
        <v>0</v>
      </c>
      <c r="F53" s="933" t="s">
        <v>29</v>
      </c>
      <c r="G53" s="934">
        <f t="shared" si="19"/>
        <v>45839</v>
      </c>
      <c r="H53" s="928">
        <f>SUMIF('5.A'!$B$7:$B$4222,B53,'5.A'!$L$7:$L$4222)</f>
        <v>1.520886</v>
      </c>
      <c r="I53" s="929" t="str">
        <f t="shared" ref="I53" si="24">IF(H53=0,"no","si")</f>
        <v>si</v>
      </c>
      <c r="J53" s="930"/>
      <c r="K53" s="930"/>
      <c r="L53" s="931"/>
    </row>
    <row r="54" spans="1:39" ht="18" customHeight="1" x14ac:dyDescent="0.2">
      <c r="A54" s="264" t="s">
        <v>265</v>
      </c>
      <c r="B54" s="437" t="s">
        <v>264</v>
      </c>
      <c r="C54" s="437"/>
      <c r="D54" s="265" t="s">
        <v>44</v>
      </c>
      <c r="E54" s="932">
        <v>0</v>
      </c>
      <c r="F54" s="933" t="s">
        <v>29</v>
      </c>
      <c r="G54" s="935">
        <f t="shared" si="19"/>
        <v>45839</v>
      </c>
      <c r="H54" s="928">
        <f>SUMIF('5.A'!$B$7:$B$4222,B54,'5.A'!$L$7:$L$4222)</f>
        <v>1.8458735999999998</v>
      </c>
      <c r="I54" s="929" t="str">
        <f>IF(H54=0,"no","si")</f>
        <v>si</v>
      </c>
      <c r="J54" s="930"/>
      <c r="K54" s="930"/>
      <c r="L54" s="931"/>
    </row>
    <row r="55" spans="1:39" ht="18" customHeight="1" x14ac:dyDescent="0.2">
      <c r="A55" s="264" t="s">
        <v>261</v>
      </c>
      <c r="B55" s="437" t="s">
        <v>260</v>
      </c>
      <c r="C55" s="437"/>
      <c r="D55" s="265" t="s">
        <v>44</v>
      </c>
      <c r="E55" s="932">
        <v>0</v>
      </c>
      <c r="F55" s="933" t="s">
        <v>29</v>
      </c>
      <c r="G55" s="935">
        <f t="shared" si="19"/>
        <v>45839</v>
      </c>
      <c r="H55" s="928">
        <f>SUMIF('5.A'!$B$7:$B$4222,B55,'5.A'!$L$7:$L$4222)</f>
        <v>6.7355</v>
      </c>
      <c r="I55" s="929" t="str">
        <f t="shared" ref="I55" si="25">IF(H55=0,"no","si")</f>
        <v>si</v>
      </c>
      <c r="J55" s="930"/>
      <c r="K55" s="930"/>
      <c r="L55" s="931"/>
    </row>
    <row r="56" spans="1:39" ht="18" customHeight="1" x14ac:dyDescent="0.2">
      <c r="A56" s="264" t="s">
        <v>263</v>
      </c>
      <c r="B56" s="437" t="s">
        <v>262</v>
      </c>
      <c r="C56" s="437"/>
      <c r="D56" s="265" t="s">
        <v>44</v>
      </c>
      <c r="E56" s="932">
        <v>0</v>
      </c>
      <c r="F56" s="933" t="s">
        <v>29</v>
      </c>
      <c r="G56" s="935">
        <f t="shared" si="19"/>
        <v>45839</v>
      </c>
      <c r="H56" s="928">
        <f>SUMIF('5.A'!$B$7:$B$4222,B56,'5.A'!$L$7:$L$4222)</f>
        <v>0.26619999999999999</v>
      </c>
      <c r="I56" s="929" t="str">
        <f t="shared" ref="I56" si="26">IF(H56=0,"no","si")</f>
        <v>si</v>
      </c>
      <c r="J56" s="930"/>
      <c r="K56" s="930"/>
      <c r="L56" s="931"/>
    </row>
    <row r="57" spans="1:39" ht="18" customHeight="1" x14ac:dyDescent="0.2">
      <c r="A57" s="264" t="s">
        <v>119</v>
      </c>
      <c r="B57" s="438" t="s">
        <v>120</v>
      </c>
      <c r="C57" s="439"/>
      <c r="D57" s="265" t="s">
        <v>47</v>
      </c>
      <c r="E57" s="932">
        <v>0</v>
      </c>
      <c r="F57" s="933" t="s">
        <v>29</v>
      </c>
      <c r="G57" s="936">
        <f t="shared" si="19"/>
        <v>45839</v>
      </c>
      <c r="H57" s="928">
        <f>SUMIF('5.A'!$B$7:$B$4222,B57,'5.A'!$L$7:$L$4222)</f>
        <v>18.034747620000001</v>
      </c>
      <c r="I57" s="929" t="str">
        <f t="shared" ref="I57" si="27">IF(H57=0,"no","si")</f>
        <v>si</v>
      </c>
      <c r="J57" s="930"/>
      <c r="K57" s="930"/>
      <c r="L57" s="931"/>
      <c r="AM57" s="1" t="s">
        <v>120</v>
      </c>
    </row>
    <row r="58" spans="1:39" ht="18" customHeight="1" x14ac:dyDescent="0.2">
      <c r="A58" s="264" t="s">
        <v>397</v>
      </c>
      <c r="B58" s="438" t="s">
        <v>398</v>
      </c>
      <c r="C58" s="439"/>
      <c r="D58" s="265" t="s">
        <v>47</v>
      </c>
      <c r="E58" s="932">
        <v>0</v>
      </c>
      <c r="F58" s="933" t="s">
        <v>29</v>
      </c>
      <c r="G58" s="936">
        <f t="shared" si="19"/>
        <v>45839</v>
      </c>
      <c r="H58" s="928">
        <f>SUMIF('5.A'!$B$7:$B$4222,B58,'5.A'!$L$7:$L$4222)</f>
        <v>2.9729999999999999</v>
      </c>
      <c r="I58" s="929" t="str">
        <f t="shared" ref="I58" si="28">IF(H58=0,"no","si")</f>
        <v>si</v>
      </c>
      <c r="J58" s="930"/>
      <c r="K58" s="930"/>
      <c r="L58" s="931"/>
      <c r="AM58" s="1" t="s">
        <v>120</v>
      </c>
    </row>
    <row r="59" spans="1:39" ht="18" customHeight="1" x14ac:dyDescent="0.2">
      <c r="A59" s="264" t="s">
        <v>268</v>
      </c>
      <c r="B59" s="437" t="s">
        <v>267</v>
      </c>
      <c r="C59" s="437"/>
      <c r="D59" s="265" t="s">
        <v>47</v>
      </c>
      <c r="E59" s="932">
        <v>0</v>
      </c>
      <c r="F59" s="933" t="s">
        <v>29</v>
      </c>
      <c r="G59" s="935">
        <f t="shared" si="19"/>
        <v>45839</v>
      </c>
      <c r="H59" s="928">
        <f>SUMIF('5.A'!$B$7:$B$4222,B59,'5.A'!$L$7:$L$4222)</f>
        <v>0.96130599999999999</v>
      </c>
      <c r="I59" s="929" t="str">
        <f t="shared" ref="I59" si="29">IF(H59=0,"no","si")</f>
        <v>si</v>
      </c>
      <c r="J59" s="930"/>
      <c r="K59" s="930"/>
      <c r="L59" s="931"/>
    </row>
    <row r="60" spans="1:39" ht="18" customHeight="1" x14ac:dyDescent="0.2">
      <c r="A60" s="264" t="s">
        <v>148</v>
      </c>
      <c r="B60" s="437" t="s">
        <v>149</v>
      </c>
      <c r="C60" s="437"/>
      <c r="D60" s="265" t="s">
        <v>45</v>
      </c>
      <c r="E60" s="932">
        <v>0</v>
      </c>
      <c r="F60" s="933" t="s">
        <v>29</v>
      </c>
      <c r="G60" s="935">
        <f t="shared" si="19"/>
        <v>45839</v>
      </c>
      <c r="H60" s="928">
        <f>SUMIF('5.A'!$B$7:$B$4222,B60,'5.A'!$L$7:$L$4222)</f>
        <v>4</v>
      </c>
      <c r="I60" s="929" t="str">
        <f t="shared" ref="I60" si="30">IF(H60=0,"no","si")</f>
        <v>si</v>
      </c>
      <c r="J60" s="930"/>
      <c r="K60" s="930"/>
      <c r="L60" s="931"/>
    </row>
    <row r="61" spans="1:39" ht="18" customHeight="1" x14ac:dyDescent="0.2">
      <c r="A61" s="264" t="s">
        <v>300</v>
      </c>
      <c r="B61" s="437" t="s">
        <v>301</v>
      </c>
      <c r="C61" s="437"/>
      <c r="D61" s="265" t="s">
        <v>45</v>
      </c>
      <c r="E61" s="932">
        <v>0</v>
      </c>
      <c r="F61" s="933" t="s">
        <v>29</v>
      </c>
      <c r="G61" s="935">
        <f t="shared" si="19"/>
        <v>45839</v>
      </c>
      <c r="H61" s="928">
        <f>SUMIF('5.A'!$B$7:$B$4222,B61,'5.A'!$L$7:$L$4222)</f>
        <v>1</v>
      </c>
      <c r="I61" s="929" t="str">
        <f t="shared" ref="I61" si="31">IF(H61=0,"no","si")</f>
        <v>si</v>
      </c>
      <c r="J61" s="930"/>
      <c r="K61" s="930"/>
      <c r="L61" s="931"/>
    </row>
    <row r="62" spans="1:39" ht="18" customHeight="1" x14ac:dyDescent="0.2">
      <c r="A62" s="264" t="s">
        <v>385</v>
      </c>
      <c r="B62" s="437" t="s">
        <v>386</v>
      </c>
      <c r="C62" s="437"/>
      <c r="D62" s="265" t="s">
        <v>45</v>
      </c>
      <c r="E62" s="932">
        <v>0</v>
      </c>
      <c r="F62" s="933" t="s">
        <v>29</v>
      </c>
      <c r="G62" s="935">
        <f t="shared" si="19"/>
        <v>45839</v>
      </c>
      <c r="H62" s="928">
        <f>SUMIF('5.A'!$B$7:$B$4222,B62,'5.A'!$L$7:$L$4222)</f>
        <v>1</v>
      </c>
      <c r="I62" s="929" t="str">
        <f t="shared" ref="I62" si="32">IF(H62=0,"no","si")</f>
        <v>si</v>
      </c>
      <c r="J62" s="930"/>
      <c r="K62" s="930"/>
      <c r="L62" s="931"/>
    </row>
    <row r="63" spans="1:39" ht="18" customHeight="1" x14ac:dyDescent="0.2">
      <c r="A63" s="264">
        <v>123</v>
      </c>
      <c r="B63" s="437" t="s">
        <v>251</v>
      </c>
      <c r="C63" s="437"/>
      <c r="D63" s="265" t="s">
        <v>42</v>
      </c>
      <c r="E63" s="932">
        <v>0</v>
      </c>
      <c r="F63" s="933" t="s">
        <v>28</v>
      </c>
      <c r="G63" s="935">
        <f t="shared" si="19"/>
        <v>46023</v>
      </c>
      <c r="H63" s="928">
        <f>SUMIF('5.A'!$B$7:$B$4222,B63,'5.A'!$L$7:$L$4222)</f>
        <v>2.9082240000000006</v>
      </c>
      <c r="I63" s="929" t="str">
        <f t="shared" ref="I63" si="33">IF(H63=0,"no","si")</f>
        <v>si</v>
      </c>
      <c r="J63" s="930"/>
      <c r="K63" s="930"/>
      <c r="L63" s="931"/>
    </row>
    <row r="64" spans="1:39" ht="18" customHeight="1" x14ac:dyDescent="0.2">
      <c r="A64" s="264">
        <v>142</v>
      </c>
      <c r="B64" s="437" t="s">
        <v>402</v>
      </c>
      <c r="C64" s="437"/>
      <c r="D64" s="265" t="s">
        <v>45</v>
      </c>
      <c r="E64" s="932">
        <v>0</v>
      </c>
      <c r="F64" s="933" t="s">
        <v>28</v>
      </c>
      <c r="G64" s="935">
        <f t="shared" si="19"/>
        <v>46023</v>
      </c>
      <c r="H64" s="928">
        <f>SUMIF('5.A'!$B$7:$B$4222,B64,'5.A'!$L$7:$L$4222)</f>
        <v>3.226</v>
      </c>
      <c r="I64" s="929" t="str">
        <f t="shared" ref="I64" si="34">IF(H64=0,"no","si")</f>
        <v>si</v>
      </c>
      <c r="J64" s="930"/>
      <c r="K64" s="930"/>
      <c r="L64" s="931"/>
    </row>
    <row r="65" spans="1:39" ht="18" customHeight="1" x14ac:dyDescent="0.2">
      <c r="A65" s="264">
        <v>402</v>
      </c>
      <c r="B65" s="437" t="s">
        <v>217</v>
      </c>
      <c r="C65" s="437"/>
      <c r="D65" s="265" t="s">
        <v>45</v>
      </c>
      <c r="E65" s="932">
        <v>0</v>
      </c>
      <c r="F65" s="933" t="s">
        <v>28</v>
      </c>
      <c r="G65" s="935">
        <f t="shared" si="19"/>
        <v>46023</v>
      </c>
      <c r="H65" s="928">
        <f>SUMIF('5.A'!$B$7:$B$4222,B65,'5.A'!$L$7:$L$4222)</f>
        <v>6</v>
      </c>
      <c r="I65" s="929" t="str">
        <f t="shared" ref="I65:I75" si="35">IF(H65=0,"no","si")</f>
        <v>si</v>
      </c>
      <c r="J65" s="930"/>
      <c r="K65" s="930"/>
      <c r="L65" s="931"/>
    </row>
    <row r="66" spans="1:39" ht="18" customHeight="1" x14ac:dyDescent="0.2">
      <c r="A66" s="264">
        <v>406</v>
      </c>
      <c r="B66" s="437" t="s">
        <v>204</v>
      </c>
      <c r="C66" s="437"/>
      <c r="D66" s="265" t="s">
        <v>45</v>
      </c>
      <c r="E66" s="932">
        <v>0</v>
      </c>
      <c r="F66" s="933" t="s">
        <v>28</v>
      </c>
      <c r="G66" s="935">
        <f t="shared" si="19"/>
        <v>46023</v>
      </c>
      <c r="H66" s="928">
        <f>SUMIF('5.A'!$B$7:$B$4222,B66,'5.A'!$L$7:$L$4222)</f>
        <v>0.27333333333333332</v>
      </c>
      <c r="I66" s="929" t="str">
        <f t="shared" ref="I66:I67" si="36">IF(H66=0,"no","si")</f>
        <v>si</v>
      </c>
      <c r="J66" s="930" t="s">
        <v>205</v>
      </c>
      <c r="K66" s="930"/>
      <c r="L66" s="931"/>
    </row>
    <row r="67" spans="1:39" ht="18" customHeight="1" x14ac:dyDescent="0.2">
      <c r="A67" s="264">
        <v>421</v>
      </c>
      <c r="B67" s="437" t="s">
        <v>213</v>
      </c>
      <c r="C67" s="437"/>
      <c r="D67" s="265" t="s">
        <v>45</v>
      </c>
      <c r="E67" s="932">
        <v>0</v>
      </c>
      <c r="F67" s="933" t="s">
        <v>28</v>
      </c>
      <c r="G67" s="935">
        <f t="shared" si="19"/>
        <v>46023</v>
      </c>
      <c r="H67" s="928">
        <f>SUMIF('5.A'!$B$7:$B$4222,B67,'5.A'!$L$7:$L$4222)</f>
        <v>2</v>
      </c>
      <c r="I67" s="929" t="str">
        <f t="shared" si="36"/>
        <v>si</v>
      </c>
      <c r="J67" s="930"/>
      <c r="K67" s="930"/>
      <c r="L67" s="931"/>
    </row>
    <row r="68" spans="1:39" ht="18" customHeight="1" x14ac:dyDescent="0.2">
      <c r="A68" s="264">
        <v>650</v>
      </c>
      <c r="B68" s="437" t="s">
        <v>169</v>
      </c>
      <c r="C68" s="437"/>
      <c r="D68" s="265" t="s">
        <v>45</v>
      </c>
      <c r="E68" s="932">
        <v>0</v>
      </c>
      <c r="F68" s="933" t="s">
        <v>28</v>
      </c>
      <c r="G68" s="935">
        <f t="shared" si="19"/>
        <v>46023</v>
      </c>
      <c r="H68" s="928">
        <f>SUMIF('5.A'!$B$7:$B$4222,B68,'5.A'!$L$7:$L$4222)</f>
        <v>262.12299999999999</v>
      </c>
      <c r="I68" s="929" t="str">
        <f t="shared" si="35"/>
        <v>si</v>
      </c>
      <c r="J68" s="930"/>
      <c r="K68" s="930"/>
      <c r="L68" s="931"/>
    </row>
    <row r="69" spans="1:39" ht="18" customHeight="1" x14ac:dyDescent="0.2">
      <c r="A69" s="264">
        <v>857</v>
      </c>
      <c r="B69" s="437" t="s">
        <v>186</v>
      </c>
      <c r="C69" s="437"/>
      <c r="D69" s="265" t="s">
        <v>46</v>
      </c>
      <c r="E69" s="932">
        <v>0</v>
      </c>
      <c r="F69" s="933" t="s">
        <v>28</v>
      </c>
      <c r="G69" s="935">
        <f t="shared" si="19"/>
        <v>46023</v>
      </c>
      <c r="H69" s="928">
        <f>SUMIF('5.A'!$B$7:$B$4222,B69,'5.A'!$L$7:$L$4222)</f>
        <v>10</v>
      </c>
      <c r="I69" s="929" t="str">
        <f t="shared" ref="I69" si="37">IF(H69=0,"no","si")</f>
        <v>si</v>
      </c>
      <c r="J69" s="930"/>
      <c r="K69" s="930"/>
      <c r="L69" s="931"/>
    </row>
    <row r="70" spans="1:39" ht="18" customHeight="1" x14ac:dyDescent="0.2">
      <c r="A70" s="264">
        <v>867</v>
      </c>
      <c r="B70" s="437" t="s">
        <v>187</v>
      </c>
      <c r="C70" s="437"/>
      <c r="D70" s="265" t="s">
        <v>46</v>
      </c>
      <c r="E70" s="932">
        <v>0</v>
      </c>
      <c r="F70" s="933" t="s">
        <v>28</v>
      </c>
      <c r="G70" s="935">
        <f t="shared" si="19"/>
        <v>46023</v>
      </c>
      <c r="H70" s="928">
        <f>SUMIF('5.A'!$B$7:$B$4222,B70,'5.A'!$L$7:$L$4222)</f>
        <v>36</v>
      </c>
      <c r="I70" s="929" t="str">
        <f t="shared" ref="I70" si="38">IF(H70=0,"no","si")</f>
        <v>si</v>
      </c>
      <c r="J70" s="930"/>
      <c r="K70" s="930"/>
      <c r="L70" s="931"/>
    </row>
    <row r="71" spans="1:39" ht="18" customHeight="1" x14ac:dyDescent="0.2">
      <c r="A71" s="264">
        <v>979</v>
      </c>
      <c r="B71" s="437" t="s">
        <v>274</v>
      </c>
      <c r="C71" s="437"/>
      <c r="D71" s="265" t="s">
        <v>46</v>
      </c>
      <c r="E71" s="932">
        <v>0</v>
      </c>
      <c r="F71" s="933" t="s">
        <v>28</v>
      </c>
      <c r="G71" s="935">
        <f t="shared" si="19"/>
        <v>46023</v>
      </c>
      <c r="H71" s="928">
        <f>SUMIF('5.A'!$B$7:$B$4222,B71,'5.A'!$L$7:$L$4222)</f>
        <v>17.134999999999998</v>
      </c>
      <c r="I71" s="929" t="str">
        <f t="shared" ref="I71:I72" si="39">IF(H71=0,"no","si")</f>
        <v>si</v>
      </c>
      <c r="J71" s="930"/>
      <c r="K71" s="930"/>
      <c r="L71" s="931"/>
    </row>
    <row r="72" spans="1:39" ht="18" customHeight="1" x14ac:dyDescent="0.2">
      <c r="A72" s="264">
        <v>981</v>
      </c>
      <c r="B72" s="437" t="s">
        <v>485</v>
      </c>
      <c r="C72" s="437"/>
      <c r="D72" s="265" t="s">
        <v>46</v>
      </c>
      <c r="E72" s="932">
        <v>0</v>
      </c>
      <c r="F72" s="933" t="s">
        <v>28</v>
      </c>
      <c r="G72" s="935">
        <f t="shared" si="19"/>
        <v>46023</v>
      </c>
      <c r="H72" s="928">
        <f>SUMIF('5.A'!$B$7:$B$4222,B72,'5.A'!$L$7:$L$4222)</f>
        <v>3.7302</v>
      </c>
      <c r="I72" s="929" t="str">
        <f t="shared" si="39"/>
        <v>si</v>
      </c>
      <c r="J72" s="930"/>
      <c r="K72" s="930"/>
      <c r="L72" s="931"/>
    </row>
    <row r="73" spans="1:39" ht="18" customHeight="1" x14ac:dyDescent="0.2">
      <c r="A73" s="264">
        <v>982</v>
      </c>
      <c r="B73" s="437" t="s">
        <v>276</v>
      </c>
      <c r="C73" s="437"/>
      <c r="D73" s="265" t="s">
        <v>46</v>
      </c>
      <c r="E73" s="932">
        <v>0</v>
      </c>
      <c r="F73" s="933" t="s">
        <v>28</v>
      </c>
      <c r="G73" s="935">
        <f t="shared" si="19"/>
        <v>46023</v>
      </c>
      <c r="H73" s="928">
        <f>SUMIF('5.A'!$B$7:$B$4222,B73,'5.A'!$L$7:$L$4222)</f>
        <v>48.7624</v>
      </c>
      <c r="I73" s="929" t="str">
        <f t="shared" ref="I73:I74" si="40">IF(H73=0,"no","si")</f>
        <v>si</v>
      </c>
      <c r="J73" s="930"/>
      <c r="K73" s="930"/>
      <c r="L73" s="931"/>
    </row>
    <row r="74" spans="1:39" ht="24.95" customHeight="1" x14ac:dyDescent="0.2">
      <c r="A74" s="264">
        <v>996</v>
      </c>
      <c r="B74" s="437" t="s">
        <v>329</v>
      </c>
      <c r="C74" s="437"/>
      <c r="D74" s="265" t="s">
        <v>46</v>
      </c>
      <c r="E74" s="932">
        <v>0</v>
      </c>
      <c r="F74" s="933" t="s">
        <v>28</v>
      </c>
      <c r="G74" s="935">
        <f t="shared" si="19"/>
        <v>46023</v>
      </c>
      <c r="H74" s="928">
        <f>SUMIF('5.A'!$B$7:$B$4222,B74,'5.A'!$L$7:$L$4222)</f>
        <v>5.2004999999999999</v>
      </c>
      <c r="I74" s="929" t="str">
        <f t="shared" si="40"/>
        <v>si</v>
      </c>
      <c r="J74" s="930"/>
      <c r="K74" s="930"/>
      <c r="L74" s="931"/>
    </row>
    <row r="75" spans="1:39" ht="18" customHeight="1" x14ac:dyDescent="0.2">
      <c r="A75" s="264">
        <v>998</v>
      </c>
      <c r="B75" s="437" t="s">
        <v>291</v>
      </c>
      <c r="C75" s="437"/>
      <c r="D75" s="265" t="s">
        <v>46</v>
      </c>
      <c r="E75" s="932">
        <v>0</v>
      </c>
      <c r="F75" s="933" t="s">
        <v>28</v>
      </c>
      <c r="G75" s="935">
        <f t="shared" si="19"/>
        <v>46023</v>
      </c>
      <c r="H75" s="928">
        <f>SUMIF('5.A'!$B$7:$B$4222,B75,'5.A'!$L$7:$L$4222)</f>
        <v>197.92499999999995</v>
      </c>
      <c r="I75" s="929" t="str">
        <f t="shared" si="35"/>
        <v>si</v>
      </c>
      <c r="J75" s="930"/>
      <c r="K75" s="930"/>
      <c r="L75" s="931"/>
    </row>
    <row r="76" spans="1:39" ht="24.95" customHeight="1" thickBot="1" x14ac:dyDescent="0.25">
      <c r="A76" s="264">
        <v>1000</v>
      </c>
      <c r="B76" s="437" t="s">
        <v>327</v>
      </c>
      <c r="C76" s="437"/>
      <c r="D76" s="265" t="s">
        <v>46</v>
      </c>
      <c r="E76" s="932">
        <v>0</v>
      </c>
      <c r="F76" s="933" t="s">
        <v>28</v>
      </c>
      <c r="G76" s="935">
        <f t="shared" si="19"/>
        <v>46023</v>
      </c>
      <c r="H76" s="928">
        <f>SUMIF('5.A'!$B$7:$B$4222,B76,'5.A'!$L$7:$L$4222)</f>
        <v>349.59999999999997</v>
      </c>
      <c r="I76" s="929" t="str">
        <f t="shared" ref="I76:I78" si="41">IF(H76=0,"no","si")</f>
        <v>si</v>
      </c>
      <c r="J76" s="930"/>
      <c r="K76" s="930"/>
      <c r="L76" s="931"/>
    </row>
    <row r="77" spans="1:39" s="112" customFormat="1" ht="20.100000000000001" customHeight="1" thickBot="1" x14ac:dyDescent="0.25">
      <c r="A77" s="119" t="s">
        <v>6</v>
      </c>
      <c r="B77" s="465" t="s">
        <v>17</v>
      </c>
      <c r="C77" s="466"/>
      <c r="D77" s="120" t="s">
        <v>66</v>
      </c>
      <c r="E77" s="121" t="s">
        <v>1</v>
      </c>
      <c r="F77" s="239" t="s">
        <v>67</v>
      </c>
      <c r="G77" s="376" t="s">
        <v>54</v>
      </c>
      <c r="H77" s="103"/>
      <c r="I77" s="102"/>
      <c r="J77" s="209"/>
      <c r="K77" s="209"/>
      <c r="N77" s="372"/>
      <c r="AM77" s="1"/>
    </row>
    <row r="78" spans="1:39" ht="24.95" customHeight="1" x14ac:dyDescent="0.2">
      <c r="A78" s="266">
        <v>1014</v>
      </c>
      <c r="B78" s="480" t="s">
        <v>523</v>
      </c>
      <c r="C78" s="480"/>
      <c r="D78" s="373" t="s">
        <v>46</v>
      </c>
      <c r="E78" s="937">
        <v>0</v>
      </c>
      <c r="F78" s="374" t="s">
        <v>28</v>
      </c>
      <c r="G78" s="375">
        <f t="shared" ref="G78:G108" si="42">IF(F78="SINAPI",$D$186,IF(F78="SICRO",$D$185,IF(F78="SIURB",$D$187,IF(F78="SABESP",$D$188,IF(F78="CDHU",$D$189,"-")))))</f>
        <v>46023</v>
      </c>
      <c r="H78" s="66">
        <f>SUMIF('5.A'!$B$7:$B$4222,B78,'5.A'!$L$7:$L$4222)</f>
        <v>44.7624</v>
      </c>
      <c r="I78" s="64" t="str">
        <f t="shared" si="41"/>
        <v>si</v>
      </c>
    </row>
    <row r="79" spans="1:39" ht="24.95" customHeight="1" x14ac:dyDescent="0.2">
      <c r="A79" s="264">
        <v>1018</v>
      </c>
      <c r="B79" s="437" t="s">
        <v>328</v>
      </c>
      <c r="C79" s="437"/>
      <c r="D79" s="265" t="s">
        <v>46</v>
      </c>
      <c r="E79" s="932">
        <v>0</v>
      </c>
      <c r="F79" s="240" t="s">
        <v>28</v>
      </c>
      <c r="G79" s="282">
        <f t="shared" si="42"/>
        <v>46023</v>
      </c>
      <c r="H79" s="66">
        <f>SUMIF('5.A'!$B$7:$B$4222,B79,'5.A'!$L$7:$L$4222)</f>
        <v>15.6015</v>
      </c>
      <c r="I79" s="64" t="str">
        <f t="shared" ref="I79" si="43">IF(H79=0,"no","si")</f>
        <v>si</v>
      </c>
    </row>
    <row r="80" spans="1:39" ht="18" customHeight="1" x14ac:dyDescent="0.2">
      <c r="A80" s="264">
        <v>1051</v>
      </c>
      <c r="B80" s="437" t="s">
        <v>387</v>
      </c>
      <c r="C80" s="437"/>
      <c r="D80" s="265" t="s">
        <v>45</v>
      </c>
      <c r="E80" s="932">
        <v>0</v>
      </c>
      <c r="F80" s="240" t="s">
        <v>28</v>
      </c>
      <c r="G80" s="282">
        <f t="shared" si="42"/>
        <v>46023</v>
      </c>
      <c r="H80" s="66">
        <f>SUMIF('5.A'!$B$7:$B$4222,B80,'5.A'!$L$7:$L$4222)</f>
        <v>3</v>
      </c>
      <c r="I80" s="64" t="str">
        <f>IF(H80=0,"no","si")</f>
        <v>si</v>
      </c>
    </row>
    <row r="81" spans="1:9" ht="18" customHeight="1" x14ac:dyDescent="0.2">
      <c r="A81" s="264">
        <v>1062</v>
      </c>
      <c r="B81" s="437" t="s">
        <v>277</v>
      </c>
      <c r="C81" s="437"/>
      <c r="D81" s="265" t="s">
        <v>45</v>
      </c>
      <c r="E81" s="932">
        <v>0</v>
      </c>
      <c r="F81" s="240" t="s">
        <v>28</v>
      </c>
      <c r="G81" s="282">
        <f t="shared" si="42"/>
        <v>46023</v>
      </c>
      <c r="H81" s="66">
        <f>SUMIF('5.A'!$B$7:$B$4222,B81,'5.A'!$L$7:$L$4222)</f>
        <v>2</v>
      </c>
      <c r="I81" s="64" t="str">
        <f t="shared" ref="I81" si="44">IF(H81=0,"no","si")</f>
        <v>si</v>
      </c>
    </row>
    <row r="82" spans="1:9" ht="18" customHeight="1" x14ac:dyDescent="0.2">
      <c r="A82" s="264">
        <v>1106</v>
      </c>
      <c r="B82" s="437" t="s">
        <v>175</v>
      </c>
      <c r="C82" s="437"/>
      <c r="D82" s="265" t="s">
        <v>47</v>
      </c>
      <c r="E82" s="932">
        <v>0</v>
      </c>
      <c r="F82" s="240" t="s">
        <v>28</v>
      </c>
      <c r="G82" s="282">
        <f t="shared" si="42"/>
        <v>46023</v>
      </c>
      <c r="H82" s="66">
        <f>SUMIF('5.A'!$B$7:$B$4222,B82,'5.A'!$L$7:$L$4222)</f>
        <v>115.1464</v>
      </c>
      <c r="I82" s="64" t="str">
        <f t="shared" ref="I82" si="45">IF(H82=0,"no","si")</f>
        <v>si</v>
      </c>
    </row>
    <row r="83" spans="1:9" ht="18" customHeight="1" x14ac:dyDescent="0.2">
      <c r="A83" s="264">
        <v>1347</v>
      </c>
      <c r="B83" s="437" t="s">
        <v>253</v>
      </c>
      <c r="C83" s="437"/>
      <c r="D83" s="265" t="s">
        <v>48</v>
      </c>
      <c r="E83" s="932">
        <v>0</v>
      </c>
      <c r="F83" s="240" t="s">
        <v>28</v>
      </c>
      <c r="G83" s="282">
        <f t="shared" si="42"/>
        <v>46023</v>
      </c>
      <c r="H83" s="66">
        <f>SUMIF('5.A'!$B$7:$B$4222,B83,'5.A'!$L$7:$L$4222)</f>
        <v>1.13686</v>
      </c>
      <c r="I83" s="64" t="str">
        <f t="shared" ref="I83" si="46">IF(H83=0,"no","si")</f>
        <v>si</v>
      </c>
    </row>
    <row r="84" spans="1:9" ht="18" customHeight="1" x14ac:dyDescent="0.2">
      <c r="A84" s="264">
        <v>1358</v>
      </c>
      <c r="B84" s="437" t="s">
        <v>254</v>
      </c>
      <c r="C84" s="437"/>
      <c r="D84" s="265" t="s">
        <v>48</v>
      </c>
      <c r="E84" s="932">
        <v>0</v>
      </c>
      <c r="F84" s="240" t="s">
        <v>28</v>
      </c>
      <c r="G84" s="282">
        <f t="shared" si="42"/>
        <v>46023</v>
      </c>
      <c r="H84" s="66">
        <f>SUMIF('5.A'!$B$7:$B$4222,B84,'5.A'!$L$7:$L$4222)</f>
        <v>0.18356800000000001</v>
      </c>
      <c r="I84" s="64" t="str">
        <f t="shared" ref="I84" si="47">IF(H84=0,"no","si")</f>
        <v>si</v>
      </c>
    </row>
    <row r="85" spans="1:9" ht="18" customHeight="1" x14ac:dyDescent="0.2">
      <c r="A85" s="264">
        <v>1379</v>
      </c>
      <c r="B85" s="437" t="s">
        <v>160</v>
      </c>
      <c r="C85" s="437"/>
      <c r="D85" s="265" t="s">
        <v>47</v>
      </c>
      <c r="E85" s="932">
        <v>0</v>
      </c>
      <c r="F85" s="240" t="s">
        <v>28</v>
      </c>
      <c r="G85" s="282">
        <f t="shared" si="42"/>
        <v>46023</v>
      </c>
      <c r="H85" s="66">
        <f>SUMIF('5.A'!$B$7:$B$4222,B85,'5.A'!$L$7:$L$4222)</f>
        <v>1035.1606303999999</v>
      </c>
      <c r="I85" s="64" t="str">
        <f t="shared" ref="I85" si="48">IF(H85=0,"no","si")</f>
        <v>si</v>
      </c>
    </row>
    <row r="86" spans="1:9" ht="18" customHeight="1" x14ac:dyDescent="0.2">
      <c r="A86" s="264">
        <v>1539</v>
      </c>
      <c r="B86" s="437" t="s">
        <v>220</v>
      </c>
      <c r="C86" s="437"/>
      <c r="D86" s="265" t="s">
        <v>45</v>
      </c>
      <c r="E86" s="932">
        <v>0</v>
      </c>
      <c r="F86" s="240" t="s">
        <v>28</v>
      </c>
      <c r="G86" s="282">
        <f t="shared" si="42"/>
        <v>46023</v>
      </c>
      <c r="H86" s="66">
        <f>SUMIF('5.A'!$B$7:$B$4222,B86,'5.A'!$L$7:$L$4222)</f>
        <v>24</v>
      </c>
      <c r="I86" s="64" t="str">
        <f t="shared" ref="I86:I87" si="49">IF(H86=0,"no","si")</f>
        <v>si</v>
      </c>
    </row>
    <row r="87" spans="1:9" ht="24.95" customHeight="1" x14ac:dyDescent="0.2">
      <c r="A87" s="264">
        <v>1571</v>
      </c>
      <c r="B87" s="437" t="s">
        <v>521</v>
      </c>
      <c r="C87" s="437"/>
      <c r="D87" s="265" t="s">
        <v>45</v>
      </c>
      <c r="E87" s="932">
        <v>0</v>
      </c>
      <c r="F87" s="240" t="s">
        <v>28</v>
      </c>
      <c r="G87" s="282">
        <f t="shared" si="42"/>
        <v>46023</v>
      </c>
      <c r="H87" s="66">
        <f>SUMIF('5.A'!$B$7:$B$4222,B87,'5.A'!$L$7:$L$4222)</f>
        <v>18</v>
      </c>
      <c r="I87" s="64" t="str">
        <f t="shared" si="49"/>
        <v>si</v>
      </c>
    </row>
    <row r="88" spans="1:9" ht="24.95" customHeight="1" x14ac:dyDescent="0.2">
      <c r="A88" s="264">
        <v>1573</v>
      </c>
      <c r="B88" s="437" t="s">
        <v>471</v>
      </c>
      <c r="C88" s="437"/>
      <c r="D88" s="265" t="s">
        <v>45</v>
      </c>
      <c r="E88" s="932">
        <v>0</v>
      </c>
      <c r="F88" s="240" t="s">
        <v>28</v>
      </c>
      <c r="G88" s="282">
        <f t="shared" si="42"/>
        <v>46023</v>
      </c>
      <c r="H88" s="66">
        <f>SUMIF('5.A'!$B$7:$B$4222,B88,'5.A'!$L$7:$L$4222)</f>
        <v>21</v>
      </c>
      <c r="I88" s="64" t="str">
        <f t="shared" ref="I88:I89" si="50">IF(H88=0,"no","si")</f>
        <v>si</v>
      </c>
    </row>
    <row r="89" spans="1:9" ht="18" customHeight="1" x14ac:dyDescent="0.2">
      <c r="A89" s="264">
        <v>1585</v>
      </c>
      <c r="B89" s="437" t="s">
        <v>514</v>
      </c>
      <c r="C89" s="437"/>
      <c r="D89" s="265" t="s">
        <v>45</v>
      </c>
      <c r="E89" s="932">
        <v>0</v>
      </c>
      <c r="F89" s="240" t="s">
        <v>28</v>
      </c>
      <c r="G89" s="282">
        <f t="shared" si="42"/>
        <v>46023</v>
      </c>
      <c r="H89" s="66">
        <f>SUMIF('5.A'!$B$7:$B$4222,B89,'5.A'!$L$7:$L$4222)</f>
        <v>2</v>
      </c>
      <c r="I89" s="64" t="str">
        <f t="shared" si="50"/>
        <v>si</v>
      </c>
    </row>
    <row r="90" spans="1:9" ht="18" customHeight="1" x14ac:dyDescent="0.2">
      <c r="A90" s="264">
        <v>1586</v>
      </c>
      <c r="B90" s="437" t="s">
        <v>207</v>
      </c>
      <c r="C90" s="437"/>
      <c r="D90" s="265" t="s">
        <v>45</v>
      </c>
      <c r="E90" s="932">
        <v>0</v>
      </c>
      <c r="F90" s="240" t="s">
        <v>28</v>
      </c>
      <c r="G90" s="282">
        <f t="shared" si="42"/>
        <v>46023</v>
      </c>
      <c r="H90" s="66">
        <f>SUMIF('5.A'!$B$7:$B$4222,B90,'5.A'!$L$7:$L$4222)</f>
        <v>6</v>
      </c>
      <c r="I90" s="64" t="str">
        <f t="shared" ref="I90:I91" si="51">IF(H90=0,"no","si")</f>
        <v>si</v>
      </c>
    </row>
    <row r="91" spans="1:9" ht="18" customHeight="1" x14ac:dyDescent="0.2">
      <c r="A91" s="264">
        <v>1588</v>
      </c>
      <c r="B91" s="437" t="s">
        <v>337</v>
      </c>
      <c r="C91" s="437"/>
      <c r="D91" s="265" t="s">
        <v>45</v>
      </c>
      <c r="E91" s="932">
        <v>0</v>
      </c>
      <c r="F91" s="240" t="s">
        <v>28</v>
      </c>
      <c r="G91" s="282">
        <f t="shared" si="42"/>
        <v>46023</v>
      </c>
      <c r="H91" s="66">
        <f>SUMIF('5.A'!$B$7:$B$4222,B91,'5.A'!$L$7:$L$4222)</f>
        <v>6</v>
      </c>
      <c r="I91" s="64" t="str">
        <f t="shared" si="51"/>
        <v>si</v>
      </c>
    </row>
    <row r="92" spans="1:9" ht="18" customHeight="1" x14ac:dyDescent="0.2">
      <c r="A92" s="264">
        <v>1590</v>
      </c>
      <c r="B92" s="437" t="s">
        <v>292</v>
      </c>
      <c r="C92" s="437"/>
      <c r="D92" s="265" t="s">
        <v>45</v>
      </c>
      <c r="E92" s="932">
        <v>0</v>
      </c>
      <c r="F92" s="240" t="s">
        <v>28</v>
      </c>
      <c r="G92" s="282">
        <f t="shared" si="42"/>
        <v>46023</v>
      </c>
      <c r="H92" s="66">
        <f>SUMIF('5.A'!$B$7:$B$4222,B92,'5.A'!$L$7:$L$4222)</f>
        <v>3</v>
      </c>
      <c r="I92" s="64" t="str">
        <f t="shared" ref="I92" si="52">IF(H92=0,"no","si")</f>
        <v>si</v>
      </c>
    </row>
    <row r="93" spans="1:9" ht="18" customHeight="1" x14ac:dyDescent="0.2">
      <c r="A93" s="264">
        <v>1593</v>
      </c>
      <c r="B93" s="437" t="s">
        <v>336</v>
      </c>
      <c r="C93" s="437"/>
      <c r="D93" s="265" t="s">
        <v>45</v>
      </c>
      <c r="E93" s="932">
        <v>0</v>
      </c>
      <c r="F93" s="240" t="s">
        <v>28</v>
      </c>
      <c r="G93" s="282">
        <f t="shared" si="42"/>
        <v>46023</v>
      </c>
      <c r="H93" s="66">
        <f>SUMIF('5.A'!$B$7:$B$4222,B93,'5.A'!$L$7:$L$4222)</f>
        <v>41</v>
      </c>
      <c r="I93" s="64" t="str">
        <f t="shared" ref="I93:I94" si="53">IF(H93=0,"no","si")</f>
        <v>si</v>
      </c>
    </row>
    <row r="94" spans="1:9" ht="18" customHeight="1" x14ac:dyDescent="0.2">
      <c r="A94" s="264">
        <v>1876</v>
      </c>
      <c r="B94" s="437" t="s">
        <v>504</v>
      </c>
      <c r="C94" s="437"/>
      <c r="D94" s="265" t="s">
        <v>45</v>
      </c>
      <c r="E94" s="932">
        <v>0</v>
      </c>
      <c r="F94" s="240" t="s">
        <v>28</v>
      </c>
      <c r="G94" s="282">
        <f t="shared" si="42"/>
        <v>46023</v>
      </c>
      <c r="H94" s="66">
        <f>SUMIF('5.A'!$B$7:$B$4222,B94,'5.A'!$L$7:$L$4222)</f>
        <v>2</v>
      </c>
      <c r="I94" s="64" t="str">
        <f t="shared" si="53"/>
        <v>si</v>
      </c>
    </row>
    <row r="95" spans="1:9" ht="18" customHeight="1" x14ac:dyDescent="0.2">
      <c r="A95" s="264">
        <v>1878</v>
      </c>
      <c r="B95" s="437" t="s">
        <v>170</v>
      </c>
      <c r="C95" s="437"/>
      <c r="D95" s="265" t="s">
        <v>45</v>
      </c>
      <c r="E95" s="932">
        <v>0</v>
      </c>
      <c r="F95" s="240" t="s">
        <v>28</v>
      </c>
      <c r="G95" s="282">
        <f t="shared" si="42"/>
        <v>46023</v>
      </c>
      <c r="H95" s="66">
        <f>SUMIF('5.A'!$B$7:$B$4222,B95,'5.A'!$L$7:$L$4222)</f>
        <v>2</v>
      </c>
      <c r="I95" s="64" t="str">
        <f t="shared" ref="I95:I96" si="54">IF(H95=0,"no","si")</f>
        <v>si</v>
      </c>
    </row>
    <row r="96" spans="1:9" ht="18" customHeight="1" x14ac:dyDescent="0.2">
      <c r="A96" s="264">
        <v>1894</v>
      </c>
      <c r="B96" s="437" t="s">
        <v>506</v>
      </c>
      <c r="C96" s="437"/>
      <c r="D96" s="265" t="s">
        <v>45</v>
      </c>
      <c r="E96" s="932">
        <v>0</v>
      </c>
      <c r="F96" s="240" t="s">
        <v>28</v>
      </c>
      <c r="G96" s="282">
        <f t="shared" si="42"/>
        <v>46023</v>
      </c>
      <c r="H96" s="66">
        <f>SUMIF('5.A'!$B$7:$B$4222,B96,'5.A'!$L$7:$L$4222)</f>
        <v>4</v>
      </c>
      <c r="I96" s="64" t="str">
        <f t="shared" si="54"/>
        <v>si</v>
      </c>
    </row>
    <row r="97" spans="1:219" ht="18" customHeight="1" x14ac:dyDescent="0.2">
      <c r="A97" s="264">
        <v>1895</v>
      </c>
      <c r="B97" s="437" t="s">
        <v>171</v>
      </c>
      <c r="C97" s="437"/>
      <c r="D97" s="265" t="s">
        <v>45</v>
      </c>
      <c r="E97" s="932">
        <v>0</v>
      </c>
      <c r="F97" s="240" t="s">
        <v>28</v>
      </c>
      <c r="G97" s="282">
        <f t="shared" si="42"/>
        <v>46023</v>
      </c>
      <c r="H97" s="66">
        <f>SUMIF('5.A'!$B$7:$B$4222,B97,'5.A'!$L$7:$L$4222)</f>
        <v>4</v>
      </c>
      <c r="I97" s="64" t="str">
        <f t="shared" ref="I97" si="55">IF(H97=0,"no","si")</f>
        <v>si</v>
      </c>
    </row>
    <row r="98" spans="1:219" ht="18" customHeight="1" x14ac:dyDescent="0.2">
      <c r="A98" s="264">
        <v>2621</v>
      </c>
      <c r="B98" s="437" t="s">
        <v>388</v>
      </c>
      <c r="C98" s="437"/>
      <c r="D98" s="265" t="s">
        <v>45</v>
      </c>
      <c r="E98" s="932">
        <v>0</v>
      </c>
      <c r="F98" s="240" t="s">
        <v>28</v>
      </c>
      <c r="G98" s="282">
        <f t="shared" si="42"/>
        <v>46023</v>
      </c>
      <c r="H98" s="66">
        <f>SUMIF('5.A'!$B$7:$B$4222,B98,'5.A'!$L$7:$L$4222)</f>
        <v>3</v>
      </c>
      <c r="I98" s="64" t="str">
        <f>IF(H98=0,"no","si")</f>
        <v>si</v>
      </c>
    </row>
    <row r="99" spans="1:219" ht="18" customHeight="1" x14ac:dyDescent="0.2">
      <c r="A99" s="264">
        <v>2641</v>
      </c>
      <c r="B99" s="437" t="s">
        <v>389</v>
      </c>
      <c r="C99" s="437"/>
      <c r="D99" s="265" t="s">
        <v>45</v>
      </c>
      <c r="E99" s="932">
        <v>0</v>
      </c>
      <c r="F99" s="240" t="s">
        <v>28</v>
      </c>
      <c r="G99" s="282">
        <f t="shared" si="42"/>
        <v>46023</v>
      </c>
      <c r="H99" s="66">
        <f>SUMIF('5.A'!$B$7:$B$4222,B99,'5.A'!$L$7:$L$4222)</f>
        <v>6</v>
      </c>
      <c r="I99" s="64" t="str">
        <f>IF(H99=0,"no","si")</f>
        <v>si</v>
      </c>
    </row>
    <row r="100" spans="1:219" ht="18" customHeight="1" x14ac:dyDescent="0.2">
      <c r="A100" s="264">
        <v>2674</v>
      </c>
      <c r="B100" s="437" t="s">
        <v>297</v>
      </c>
      <c r="C100" s="437"/>
      <c r="D100" s="265" t="s">
        <v>46</v>
      </c>
      <c r="E100" s="932">
        <v>0</v>
      </c>
      <c r="F100" s="240" t="s">
        <v>28</v>
      </c>
      <c r="G100" s="282">
        <f t="shared" si="42"/>
        <v>46023</v>
      </c>
      <c r="H100" s="66">
        <f>SUMIF('5.A'!$B$7:$B$4222,B100,'5.A'!$L$7:$L$4222)</f>
        <v>4</v>
      </c>
      <c r="I100" s="64" t="str">
        <f t="shared" ref="I100:I101" si="56">IF(H100=0,"no","si")</f>
        <v>si</v>
      </c>
    </row>
    <row r="101" spans="1:219" ht="18" customHeight="1" x14ac:dyDescent="0.2">
      <c r="A101" s="264">
        <v>2681</v>
      </c>
      <c r="B101" s="437" t="s">
        <v>502</v>
      </c>
      <c r="C101" s="437"/>
      <c r="D101" s="265" t="s">
        <v>46</v>
      </c>
      <c r="E101" s="932">
        <v>0</v>
      </c>
      <c r="F101" s="240" t="s">
        <v>28</v>
      </c>
      <c r="G101" s="282">
        <f t="shared" si="42"/>
        <v>46023</v>
      </c>
      <c r="H101" s="66">
        <f>SUMIF('5.A'!$B$7:$B$4222,B101,'5.A'!$L$7:$L$4222)</f>
        <v>6.6000000000000005</v>
      </c>
      <c r="I101" s="64" t="str">
        <f t="shared" si="56"/>
        <v>si</v>
      </c>
    </row>
    <row r="102" spans="1:219" ht="18" customHeight="1" x14ac:dyDescent="0.2">
      <c r="A102" s="264">
        <v>2683</v>
      </c>
      <c r="B102" s="437" t="s">
        <v>296</v>
      </c>
      <c r="C102" s="437"/>
      <c r="D102" s="265" t="s">
        <v>46</v>
      </c>
      <c r="E102" s="932">
        <v>0</v>
      </c>
      <c r="F102" s="240" t="s">
        <v>28</v>
      </c>
      <c r="G102" s="282">
        <f t="shared" si="42"/>
        <v>46023</v>
      </c>
      <c r="H102" s="66">
        <f>SUMIF('5.A'!$B$7:$B$4222,B102,'5.A'!$L$7:$L$4222)</f>
        <v>10.600000000000001</v>
      </c>
      <c r="I102" s="64" t="str">
        <f t="shared" ref="I102" si="57">IF(H102=0,"no","si")</f>
        <v>si</v>
      </c>
    </row>
    <row r="103" spans="1:219" ht="18" customHeight="1" x14ac:dyDescent="0.2">
      <c r="A103" s="264">
        <v>2692</v>
      </c>
      <c r="B103" s="438" t="s">
        <v>121</v>
      </c>
      <c r="C103" s="439"/>
      <c r="D103" s="265" t="s">
        <v>42</v>
      </c>
      <c r="E103" s="932">
        <v>0</v>
      </c>
      <c r="F103" s="240" t="s">
        <v>28</v>
      </c>
      <c r="G103" s="282">
        <f t="shared" si="42"/>
        <v>46023</v>
      </c>
      <c r="H103" s="66">
        <f>SUMIF('5.A'!$B$7:$B$4222,B103,'5.A'!$L$7:$L$4222)</f>
        <v>8.9538000000000006E-2</v>
      </c>
      <c r="I103" s="64" t="str">
        <f>IF(H103=0,"no","si")</f>
        <v>si</v>
      </c>
      <c r="J103" s="115"/>
      <c r="K103" s="115"/>
      <c r="L103" s="114"/>
      <c r="M103" s="114"/>
      <c r="N103" s="370"/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  <c r="AB103" s="114"/>
      <c r="AC103" s="114"/>
      <c r="AD103" s="114"/>
      <c r="AE103" s="114"/>
      <c r="AF103" s="114"/>
      <c r="AG103" s="114"/>
      <c r="AH103" s="114"/>
      <c r="AI103" s="114"/>
      <c r="AJ103" s="114"/>
      <c r="AK103" s="114"/>
      <c r="AL103" s="114"/>
      <c r="AM103" s="1" t="s">
        <v>121</v>
      </c>
      <c r="AN103" s="114"/>
      <c r="AO103" s="114"/>
      <c r="AP103" s="114"/>
      <c r="AQ103" s="114"/>
      <c r="AR103" s="114"/>
      <c r="AS103" s="114"/>
      <c r="AT103" s="114"/>
      <c r="AU103" s="114"/>
      <c r="AV103" s="114"/>
      <c r="AW103" s="114"/>
      <c r="AX103" s="114"/>
      <c r="AY103" s="114"/>
      <c r="AZ103" s="114"/>
      <c r="BA103" s="114"/>
      <c r="BB103" s="114"/>
      <c r="BC103" s="114"/>
      <c r="BD103" s="114"/>
      <c r="BE103" s="114"/>
      <c r="BF103" s="114"/>
      <c r="BG103" s="114"/>
      <c r="BH103" s="114"/>
      <c r="BI103" s="114"/>
      <c r="BJ103" s="114"/>
      <c r="BK103" s="114"/>
      <c r="BL103" s="114"/>
      <c r="BM103" s="114"/>
      <c r="BN103" s="114"/>
      <c r="BO103" s="114"/>
      <c r="BP103" s="114"/>
      <c r="BQ103" s="114"/>
      <c r="BR103" s="114"/>
      <c r="BS103" s="114"/>
      <c r="BT103" s="114"/>
      <c r="BU103" s="114"/>
      <c r="BV103" s="114"/>
      <c r="BW103" s="114"/>
      <c r="BX103" s="114"/>
      <c r="BY103" s="114"/>
      <c r="BZ103" s="114"/>
      <c r="CA103" s="114"/>
      <c r="CB103" s="114"/>
      <c r="CC103" s="114"/>
      <c r="CD103" s="114"/>
      <c r="CE103" s="114"/>
      <c r="CF103" s="114"/>
      <c r="CG103" s="114"/>
      <c r="CH103" s="114"/>
      <c r="CI103" s="114"/>
      <c r="CJ103" s="114"/>
      <c r="CK103" s="114"/>
      <c r="CL103" s="114"/>
      <c r="CM103" s="114"/>
      <c r="CN103" s="114"/>
      <c r="CO103" s="114"/>
      <c r="CP103" s="114"/>
      <c r="CQ103" s="114"/>
      <c r="CR103" s="114"/>
      <c r="CS103" s="114"/>
      <c r="CT103" s="114"/>
      <c r="CU103" s="114"/>
      <c r="CV103" s="114"/>
      <c r="CW103" s="114"/>
      <c r="CX103" s="114"/>
      <c r="CY103" s="114"/>
      <c r="CZ103" s="114"/>
      <c r="DA103" s="114"/>
      <c r="DB103" s="114"/>
      <c r="DC103" s="114"/>
      <c r="DD103" s="114"/>
      <c r="DE103" s="114"/>
      <c r="DF103" s="114"/>
      <c r="DG103" s="114"/>
      <c r="DH103" s="114"/>
      <c r="DI103" s="114"/>
      <c r="DJ103" s="114"/>
      <c r="DK103" s="114"/>
      <c r="DL103" s="114"/>
      <c r="DM103" s="114"/>
      <c r="DN103" s="114"/>
      <c r="DO103" s="114"/>
      <c r="DP103" s="114"/>
      <c r="DQ103" s="114"/>
      <c r="DR103" s="114"/>
      <c r="DS103" s="114"/>
      <c r="DT103" s="114"/>
      <c r="DU103" s="114"/>
      <c r="DV103" s="114"/>
      <c r="DW103" s="114"/>
      <c r="DX103" s="114"/>
      <c r="DY103" s="114"/>
      <c r="DZ103" s="114"/>
      <c r="EA103" s="114"/>
      <c r="EB103" s="114"/>
      <c r="EC103" s="114"/>
      <c r="ED103" s="114"/>
      <c r="EE103" s="114"/>
      <c r="EF103" s="114"/>
      <c r="EG103" s="114"/>
      <c r="EH103" s="114"/>
      <c r="EI103" s="114"/>
      <c r="EJ103" s="114"/>
      <c r="EK103" s="114"/>
      <c r="EL103" s="114"/>
      <c r="EM103" s="114"/>
      <c r="EN103" s="114"/>
      <c r="EO103" s="114"/>
      <c r="EP103" s="114"/>
      <c r="EQ103" s="114"/>
      <c r="ER103" s="114"/>
      <c r="ES103" s="114"/>
      <c r="ET103" s="114"/>
      <c r="EU103" s="114"/>
      <c r="EV103" s="114"/>
      <c r="EW103" s="114"/>
      <c r="EX103" s="114"/>
      <c r="EY103" s="114"/>
      <c r="EZ103" s="114"/>
      <c r="FA103" s="114"/>
      <c r="FB103" s="114"/>
      <c r="FC103" s="114"/>
      <c r="FD103" s="114"/>
      <c r="FE103" s="114"/>
      <c r="FF103" s="114"/>
      <c r="FG103" s="114"/>
      <c r="FH103" s="114"/>
      <c r="FI103" s="114"/>
      <c r="FJ103" s="114"/>
      <c r="FK103" s="114"/>
      <c r="FL103" s="114"/>
      <c r="FM103" s="114"/>
      <c r="FN103" s="114"/>
      <c r="FO103" s="114"/>
      <c r="FP103" s="114"/>
      <c r="FQ103" s="114"/>
      <c r="FR103" s="114"/>
      <c r="FS103" s="114"/>
      <c r="FT103" s="114"/>
      <c r="FU103" s="114"/>
      <c r="FV103" s="114"/>
      <c r="FW103" s="114"/>
      <c r="FX103" s="114"/>
      <c r="FY103" s="114"/>
      <c r="FZ103" s="114"/>
      <c r="GA103" s="114"/>
      <c r="GB103" s="114"/>
      <c r="GC103" s="114"/>
      <c r="GD103" s="114"/>
      <c r="GE103" s="114"/>
      <c r="GF103" s="114"/>
      <c r="GG103" s="114"/>
      <c r="GH103" s="114"/>
      <c r="GI103" s="114"/>
      <c r="GJ103" s="114"/>
      <c r="GK103" s="114"/>
      <c r="GL103" s="114"/>
      <c r="GM103" s="114"/>
      <c r="GN103" s="114"/>
      <c r="GO103" s="114"/>
      <c r="GP103" s="114"/>
      <c r="GQ103" s="114"/>
      <c r="GR103" s="114"/>
      <c r="GS103" s="114"/>
      <c r="GT103" s="114"/>
      <c r="GU103" s="114"/>
      <c r="GV103" s="114"/>
      <c r="GW103" s="114"/>
      <c r="GX103" s="114"/>
      <c r="GY103" s="114"/>
      <c r="GZ103" s="114"/>
      <c r="HA103" s="114"/>
      <c r="HB103" s="114"/>
      <c r="HC103" s="114"/>
      <c r="HD103" s="114"/>
      <c r="HE103" s="114"/>
      <c r="HF103" s="114"/>
      <c r="HG103" s="114"/>
      <c r="HH103" s="114"/>
      <c r="HI103" s="114"/>
      <c r="HJ103" s="114"/>
      <c r="HK103" s="114"/>
    </row>
    <row r="104" spans="1:219" ht="18" customHeight="1" x14ac:dyDescent="0.2">
      <c r="A104" s="264">
        <v>3395</v>
      </c>
      <c r="B104" s="437" t="s">
        <v>270</v>
      </c>
      <c r="C104" s="437"/>
      <c r="D104" s="265" t="s">
        <v>45</v>
      </c>
      <c r="E104" s="932">
        <v>0</v>
      </c>
      <c r="F104" s="240" t="s">
        <v>28</v>
      </c>
      <c r="G104" s="282">
        <f t="shared" si="42"/>
        <v>46023</v>
      </c>
      <c r="H104" s="66">
        <f>SUMIF('5.A'!$B$7:$B$4222,B104,'5.A'!$L$7:$L$4222)</f>
        <v>14</v>
      </c>
      <c r="I104" s="64" t="str">
        <f t="shared" ref="I104:I105" si="58">IF(H104=0,"no","si")</f>
        <v>si</v>
      </c>
      <c r="J104" s="115"/>
      <c r="K104" s="115"/>
      <c r="L104" s="114"/>
      <c r="M104" s="114"/>
      <c r="N104" s="370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4"/>
      <c r="AD104" s="114"/>
      <c r="AE104" s="114"/>
      <c r="AF104" s="114"/>
      <c r="AG104" s="114"/>
      <c r="AH104" s="114"/>
      <c r="AI104" s="114"/>
      <c r="AJ104" s="114"/>
      <c r="AK104" s="114"/>
      <c r="AL104" s="114"/>
      <c r="AN104" s="114"/>
      <c r="AO104" s="114"/>
      <c r="AP104" s="114"/>
      <c r="AQ104" s="114"/>
      <c r="AR104" s="114"/>
      <c r="AS104" s="114"/>
      <c r="AT104" s="114"/>
      <c r="AU104" s="114"/>
      <c r="AV104" s="114"/>
      <c r="AW104" s="114"/>
      <c r="AX104" s="114"/>
      <c r="AY104" s="114"/>
      <c r="AZ104" s="114"/>
      <c r="BA104" s="114"/>
      <c r="BB104" s="114"/>
      <c r="BC104" s="114"/>
      <c r="BD104" s="114"/>
      <c r="BE104" s="114"/>
      <c r="BF104" s="114"/>
      <c r="BG104" s="114"/>
      <c r="BH104" s="114"/>
      <c r="BI104" s="114"/>
      <c r="BJ104" s="114"/>
      <c r="BK104" s="114"/>
      <c r="BL104" s="114"/>
      <c r="BM104" s="114"/>
      <c r="BN104" s="114"/>
      <c r="BO104" s="114"/>
      <c r="BP104" s="114"/>
      <c r="BQ104" s="114"/>
      <c r="BR104" s="114"/>
      <c r="BS104" s="114"/>
      <c r="BT104" s="114"/>
      <c r="BU104" s="114"/>
      <c r="BV104" s="114"/>
      <c r="BW104" s="114"/>
      <c r="BX104" s="114"/>
      <c r="BY104" s="114"/>
      <c r="BZ104" s="114"/>
      <c r="CA104" s="114"/>
      <c r="CB104" s="114"/>
      <c r="CC104" s="114"/>
      <c r="CD104" s="114"/>
      <c r="CE104" s="114"/>
      <c r="CF104" s="114"/>
      <c r="CG104" s="114"/>
      <c r="CH104" s="114"/>
      <c r="CI104" s="114"/>
      <c r="CJ104" s="114"/>
      <c r="CK104" s="114"/>
      <c r="CL104" s="114"/>
      <c r="CM104" s="114"/>
      <c r="CN104" s="114"/>
      <c r="CO104" s="114"/>
      <c r="CP104" s="114"/>
      <c r="CQ104" s="114"/>
      <c r="CR104" s="114"/>
      <c r="CS104" s="114"/>
      <c r="CT104" s="114"/>
      <c r="CU104" s="114"/>
      <c r="CV104" s="114"/>
      <c r="CW104" s="114"/>
      <c r="CX104" s="114"/>
      <c r="CY104" s="114"/>
      <c r="CZ104" s="114"/>
      <c r="DA104" s="114"/>
      <c r="DB104" s="114"/>
      <c r="DC104" s="114"/>
      <c r="DD104" s="114"/>
      <c r="DE104" s="114"/>
      <c r="DF104" s="114"/>
      <c r="DG104" s="114"/>
      <c r="DH104" s="114"/>
      <c r="DI104" s="114"/>
      <c r="DJ104" s="114"/>
      <c r="DK104" s="114"/>
      <c r="DL104" s="114"/>
      <c r="DM104" s="114"/>
      <c r="DN104" s="114"/>
      <c r="DO104" s="114"/>
      <c r="DP104" s="114"/>
      <c r="DQ104" s="114"/>
      <c r="DR104" s="114"/>
      <c r="DS104" s="114"/>
      <c r="DT104" s="114"/>
      <c r="DU104" s="114"/>
      <c r="DV104" s="114"/>
      <c r="DW104" s="114"/>
      <c r="DX104" s="114"/>
      <c r="DY104" s="114"/>
      <c r="DZ104" s="114"/>
      <c r="EA104" s="114"/>
      <c r="EB104" s="114"/>
      <c r="EC104" s="114"/>
      <c r="ED104" s="114"/>
      <c r="EE104" s="114"/>
      <c r="EF104" s="114"/>
      <c r="EG104" s="114"/>
      <c r="EH104" s="114"/>
      <c r="EI104" s="114"/>
      <c r="EJ104" s="114"/>
      <c r="EK104" s="114"/>
      <c r="EL104" s="114"/>
      <c r="EM104" s="114"/>
      <c r="EN104" s="114"/>
      <c r="EO104" s="114"/>
      <c r="EP104" s="114"/>
      <c r="EQ104" s="114"/>
      <c r="ER104" s="114"/>
      <c r="ES104" s="114"/>
      <c r="ET104" s="114"/>
      <c r="EU104" s="114"/>
      <c r="EV104" s="114"/>
      <c r="EW104" s="114"/>
      <c r="EX104" s="114"/>
      <c r="EY104" s="114"/>
      <c r="EZ104" s="114"/>
      <c r="FA104" s="114"/>
      <c r="FB104" s="114"/>
      <c r="FC104" s="114"/>
      <c r="FD104" s="114"/>
      <c r="FE104" s="114"/>
      <c r="FF104" s="114"/>
      <c r="FG104" s="114"/>
      <c r="FH104" s="114"/>
      <c r="FI104" s="114"/>
      <c r="FJ104" s="114"/>
      <c r="FK104" s="114"/>
      <c r="FL104" s="114"/>
      <c r="FM104" s="114"/>
      <c r="FN104" s="114"/>
      <c r="FO104" s="114"/>
      <c r="FP104" s="114"/>
      <c r="FQ104" s="114"/>
      <c r="FR104" s="114"/>
      <c r="FS104" s="114"/>
      <c r="FT104" s="114"/>
      <c r="FU104" s="114"/>
      <c r="FV104" s="114"/>
      <c r="FW104" s="114"/>
      <c r="FX104" s="114"/>
      <c r="FY104" s="114"/>
      <c r="FZ104" s="114"/>
      <c r="GA104" s="114"/>
      <c r="GB104" s="114"/>
      <c r="GC104" s="114"/>
      <c r="GD104" s="114"/>
      <c r="GE104" s="114"/>
      <c r="GF104" s="114"/>
      <c r="GG104" s="114"/>
      <c r="GH104" s="114"/>
      <c r="GI104" s="114"/>
      <c r="GJ104" s="114"/>
      <c r="GK104" s="114"/>
      <c r="GL104" s="114"/>
      <c r="GM104" s="114"/>
      <c r="GN104" s="114"/>
      <c r="GO104" s="114"/>
      <c r="GP104" s="114"/>
      <c r="GQ104" s="114"/>
      <c r="GR104" s="114"/>
      <c r="GS104" s="114"/>
      <c r="GT104" s="114"/>
      <c r="GU104" s="114"/>
      <c r="GV104" s="114"/>
      <c r="GW104" s="114"/>
      <c r="GX104" s="114"/>
      <c r="GY104" s="114"/>
      <c r="GZ104" s="114"/>
      <c r="HA104" s="114"/>
      <c r="HB104" s="114"/>
      <c r="HC104" s="114"/>
      <c r="HD104" s="114"/>
      <c r="HE104" s="114"/>
      <c r="HF104" s="114"/>
      <c r="HG104" s="114"/>
      <c r="HH104" s="114"/>
      <c r="HI104" s="114"/>
      <c r="HJ104" s="114"/>
      <c r="HK104" s="114"/>
    </row>
    <row r="105" spans="1:219" ht="18" customHeight="1" x14ac:dyDescent="0.2">
      <c r="A105" s="264">
        <v>3398</v>
      </c>
      <c r="B105" s="437" t="s">
        <v>271</v>
      </c>
      <c r="C105" s="437"/>
      <c r="D105" s="265" t="s">
        <v>45</v>
      </c>
      <c r="E105" s="932">
        <v>0</v>
      </c>
      <c r="F105" s="240" t="s">
        <v>28</v>
      </c>
      <c r="G105" s="282">
        <f t="shared" si="42"/>
        <v>46023</v>
      </c>
      <c r="H105" s="66">
        <f>SUMIF('5.A'!$B$7:$B$4222,B105,'5.A'!$L$7:$L$4222)</f>
        <v>8</v>
      </c>
      <c r="I105" s="64" t="str">
        <f t="shared" si="58"/>
        <v>si</v>
      </c>
      <c r="J105" s="115"/>
      <c r="K105" s="115"/>
      <c r="L105" s="114"/>
      <c r="M105" s="114"/>
      <c r="N105" s="370"/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4"/>
      <c r="AD105" s="114"/>
      <c r="AE105" s="114"/>
      <c r="AF105" s="114"/>
      <c r="AG105" s="114"/>
      <c r="AH105" s="114"/>
      <c r="AI105" s="114"/>
      <c r="AJ105" s="114"/>
      <c r="AK105" s="114"/>
      <c r="AL105" s="114"/>
      <c r="AN105" s="114"/>
      <c r="AO105" s="114"/>
      <c r="AP105" s="114"/>
      <c r="AQ105" s="114"/>
      <c r="AR105" s="114"/>
      <c r="AS105" s="114"/>
      <c r="AT105" s="114"/>
      <c r="AU105" s="114"/>
      <c r="AV105" s="114"/>
      <c r="AW105" s="114"/>
      <c r="AX105" s="114"/>
      <c r="AY105" s="114"/>
      <c r="AZ105" s="114"/>
      <c r="BA105" s="114"/>
      <c r="BB105" s="114"/>
      <c r="BC105" s="114"/>
      <c r="BD105" s="114"/>
      <c r="BE105" s="114"/>
      <c r="BF105" s="114"/>
      <c r="BG105" s="114"/>
      <c r="BH105" s="114"/>
      <c r="BI105" s="114"/>
      <c r="BJ105" s="114"/>
      <c r="BK105" s="114"/>
      <c r="BL105" s="114"/>
      <c r="BM105" s="114"/>
      <c r="BN105" s="114"/>
      <c r="BO105" s="114"/>
      <c r="BP105" s="114"/>
      <c r="BQ105" s="114"/>
      <c r="BR105" s="114"/>
      <c r="BS105" s="114"/>
      <c r="BT105" s="114"/>
      <c r="BU105" s="114"/>
      <c r="BV105" s="114"/>
      <c r="BW105" s="114"/>
      <c r="BX105" s="114"/>
      <c r="BY105" s="114"/>
      <c r="BZ105" s="114"/>
      <c r="CA105" s="114"/>
      <c r="CB105" s="114"/>
      <c r="CC105" s="114"/>
      <c r="CD105" s="114"/>
      <c r="CE105" s="114"/>
      <c r="CF105" s="114"/>
      <c r="CG105" s="114"/>
      <c r="CH105" s="114"/>
      <c r="CI105" s="114"/>
      <c r="CJ105" s="114"/>
      <c r="CK105" s="114"/>
      <c r="CL105" s="114"/>
      <c r="CM105" s="114"/>
      <c r="CN105" s="114"/>
      <c r="CO105" s="114"/>
      <c r="CP105" s="114"/>
      <c r="CQ105" s="114"/>
      <c r="CR105" s="114"/>
      <c r="CS105" s="114"/>
      <c r="CT105" s="114"/>
      <c r="CU105" s="114"/>
      <c r="CV105" s="114"/>
      <c r="CW105" s="114"/>
      <c r="CX105" s="114"/>
      <c r="CY105" s="114"/>
      <c r="CZ105" s="114"/>
      <c r="DA105" s="114"/>
      <c r="DB105" s="114"/>
      <c r="DC105" s="114"/>
      <c r="DD105" s="114"/>
      <c r="DE105" s="114"/>
      <c r="DF105" s="114"/>
      <c r="DG105" s="114"/>
      <c r="DH105" s="114"/>
      <c r="DI105" s="114"/>
      <c r="DJ105" s="114"/>
      <c r="DK105" s="114"/>
      <c r="DL105" s="114"/>
      <c r="DM105" s="114"/>
      <c r="DN105" s="114"/>
      <c r="DO105" s="114"/>
      <c r="DP105" s="114"/>
      <c r="DQ105" s="114"/>
      <c r="DR105" s="114"/>
      <c r="DS105" s="114"/>
      <c r="DT105" s="114"/>
      <c r="DU105" s="114"/>
      <c r="DV105" s="114"/>
      <c r="DW105" s="114"/>
      <c r="DX105" s="114"/>
      <c r="DY105" s="114"/>
      <c r="DZ105" s="114"/>
      <c r="EA105" s="114"/>
      <c r="EB105" s="114"/>
      <c r="EC105" s="114"/>
      <c r="ED105" s="114"/>
      <c r="EE105" s="114"/>
      <c r="EF105" s="114"/>
      <c r="EG105" s="114"/>
      <c r="EH105" s="114"/>
      <c r="EI105" s="114"/>
      <c r="EJ105" s="114"/>
      <c r="EK105" s="114"/>
      <c r="EL105" s="114"/>
      <c r="EM105" s="114"/>
      <c r="EN105" s="114"/>
      <c r="EO105" s="114"/>
      <c r="EP105" s="114"/>
      <c r="EQ105" s="114"/>
      <c r="ER105" s="114"/>
      <c r="ES105" s="114"/>
      <c r="ET105" s="114"/>
      <c r="EU105" s="114"/>
      <c r="EV105" s="114"/>
      <c r="EW105" s="114"/>
      <c r="EX105" s="114"/>
      <c r="EY105" s="114"/>
      <c r="EZ105" s="114"/>
      <c r="FA105" s="114"/>
      <c r="FB105" s="114"/>
      <c r="FC105" s="114"/>
      <c r="FD105" s="114"/>
      <c r="FE105" s="114"/>
      <c r="FF105" s="114"/>
      <c r="FG105" s="114"/>
      <c r="FH105" s="114"/>
      <c r="FI105" s="114"/>
      <c r="FJ105" s="114"/>
      <c r="FK105" s="114"/>
      <c r="FL105" s="114"/>
      <c r="FM105" s="114"/>
      <c r="FN105" s="114"/>
      <c r="FO105" s="114"/>
      <c r="FP105" s="114"/>
      <c r="FQ105" s="114"/>
      <c r="FR105" s="114"/>
      <c r="FS105" s="114"/>
      <c r="FT105" s="114"/>
      <c r="FU105" s="114"/>
      <c r="FV105" s="114"/>
      <c r="FW105" s="114"/>
      <c r="FX105" s="114"/>
      <c r="FY105" s="114"/>
      <c r="FZ105" s="114"/>
      <c r="GA105" s="114"/>
      <c r="GB105" s="114"/>
      <c r="GC105" s="114"/>
      <c r="GD105" s="114"/>
      <c r="GE105" s="114"/>
      <c r="GF105" s="114"/>
      <c r="GG105" s="114"/>
      <c r="GH105" s="114"/>
      <c r="GI105" s="114"/>
      <c r="GJ105" s="114"/>
      <c r="GK105" s="114"/>
      <c r="GL105" s="114"/>
      <c r="GM105" s="114"/>
      <c r="GN105" s="114"/>
      <c r="GO105" s="114"/>
      <c r="GP105" s="114"/>
      <c r="GQ105" s="114"/>
      <c r="GR105" s="114"/>
      <c r="GS105" s="114"/>
      <c r="GT105" s="114"/>
      <c r="GU105" s="114"/>
      <c r="GV105" s="114"/>
      <c r="GW105" s="114"/>
      <c r="GX105" s="114"/>
      <c r="GY105" s="114"/>
      <c r="GZ105" s="114"/>
      <c r="HA105" s="114"/>
      <c r="HB105" s="114"/>
      <c r="HC105" s="114"/>
      <c r="HD105" s="114"/>
      <c r="HE105" s="114"/>
      <c r="HF105" s="114"/>
      <c r="HG105" s="114"/>
      <c r="HH105" s="114"/>
      <c r="HI105" s="114"/>
      <c r="HJ105" s="114"/>
      <c r="HK105" s="114"/>
    </row>
    <row r="106" spans="1:219" ht="18" customHeight="1" x14ac:dyDescent="0.2">
      <c r="A106" s="264">
        <v>3671</v>
      </c>
      <c r="B106" s="437" t="s">
        <v>394</v>
      </c>
      <c r="C106" s="437"/>
      <c r="D106" s="265" t="s">
        <v>46</v>
      </c>
      <c r="E106" s="932">
        <v>0</v>
      </c>
      <c r="F106" s="240" t="s">
        <v>28</v>
      </c>
      <c r="G106" s="282">
        <f t="shared" si="42"/>
        <v>46023</v>
      </c>
      <c r="H106" s="66">
        <f>SUMIF('5.A'!$B$7:$B$4222,B106,'5.A'!$L$7:$L$4222)</f>
        <v>5.01</v>
      </c>
      <c r="I106" s="64" t="str">
        <f t="shared" ref="I106" si="59">IF(H106=0,"no","si")</f>
        <v>si</v>
      </c>
      <c r="J106" s="115"/>
      <c r="K106" s="115"/>
      <c r="L106" s="114"/>
      <c r="M106" s="114"/>
      <c r="N106" s="370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14"/>
      <c r="AG106" s="114"/>
      <c r="AH106" s="114"/>
      <c r="AI106" s="114"/>
      <c r="AJ106" s="114"/>
      <c r="AK106" s="114"/>
      <c r="AL106" s="114"/>
      <c r="AN106" s="114"/>
      <c r="AO106" s="114"/>
      <c r="AP106" s="114"/>
      <c r="AQ106" s="114"/>
      <c r="AR106" s="114"/>
      <c r="AS106" s="114"/>
      <c r="AT106" s="114"/>
      <c r="AU106" s="114"/>
      <c r="AV106" s="114"/>
      <c r="AW106" s="114"/>
      <c r="AX106" s="114"/>
      <c r="AY106" s="114"/>
      <c r="AZ106" s="114"/>
      <c r="BA106" s="114"/>
      <c r="BB106" s="114"/>
      <c r="BC106" s="114"/>
      <c r="BD106" s="114"/>
      <c r="BE106" s="114"/>
      <c r="BF106" s="114"/>
      <c r="BG106" s="114"/>
      <c r="BH106" s="114"/>
      <c r="BI106" s="114"/>
      <c r="BJ106" s="114"/>
      <c r="BK106" s="114"/>
      <c r="BL106" s="114"/>
      <c r="BM106" s="114"/>
      <c r="BN106" s="114"/>
      <c r="BO106" s="114"/>
      <c r="BP106" s="114"/>
      <c r="BQ106" s="114"/>
      <c r="BR106" s="114"/>
      <c r="BS106" s="114"/>
      <c r="BT106" s="114"/>
      <c r="BU106" s="114"/>
      <c r="BV106" s="114"/>
      <c r="BW106" s="114"/>
      <c r="BX106" s="114"/>
      <c r="BY106" s="114"/>
      <c r="BZ106" s="114"/>
      <c r="CA106" s="114"/>
      <c r="CB106" s="114"/>
      <c r="CC106" s="114"/>
      <c r="CD106" s="114"/>
      <c r="CE106" s="114"/>
      <c r="CF106" s="114"/>
      <c r="CG106" s="114"/>
      <c r="CH106" s="114"/>
      <c r="CI106" s="114"/>
      <c r="CJ106" s="114"/>
      <c r="CK106" s="114"/>
      <c r="CL106" s="114"/>
      <c r="CM106" s="114"/>
      <c r="CN106" s="114"/>
      <c r="CO106" s="114"/>
      <c r="CP106" s="114"/>
      <c r="CQ106" s="114"/>
      <c r="CR106" s="114"/>
      <c r="CS106" s="114"/>
      <c r="CT106" s="114"/>
      <c r="CU106" s="114"/>
      <c r="CV106" s="114"/>
      <c r="CW106" s="114"/>
      <c r="CX106" s="114"/>
      <c r="CY106" s="114"/>
      <c r="CZ106" s="114"/>
      <c r="DA106" s="114"/>
      <c r="DB106" s="114"/>
      <c r="DC106" s="114"/>
      <c r="DD106" s="114"/>
      <c r="DE106" s="114"/>
      <c r="DF106" s="114"/>
      <c r="DG106" s="114"/>
      <c r="DH106" s="114"/>
      <c r="DI106" s="114"/>
      <c r="DJ106" s="114"/>
      <c r="DK106" s="114"/>
      <c r="DL106" s="114"/>
      <c r="DM106" s="114"/>
      <c r="DN106" s="114"/>
      <c r="DO106" s="114"/>
      <c r="DP106" s="114"/>
      <c r="DQ106" s="114"/>
      <c r="DR106" s="114"/>
      <c r="DS106" s="114"/>
      <c r="DT106" s="114"/>
      <c r="DU106" s="114"/>
      <c r="DV106" s="114"/>
      <c r="DW106" s="114"/>
      <c r="DX106" s="114"/>
      <c r="DY106" s="114"/>
      <c r="DZ106" s="114"/>
      <c r="EA106" s="114"/>
      <c r="EB106" s="114"/>
      <c r="EC106" s="114"/>
      <c r="ED106" s="114"/>
      <c r="EE106" s="114"/>
      <c r="EF106" s="114"/>
      <c r="EG106" s="114"/>
      <c r="EH106" s="114"/>
      <c r="EI106" s="114"/>
      <c r="EJ106" s="114"/>
      <c r="EK106" s="114"/>
      <c r="EL106" s="114"/>
      <c r="EM106" s="114"/>
      <c r="EN106" s="114"/>
      <c r="EO106" s="114"/>
      <c r="EP106" s="114"/>
      <c r="EQ106" s="114"/>
      <c r="ER106" s="114"/>
      <c r="ES106" s="114"/>
      <c r="ET106" s="114"/>
      <c r="EU106" s="114"/>
      <c r="EV106" s="114"/>
      <c r="EW106" s="114"/>
      <c r="EX106" s="114"/>
      <c r="EY106" s="114"/>
      <c r="EZ106" s="114"/>
      <c r="FA106" s="114"/>
      <c r="FB106" s="114"/>
      <c r="FC106" s="114"/>
      <c r="FD106" s="114"/>
      <c r="FE106" s="114"/>
      <c r="FF106" s="114"/>
      <c r="FG106" s="114"/>
      <c r="FH106" s="114"/>
      <c r="FI106" s="114"/>
      <c r="FJ106" s="114"/>
      <c r="FK106" s="114"/>
      <c r="FL106" s="114"/>
      <c r="FM106" s="114"/>
      <c r="FN106" s="114"/>
      <c r="FO106" s="114"/>
      <c r="FP106" s="114"/>
      <c r="FQ106" s="114"/>
      <c r="FR106" s="114"/>
      <c r="FS106" s="114"/>
      <c r="FT106" s="114"/>
      <c r="FU106" s="114"/>
      <c r="FV106" s="114"/>
      <c r="FW106" s="114"/>
      <c r="FX106" s="114"/>
      <c r="FY106" s="114"/>
      <c r="FZ106" s="114"/>
      <c r="GA106" s="114"/>
      <c r="GB106" s="114"/>
      <c r="GC106" s="114"/>
      <c r="GD106" s="114"/>
      <c r="GE106" s="114"/>
      <c r="GF106" s="114"/>
      <c r="GG106" s="114"/>
      <c r="GH106" s="114"/>
      <c r="GI106" s="114"/>
      <c r="GJ106" s="114"/>
      <c r="GK106" s="114"/>
      <c r="GL106" s="114"/>
      <c r="GM106" s="114"/>
      <c r="GN106" s="114"/>
      <c r="GO106" s="114"/>
      <c r="GP106" s="114"/>
      <c r="GQ106" s="114"/>
      <c r="GR106" s="114"/>
      <c r="GS106" s="114"/>
      <c r="GT106" s="114"/>
      <c r="GU106" s="114"/>
      <c r="GV106" s="114"/>
      <c r="GW106" s="114"/>
      <c r="GX106" s="114"/>
      <c r="GY106" s="114"/>
      <c r="GZ106" s="114"/>
      <c r="HA106" s="114"/>
      <c r="HB106" s="114"/>
      <c r="HC106" s="114"/>
      <c r="HD106" s="114"/>
      <c r="HE106" s="114"/>
      <c r="HF106" s="114"/>
      <c r="HG106" s="114"/>
      <c r="HH106" s="114"/>
      <c r="HI106" s="114"/>
      <c r="HJ106" s="114"/>
      <c r="HK106" s="114"/>
    </row>
    <row r="107" spans="1:219" ht="24.95" customHeight="1" x14ac:dyDescent="0.2">
      <c r="A107" s="264">
        <v>3741</v>
      </c>
      <c r="B107" s="437" t="s">
        <v>395</v>
      </c>
      <c r="C107" s="437"/>
      <c r="D107" s="265" t="s">
        <v>48</v>
      </c>
      <c r="E107" s="932">
        <v>0</v>
      </c>
      <c r="F107" s="240" t="s">
        <v>28</v>
      </c>
      <c r="G107" s="282">
        <f t="shared" si="42"/>
        <v>46023</v>
      </c>
      <c r="H107" s="66">
        <f>SUMIF('5.A'!$B$7:$B$4222,B107,'5.A'!$L$7:$L$4222)</f>
        <v>3</v>
      </c>
      <c r="I107" s="64" t="str">
        <f t="shared" ref="I107" si="60">IF(H107=0,"no","si")</f>
        <v>si</v>
      </c>
      <c r="J107" s="115"/>
      <c r="K107" s="115"/>
      <c r="L107" s="114"/>
      <c r="M107" s="114"/>
      <c r="N107" s="370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4"/>
      <c r="AD107" s="114"/>
      <c r="AE107" s="114"/>
      <c r="AF107" s="114"/>
      <c r="AG107" s="114"/>
      <c r="AH107" s="114"/>
      <c r="AI107" s="114"/>
      <c r="AJ107" s="114"/>
      <c r="AK107" s="114"/>
      <c r="AL107" s="114"/>
      <c r="AN107" s="114"/>
      <c r="AO107" s="114"/>
      <c r="AP107" s="114"/>
      <c r="AQ107" s="114"/>
      <c r="AR107" s="114"/>
      <c r="AS107" s="114"/>
      <c r="AT107" s="114"/>
      <c r="AU107" s="114"/>
      <c r="AV107" s="114"/>
      <c r="AW107" s="114"/>
      <c r="AX107" s="114"/>
      <c r="AY107" s="114"/>
      <c r="AZ107" s="114"/>
      <c r="BA107" s="114"/>
      <c r="BB107" s="114"/>
      <c r="BC107" s="114"/>
      <c r="BD107" s="114"/>
      <c r="BE107" s="114"/>
      <c r="BF107" s="114"/>
      <c r="BG107" s="114"/>
      <c r="BH107" s="114"/>
      <c r="BI107" s="114"/>
      <c r="BJ107" s="114"/>
      <c r="BK107" s="114"/>
      <c r="BL107" s="114"/>
      <c r="BM107" s="114"/>
      <c r="BN107" s="114"/>
      <c r="BO107" s="114"/>
      <c r="BP107" s="114"/>
      <c r="BQ107" s="114"/>
      <c r="BR107" s="114"/>
      <c r="BS107" s="114"/>
      <c r="BT107" s="114"/>
      <c r="BU107" s="114"/>
      <c r="BV107" s="114"/>
      <c r="BW107" s="114"/>
      <c r="BX107" s="114"/>
      <c r="BY107" s="114"/>
      <c r="BZ107" s="114"/>
      <c r="CA107" s="114"/>
      <c r="CB107" s="114"/>
      <c r="CC107" s="114"/>
      <c r="CD107" s="114"/>
      <c r="CE107" s="114"/>
      <c r="CF107" s="114"/>
      <c r="CG107" s="114"/>
      <c r="CH107" s="114"/>
      <c r="CI107" s="114"/>
      <c r="CJ107" s="114"/>
      <c r="CK107" s="114"/>
      <c r="CL107" s="114"/>
      <c r="CM107" s="114"/>
      <c r="CN107" s="114"/>
      <c r="CO107" s="114"/>
      <c r="CP107" s="114"/>
      <c r="CQ107" s="114"/>
      <c r="CR107" s="114"/>
      <c r="CS107" s="114"/>
      <c r="CT107" s="114"/>
      <c r="CU107" s="114"/>
      <c r="CV107" s="114"/>
      <c r="CW107" s="114"/>
      <c r="CX107" s="114"/>
      <c r="CY107" s="114"/>
      <c r="CZ107" s="114"/>
      <c r="DA107" s="114"/>
      <c r="DB107" s="114"/>
      <c r="DC107" s="114"/>
      <c r="DD107" s="114"/>
      <c r="DE107" s="114"/>
      <c r="DF107" s="114"/>
      <c r="DG107" s="114"/>
      <c r="DH107" s="114"/>
      <c r="DI107" s="114"/>
      <c r="DJ107" s="114"/>
      <c r="DK107" s="114"/>
      <c r="DL107" s="114"/>
      <c r="DM107" s="114"/>
      <c r="DN107" s="114"/>
      <c r="DO107" s="114"/>
      <c r="DP107" s="114"/>
      <c r="DQ107" s="114"/>
      <c r="DR107" s="114"/>
      <c r="DS107" s="114"/>
      <c r="DT107" s="114"/>
      <c r="DU107" s="114"/>
      <c r="DV107" s="114"/>
      <c r="DW107" s="114"/>
      <c r="DX107" s="114"/>
      <c r="DY107" s="114"/>
      <c r="DZ107" s="114"/>
      <c r="EA107" s="114"/>
      <c r="EB107" s="114"/>
      <c r="EC107" s="114"/>
      <c r="ED107" s="114"/>
      <c r="EE107" s="114"/>
      <c r="EF107" s="114"/>
      <c r="EG107" s="114"/>
      <c r="EH107" s="114"/>
      <c r="EI107" s="114"/>
      <c r="EJ107" s="114"/>
      <c r="EK107" s="114"/>
      <c r="EL107" s="114"/>
      <c r="EM107" s="114"/>
      <c r="EN107" s="114"/>
      <c r="EO107" s="114"/>
      <c r="EP107" s="114"/>
      <c r="EQ107" s="114"/>
      <c r="ER107" s="114"/>
      <c r="ES107" s="114"/>
      <c r="ET107" s="114"/>
      <c r="EU107" s="114"/>
      <c r="EV107" s="114"/>
      <c r="EW107" s="114"/>
      <c r="EX107" s="114"/>
      <c r="EY107" s="114"/>
      <c r="EZ107" s="114"/>
      <c r="FA107" s="114"/>
      <c r="FB107" s="114"/>
      <c r="FC107" s="114"/>
      <c r="FD107" s="114"/>
      <c r="FE107" s="114"/>
      <c r="FF107" s="114"/>
      <c r="FG107" s="114"/>
      <c r="FH107" s="114"/>
      <c r="FI107" s="114"/>
      <c r="FJ107" s="114"/>
      <c r="FK107" s="114"/>
      <c r="FL107" s="114"/>
      <c r="FM107" s="114"/>
      <c r="FN107" s="114"/>
      <c r="FO107" s="114"/>
      <c r="FP107" s="114"/>
      <c r="FQ107" s="114"/>
      <c r="FR107" s="114"/>
      <c r="FS107" s="114"/>
      <c r="FT107" s="114"/>
      <c r="FU107" s="114"/>
      <c r="FV107" s="114"/>
      <c r="FW107" s="114"/>
      <c r="FX107" s="114"/>
      <c r="FY107" s="114"/>
      <c r="FZ107" s="114"/>
      <c r="GA107" s="114"/>
      <c r="GB107" s="114"/>
      <c r="GC107" s="114"/>
      <c r="GD107" s="114"/>
      <c r="GE107" s="114"/>
      <c r="GF107" s="114"/>
      <c r="GG107" s="114"/>
      <c r="GH107" s="114"/>
      <c r="GI107" s="114"/>
      <c r="GJ107" s="114"/>
      <c r="GK107" s="114"/>
      <c r="GL107" s="114"/>
      <c r="GM107" s="114"/>
      <c r="GN107" s="114"/>
      <c r="GO107" s="114"/>
      <c r="GP107" s="114"/>
      <c r="GQ107" s="114"/>
      <c r="GR107" s="114"/>
      <c r="GS107" s="114"/>
      <c r="GT107" s="114"/>
      <c r="GU107" s="114"/>
      <c r="GV107" s="114"/>
      <c r="GW107" s="114"/>
      <c r="GX107" s="114"/>
      <c r="GY107" s="114"/>
      <c r="GZ107" s="114"/>
      <c r="HA107" s="114"/>
      <c r="HB107" s="114"/>
      <c r="HC107" s="114"/>
      <c r="HD107" s="114"/>
      <c r="HE107" s="114"/>
      <c r="HF107" s="114"/>
      <c r="HG107" s="114"/>
      <c r="HH107" s="114"/>
      <c r="HI107" s="114"/>
      <c r="HJ107" s="114"/>
      <c r="HK107" s="114"/>
    </row>
    <row r="108" spans="1:219" ht="18" customHeight="1" x14ac:dyDescent="0.2">
      <c r="A108" s="264">
        <v>4491</v>
      </c>
      <c r="B108" s="437" t="s">
        <v>399</v>
      </c>
      <c r="C108" s="437"/>
      <c r="D108" s="265" t="s">
        <v>46</v>
      </c>
      <c r="E108" s="932">
        <v>0</v>
      </c>
      <c r="F108" s="240" t="s">
        <v>28</v>
      </c>
      <c r="G108" s="282">
        <f t="shared" si="42"/>
        <v>46023</v>
      </c>
      <c r="H108" s="66">
        <f>SUMIF('5.A'!$B$7:$B$4222,B108,'5.A'!$L$7:$L$4222)</f>
        <v>4.7363999999999997</v>
      </c>
      <c r="I108" s="64" t="str">
        <f t="shared" ref="I108:I112" si="61">IF(H108=0,"no","si")</f>
        <v>si</v>
      </c>
    </row>
    <row r="109" spans="1:219" ht="18" customHeight="1" x14ac:dyDescent="0.2">
      <c r="A109" s="264">
        <v>4509</v>
      </c>
      <c r="B109" s="438" t="s">
        <v>69</v>
      </c>
      <c r="C109" s="439"/>
      <c r="D109" s="265" t="s">
        <v>46</v>
      </c>
      <c r="E109" s="932">
        <v>0</v>
      </c>
      <c r="F109" s="240" t="s">
        <v>28</v>
      </c>
      <c r="G109" s="282">
        <f t="shared" ref="G109:G140" si="62">IF(F109="SINAPI",$D$186,IF(F109="SICRO",$D$185,IF(F109="SIURB",$D$187,IF(F109="SABESP",$D$188,IF(F109="CDHU",$D$189,"-")))))</f>
        <v>46023</v>
      </c>
      <c r="H109" s="66">
        <f>SUMIF('5.A'!$B$7:$B$4222,B109,'5.A'!$L$7:$L$4222)</f>
        <v>32.049799999999998</v>
      </c>
      <c r="I109" s="64" t="str">
        <f t="shared" si="61"/>
        <v>si</v>
      </c>
      <c r="AM109" s="1" t="s">
        <v>69</v>
      </c>
    </row>
    <row r="110" spans="1:219" ht="18" customHeight="1" x14ac:dyDescent="0.2">
      <c r="A110" s="264">
        <v>4517</v>
      </c>
      <c r="B110" s="438" t="s">
        <v>259</v>
      </c>
      <c r="C110" s="439"/>
      <c r="D110" s="265" t="s">
        <v>46</v>
      </c>
      <c r="E110" s="932">
        <v>0</v>
      </c>
      <c r="F110" s="240" t="s">
        <v>28</v>
      </c>
      <c r="G110" s="282">
        <f t="shared" si="62"/>
        <v>46023</v>
      </c>
      <c r="H110" s="66">
        <f>SUMIF('5.A'!$B$7:$B$4222,B110,'5.A'!$L$7:$L$4222)</f>
        <v>5.1003800000000004</v>
      </c>
      <c r="I110" s="64" t="str">
        <f t="shared" si="61"/>
        <v>si</v>
      </c>
    </row>
    <row r="111" spans="1:219" ht="18" customHeight="1" x14ac:dyDescent="0.2">
      <c r="A111" s="264">
        <v>4813</v>
      </c>
      <c r="B111" s="437" t="s">
        <v>255</v>
      </c>
      <c r="C111" s="437"/>
      <c r="D111" s="265" t="s">
        <v>48</v>
      </c>
      <c r="E111" s="932">
        <v>0</v>
      </c>
      <c r="F111" s="240" t="s">
        <v>28</v>
      </c>
      <c r="G111" s="282">
        <f t="shared" si="62"/>
        <v>46023</v>
      </c>
      <c r="H111" s="66">
        <f>SUMIF('5.A'!$B$7:$B$4222,B111,'5.A'!$L$7:$L$4222)</f>
        <v>6</v>
      </c>
      <c r="I111" s="64" t="str">
        <f t="shared" si="61"/>
        <v>si</v>
      </c>
    </row>
    <row r="112" spans="1:219" ht="18" customHeight="1" x14ac:dyDescent="0.2">
      <c r="A112" s="264">
        <v>4917</v>
      </c>
      <c r="B112" s="437" t="s">
        <v>256</v>
      </c>
      <c r="C112" s="437"/>
      <c r="D112" s="265" t="s">
        <v>48</v>
      </c>
      <c r="E112" s="932">
        <v>0</v>
      </c>
      <c r="F112" s="240" t="s">
        <v>28</v>
      </c>
      <c r="G112" s="282">
        <f t="shared" si="62"/>
        <v>46023</v>
      </c>
      <c r="H112" s="66">
        <f>SUMIF('5.A'!$B$7:$B$4222,B112,'5.A'!$L$7:$L$4222)</f>
        <v>5.9200000000000008</v>
      </c>
      <c r="I112" s="64" t="str">
        <f t="shared" si="61"/>
        <v>si</v>
      </c>
    </row>
    <row r="113" spans="1:219" ht="18" customHeight="1" x14ac:dyDescent="0.2">
      <c r="A113" s="264">
        <v>6085</v>
      </c>
      <c r="B113" s="438" t="s">
        <v>179</v>
      </c>
      <c r="C113" s="439"/>
      <c r="D113" s="265" t="s">
        <v>42</v>
      </c>
      <c r="E113" s="922">
        <v>0</v>
      </c>
      <c r="F113" s="240" t="s">
        <v>28</v>
      </c>
      <c r="G113" s="282">
        <f t="shared" si="62"/>
        <v>46023</v>
      </c>
      <c r="H113" s="66">
        <f>SUMIF('5.A'!$B$7:$B$4222,B113,'5.A'!$L$7:$L$4222)</f>
        <v>12.5</v>
      </c>
      <c r="I113" s="64" t="str">
        <f t="shared" ref="I113" si="63">IF(H113=0,"no","si")</f>
        <v>si</v>
      </c>
      <c r="J113" s="115"/>
      <c r="K113" s="115"/>
      <c r="L113" s="114"/>
      <c r="M113" s="114"/>
      <c r="N113" s="370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4"/>
      <c r="AD113" s="114"/>
      <c r="AE113" s="114"/>
      <c r="AF113" s="114"/>
      <c r="AG113" s="114"/>
      <c r="AH113" s="114"/>
      <c r="AI113" s="114"/>
      <c r="AJ113" s="114"/>
      <c r="AK113" s="114"/>
      <c r="AL113" s="114"/>
      <c r="AN113" s="114"/>
      <c r="AO113" s="114"/>
      <c r="AP113" s="114"/>
      <c r="AQ113" s="114"/>
      <c r="AR113" s="114"/>
      <c r="AS113" s="114"/>
      <c r="AT113" s="114"/>
      <c r="AU113" s="114"/>
      <c r="AV113" s="114"/>
      <c r="AW113" s="114"/>
      <c r="AX113" s="114"/>
      <c r="AY113" s="114"/>
      <c r="AZ113" s="114"/>
      <c r="BA113" s="114"/>
      <c r="BB113" s="114"/>
      <c r="BC113" s="114"/>
      <c r="BD113" s="114"/>
      <c r="BE113" s="114"/>
      <c r="BF113" s="114"/>
      <c r="BG113" s="114"/>
      <c r="BH113" s="114"/>
      <c r="BI113" s="114"/>
      <c r="BJ113" s="114"/>
      <c r="BK113" s="114"/>
      <c r="BL113" s="114"/>
      <c r="BM113" s="114"/>
      <c r="BN113" s="114"/>
      <c r="BO113" s="114"/>
      <c r="BP113" s="114"/>
      <c r="BQ113" s="114"/>
      <c r="BR113" s="114"/>
      <c r="BS113" s="114"/>
      <c r="BT113" s="114"/>
      <c r="BU113" s="114"/>
      <c r="BV113" s="114"/>
      <c r="BW113" s="114"/>
      <c r="BX113" s="114"/>
      <c r="BY113" s="114"/>
      <c r="BZ113" s="114"/>
      <c r="CA113" s="114"/>
      <c r="CB113" s="114"/>
      <c r="CC113" s="114"/>
      <c r="CD113" s="114"/>
      <c r="CE113" s="114"/>
      <c r="CF113" s="114"/>
      <c r="CG113" s="114"/>
      <c r="CH113" s="114"/>
      <c r="CI113" s="114"/>
      <c r="CJ113" s="114"/>
      <c r="CK113" s="114"/>
      <c r="CL113" s="114"/>
      <c r="CM113" s="114"/>
      <c r="CN113" s="114"/>
      <c r="CO113" s="114"/>
      <c r="CP113" s="114"/>
      <c r="CQ113" s="114"/>
      <c r="CR113" s="114"/>
      <c r="CS113" s="114"/>
      <c r="CT113" s="114"/>
      <c r="CU113" s="114"/>
      <c r="CV113" s="114"/>
      <c r="CW113" s="114"/>
      <c r="CX113" s="114"/>
      <c r="CY113" s="114"/>
      <c r="CZ113" s="114"/>
      <c r="DA113" s="114"/>
      <c r="DB113" s="114"/>
      <c r="DC113" s="114"/>
      <c r="DD113" s="114"/>
      <c r="DE113" s="114"/>
      <c r="DF113" s="114"/>
      <c r="DG113" s="114"/>
      <c r="DH113" s="114"/>
      <c r="DI113" s="114"/>
      <c r="DJ113" s="114"/>
      <c r="DK113" s="114"/>
      <c r="DL113" s="114"/>
      <c r="DM113" s="114"/>
      <c r="DN113" s="114"/>
      <c r="DO113" s="114"/>
      <c r="DP113" s="114"/>
      <c r="DQ113" s="114"/>
      <c r="DR113" s="114"/>
      <c r="DS113" s="114"/>
      <c r="DT113" s="114"/>
      <c r="DU113" s="114"/>
      <c r="DV113" s="114"/>
      <c r="DW113" s="114"/>
      <c r="DX113" s="114"/>
      <c r="DY113" s="114"/>
      <c r="DZ113" s="114"/>
      <c r="EA113" s="114"/>
      <c r="EB113" s="114"/>
      <c r="EC113" s="114"/>
      <c r="ED113" s="114"/>
      <c r="EE113" s="114"/>
      <c r="EF113" s="114"/>
      <c r="EG113" s="114"/>
      <c r="EH113" s="114"/>
      <c r="EI113" s="114"/>
      <c r="EJ113" s="114"/>
      <c r="EK113" s="114"/>
      <c r="EL113" s="114"/>
      <c r="EM113" s="114"/>
      <c r="EN113" s="114"/>
      <c r="EO113" s="114"/>
      <c r="EP113" s="114"/>
      <c r="EQ113" s="114"/>
      <c r="ER113" s="114"/>
      <c r="ES113" s="114"/>
      <c r="ET113" s="114"/>
      <c r="EU113" s="114"/>
      <c r="EV113" s="114"/>
      <c r="EW113" s="114"/>
      <c r="EX113" s="114"/>
      <c r="EY113" s="114"/>
      <c r="EZ113" s="114"/>
      <c r="FA113" s="114"/>
      <c r="FB113" s="114"/>
      <c r="FC113" s="114"/>
      <c r="FD113" s="114"/>
      <c r="FE113" s="114"/>
      <c r="FF113" s="114"/>
      <c r="FG113" s="114"/>
      <c r="FH113" s="114"/>
      <c r="FI113" s="114"/>
      <c r="FJ113" s="114"/>
      <c r="FK113" s="114"/>
      <c r="FL113" s="114"/>
      <c r="FM113" s="114"/>
      <c r="FN113" s="114"/>
      <c r="FO113" s="114"/>
      <c r="FP113" s="114"/>
      <c r="FQ113" s="114"/>
      <c r="FR113" s="114"/>
      <c r="FS113" s="114"/>
      <c r="FT113" s="114"/>
      <c r="FU113" s="114"/>
      <c r="FV113" s="114"/>
      <c r="FW113" s="114"/>
      <c r="FX113" s="114"/>
      <c r="FY113" s="114"/>
      <c r="FZ113" s="114"/>
      <c r="GA113" s="114"/>
      <c r="GB113" s="114"/>
      <c r="GC113" s="114"/>
      <c r="GD113" s="114"/>
      <c r="GE113" s="114"/>
      <c r="GF113" s="114"/>
      <c r="GG113" s="114"/>
      <c r="GH113" s="114"/>
      <c r="GI113" s="114"/>
      <c r="GJ113" s="114"/>
      <c r="GK113" s="114"/>
      <c r="GL113" s="114"/>
      <c r="GM113" s="114"/>
      <c r="GN113" s="114"/>
      <c r="GO113" s="114"/>
      <c r="GP113" s="114"/>
      <c r="GQ113" s="114"/>
      <c r="GR113" s="114"/>
      <c r="GS113" s="114"/>
      <c r="GT113" s="114"/>
      <c r="GU113" s="114"/>
      <c r="GV113" s="114"/>
      <c r="GW113" s="114"/>
      <c r="GX113" s="114"/>
      <c r="GY113" s="114"/>
      <c r="GZ113" s="114"/>
      <c r="HA113" s="114"/>
      <c r="HB113" s="114"/>
      <c r="HC113" s="114"/>
      <c r="HD113" s="114"/>
      <c r="HE113" s="114"/>
      <c r="HF113" s="114"/>
      <c r="HG113" s="114"/>
      <c r="HH113" s="114"/>
      <c r="HI113" s="114"/>
      <c r="HJ113" s="114"/>
      <c r="HK113" s="114"/>
    </row>
    <row r="114" spans="1:219" ht="24.95" customHeight="1" x14ac:dyDescent="0.2">
      <c r="A114" s="264">
        <v>6193</v>
      </c>
      <c r="B114" s="438" t="s">
        <v>396</v>
      </c>
      <c r="C114" s="439"/>
      <c r="D114" s="265" t="s">
        <v>46</v>
      </c>
      <c r="E114" s="922">
        <v>0</v>
      </c>
      <c r="F114" s="240" t="s">
        <v>28</v>
      </c>
      <c r="G114" s="282">
        <f t="shared" si="62"/>
        <v>46023</v>
      </c>
      <c r="H114" s="66">
        <f>SUMIF('5.A'!$B$7:$B$4222,B114,'5.A'!$L$7:$L$4222)</f>
        <v>6.2724000000000002</v>
      </c>
      <c r="I114" s="64" t="str">
        <f t="shared" ref="I114" si="64">IF(H114=0,"no","si")</f>
        <v>si</v>
      </c>
      <c r="J114" s="115"/>
      <c r="K114" s="115"/>
      <c r="L114" s="114"/>
      <c r="M114" s="114"/>
      <c r="N114" s="370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14"/>
      <c r="AA114" s="114"/>
      <c r="AB114" s="114"/>
      <c r="AC114" s="114"/>
      <c r="AD114" s="114"/>
      <c r="AE114" s="114"/>
      <c r="AF114" s="114"/>
      <c r="AG114" s="114"/>
      <c r="AH114" s="114"/>
      <c r="AI114" s="114"/>
      <c r="AJ114" s="114"/>
      <c r="AK114" s="114"/>
      <c r="AL114" s="114"/>
      <c r="AN114" s="114"/>
      <c r="AO114" s="114"/>
      <c r="AP114" s="114"/>
      <c r="AQ114" s="114"/>
      <c r="AR114" s="114"/>
      <c r="AS114" s="114"/>
      <c r="AT114" s="114"/>
      <c r="AU114" s="114"/>
      <c r="AV114" s="114"/>
      <c r="AW114" s="114"/>
      <c r="AX114" s="114"/>
      <c r="AY114" s="114"/>
      <c r="AZ114" s="114"/>
      <c r="BA114" s="114"/>
      <c r="BB114" s="114"/>
      <c r="BC114" s="114"/>
      <c r="BD114" s="114"/>
      <c r="BE114" s="114"/>
      <c r="BF114" s="114"/>
      <c r="BG114" s="114"/>
      <c r="BH114" s="114"/>
      <c r="BI114" s="114"/>
      <c r="BJ114" s="114"/>
      <c r="BK114" s="114"/>
      <c r="BL114" s="114"/>
      <c r="BM114" s="114"/>
      <c r="BN114" s="114"/>
      <c r="BO114" s="114"/>
      <c r="BP114" s="114"/>
      <c r="BQ114" s="114"/>
      <c r="BR114" s="114"/>
      <c r="BS114" s="114"/>
      <c r="BT114" s="114"/>
      <c r="BU114" s="114"/>
      <c r="BV114" s="114"/>
      <c r="BW114" s="114"/>
      <c r="BX114" s="114"/>
      <c r="BY114" s="114"/>
      <c r="BZ114" s="114"/>
      <c r="CA114" s="114"/>
      <c r="CB114" s="114"/>
      <c r="CC114" s="114"/>
      <c r="CD114" s="114"/>
      <c r="CE114" s="114"/>
      <c r="CF114" s="114"/>
      <c r="CG114" s="114"/>
      <c r="CH114" s="114"/>
      <c r="CI114" s="114"/>
      <c r="CJ114" s="114"/>
      <c r="CK114" s="114"/>
      <c r="CL114" s="114"/>
      <c r="CM114" s="114"/>
      <c r="CN114" s="114"/>
      <c r="CO114" s="114"/>
      <c r="CP114" s="114"/>
      <c r="CQ114" s="114"/>
      <c r="CR114" s="114"/>
      <c r="CS114" s="114"/>
      <c r="CT114" s="114"/>
      <c r="CU114" s="114"/>
      <c r="CV114" s="114"/>
      <c r="CW114" s="114"/>
      <c r="CX114" s="114"/>
      <c r="CY114" s="114"/>
      <c r="CZ114" s="114"/>
      <c r="DA114" s="114"/>
      <c r="DB114" s="114"/>
      <c r="DC114" s="114"/>
      <c r="DD114" s="114"/>
      <c r="DE114" s="114"/>
      <c r="DF114" s="114"/>
      <c r="DG114" s="114"/>
      <c r="DH114" s="114"/>
      <c r="DI114" s="114"/>
      <c r="DJ114" s="114"/>
      <c r="DK114" s="114"/>
      <c r="DL114" s="114"/>
      <c r="DM114" s="114"/>
      <c r="DN114" s="114"/>
      <c r="DO114" s="114"/>
      <c r="DP114" s="114"/>
      <c r="DQ114" s="114"/>
      <c r="DR114" s="114"/>
      <c r="DS114" s="114"/>
      <c r="DT114" s="114"/>
      <c r="DU114" s="114"/>
      <c r="DV114" s="114"/>
      <c r="DW114" s="114"/>
      <c r="DX114" s="114"/>
      <c r="DY114" s="114"/>
      <c r="DZ114" s="114"/>
      <c r="EA114" s="114"/>
      <c r="EB114" s="114"/>
      <c r="EC114" s="114"/>
      <c r="ED114" s="114"/>
      <c r="EE114" s="114"/>
      <c r="EF114" s="114"/>
      <c r="EG114" s="114"/>
      <c r="EH114" s="114"/>
      <c r="EI114" s="114"/>
      <c r="EJ114" s="114"/>
      <c r="EK114" s="114"/>
      <c r="EL114" s="114"/>
      <c r="EM114" s="114"/>
      <c r="EN114" s="114"/>
      <c r="EO114" s="114"/>
      <c r="EP114" s="114"/>
      <c r="EQ114" s="114"/>
      <c r="ER114" s="114"/>
      <c r="ES114" s="114"/>
      <c r="ET114" s="114"/>
      <c r="EU114" s="114"/>
      <c r="EV114" s="114"/>
      <c r="EW114" s="114"/>
      <c r="EX114" s="114"/>
      <c r="EY114" s="114"/>
      <c r="EZ114" s="114"/>
      <c r="FA114" s="114"/>
      <c r="FB114" s="114"/>
      <c r="FC114" s="114"/>
      <c r="FD114" s="114"/>
      <c r="FE114" s="114"/>
      <c r="FF114" s="114"/>
      <c r="FG114" s="114"/>
      <c r="FH114" s="114"/>
      <c r="FI114" s="114"/>
      <c r="FJ114" s="114"/>
      <c r="FK114" s="114"/>
      <c r="FL114" s="114"/>
      <c r="FM114" s="114"/>
      <c r="FN114" s="114"/>
      <c r="FO114" s="114"/>
      <c r="FP114" s="114"/>
      <c r="FQ114" s="114"/>
      <c r="FR114" s="114"/>
      <c r="FS114" s="114"/>
      <c r="FT114" s="114"/>
      <c r="FU114" s="114"/>
      <c r="FV114" s="114"/>
      <c r="FW114" s="114"/>
      <c r="FX114" s="114"/>
      <c r="FY114" s="114"/>
      <c r="FZ114" s="114"/>
      <c r="GA114" s="114"/>
      <c r="GB114" s="114"/>
      <c r="GC114" s="114"/>
      <c r="GD114" s="114"/>
      <c r="GE114" s="114"/>
      <c r="GF114" s="114"/>
      <c r="GG114" s="114"/>
      <c r="GH114" s="114"/>
      <c r="GI114" s="114"/>
      <c r="GJ114" s="114"/>
      <c r="GK114" s="114"/>
      <c r="GL114" s="114"/>
      <c r="GM114" s="114"/>
      <c r="GN114" s="114"/>
      <c r="GO114" s="114"/>
      <c r="GP114" s="114"/>
      <c r="GQ114" s="114"/>
      <c r="GR114" s="114"/>
      <c r="GS114" s="114"/>
      <c r="GT114" s="114"/>
      <c r="GU114" s="114"/>
      <c r="GV114" s="114"/>
      <c r="GW114" s="114"/>
      <c r="GX114" s="114"/>
      <c r="GY114" s="114"/>
      <c r="GZ114" s="114"/>
      <c r="HA114" s="114"/>
      <c r="HB114" s="114"/>
      <c r="HC114" s="114"/>
      <c r="HD114" s="114"/>
      <c r="HE114" s="114"/>
      <c r="HF114" s="114"/>
      <c r="HG114" s="114"/>
      <c r="HH114" s="114"/>
      <c r="HI114" s="114"/>
      <c r="HJ114" s="114"/>
      <c r="HK114" s="114"/>
    </row>
    <row r="115" spans="1:219" ht="18" customHeight="1" x14ac:dyDescent="0.2">
      <c r="A115" s="264">
        <v>7340</v>
      </c>
      <c r="B115" s="438" t="s">
        <v>168</v>
      </c>
      <c r="C115" s="439"/>
      <c r="D115" s="265" t="s">
        <v>42</v>
      </c>
      <c r="E115" s="932">
        <v>0</v>
      </c>
      <c r="F115" s="240" t="s">
        <v>28</v>
      </c>
      <c r="G115" s="282">
        <f t="shared" si="62"/>
        <v>46023</v>
      </c>
      <c r="H115" s="66">
        <f>SUMIF('5.A'!$B$7:$B$4222,B115,'5.A'!$L$7:$L$4222)</f>
        <v>0.97709999999999997</v>
      </c>
      <c r="I115" s="64" t="str">
        <f t="shared" ref="I115" si="65">IF(H115=0,"no","si")</f>
        <v>si</v>
      </c>
    </row>
    <row r="116" spans="1:219" ht="18" customHeight="1" x14ac:dyDescent="0.2">
      <c r="A116" s="264">
        <v>7528</v>
      </c>
      <c r="B116" s="438" t="s">
        <v>193</v>
      </c>
      <c r="C116" s="439"/>
      <c r="D116" s="265" t="s">
        <v>45</v>
      </c>
      <c r="E116" s="932">
        <v>0</v>
      </c>
      <c r="F116" s="240" t="s">
        <v>28</v>
      </c>
      <c r="G116" s="282">
        <f t="shared" si="62"/>
        <v>46023</v>
      </c>
      <c r="H116" s="66">
        <f>SUMIF('5.A'!$B$7:$B$4222,B116,'5.A'!$L$7:$L$4222)</f>
        <v>4</v>
      </c>
      <c r="I116" s="64" t="str">
        <f t="shared" ref="I116" si="66">IF(H116=0,"no","si")</f>
        <v>si</v>
      </c>
    </row>
    <row r="117" spans="1:219" ht="24.95" customHeight="1" x14ac:dyDescent="0.2">
      <c r="A117" s="264">
        <v>7568</v>
      </c>
      <c r="B117" s="438" t="s">
        <v>403</v>
      </c>
      <c r="C117" s="439"/>
      <c r="D117" s="265" t="s">
        <v>45</v>
      </c>
      <c r="E117" s="932">
        <v>0</v>
      </c>
      <c r="F117" s="240" t="s">
        <v>28</v>
      </c>
      <c r="G117" s="282">
        <f t="shared" si="62"/>
        <v>46023</v>
      </c>
      <c r="H117" s="66">
        <f>SUMIF('5.A'!$B$7:$B$4222,B117,'5.A'!$L$7:$L$4222)</f>
        <v>17.600000000000001</v>
      </c>
      <c r="I117" s="64" t="str">
        <f t="shared" ref="I117" si="67">IF(H117=0,"no","si")</f>
        <v>si</v>
      </c>
    </row>
    <row r="118" spans="1:219" ht="18" customHeight="1" x14ac:dyDescent="0.2">
      <c r="A118" s="264">
        <v>7572</v>
      </c>
      <c r="B118" s="437" t="s">
        <v>228</v>
      </c>
      <c r="C118" s="437"/>
      <c r="D118" s="265" t="s">
        <v>45</v>
      </c>
      <c r="E118" s="932">
        <v>0</v>
      </c>
      <c r="F118" s="240" t="s">
        <v>28</v>
      </c>
      <c r="G118" s="282">
        <f t="shared" si="62"/>
        <v>46023</v>
      </c>
      <c r="H118" s="66">
        <f>SUMIF('5.A'!$B$7:$B$4222,B118,'5.A'!$L$7:$L$4222)</f>
        <v>12</v>
      </c>
      <c r="I118" s="64" t="str">
        <f t="shared" ref="I118:I134" si="68">IF(H118=0,"no","si")</f>
        <v>si</v>
      </c>
    </row>
    <row r="119" spans="1:219" ht="18" customHeight="1" x14ac:dyDescent="0.2">
      <c r="A119" s="264">
        <v>7576</v>
      </c>
      <c r="B119" s="437" t="s">
        <v>199</v>
      </c>
      <c r="C119" s="437"/>
      <c r="D119" s="265" t="s">
        <v>45</v>
      </c>
      <c r="E119" s="932">
        <v>0</v>
      </c>
      <c r="F119" s="240" t="s">
        <v>28</v>
      </c>
      <c r="G119" s="282">
        <f t="shared" si="62"/>
        <v>46023</v>
      </c>
      <c r="H119" s="66">
        <f>SUMIF('5.A'!$B$7:$B$4222,B119,'5.A'!$L$7:$L$4222)</f>
        <v>4</v>
      </c>
      <c r="I119" s="64" t="str">
        <f t="shared" ref="I119:I120" si="69">IF(H119=0,"no","si")</f>
        <v>si</v>
      </c>
      <c r="J119" s="67" t="s">
        <v>200</v>
      </c>
    </row>
    <row r="120" spans="1:219" ht="18" customHeight="1" x14ac:dyDescent="0.2">
      <c r="A120" s="264">
        <v>10851</v>
      </c>
      <c r="B120" s="437" t="s">
        <v>488</v>
      </c>
      <c r="C120" s="437"/>
      <c r="D120" s="265" t="s">
        <v>48</v>
      </c>
      <c r="E120" s="932">
        <v>0</v>
      </c>
      <c r="F120" s="240" t="s">
        <v>28</v>
      </c>
      <c r="G120" s="282">
        <f t="shared" si="62"/>
        <v>46023</v>
      </c>
      <c r="H120" s="66">
        <f>SUMIF('5.A'!$B$7:$B$4222,B120,'5.A'!$L$7:$L$4222)</f>
        <v>1.1000000000000001</v>
      </c>
      <c r="I120" s="64" t="str">
        <f t="shared" si="69"/>
        <v>si</v>
      </c>
      <c r="O120" s="369"/>
    </row>
    <row r="121" spans="1:219" ht="18" customHeight="1" x14ac:dyDescent="0.2">
      <c r="A121" s="264">
        <v>11837</v>
      </c>
      <c r="B121" s="437" t="s">
        <v>272</v>
      </c>
      <c r="C121" s="437"/>
      <c r="D121" s="265" t="s">
        <v>45</v>
      </c>
      <c r="E121" s="932">
        <v>0</v>
      </c>
      <c r="F121" s="240" t="s">
        <v>28</v>
      </c>
      <c r="G121" s="282">
        <f t="shared" si="62"/>
        <v>46023</v>
      </c>
      <c r="H121" s="66">
        <f>SUMIF('5.A'!$B$7:$B$4222,B121,'5.A'!$L$7:$L$4222)</f>
        <v>6</v>
      </c>
      <c r="I121" s="64" t="str">
        <f t="shared" si="68"/>
        <v>si</v>
      </c>
      <c r="J121" s="67" t="s">
        <v>214</v>
      </c>
      <c r="O121" s="369"/>
    </row>
    <row r="122" spans="1:219" ht="18" customHeight="1" x14ac:dyDescent="0.2">
      <c r="A122" s="264">
        <v>12327</v>
      </c>
      <c r="B122" s="437" t="s">
        <v>257</v>
      </c>
      <c r="C122" s="437"/>
      <c r="D122" s="265" t="s">
        <v>45</v>
      </c>
      <c r="E122" s="932">
        <v>0</v>
      </c>
      <c r="F122" s="240" t="s">
        <v>28</v>
      </c>
      <c r="G122" s="282">
        <f t="shared" si="62"/>
        <v>46023</v>
      </c>
      <c r="H122" s="66">
        <f>SUMIF('5.A'!$B$7:$B$4222,B122,'5.A'!$L$7:$L$4222)</f>
        <v>6</v>
      </c>
      <c r="I122" s="64" t="str">
        <f t="shared" ref="I122" si="70">IF(H122=0,"no","si")</f>
        <v>si</v>
      </c>
      <c r="J122" s="67" t="s">
        <v>201</v>
      </c>
      <c r="K122" s="1"/>
      <c r="O122" s="369"/>
    </row>
    <row r="123" spans="1:219" ht="18" customHeight="1" x14ac:dyDescent="0.2">
      <c r="A123" s="264">
        <v>21127</v>
      </c>
      <c r="B123" s="437" t="s">
        <v>173</v>
      </c>
      <c r="C123" s="437"/>
      <c r="D123" s="265" t="s">
        <v>45</v>
      </c>
      <c r="E123" s="932">
        <v>0</v>
      </c>
      <c r="F123" s="240" t="s">
        <v>28</v>
      </c>
      <c r="G123" s="282">
        <f t="shared" si="62"/>
        <v>46023</v>
      </c>
      <c r="H123" s="66">
        <f>SUMIF('5.A'!$B$7:$B$4222,B123,'5.A'!$L$7:$L$4222)</f>
        <v>5.1489999999999991</v>
      </c>
      <c r="I123" s="64" t="str">
        <f t="shared" ref="I123:I124" si="71">IF(H123=0,"no","si")</f>
        <v>si</v>
      </c>
      <c r="K123" s="1"/>
      <c r="O123" s="369"/>
    </row>
    <row r="124" spans="1:219" ht="18" customHeight="1" x14ac:dyDescent="0.2">
      <c r="A124" s="264">
        <v>26727</v>
      </c>
      <c r="B124" s="437" t="s">
        <v>487</v>
      </c>
      <c r="C124" s="437"/>
      <c r="D124" s="265" t="s">
        <v>45</v>
      </c>
      <c r="E124" s="932">
        <v>0</v>
      </c>
      <c r="F124" s="240" t="s">
        <v>68</v>
      </c>
      <c r="G124" s="282">
        <f t="shared" si="62"/>
        <v>45870</v>
      </c>
      <c r="H124" s="66">
        <f>SUMIF('5.A'!$B$7:$B$4222,B124,'5.A'!$L$7:$L$4222)</f>
        <v>6</v>
      </c>
      <c r="I124" s="64" t="str">
        <f t="shared" si="71"/>
        <v>si</v>
      </c>
      <c r="K124" s="1"/>
      <c r="O124" s="369"/>
    </row>
    <row r="125" spans="1:219" ht="18" customHeight="1" x14ac:dyDescent="0.2">
      <c r="A125" s="264">
        <v>34519</v>
      </c>
      <c r="B125" s="437" t="s">
        <v>209</v>
      </c>
      <c r="C125" s="437"/>
      <c r="D125" s="265" t="s">
        <v>45</v>
      </c>
      <c r="E125" s="932">
        <v>0</v>
      </c>
      <c r="F125" s="240" t="s">
        <v>28</v>
      </c>
      <c r="G125" s="282">
        <f t="shared" si="62"/>
        <v>46023</v>
      </c>
      <c r="H125" s="66">
        <f>SUMIF('5.A'!$B$7:$B$4222,B125,'5.A'!$L$7:$L$4222)</f>
        <v>6</v>
      </c>
      <c r="I125" s="64" t="str">
        <f t="shared" ref="I125" si="72">IF(H125=0,"no","si")</f>
        <v>si</v>
      </c>
      <c r="J125" s="67" t="s">
        <v>208</v>
      </c>
      <c r="K125" s="1"/>
    </row>
    <row r="126" spans="1:219" ht="18" customHeight="1" x14ac:dyDescent="0.2">
      <c r="A126" s="264">
        <v>34586</v>
      </c>
      <c r="B126" s="437" t="s">
        <v>391</v>
      </c>
      <c r="C126" s="437"/>
      <c r="D126" s="265" t="s">
        <v>45</v>
      </c>
      <c r="E126" s="932">
        <v>0</v>
      </c>
      <c r="F126" s="240" t="s">
        <v>28</v>
      </c>
      <c r="G126" s="282">
        <f t="shared" si="62"/>
        <v>46023</v>
      </c>
      <c r="H126" s="66">
        <f>SUMIF('5.A'!$B$7:$B$4222,B126,'5.A'!$L$7:$L$4222)</f>
        <v>152.89999999999998</v>
      </c>
      <c r="I126" s="64" t="str">
        <f t="shared" ref="I126" si="73">IF(H126=0,"no","si")</f>
        <v>si</v>
      </c>
      <c r="K126" s="1"/>
    </row>
    <row r="127" spans="1:219" ht="18" customHeight="1" x14ac:dyDescent="0.2">
      <c r="A127" s="264">
        <v>34623</v>
      </c>
      <c r="B127" s="437" t="s">
        <v>192</v>
      </c>
      <c r="C127" s="437"/>
      <c r="D127" s="265" t="s">
        <v>45</v>
      </c>
      <c r="E127" s="932">
        <v>0</v>
      </c>
      <c r="F127" s="240" t="s">
        <v>28</v>
      </c>
      <c r="G127" s="282">
        <f t="shared" si="62"/>
        <v>46023</v>
      </c>
      <c r="H127" s="66">
        <f>SUMIF('5.A'!$B$7:$B$4222,B127,'5.A'!$L$7:$L$4222)</f>
        <v>2</v>
      </c>
      <c r="I127" s="64" t="str">
        <f t="shared" ref="I127" si="74">IF(H127=0,"no","si")</f>
        <v>si</v>
      </c>
      <c r="K127" s="1"/>
    </row>
    <row r="128" spans="1:219" ht="18" customHeight="1" x14ac:dyDescent="0.2">
      <c r="A128" s="264">
        <v>34649</v>
      </c>
      <c r="B128" s="437" t="s">
        <v>392</v>
      </c>
      <c r="C128" s="437"/>
      <c r="D128" s="265" t="s">
        <v>45</v>
      </c>
      <c r="E128" s="932">
        <v>0</v>
      </c>
      <c r="F128" s="240" t="s">
        <v>28</v>
      </c>
      <c r="G128" s="282">
        <f t="shared" si="62"/>
        <v>46023</v>
      </c>
      <c r="H128" s="66">
        <f>SUMIF('5.A'!$B$7:$B$4222,B128,'5.A'!$L$7:$L$4222)</f>
        <v>12.7</v>
      </c>
      <c r="I128" s="64" t="str">
        <f t="shared" ref="I128:I131" si="75">IF(H128=0,"no","si")</f>
        <v>si</v>
      </c>
      <c r="K128" s="1"/>
    </row>
    <row r="129" spans="1:39" ht="18" customHeight="1" x14ac:dyDescent="0.2">
      <c r="A129" s="264">
        <v>34707</v>
      </c>
      <c r="B129" s="437" t="s">
        <v>519</v>
      </c>
      <c r="C129" s="437"/>
      <c r="D129" s="265" t="s">
        <v>45</v>
      </c>
      <c r="E129" s="932">
        <v>0</v>
      </c>
      <c r="F129" s="240" t="s">
        <v>28</v>
      </c>
      <c r="G129" s="282">
        <f t="shared" si="62"/>
        <v>46023</v>
      </c>
      <c r="H129" s="66">
        <f>SUMIF('5.A'!$B$7:$B$4222,B129,'5.A'!$L$7:$L$4222)</f>
        <v>1</v>
      </c>
      <c r="I129" s="64" t="str">
        <f t="shared" si="75"/>
        <v>si</v>
      </c>
      <c r="K129" s="1"/>
    </row>
    <row r="130" spans="1:39" ht="18" customHeight="1" x14ac:dyDescent="0.2">
      <c r="A130" s="264">
        <v>34709</v>
      </c>
      <c r="B130" s="437" t="s">
        <v>470</v>
      </c>
      <c r="C130" s="437"/>
      <c r="D130" s="265" t="s">
        <v>45</v>
      </c>
      <c r="E130" s="932">
        <v>0</v>
      </c>
      <c r="F130" s="240" t="s">
        <v>28</v>
      </c>
      <c r="G130" s="282">
        <f t="shared" si="62"/>
        <v>46023</v>
      </c>
      <c r="H130" s="66">
        <f>SUMIF('5.A'!$B$7:$B$4222,B130,'5.A'!$L$7:$L$4222)</f>
        <v>13</v>
      </c>
      <c r="I130" s="64" t="str">
        <f t="shared" ref="I130" si="76">IF(H130=0,"no","si")</f>
        <v>si</v>
      </c>
      <c r="K130" s="1"/>
    </row>
    <row r="131" spans="1:39" ht="18" customHeight="1" x14ac:dyDescent="0.2">
      <c r="A131" s="264">
        <v>34788</v>
      </c>
      <c r="B131" s="437" t="s">
        <v>393</v>
      </c>
      <c r="C131" s="437"/>
      <c r="D131" s="265" t="s">
        <v>45</v>
      </c>
      <c r="E131" s="932">
        <v>0</v>
      </c>
      <c r="F131" s="240" t="s">
        <v>28</v>
      </c>
      <c r="G131" s="282">
        <f t="shared" si="62"/>
        <v>46023</v>
      </c>
      <c r="H131" s="66">
        <f>SUMIF('5.A'!$B$7:$B$4222,B131,'5.A'!$L$7:$L$4222)</f>
        <v>15.3</v>
      </c>
      <c r="I131" s="64" t="str">
        <f t="shared" si="75"/>
        <v>si</v>
      </c>
      <c r="K131" s="1"/>
    </row>
    <row r="132" spans="1:39" ht="18" customHeight="1" x14ac:dyDescent="0.2">
      <c r="A132" s="264">
        <v>35692</v>
      </c>
      <c r="B132" s="437" t="s">
        <v>178</v>
      </c>
      <c r="C132" s="437"/>
      <c r="D132" s="265" t="s">
        <v>42</v>
      </c>
      <c r="E132" s="932">
        <v>0</v>
      </c>
      <c r="F132" s="240" t="s">
        <v>28</v>
      </c>
      <c r="G132" s="282">
        <f t="shared" si="62"/>
        <v>46023</v>
      </c>
      <c r="H132" s="66">
        <f>SUMIF('5.A'!$B$7:$B$4222,B132,'5.A'!$L$7:$L$4222)</f>
        <v>11.79</v>
      </c>
      <c r="I132" s="64" t="str">
        <f t="shared" ref="I132:I133" si="77">IF(H132=0,"no","si")</f>
        <v>si</v>
      </c>
      <c r="K132" s="1"/>
    </row>
    <row r="133" spans="1:39" ht="18" customHeight="1" x14ac:dyDescent="0.2">
      <c r="A133" s="264">
        <v>38120</v>
      </c>
      <c r="B133" s="437" t="s">
        <v>221</v>
      </c>
      <c r="C133" s="437"/>
      <c r="D133" s="265" t="s">
        <v>47</v>
      </c>
      <c r="E133" s="932">
        <v>0</v>
      </c>
      <c r="F133" s="240" t="s">
        <v>28</v>
      </c>
      <c r="G133" s="282">
        <f t="shared" si="62"/>
        <v>46023</v>
      </c>
      <c r="H133" s="66">
        <f>SUMIF('5.A'!$B$7:$B$4222,B133,'5.A'!$L$7:$L$4222)</f>
        <v>0.75</v>
      </c>
      <c r="I133" s="64" t="str">
        <f t="shared" si="77"/>
        <v>si</v>
      </c>
      <c r="K133" s="1"/>
    </row>
    <row r="134" spans="1:39" ht="18" customHeight="1" x14ac:dyDescent="0.2">
      <c r="A134" s="264">
        <v>38383</v>
      </c>
      <c r="B134" s="437" t="s">
        <v>146</v>
      </c>
      <c r="C134" s="437"/>
      <c r="D134" s="265" t="s">
        <v>45</v>
      </c>
      <c r="E134" s="932">
        <v>0</v>
      </c>
      <c r="F134" s="240" t="s">
        <v>28</v>
      </c>
      <c r="G134" s="282">
        <f t="shared" si="62"/>
        <v>46023</v>
      </c>
      <c r="H134" s="66">
        <f>SUMIF('5.A'!$B$7:$B$4222,B134,'5.A'!$L$7:$L$4222)</f>
        <v>15.19</v>
      </c>
      <c r="I134" s="64" t="str">
        <f t="shared" si="68"/>
        <v>si</v>
      </c>
      <c r="K134" s="1"/>
    </row>
    <row r="135" spans="1:39" ht="18" customHeight="1" x14ac:dyDescent="0.2">
      <c r="A135" s="264">
        <v>39017</v>
      </c>
      <c r="B135" s="437" t="s">
        <v>258</v>
      </c>
      <c r="C135" s="437"/>
      <c r="D135" s="265" t="s">
        <v>45</v>
      </c>
      <c r="E135" s="932">
        <v>0</v>
      </c>
      <c r="F135" s="240" t="s">
        <v>28</v>
      </c>
      <c r="G135" s="282">
        <f t="shared" si="62"/>
        <v>46023</v>
      </c>
      <c r="H135" s="66">
        <f>SUMIF('5.A'!$B$7:$B$4222,B135,'5.A'!$L$7:$L$4222)</f>
        <v>17.704897455999998</v>
      </c>
      <c r="I135" s="64" t="str">
        <f t="shared" ref="I135:I137" si="78">IF(H135=0,"no","si")</f>
        <v>si</v>
      </c>
      <c r="K135" s="1"/>
    </row>
    <row r="136" spans="1:39" ht="18" customHeight="1" x14ac:dyDescent="0.2">
      <c r="A136" s="264">
        <v>39022</v>
      </c>
      <c r="B136" s="437" t="s">
        <v>404</v>
      </c>
      <c r="C136" s="437"/>
      <c r="D136" s="265" t="s">
        <v>45</v>
      </c>
      <c r="E136" s="932">
        <v>0</v>
      </c>
      <c r="F136" s="240" t="s">
        <v>28</v>
      </c>
      <c r="G136" s="282">
        <f t="shared" si="62"/>
        <v>46023</v>
      </c>
      <c r="H136" s="66">
        <f>SUMIF('5.A'!$B$7:$B$4222,B136,'5.A'!$L$7:$L$4222)</f>
        <v>2</v>
      </c>
      <c r="I136" s="64" t="str">
        <f t="shared" ref="I136" si="79">IF(H136=0,"no","si")</f>
        <v>si</v>
      </c>
      <c r="K136" s="1"/>
    </row>
    <row r="137" spans="1:39" ht="18" customHeight="1" x14ac:dyDescent="0.2">
      <c r="A137" s="264">
        <v>39182</v>
      </c>
      <c r="B137" s="437" t="s">
        <v>203</v>
      </c>
      <c r="C137" s="437"/>
      <c r="D137" s="265" t="s">
        <v>45</v>
      </c>
      <c r="E137" s="932">
        <v>0</v>
      </c>
      <c r="F137" s="240" t="s">
        <v>28</v>
      </c>
      <c r="G137" s="282">
        <f t="shared" si="62"/>
        <v>46023</v>
      </c>
      <c r="H137" s="66">
        <f>SUMIF('5.A'!$B$7:$B$4222,B137,'5.A'!$L$7:$L$4222)</f>
        <v>3</v>
      </c>
      <c r="I137" s="64" t="str">
        <f t="shared" si="78"/>
        <v>si</v>
      </c>
      <c r="K137" s="1"/>
    </row>
    <row r="138" spans="1:39" ht="18" customHeight="1" x14ac:dyDescent="0.2">
      <c r="A138" s="264">
        <v>39216</v>
      </c>
      <c r="B138" s="437" t="s">
        <v>202</v>
      </c>
      <c r="C138" s="437"/>
      <c r="D138" s="265" t="s">
        <v>45</v>
      </c>
      <c r="E138" s="932">
        <v>0</v>
      </c>
      <c r="F138" s="240" t="s">
        <v>28</v>
      </c>
      <c r="G138" s="282">
        <f t="shared" si="62"/>
        <v>46023</v>
      </c>
      <c r="H138" s="66">
        <f>SUMIF('5.A'!$B$7:$B$4222,B138,'5.A'!$L$7:$L$4222)</f>
        <v>4</v>
      </c>
      <c r="I138" s="64" t="str">
        <f t="shared" ref="I138" si="80">IF(H138=0,"no","si")</f>
        <v>si</v>
      </c>
      <c r="K138" s="1"/>
    </row>
    <row r="139" spans="1:39" ht="18" customHeight="1" x14ac:dyDescent="0.2">
      <c r="A139" s="264">
        <v>39232</v>
      </c>
      <c r="B139" s="437" t="s">
        <v>275</v>
      </c>
      <c r="C139" s="437"/>
      <c r="D139" s="265" t="s">
        <v>46</v>
      </c>
      <c r="E139" s="932">
        <v>0</v>
      </c>
      <c r="F139" s="240" t="s">
        <v>28</v>
      </c>
      <c r="G139" s="282">
        <f t="shared" si="62"/>
        <v>46023</v>
      </c>
      <c r="H139" s="66">
        <f>SUMIF('5.A'!$B$7:$B$4222,B139,'5.A'!$L$7:$L$4222)</f>
        <v>53.405000000000001</v>
      </c>
      <c r="I139" s="64" t="str">
        <f t="shared" ref="I139" si="81">IF(H139=0,"no","si")</f>
        <v>si</v>
      </c>
    </row>
    <row r="140" spans="1:39" ht="18" customHeight="1" x14ac:dyDescent="0.2">
      <c r="A140" s="264">
        <v>39236</v>
      </c>
      <c r="B140" s="437" t="s">
        <v>298</v>
      </c>
      <c r="C140" s="437"/>
      <c r="D140" s="265" t="s">
        <v>46</v>
      </c>
      <c r="E140" s="932">
        <v>0</v>
      </c>
      <c r="F140" s="240" t="s">
        <v>28</v>
      </c>
      <c r="G140" s="282">
        <f t="shared" si="62"/>
        <v>46023</v>
      </c>
      <c r="H140" s="66">
        <f>SUMIF('5.A'!$B$7:$B$4222,B140,'5.A'!$L$7:$L$4222)</f>
        <v>3</v>
      </c>
      <c r="I140" s="64" t="str">
        <f t="shared" ref="I140" si="82">IF(H140=0,"no","si")</f>
        <v>si</v>
      </c>
    </row>
    <row r="141" spans="1:39" ht="18" customHeight="1" x14ac:dyDescent="0.2">
      <c r="A141" s="264">
        <v>39248</v>
      </c>
      <c r="B141" s="437" t="s">
        <v>273</v>
      </c>
      <c r="C141" s="437"/>
      <c r="D141" s="265" t="s">
        <v>46</v>
      </c>
      <c r="E141" s="932">
        <v>0</v>
      </c>
      <c r="F141" s="240" t="s">
        <v>28</v>
      </c>
      <c r="G141" s="282">
        <f t="shared" ref="G141:G143" si="83">IF(F141="SINAPI",$D$186,IF(F141="SICRO",$D$185,IF(F141="SIURB",$D$187,IF(F141="SABESP",$D$188,IF(F141="CDHU",$D$189,"-")))))</f>
        <v>46023</v>
      </c>
      <c r="H141" s="66">
        <f>SUMIF('5.A'!$B$7:$B$4222,B141,'5.A'!$L$7:$L$4222)</f>
        <v>55.000000000000007</v>
      </c>
      <c r="I141" s="64" t="str">
        <f t="shared" ref="I141" si="84">IF(H141=0,"no","si")</f>
        <v>si</v>
      </c>
      <c r="K141" s="1"/>
    </row>
    <row r="142" spans="1:39" ht="18" customHeight="1" x14ac:dyDescent="0.2">
      <c r="A142" s="264">
        <v>39270</v>
      </c>
      <c r="B142" s="437" t="s">
        <v>350</v>
      </c>
      <c r="C142" s="437"/>
      <c r="D142" s="265" t="s">
        <v>46</v>
      </c>
      <c r="E142" s="932">
        <v>0</v>
      </c>
      <c r="F142" s="240" t="s">
        <v>28</v>
      </c>
      <c r="G142" s="282">
        <f t="shared" si="83"/>
        <v>46023</v>
      </c>
      <c r="H142" s="66">
        <f>SUMIF('5.A'!$B$7:$B$4222,B142,'5.A'!$L$7:$L$4222)</f>
        <v>35</v>
      </c>
      <c r="I142" s="64" t="str">
        <f>IF(H142=0,"no","si")</f>
        <v>si</v>
      </c>
      <c r="K142" s="1"/>
    </row>
    <row r="143" spans="1:39" ht="18" customHeight="1" thickBot="1" x14ac:dyDescent="0.25">
      <c r="A143" s="264">
        <v>39467</v>
      </c>
      <c r="B143" s="437" t="s">
        <v>191</v>
      </c>
      <c r="C143" s="437"/>
      <c r="D143" s="265" t="s">
        <v>45</v>
      </c>
      <c r="E143" s="932">
        <v>0</v>
      </c>
      <c r="F143" s="240" t="s">
        <v>28</v>
      </c>
      <c r="G143" s="282">
        <f t="shared" si="83"/>
        <v>46023</v>
      </c>
      <c r="H143" s="66">
        <f>SUMIF('5.A'!$B$7:$B$4222,B143,'5.A'!$L$7:$L$4222)</f>
        <v>8</v>
      </c>
      <c r="I143" s="64" t="str">
        <f t="shared" ref="I143" si="85">IF(H143=0,"no","si")</f>
        <v>si</v>
      </c>
      <c r="K143" s="1"/>
    </row>
    <row r="144" spans="1:39" s="112" customFormat="1" ht="20.100000000000001" customHeight="1" thickBot="1" x14ac:dyDescent="0.25">
      <c r="A144" s="119" t="s">
        <v>6</v>
      </c>
      <c r="B144" s="465" t="s">
        <v>17</v>
      </c>
      <c r="C144" s="466"/>
      <c r="D144" s="120" t="s">
        <v>66</v>
      </c>
      <c r="E144" s="121" t="s">
        <v>1</v>
      </c>
      <c r="F144" s="239" t="s">
        <v>67</v>
      </c>
      <c r="G144" s="376" t="s">
        <v>54</v>
      </c>
      <c r="H144" s="103"/>
      <c r="I144" s="102"/>
      <c r="J144" s="209"/>
      <c r="K144" s="209"/>
      <c r="N144" s="372"/>
      <c r="AM144" s="1"/>
    </row>
    <row r="145" spans="1:39" ht="18" customHeight="1" x14ac:dyDescent="0.2">
      <c r="A145" s="264">
        <v>39479</v>
      </c>
      <c r="B145" s="437" t="s">
        <v>489</v>
      </c>
      <c r="C145" s="437"/>
      <c r="D145" s="265" t="s">
        <v>45</v>
      </c>
      <c r="E145" s="932">
        <v>0</v>
      </c>
      <c r="F145" s="240" t="s">
        <v>28</v>
      </c>
      <c r="G145" s="282">
        <f t="shared" ref="G145:G177" si="86">IF(F145="SINAPI",$D$186,IF(F145="SICRO",$D$185,IF(F145="SIURB",$D$187,IF(F145="SABESP",$D$188,IF(F145="CDHU",$D$189,"-")))))</f>
        <v>46023</v>
      </c>
      <c r="H145" s="66">
        <f>SUMIF('5.A'!$B$7:$B$4222,B145,'5.A'!$L$7:$L$4222)</f>
        <v>4</v>
      </c>
      <c r="I145" s="64" t="str">
        <f t="shared" ref="I145" si="87">IF(H145=0,"no","si")</f>
        <v>si</v>
      </c>
      <c r="K145" s="1"/>
    </row>
    <row r="146" spans="1:39" ht="24.95" customHeight="1" x14ac:dyDescent="0.2">
      <c r="A146" s="264">
        <v>39507</v>
      </c>
      <c r="B146" s="437" t="s">
        <v>540</v>
      </c>
      <c r="C146" s="437"/>
      <c r="D146" s="265" t="s">
        <v>48</v>
      </c>
      <c r="E146" s="932">
        <v>0</v>
      </c>
      <c r="F146" s="240" t="s">
        <v>68</v>
      </c>
      <c r="G146" s="282">
        <f t="shared" ref="G146" si="88">IF(F146="SINAPI",$D$186,IF(F146="SICRO",$D$185,IF(F146="SIURB",$D$187,IF(F146="SABESP",$D$188,IF(F146="CDHU",$D$189,"-")))))</f>
        <v>45870</v>
      </c>
      <c r="H146" s="66">
        <f>SUMIF('5.A'!$B$7:$B$4222,B146,'5.A'!$L$7:$L$4222)</f>
        <v>14.644800000000002</v>
      </c>
      <c r="I146" s="64" t="str">
        <f>IF(H146=0,"no","si")</f>
        <v>si</v>
      </c>
    </row>
    <row r="147" spans="1:39" ht="18" customHeight="1" x14ac:dyDescent="0.2">
      <c r="A147" s="264">
        <v>41001</v>
      </c>
      <c r="B147" s="437" t="s">
        <v>498</v>
      </c>
      <c r="C147" s="437"/>
      <c r="D147" s="265" t="s">
        <v>45</v>
      </c>
      <c r="E147" s="932">
        <v>0</v>
      </c>
      <c r="F147" s="240" t="s">
        <v>68</v>
      </c>
      <c r="G147" s="282">
        <f t="shared" si="86"/>
        <v>45870</v>
      </c>
      <c r="H147" s="66">
        <f>SUMIF('5.A'!$B$7:$B$4222,B147,'5.A'!$L$7:$L$4222)</f>
        <v>1</v>
      </c>
      <c r="I147" s="64" t="str">
        <f>IF(H147=0,"no","si")</f>
        <v>si</v>
      </c>
    </row>
    <row r="148" spans="1:39" ht="18" customHeight="1" x14ac:dyDescent="0.2">
      <c r="A148" s="264">
        <v>41026</v>
      </c>
      <c r="B148" s="437" t="s">
        <v>499</v>
      </c>
      <c r="C148" s="437"/>
      <c r="D148" s="265" t="s">
        <v>45</v>
      </c>
      <c r="E148" s="932">
        <v>0</v>
      </c>
      <c r="F148" s="240" t="s">
        <v>68</v>
      </c>
      <c r="G148" s="282">
        <f t="shared" si="86"/>
        <v>45870</v>
      </c>
      <c r="H148" s="66">
        <f>SUMIF('5.A'!$B$7:$B$4222,B148,'5.A'!$L$7:$L$4222)</f>
        <v>1</v>
      </c>
      <c r="I148" s="64" t="str">
        <f t="shared" ref="I148" si="89">IF(H148=0,"no","si")</f>
        <v>si</v>
      </c>
    </row>
    <row r="149" spans="1:39" ht="18" customHeight="1" x14ac:dyDescent="0.2">
      <c r="A149" s="264">
        <v>41180</v>
      </c>
      <c r="B149" s="437" t="s">
        <v>180</v>
      </c>
      <c r="C149" s="437"/>
      <c r="D149" s="265" t="s">
        <v>45</v>
      </c>
      <c r="E149" s="932">
        <v>0</v>
      </c>
      <c r="F149" s="240" t="s">
        <v>28</v>
      </c>
      <c r="G149" s="282">
        <f t="shared" si="86"/>
        <v>46023</v>
      </c>
      <c r="H149" s="66">
        <f>SUMIF('5.A'!$B$7:$B$4222,B149,'5.A'!$L$7:$L$4222)</f>
        <v>2</v>
      </c>
      <c r="I149" s="64" t="str">
        <f t="shared" ref="I149:I151" si="90">IF(H149=0,"no","si")</f>
        <v>si</v>
      </c>
      <c r="J149" s="67" t="s">
        <v>229</v>
      </c>
      <c r="K149" s="1"/>
    </row>
    <row r="150" spans="1:39" ht="18" customHeight="1" x14ac:dyDescent="0.2">
      <c r="A150" s="264">
        <v>42117</v>
      </c>
      <c r="B150" s="437" t="s">
        <v>531</v>
      </c>
      <c r="C150" s="437"/>
      <c r="D150" s="265" t="s">
        <v>46</v>
      </c>
      <c r="E150" s="932">
        <v>0</v>
      </c>
      <c r="F150" s="240" t="s">
        <v>68</v>
      </c>
      <c r="G150" s="282">
        <f t="shared" si="86"/>
        <v>45870</v>
      </c>
      <c r="H150" s="66">
        <f>SUMIF('5.A'!$B$7:$B$4222,B150,'5.A'!$L$7:$L$4222)</f>
        <v>3.1500000000000004</v>
      </c>
      <c r="I150" s="64" t="str">
        <f t="shared" ref="I150" si="91">IF(H150=0,"no","si")</f>
        <v>si</v>
      </c>
    </row>
    <row r="151" spans="1:39" ht="18" customHeight="1" x14ac:dyDescent="0.2">
      <c r="A151" s="264">
        <v>42118</v>
      </c>
      <c r="B151" s="437" t="s">
        <v>321</v>
      </c>
      <c r="C151" s="437"/>
      <c r="D151" s="265" t="s">
        <v>46</v>
      </c>
      <c r="E151" s="932">
        <v>0</v>
      </c>
      <c r="F151" s="240" t="s">
        <v>68</v>
      </c>
      <c r="G151" s="282">
        <f t="shared" si="86"/>
        <v>45870</v>
      </c>
      <c r="H151" s="66">
        <f>SUMIF('5.A'!$B$7:$B$4222,B151,'5.A'!$L$7:$L$4222)</f>
        <v>3.1500000000000004</v>
      </c>
      <c r="I151" s="64" t="str">
        <f t="shared" si="90"/>
        <v>si</v>
      </c>
    </row>
    <row r="152" spans="1:39" ht="18" customHeight="1" x14ac:dyDescent="0.2">
      <c r="A152" s="264">
        <v>42130</v>
      </c>
      <c r="B152" s="437" t="s">
        <v>390</v>
      </c>
      <c r="C152" s="437"/>
      <c r="D152" s="265" t="s">
        <v>46</v>
      </c>
      <c r="E152" s="932">
        <v>0</v>
      </c>
      <c r="F152" s="240" t="s">
        <v>68</v>
      </c>
      <c r="G152" s="282">
        <f t="shared" si="86"/>
        <v>45870</v>
      </c>
      <c r="H152" s="66">
        <f>SUMIF('5.A'!$B$7:$B$4222,B152,'5.A'!$L$7:$L$4222)</f>
        <v>20.100000000000001</v>
      </c>
      <c r="I152" s="64" t="str">
        <f>IF(H152=0,"no","si")</f>
        <v>si</v>
      </c>
    </row>
    <row r="153" spans="1:39" ht="18" customHeight="1" x14ac:dyDescent="0.2">
      <c r="A153" s="264">
        <v>42252</v>
      </c>
      <c r="B153" s="464" t="s">
        <v>278</v>
      </c>
      <c r="C153" s="464"/>
      <c r="D153" s="265" t="s">
        <v>45</v>
      </c>
      <c r="E153" s="932">
        <v>0</v>
      </c>
      <c r="F153" s="240" t="s">
        <v>68</v>
      </c>
      <c r="G153" s="282">
        <f t="shared" si="86"/>
        <v>45870</v>
      </c>
      <c r="H153" s="66">
        <f>SUMIF('5.A'!$B$7:$B$4222,B153,'5.A'!$L$7:$L$4222)</f>
        <v>8</v>
      </c>
      <c r="I153" s="64" t="str">
        <f t="shared" ref="I153:I155" si="92">IF(H153=0,"no","si")</f>
        <v>si</v>
      </c>
    </row>
    <row r="154" spans="1:39" ht="18" customHeight="1" x14ac:dyDescent="0.2">
      <c r="A154" s="264">
        <v>42306</v>
      </c>
      <c r="B154" s="464" t="s">
        <v>216</v>
      </c>
      <c r="C154" s="464" t="s">
        <v>197</v>
      </c>
      <c r="D154" s="265" t="s">
        <v>48</v>
      </c>
      <c r="E154" s="932">
        <v>0</v>
      </c>
      <c r="F154" s="240" t="s">
        <v>68</v>
      </c>
      <c r="G154" s="282">
        <f t="shared" si="86"/>
        <v>45870</v>
      </c>
      <c r="H154" s="66">
        <f>SUMIF('5.A'!$B$7:$B$4222,B154,'5.A'!$L$7:$L$4222)</f>
        <v>0.36</v>
      </c>
      <c r="I154" s="64" t="str">
        <f t="shared" si="92"/>
        <v>si</v>
      </c>
      <c r="J154" s="67" t="s">
        <v>215</v>
      </c>
    </row>
    <row r="155" spans="1:39" ht="24.95" customHeight="1" x14ac:dyDescent="0.2">
      <c r="A155" s="264">
        <v>42407</v>
      </c>
      <c r="B155" s="464" t="s">
        <v>539</v>
      </c>
      <c r="C155" s="464" t="s">
        <v>197</v>
      </c>
      <c r="D155" s="265" t="s">
        <v>46</v>
      </c>
      <c r="E155" s="932">
        <v>0</v>
      </c>
      <c r="F155" s="240" t="s">
        <v>28</v>
      </c>
      <c r="G155" s="282">
        <f t="shared" ref="G155" si="93">IF(F155="SINAPI",$D$186,IF(F155="SICRO",$D$185,IF(F155="SIURB",$D$187,IF(F155="SABESP",$D$188,IF(F155="CDHU",$D$189,"-")))))</f>
        <v>46023</v>
      </c>
      <c r="H155" s="66">
        <f>SUMIF('5.A'!$B$7:$B$4222,B155,'5.A'!$L$7:$L$4222)</f>
        <v>12.009600000000002</v>
      </c>
      <c r="I155" s="64" t="str">
        <f t="shared" si="92"/>
        <v>si</v>
      </c>
    </row>
    <row r="156" spans="1:39" ht="18" customHeight="1" x14ac:dyDescent="0.2">
      <c r="A156" s="264">
        <v>42476</v>
      </c>
      <c r="B156" s="464" t="s">
        <v>197</v>
      </c>
      <c r="C156" s="464" t="s">
        <v>197</v>
      </c>
      <c r="D156" s="265" t="s">
        <v>45</v>
      </c>
      <c r="E156" s="932">
        <v>0</v>
      </c>
      <c r="F156" s="240" t="s">
        <v>68</v>
      </c>
      <c r="G156" s="282">
        <f t="shared" si="86"/>
        <v>45870</v>
      </c>
      <c r="H156" s="66">
        <f>SUMIF('5.A'!$B$7:$B$4222,B156,'5.A'!$L$7:$L$4222)</f>
        <v>8</v>
      </c>
      <c r="I156" s="64" t="str">
        <f t="shared" ref="I156:I160" si="94">IF(H156=0,"no","si")</f>
        <v>si</v>
      </c>
      <c r="J156" s="67" t="s">
        <v>227</v>
      </c>
    </row>
    <row r="157" spans="1:39" ht="18" customHeight="1" x14ac:dyDescent="0.2">
      <c r="A157" s="264">
        <v>43132</v>
      </c>
      <c r="B157" s="438" t="s">
        <v>116</v>
      </c>
      <c r="C157" s="438"/>
      <c r="D157" s="265" t="s">
        <v>47</v>
      </c>
      <c r="E157" s="932">
        <v>0</v>
      </c>
      <c r="F157" s="240" t="s">
        <v>28</v>
      </c>
      <c r="G157" s="282">
        <f t="shared" si="86"/>
        <v>46023</v>
      </c>
      <c r="H157" s="66">
        <f>SUMIF('5.A'!$B$7:$B$4222,B157,'5.A'!$L$7:$L$4222)</f>
        <v>0.69320414999999991</v>
      </c>
      <c r="I157" s="64" t="str">
        <f t="shared" ref="I157" si="95">IF(H157=0,"no","si")</f>
        <v>si</v>
      </c>
      <c r="AM157" s="1" t="s">
        <v>116</v>
      </c>
    </row>
    <row r="158" spans="1:39" ht="18" customHeight="1" x14ac:dyDescent="0.2">
      <c r="A158" s="264">
        <v>43230</v>
      </c>
      <c r="B158" s="437" t="s">
        <v>299</v>
      </c>
      <c r="C158" s="437"/>
      <c r="D158" s="265" t="s">
        <v>46</v>
      </c>
      <c r="E158" s="932">
        <v>0</v>
      </c>
      <c r="F158" s="240" t="s">
        <v>68</v>
      </c>
      <c r="G158" s="282">
        <f t="shared" si="86"/>
        <v>45870</v>
      </c>
      <c r="H158" s="66">
        <f>SUMIF('5.A'!$B$7:$B$4222,B158,'5.A'!$L$7:$L$4222)</f>
        <v>10</v>
      </c>
      <c r="I158" s="64" t="str">
        <f>IF(H158=0,"no","si")</f>
        <v>si</v>
      </c>
      <c r="J158" s="67" t="s">
        <v>188</v>
      </c>
      <c r="K158" s="1"/>
    </row>
    <row r="159" spans="1:39" ht="18" customHeight="1" x14ac:dyDescent="0.2">
      <c r="A159" s="264">
        <v>43502</v>
      </c>
      <c r="B159" s="464" t="s">
        <v>222</v>
      </c>
      <c r="C159" s="464" t="s">
        <v>189</v>
      </c>
      <c r="D159" s="265" t="s">
        <v>45</v>
      </c>
      <c r="E159" s="932">
        <v>0</v>
      </c>
      <c r="F159" s="240" t="s">
        <v>68</v>
      </c>
      <c r="G159" s="282">
        <f t="shared" si="86"/>
        <v>45870</v>
      </c>
      <c r="H159" s="66">
        <f>SUMIF('5.A'!$B$7:$B$4222,B159,'5.A'!$L$7:$L$4222)</f>
        <v>2</v>
      </c>
      <c r="I159" s="64" t="str">
        <f t="shared" si="94"/>
        <v>si</v>
      </c>
    </row>
    <row r="160" spans="1:39" ht="18" customHeight="1" x14ac:dyDescent="0.2">
      <c r="A160" s="264">
        <v>43649</v>
      </c>
      <c r="B160" s="464" t="s">
        <v>405</v>
      </c>
      <c r="C160" s="464"/>
      <c r="D160" s="265" t="s">
        <v>42</v>
      </c>
      <c r="E160" s="932">
        <v>0</v>
      </c>
      <c r="F160" s="240" t="s">
        <v>28</v>
      </c>
      <c r="G160" s="282">
        <f t="shared" si="86"/>
        <v>46023</v>
      </c>
      <c r="H160" s="66">
        <f>SUMIF('5.A'!$B$7:$B$4222,B160,'5.A'!$L$7:$L$4222)</f>
        <v>1.25</v>
      </c>
      <c r="I160" s="64" t="str">
        <f t="shared" si="94"/>
        <v>si</v>
      </c>
    </row>
    <row r="161" spans="1:10" ht="18" customHeight="1" x14ac:dyDescent="0.2">
      <c r="A161" s="264">
        <v>43657</v>
      </c>
      <c r="B161" s="464" t="s">
        <v>249</v>
      </c>
      <c r="C161" s="464" t="s">
        <v>190</v>
      </c>
      <c r="D161" s="265" t="s">
        <v>45</v>
      </c>
      <c r="E161" s="932">
        <v>0</v>
      </c>
      <c r="F161" s="240" t="s">
        <v>68</v>
      </c>
      <c r="G161" s="282">
        <f t="shared" si="86"/>
        <v>45870</v>
      </c>
      <c r="H161" s="66">
        <f>SUMIF('5.A'!$B$7:$B$4222,B161,'5.A'!$L$7:$L$4222)</f>
        <v>6</v>
      </c>
      <c r="I161" s="64" t="str">
        <f t="shared" ref="I161" si="96">IF(H161=0,"no","si")</f>
        <v>si</v>
      </c>
      <c r="J161" s="67" t="s">
        <v>226</v>
      </c>
    </row>
    <row r="162" spans="1:10" ht="18" customHeight="1" x14ac:dyDescent="0.2">
      <c r="A162" s="264">
        <v>48072</v>
      </c>
      <c r="B162" s="464" t="s">
        <v>194</v>
      </c>
      <c r="C162" s="464" t="s">
        <v>194</v>
      </c>
      <c r="D162" s="265" t="s">
        <v>45</v>
      </c>
      <c r="E162" s="932">
        <v>0</v>
      </c>
      <c r="F162" s="240" t="s">
        <v>68</v>
      </c>
      <c r="G162" s="282">
        <f t="shared" si="86"/>
        <v>45870</v>
      </c>
      <c r="H162" s="66">
        <f>SUMIF('5.A'!$B$7:$B$4222,B162,'5.A'!$L$7:$L$4222)</f>
        <v>8</v>
      </c>
      <c r="I162" s="64" t="str">
        <f t="shared" ref="I162:I165" si="97">IF(H162=0,"no","si")</f>
        <v>si</v>
      </c>
    </row>
    <row r="163" spans="1:10" ht="18" customHeight="1" x14ac:dyDescent="0.2">
      <c r="A163" s="264">
        <v>48074</v>
      </c>
      <c r="B163" s="464" t="s">
        <v>195</v>
      </c>
      <c r="C163" s="464" t="s">
        <v>195</v>
      </c>
      <c r="D163" s="265" t="s">
        <v>45</v>
      </c>
      <c r="E163" s="932">
        <v>0</v>
      </c>
      <c r="F163" s="240" t="s">
        <v>68</v>
      </c>
      <c r="G163" s="282">
        <f t="shared" si="86"/>
        <v>45870</v>
      </c>
      <c r="H163" s="66">
        <f>SUMIF('5.A'!$B$7:$B$4222,B163,'5.A'!$L$7:$L$4222)</f>
        <v>1.2E-2</v>
      </c>
      <c r="I163" s="64" t="str">
        <f t="shared" si="97"/>
        <v>si</v>
      </c>
    </row>
    <row r="164" spans="1:10" ht="18" customHeight="1" x14ac:dyDescent="0.2">
      <c r="A164" s="264">
        <v>48081</v>
      </c>
      <c r="B164" s="464" t="s">
        <v>250</v>
      </c>
      <c r="C164" s="464" t="s">
        <v>196</v>
      </c>
      <c r="D164" s="265" t="s">
        <v>45</v>
      </c>
      <c r="E164" s="932">
        <v>0</v>
      </c>
      <c r="F164" s="240" t="s">
        <v>68</v>
      </c>
      <c r="G164" s="282">
        <f t="shared" si="86"/>
        <v>45870</v>
      </c>
      <c r="H164" s="66">
        <f>SUMIF('5.A'!$B$7:$B$4222,B164,'5.A'!$L$7:$L$4222)</f>
        <v>0.12</v>
      </c>
      <c r="I164" s="64" t="str">
        <f t="shared" si="97"/>
        <v>si</v>
      </c>
    </row>
    <row r="165" spans="1:10" ht="18" customHeight="1" x14ac:dyDescent="0.2">
      <c r="A165" s="264">
        <v>49502</v>
      </c>
      <c r="B165" s="437" t="s">
        <v>212</v>
      </c>
      <c r="C165" s="437"/>
      <c r="D165" s="265" t="s">
        <v>45</v>
      </c>
      <c r="E165" s="932">
        <v>0</v>
      </c>
      <c r="F165" s="240" t="s">
        <v>68</v>
      </c>
      <c r="G165" s="282">
        <f t="shared" si="86"/>
        <v>45870</v>
      </c>
      <c r="H165" s="66">
        <f>SUMIF('5.A'!$B$7:$B$4222,B165,'5.A'!$L$7:$L$4222)</f>
        <v>14</v>
      </c>
      <c r="I165" s="64" t="str">
        <f t="shared" si="97"/>
        <v>si</v>
      </c>
    </row>
    <row r="166" spans="1:10" ht="18" customHeight="1" x14ac:dyDescent="0.2">
      <c r="A166" s="264">
        <v>49507</v>
      </c>
      <c r="B166" s="437" t="s">
        <v>181</v>
      </c>
      <c r="C166" s="437"/>
      <c r="D166" s="265" t="s">
        <v>45</v>
      </c>
      <c r="E166" s="932">
        <v>0</v>
      </c>
      <c r="F166" s="240" t="s">
        <v>68</v>
      </c>
      <c r="G166" s="282">
        <f t="shared" si="86"/>
        <v>45870</v>
      </c>
      <c r="H166" s="66">
        <f>SUMIF('5.A'!$B$7:$B$4222,B166,'5.A'!$L$7:$L$4222)</f>
        <v>18</v>
      </c>
      <c r="I166" s="64" t="str">
        <f t="shared" ref="I166:I180" si="98">IF(H166=0,"no","si")</f>
        <v>si</v>
      </c>
    </row>
    <row r="167" spans="1:10" ht="18" customHeight="1" x14ac:dyDescent="0.2">
      <c r="A167" s="264">
        <v>49511</v>
      </c>
      <c r="B167" s="437" t="s">
        <v>210</v>
      </c>
      <c r="C167" s="437"/>
      <c r="D167" s="265" t="s">
        <v>45</v>
      </c>
      <c r="E167" s="932">
        <v>0</v>
      </c>
      <c r="F167" s="240" t="s">
        <v>68</v>
      </c>
      <c r="G167" s="282">
        <f t="shared" si="86"/>
        <v>45870</v>
      </c>
      <c r="H167" s="66">
        <f>SUMIF('5.A'!$B$7:$B$4222,B167,'5.A'!$L$7:$L$4222)</f>
        <v>4</v>
      </c>
      <c r="I167" s="64" t="str">
        <f t="shared" ref="I167" si="99">IF(H167=0,"no","si")</f>
        <v>si</v>
      </c>
    </row>
    <row r="168" spans="1:10" ht="18" customHeight="1" x14ac:dyDescent="0.2">
      <c r="A168" s="264">
        <v>49514</v>
      </c>
      <c r="B168" s="437" t="s">
        <v>211</v>
      </c>
      <c r="C168" s="437"/>
      <c r="D168" s="265" t="s">
        <v>45</v>
      </c>
      <c r="E168" s="932">
        <v>0</v>
      </c>
      <c r="F168" s="240" t="s">
        <v>68</v>
      </c>
      <c r="G168" s="282">
        <f t="shared" si="86"/>
        <v>45870</v>
      </c>
      <c r="H168" s="66">
        <f>SUMIF('5.A'!$B$7:$B$4222,B168,'5.A'!$L$7:$L$4222)</f>
        <v>6</v>
      </c>
      <c r="I168" s="64" t="str">
        <f t="shared" ref="I168:I171" si="100">IF(H168=0,"no","si")</f>
        <v>si</v>
      </c>
    </row>
    <row r="169" spans="1:10" ht="18" customHeight="1" x14ac:dyDescent="0.2">
      <c r="A169" s="264">
        <v>49531</v>
      </c>
      <c r="B169" s="464" t="s">
        <v>269</v>
      </c>
      <c r="C169" s="464"/>
      <c r="D169" s="265" t="s">
        <v>45</v>
      </c>
      <c r="E169" s="932">
        <v>0</v>
      </c>
      <c r="F169" s="240" t="s">
        <v>68</v>
      </c>
      <c r="G169" s="282">
        <f t="shared" si="86"/>
        <v>45870</v>
      </c>
      <c r="H169" s="66">
        <f>SUMIF('5.A'!$B$7:$B$4222,B169,'5.A'!$L$7:$L$4222)</f>
        <v>4</v>
      </c>
      <c r="I169" s="64" t="str">
        <f t="shared" ref="I169" si="101">IF(H169=0,"no","si")</f>
        <v>si</v>
      </c>
    </row>
    <row r="170" spans="1:10" ht="18" customHeight="1" x14ac:dyDescent="0.2">
      <c r="A170" s="264">
        <v>49539</v>
      </c>
      <c r="B170" s="464" t="s">
        <v>219</v>
      </c>
      <c r="C170" s="464" t="s">
        <v>219</v>
      </c>
      <c r="D170" s="265" t="s">
        <v>45</v>
      </c>
      <c r="E170" s="932">
        <v>0</v>
      </c>
      <c r="F170" s="240" t="s">
        <v>68</v>
      </c>
      <c r="G170" s="282">
        <f t="shared" si="86"/>
        <v>45870</v>
      </c>
      <c r="H170" s="66">
        <f>SUMIF('5.A'!$B$7:$B$4222,B170,'5.A'!$L$7:$L$4222)</f>
        <v>14</v>
      </c>
      <c r="I170" s="64" t="str">
        <f t="shared" ref="I170" si="102">IF(H170=0,"no","si")</f>
        <v>si</v>
      </c>
    </row>
    <row r="171" spans="1:10" ht="18" customHeight="1" x14ac:dyDescent="0.2">
      <c r="A171" s="264">
        <v>49551</v>
      </c>
      <c r="B171" s="464" t="s">
        <v>218</v>
      </c>
      <c r="C171" s="464" t="s">
        <v>182</v>
      </c>
      <c r="D171" s="265" t="s">
        <v>45</v>
      </c>
      <c r="E171" s="932">
        <v>0</v>
      </c>
      <c r="F171" s="240" t="s">
        <v>68</v>
      </c>
      <c r="G171" s="282">
        <f t="shared" si="86"/>
        <v>45870</v>
      </c>
      <c r="H171" s="66">
        <f>SUMIF('5.A'!$B$7:$B$4222,B171,'5.A'!$L$7:$L$4222)</f>
        <v>14</v>
      </c>
      <c r="I171" s="64" t="str">
        <f t="shared" si="100"/>
        <v>si</v>
      </c>
    </row>
    <row r="172" spans="1:10" ht="18" customHeight="1" x14ac:dyDescent="0.2">
      <c r="A172" s="264">
        <v>49562</v>
      </c>
      <c r="B172" s="464" t="s">
        <v>223</v>
      </c>
      <c r="C172" s="464" t="s">
        <v>182</v>
      </c>
      <c r="D172" s="265" t="s">
        <v>45</v>
      </c>
      <c r="E172" s="932">
        <v>0</v>
      </c>
      <c r="F172" s="240" t="s">
        <v>68</v>
      </c>
      <c r="G172" s="282">
        <f t="shared" si="86"/>
        <v>45870</v>
      </c>
      <c r="H172" s="66">
        <f>SUMIF('5.A'!$B$7:$B$4222,B172,'5.A'!$L$7:$L$4222)</f>
        <v>8</v>
      </c>
      <c r="I172" s="64" t="str">
        <f t="shared" ref="I172" si="103">IF(H172=0,"no","si")</f>
        <v>si</v>
      </c>
      <c r="J172" s="67" t="s">
        <v>224</v>
      </c>
    </row>
    <row r="173" spans="1:10" ht="18" customHeight="1" x14ac:dyDescent="0.2">
      <c r="A173" s="264">
        <v>49627</v>
      </c>
      <c r="B173" s="464" t="s">
        <v>225</v>
      </c>
      <c r="C173" s="464" t="s">
        <v>183</v>
      </c>
      <c r="D173" s="265" t="s">
        <v>47</v>
      </c>
      <c r="E173" s="932">
        <v>0</v>
      </c>
      <c r="F173" s="240" t="s">
        <v>68</v>
      </c>
      <c r="G173" s="282">
        <f t="shared" si="86"/>
        <v>45870</v>
      </c>
      <c r="H173" s="66">
        <f>SUMIF('5.A'!$B$7:$B$4222,B173,'5.A'!$L$7:$L$4222)</f>
        <v>29.78246</v>
      </c>
      <c r="I173" s="64" t="str">
        <f t="shared" ref="I173:I174" si="104">IF(H173=0,"no","si")</f>
        <v>si</v>
      </c>
    </row>
    <row r="174" spans="1:10" ht="18" customHeight="1" x14ac:dyDescent="0.2">
      <c r="A174" s="264">
        <v>54485</v>
      </c>
      <c r="B174" s="464" t="s">
        <v>490</v>
      </c>
      <c r="C174" s="464" t="s">
        <v>183</v>
      </c>
      <c r="D174" s="265" t="s">
        <v>45</v>
      </c>
      <c r="E174" s="932">
        <v>0</v>
      </c>
      <c r="F174" s="240" t="s">
        <v>363</v>
      </c>
      <c r="G174" s="282">
        <f t="shared" si="86"/>
        <v>45839</v>
      </c>
      <c r="H174" s="66">
        <f>SUMIF('5.A'!$B$7:$B$4222,B174,'5.A'!$L$7:$L$4222)</f>
        <v>7</v>
      </c>
      <c r="I174" s="64" t="str">
        <f t="shared" si="104"/>
        <v>si</v>
      </c>
    </row>
    <row r="175" spans="1:10" ht="18" customHeight="1" x14ac:dyDescent="0.2">
      <c r="A175" s="264">
        <v>54487</v>
      </c>
      <c r="B175" s="464" t="s">
        <v>474</v>
      </c>
      <c r="C175" s="464" t="s">
        <v>183</v>
      </c>
      <c r="D175" s="265" t="s">
        <v>45</v>
      </c>
      <c r="E175" s="932">
        <v>0</v>
      </c>
      <c r="F175" s="240" t="s">
        <v>363</v>
      </c>
      <c r="G175" s="282">
        <f t="shared" si="86"/>
        <v>45839</v>
      </c>
      <c r="H175" s="66">
        <f>SUMIF('5.A'!$B$7:$B$4222,B175,'5.A'!$L$7:$L$4222)</f>
        <v>4</v>
      </c>
      <c r="I175" s="64" t="str">
        <f t="shared" ref="I175" si="105">IF(H175=0,"no","si")</f>
        <v>si</v>
      </c>
    </row>
    <row r="176" spans="1:10" ht="18" customHeight="1" x14ac:dyDescent="0.2">
      <c r="A176" s="264">
        <v>54495</v>
      </c>
      <c r="B176" s="464" t="s">
        <v>491</v>
      </c>
      <c r="C176" s="464" t="s">
        <v>183</v>
      </c>
      <c r="D176" s="265" t="s">
        <v>45</v>
      </c>
      <c r="E176" s="932">
        <v>0</v>
      </c>
      <c r="F176" s="240" t="s">
        <v>363</v>
      </c>
      <c r="G176" s="282">
        <f t="shared" si="86"/>
        <v>45839</v>
      </c>
      <c r="H176" s="66">
        <f>SUMIF('5.A'!$B$7:$B$4222,B176,'5.A'!$L$7:$L$4222)</f>
        <v>1</v>
      </c>
      <c r="I176" s="64" t="str">
        <f t="shared" ref="I176" si="106">IF(H176=0,"no","si")</f>
        <v>si</v>
      </c>
    </row>
    <row r="177" spans="1:11" ht="18" customHeight="1" x14ac:dyDescent="0.2">
      <c r="A177" s="264">
        <v>54497</v>
      </c>
      <c r="B177" s="464" t="s">
        <v>475</v>
      </c>
      <c r="C177" s="464" t="s">
        <v>183</v>
      </c>
      <c r="D177" s="265" t="s">
        <v>45</v>
      </c>
      <c r="E177" s="932">
        <v>0</v>
      </c>
      <c r="F177" s="240" t="s">
        <v>363</v>
      </c>
      <c r="G177" s="282">
        <f t="shared" si="86"/>
        <v>45839</v>
      </c>
      <c r="H177" s="66">
        <f>SUMIF('5.A'!$B$7:$B$4222,B177,'5.A'!$L$7:$L$4222)</f>
        <v>1</v>
      </c>
      <c r="I177" s="64" t="str">
        <f t="shared" ref="I177" si="107">IF(H177=0,"no","si")</f>
        <v>si</v>
      </c>
    </row>
    <row r="178" spans="1:11" ht="18" customHeight="1" x14ac:dyDescent="0.2">
      <c r="A178" s="264">
        <v>91393</v>
      </c>
      <c r="B178" s="464" t="s">
        <v>206</v>
      </c>
      <c r="C178" s="464"/>
      <c r="D178" s="265" t="s">
        <v>45</v>
      </c>
      <c r="E178" s="932">
        <v>0</v>
      </c>
      <c r="F178" s="240" t="s">
        <v>68</v>
      </c>
      <c r="G178" s="282">
        <f t="shared" ref="G178:G180" si="108">IF(F178="SINAPI",$D$186,IF(F178="SICRO",$D$185,IF(F178="SIURB",$D$187,IF(F178="SABESP",$D$188,IF(F178="CDHU",$D$189,"-")))))</f>
        <v>45870</v>
      </c>
      <c r="H178" s="66">
        <f>SUMIF('5.A'!$B$7:$B$4222,B178,'5.A'!$L$7:$L$4222)</f>
        <v>4</v>
      </c>
      <c r="I178" s="64" t="str">
        <f t="shared" ref="I178" si="109">IF(H178=0,"no","si")</f>
        <v>si</v>
      </c>
    </row>
    <row r="179" spans="1:11" ht="24.95" customHeight="1" x14ac:dyDescent="0.2">
      <c r="A179" s="264">
        <v>91704</v>
      </c>
      <c r="B179" s="464" t="s">
        <v>486</v>
      </c>
      <c r="C179" s="464"/>
      <c r="D179" s="265" t="s">
        <v>48</v>
      </c>
      <c r="E179" s="932">
        <v>0</v>
      </c>
      <c r="F179" s="240" t="s">
        <v>68</v>
      </c>
      <c r="G179" s="282">
        <f t="shared" ref="G179" si="110">IF(F179="SINAPI",$D$186,IF(F179="SICRO",$D$185,IF(F179="SIURB",$D$187,IF(F179="SABESP",$D$188,IF(F179="CDHU",$D$189,"-")))))</f>
        <v>45870</v>
      </c>
      <c r="H179" s="66">
        <f>SUMIF('5.A'!$B$7:$B$4222,B179,'5.A'!$L$7:$L$4222)</f>
        <v>21.75</v>
      </c>
      <c r="I179" s="64" t="str">
        <f t="shared" ref="I179" si="111">IF(H179=0,"no","si")</f>
        <v>si</v>
      </c>
    </row>
    <row r="180" spans="1:11" ht="18" customHeight="1" thickBot="1" x14ac:dyDescent="0.25">
      <c r="A180" s="268">
        <v>92152</v>
      </c>
      <c r="B180" s="473" t="s">
        <v>252</v>
      </c>
      <c r="C180" s="473" t="s">
        <v>198</v>
      </c>
      <c r="D180" s="269" t="s">
        <v>45</v>
      </c>
      <c r="E180" s="923">
        <v>0</v>
      </c>
      <c r="F180" s="270" t="s">
        <v>68</v>
      </c>
      <c r="G180" s="284">
        <f t="shared" si="108"/>
        <v>45870</v>
      </c>
      <c r="H180" s="66">
        <f>SUMIF('5.A'!$B$7:$B$4222,B180,'5.A'!$L$7:$L$4222)</f>
        <v>6</v>
      </c>
      <c r="I180" s="64" t="str">
        <f t="shared" si="98"/>
        <v>si</v>
      </c>
    </row>
    <row r="181" spans="1:11" ht="18" customHeight="1" x14ac:dyDescent="0.2">
      <c r="A181" s="49"/>
      <c r="B181" s="274"/>
      <c r="C181" s="274"/>
      <c r="D181" s="57"/>
      <c r="E181" s="920"/>
      <c r="F181" s="276"/>
      <c r="G181" s="277"/>
    </row>
    <row r="182" spans="1:11" ht="18" hidden="1" customHeight="1" x14ac:dyDescent="0.2">
      <c r="A182" s="49"/>
      <c r="B182" s="274"/>
      <c r="C182" s="274"/>
      <c r="D182" s="57"/>
      <c r="E182" s="275"/>
      <c r="F182" s="276"/>
      <c r="G182" s="277"/>
    </row>
    <row r="183" spans="1:11" ht="18" hidden="1" customHeight="1" thickBot="1" x14ac:dyDescent="0.25">
      <c r="A183" s="49"/>
      <c r="B183" s="274"/>
      <c r="C183" s="274"/>
      <c r="D183" s="57"/>
      <c r="E183" s="275"/>
      <c r="F183" s="276"/>
      <c r="G183" s="277"/>
    </row>
    <row r="184" spans="1:11" ht="19.5" hidden="1" thickBot="1" x14ac:dyDescent="0.25">
      <c r="A184" s="457" t="s">
        <v>112</v>
      </c>
      <c r="B184" s="458"/>
      <c r="C184" s="458"/>
      <c r="D184" s="458"/>
      <c r="E184" s="458"/>
      <c r="F184" s="459"/>
      <c r="H184" s="66">
        <f>SUM(H12:H180)</f>
        <v>4735.5037688585317</v>
      </c>
    </row>
    <row r="185" spans="1:11" ht="18.75" hidden="1" x14ac:dyDescent="0.2">
      <c r="A185" s="453" t="s">
        <v>73</v>
      </c>
      <c r="B185" s="454"/>
      <c r="C185" s="278" t="s">
        <v>476</v>
      </c>
      <c r="D185" s="460">
        <v>45931</v>
      </c>
      <c r="E185" s="460"/>
      <c r="F185" s="461"/>
    </row>
    <row r="186" spans="1:11" ht="18.75" hidden="1" x14ac:dyDescent="0.2">
      <c r="A186" s="455" t="s">
        <v>28</v>
      </c>
      <c r="B186" s="456"/>
      <c r="C186" s="279" t="s">
        <v>541</v>
      </c>
      <c r="D186" s="462">
        <v>46023</v>
      </c>
      <c r="E186" s="462"/>
      <c r="F186" s="463"/>
    </row>
    <row r="187" spans="1:11" ht="18.75" hidden="1" x14ac:dyDescent="0.2">
      <c r="A187" s="455" t="s">
        <v>363</v>
      </c>
      <c r="B187" s="456"/>
      <c r="C187" s="279" t="s">
        <v>473</v>
      </c>
      <c r="D187" s="462">
        <v>45839</v>
      </c>
      <c r="E187" s="462"/>
      <c r="F187" s="463"/>
    </row>
    <row r="188" spans="1:11" ht="18.75" hidden="1" x14ac:dyDescent="0.2">
      <c r="A188" s="455" t="s">
        <v>29</v>
      </c>
      <c r="B188" s="456"/>
      <c r="C188" s="279" t="s">
        <v>473</v>
      </c>
      <c r="D188" s="462">
        <v>45839</v>
      </c>
      <c r="E188" s="462"/>
      <c r="F188" s="463"/>
      <c r="G188" s="1"/>
      <c r="H188" s="1"/>
      <c r="I188" s="1"/>
      <c r="J188" s="1"/>
      <c r="K188" s="1"/>
    </row>
    <row r="189" spans="1:11" ht="19.5" hidden="1" thickBot="1" x14ac:dyDescent="0.25">
      <c r="A189" s="451" t="s">
        <v>68</v>
      </c>
      <c r="B189" s="452"/>
      <c r="C189" s="280" t="s">
        <v>302</v>
      </c>
      <c r="D189" s="435">
        <v>45870</v>
      </c>
      <c r="E189" s="435"/>
      <c r="F189" s="436"/>
      <c r="G189" s="1"/>
      <c r="H189" s="1"/>
      <c r="I189" s="1"/>
      <c r="J189" s="1"/>
      <c r="K189" s="1"/>
    </row>
  </sheetData>
  <sheetProtection algorithmName="SHA-512" hashValue="FJiOYp1Aal7m83RjV5Jwfhm1eU6++PwXortdXtwQrulCiFttzvqAPGCriaIuEoXPjbU9prjtVMjyHMBLB000Dw==" saltValue="tYrMa8RJFlh/2rMWdmWkJg==" spinCount="100000" sheet="1" objects="1" scenarios="1" selectLockedCells="1"/>
  <mergeCells count="188">
    <mergeCell ref="A40:F40"/>
    <mergeCell ref="B32:C32"/>
    <mergeCell ref="B31:C31"/>
    <mergeCell ref="B63:C63"/>
    <mergeCell ref="B57:C57"/>
    <mergeCell ref="B61:C61"/>
    <mergeCell ref="B76:C76"/>
    <mergeCell ref="B79:C79"/>
    <mergeCell ref="B74:C74"/>
    <mergeCell ref="B62:C62"/>
    <mergeCell ref="B54:C54"/>
    <mergeCell ref="B35:C35"/>
    <mergeCell ref="B34:C34"/>
    <mergeCell ref="B52:C52"/>
    <mergeCell ref="B72:C72"/>
    <mergeCell ref="B67:C67"/>
    <mergeCell ref="B33:C33"/>
    <mergeCell ref="B27:C27"/>
    <mergeCell ref="B23:C23"/>
    <mergeCell ref="B56:C56"/>
    <mergeCell ref="B43:C43"/>
    <mergeCell ref="B44:C44"/>
    <mergeCell ref="B45:C45"/>
    <mergeCell ref="B97:C97"/>
    <mergeCell ref="B68:C68"/>
    <mergeCell ref="B84:C84"/>
    <mergeCell ref="B83:C83"/>
    <mergeCell ref="B80:C80"/>
    <mergeCell ref="B94:C94"/>
    <mergeCell ref="B96:C96"/>
    <mergeCell ref="B89:C89"/>
    <mergeCell ref="B87:C87"/>
    <mergeCell ref="B78:C78"/>
    <mergeCell ref="B77:C77"/>
    <mergeCell ref="B66:C66"/>
    <mergeCell ref="B64:C64"/>
    <mergeCell ref="B42:C42"/>
    <mergeCell ref="B36:C36"/>
    <mergeCell ref="B60:C60"/>
    <mergeCell ref="B30:C30"/>
    <mergeCell ref="I4:K4"/>
    <mergeCell ref="A26:G26"/>
    <mergeCell ref="B24:C24"/>
    <mergeCell ref="B17:C17"/>
    <mergeCell ref="B20:C20"/>
    <mergeCell ref="B22:C22"/>
    <mergeCell ref="B12:C12"/>
    <mergeCell ref="B13:C13"/>
    <mergeCell ref="B14:C14"/>
    <mergeCell ref="B25:C25"/>
    <mergeCell ref="B16:C16"/>
    <mergeCell ref="B19:C19"/>
    <mergeCell ref="A1:F5"/>
    <mergeCell ref="B88:C88"/>
    <mergeCell ref="B70:C70"/>
    <mergeCell ref="B104:C104"/>
    <mergeCell ref="B105:C105"/>
    <mergeCell ref="B113:C113"/>
    <mergeCell ref="B125:C125"/>
    <mergeCell ref="B71:C71"/>
    <mergeCell ref="B73:C73"/>
    <mergeCell ref="B103:C103"/>
    <mergeCell ref="B102:C102"/>
    <mergeCell ref="B75:C75"/>
    <mergeCell ref="B106:C106"/>
    <mergeCell ref="B98:C98"/>
    <mergeCell ref="B101:C101"/>
    <mergeCell ref="B119:C119"/>
    <mergeCell ref="B121:C121"/>
    <mergeCell ref="B118:C118"/>
    <mergeCell ref="B112:C112"/>
    <mergeCell ref="B81:C81"/>
    <mergeCell ref="B116:C116"/>
    <mergeCell ref="B93:C93"/>
    <mergeCell ref="B91:C91"/>
    <mergeCell ref="B99:C99"/>
    <mergeCell ref="B114:C114"/>
    <mergeCell ref="B166:C166"/>
    <mergeCell ref="B180:C180"/>
    <mergeCell ref="B178:C178"/>
    <mergeCell ref="B167:C167"/>
    <mergeCell ref="B168:C168"/>
    <mergeCell ref="B165:C165"/>
    <mergeCell ref="B176:C176"/>
    <mergeCell ref="B162:C162"/>
    <mergeCell ref="B138:C138"/>
    <mergeCell ref="B173:C173"/>
    <mergeCell ref="B169:C169"/>
    <mergeCell ref="B161:C161"/>
    <mergeCell ref="B149:C149"/>
    <mergeCell ref="B158:C158"/>
    <mergeCell ref="B140:C140"/>
    <mergeCell ref="B147:C147"/>
    <mergeCell ref="B152:C152"/>
    <mergeCell ref="B142:C142"/>
    <mergeCell ref="B145:C145"/>
    <mergeCell ref="B139:C139"/>
    <mergeCell ref="B150:C150"/>
    <mergeCell ref="B141:C141"/>
    <mergeCell ref="B159:C159"/>
    <mergeCell ref="B157:C157"/>
    <mergeCell ref="B148:C148"/>
    <mergeCell ref="B115:C115"/>
    <mergeCell ref="B132:C132"/>
    <mergeCell ref="B143:C143"/>
    <mergeCell ref="B127:C127"/>
    <mergeCell ref="B135:C135"/>
    <mergeCell ref="B146:C146"/>
    <mergeCell ref="B122:C122"/>
    <mergeCell ref="B123:C123"/>
    <mergeCell ref="B136:C136"/>
    <mergeCell ref="B133:C133"/>
    <mergeCell ref="B134:C134"/>
    <mergeCell ref="B131:C131"/>
    <mergeCell ref="B130:C130"/>
    <mergeCell ref="B126:C126"/>
    <mergeCell ref="B128:C128"/>
    <mergeCell ref="B129:C129"/>
    <mergeCell ref="B59:C59"/>
    <mergeCell ref="B111:C111"/>
    <mergeCell ref="B55:C55"/>
    <mergeCell ref="B85:C85"/>
    <mergeCell ref="B37:C37"/>
    <mergeCell ref="B51:C51"/>
    <mergeCell ref="B95:C95"/>
    <mergeCell ref="B50:C50"/>
    <mergeCell ref="B109:C109"/>
    <mergeCell ref="B107:C107"/>
    <mergeCell ref="B46:C46"/>
    <mergeCell ref="B47:C47"/>
    <mergeCell ref="B48:C48"/>
    <mergeCell ref="B49:C49"/>
    <mergeCell ref="B86:C86"/>
    <mergeCell ref="B65:C65"/>
    <mergeCell ref="B110:C110"/>
    <mergeCell ref="B39:C39"/>
    <mergeCell ref="B41:C41"/>
    <mergeCell ref="B92:C92"/>
    <mergeCell ref="B100:C100"/>
    <mergeCell ref="B38:C38"/>
    <mergeCell ref="B69:C69"/>
    <mergeCell ref="B90:C90"/>
    <mergeCell ref="D186:F186"/>
    <mergeCell ref="D188:F188"/>
    <mergeCell ref="B179:C179"/>
    <mergeCell ref="B124:C124"/>
    <mergeCell ref="B120:C120"/>
    <mergeCell ref="B117:C117"/>
    <mergeCell ref="B171:C171"/>
    <mergeCell ref="B170:C170"/>
    <mergeCell ref="A187:B187"/>
    <mergeCell ref="D187:F187"/>
    <mergeCell ref="B175:C175"/>
    <mergeCell ref="B177:C177"/>
    <mergeCell ref="B160:C160"/>
    <mergeCell ref="B174:C174"/>
    <mergeCell ref="B163:C163"/>
    <mergeCell ref="B164:C164"/>
    <mergeCell ref="B153:C153"/>
    <mergeCell ref="B156:C156"/>
    <mergeCell ref="A188:B188"/>
    <mergeCell ref="B144:C144"/>
    <mergeCell ref="B172:C172"/>
    <mergeCell ref="B155:C155"/>
    <mergeCell ref="B137:C137"/>
    <mergeCell ref="B154:C154"/>
    <mergeCell ref="D189:F189"/>
    <mergeCell ref="B82:C82"/>
    <mergeCell ref="B53:C53"/>
    <mergeCell ref="A9:G9"/>
    <mergeCell ref="A10:G10"/>
    <mergeCell ref="A7:G7"/>
    <mergeCell ref="A8:F8"/>
    <mergeCell ref="B21:C21"/>
    <mergeCell ref="B11:C11"/>
    <mergeCell ref="B15:C15"/>
    <mergeCell ref="B18:C18"/>
    <mergeCell ref="A6:F6"/>
    <mergeCell ref="B28:C28"/>
    <mergeCell ref="B29:C29"/>
    <mergeCell ref="A189:B189"/>
    <mergeCell ref="A185:B185"/>
    <mergeCell ref="A186:B186"/>
    <mergeCell ref="B151:C151"/>
    <mergeCell ref="B58:C58"/>
    <mergeCell ref="B108:C108"/>
    <mergeCell ref="A184:F184"/>
    <mergeCell ref="D185:F185"/>
  </mergeCells>
  <phoneticPr fontId="53" type="noConversion"/>
  <printOptions horizontalCentered="1"/>
  <pageMargins left="0.59055118110236227" right="0.59055118110236227" top="0.57999999999999996" bottom="0.74803149606299213" header="0.43307086614173229" footer="0.51181102362204722"/>
  <pageSetup paperSize="9" scale="55" fitToHeight="0" orientation="portrait" horizontalDpi="4294967293" verticalDpi="4294967293" r:id="rId1"/>
  <headerFooter alignWithMargins="0">
    <oddFooter>&amp;C&amp;"Times New Roman,Negrito itálico"&amp;12Página &amp;P / &amp;N</oddFooter>
  </headerFooter>
  <rowBreaks count="2" manualBreakCount="2">
    <brk id="76" max="5" man="1"/>
    <brk id="143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28">
    <pageSetUpPr fitToPage="1"/>
  </sheetPr>
  <dimension ref="A1:O68"/>
  <sheetViews>
    <sheetView view="pageBreakPreview" topLeftCell="A9" zoomScale="78" zoomScaleNormal="80" zoomScaleSheetLayoutView="78" workbookViewId="0">
      <selection activeCell="E27" sqref="E27"/>
    </sheetView>
  </sheetViews>
  <sheetFormatPr defaultColWidth="9.140625" defaultRowHeight="12.75" x14ac:dyDescent="0.2"/>
  <cols>
    <col min="1" max="1" width="9.42578125" style="185" customWidth="1"/>
    <col min="2" max="2" width="13.5703125" style="184" customWidth="1"/>
    <col min="3" max="3" width="43" style="184" customWidth="1"/>
    <col min="4" max="4" width="17.85546875" style="185" customWidth="1"/>
    <col min="5" max="5" width="22.42578125" style="185" customWidth="1"/>
    <col min="6" max="16384" width="9.140625" style="184"/>
  </cols>
  <sheetData>
    <row r="1" spans="1:10" s="180" customFormat="1" ht="72" customHeight="1" x14ac:dyDescent="0.2">
      <c r="A1" s="560" t="str">
        <f>'3.A'!$A$1</f>
        <v>TIMBRE DO LICITANTE</v>
      </c>
      <c r="B1" s="560"/>
      <c r="C1" s="560"/>
      <c r="D1" s="560"/>
      <c r="E1" s="560"/>
      <c r="F1" s="177"/>
      <c r="G1" s="177"/>
      <c r="H1" s="177"/>
      <c r="I1" s="75"/>
      <c r="J1" s="177"/>
    </row>
    <row r="2" spans="1:10" s="180" customFormat="1" ht="20.100000000000001" customHeight="1" x14ac:dyDescent="0.2">
      <c r="A2" s="560"/>
      <c r="B2" s="560"/>
      <c r="C2" s="560"/>
      <c r="D2" s="560"/>
      <c r="E2" s="560"/>
      <c r="F2" s="177"/>
      <c r="G2" s="177"/>
      <c r="H2" s="177"/>
      <c r="I2" s="177"/>
      <c r="J2" s="177"/>
    </row>
    <row r="3" spans="1:10" s="180" customFormat="1" ht="27" customHeight="1" x14ac:dyDescent="0.2">
      <c r="A3" s="498" t="s">
        <v>637</v>
      </c>
      <c r="B3" s="498"/>
      <c r="C3" s="498"/>
      <c r="D3" s="498"/>
      <c r="E3" s="498"/>
      <c r="F3" s="178"/>
      <c r="G3" s="178"/>
      <c r="H3" s="178"/>
      <c r="I3" s="178"/>
      <c r="J3" s="178"/>
    </row>
    <row r="4" spans="1:10" s="180" customFormat="1" ht="6.75" customHeight="1" x14ac:dyDescent="0.2">
      <c r="A4" s="238"/>
      <c r="B4" s="181"/>
      <c r="C4" s="181"/>
      <c r="D4" s="181"/>
      <c r="E4" s="181"/>
      <c r="F4" s="178"/>
      <c r="G4" s="178"/>
      <c r="H4" s="178"/>
      <c r="I4" s="178"/>
      <c r="J4" s="178"/>
    </row>
    <row r="5" spans="1:10" s="180" customFormat="1" ht="30" customHeight="1" x14ac:dyDescent="0.2">
      <c r="A5" s="499" t="str">
        <f>'3.A'!A8</f>
        <v>REFORMA DE 3 ENTRADAS DE ENERGIA EM 3 POÇOS TUBULARES DO AQUÍFERO BAURU (PTB) NO MUNÍCIPIO DE SÃO JOSÉ DO RIO PRETO</v>
      </c>
      <c r="B5" s="499"/>
      <c r="C5" s="499"/>
      <c r="D5" s="499"/>
      <c r="E5" s="499"/>
      <c r="F5" s="178"/>
      <c r="G5" s="178"/>
      <c r="H5" s="178"/>
      <c r="I5" s="178"/>
      <c r="J5" s="178"/>
    </row>
    <row r="6" spans="1:10" ht="12.75" customHeight="1" thickBot="1" x14ac:dyDescent="0.25">
      <c r="A6" s="182"/>
      <c r="B6" s="183"/>
      <c r="C6" s="183"/>
      <c r="D6" s="182"/>
      <c r="E6" s="182"/>
    </row>
    <row r="7" spans="1:10" ht="45" customHeight="1" thickBot="1" x14ac:dyDescent="0.25">
      <c r="A7" s="501" t="s">
        <v>10</v>
      </c>
      <c r="B7" s="502"/>
      <c r="C7" s="502"/>
      <c r="D7" s="502"/>
      <c r="E7" s="503"/>
    </row>
    <row r="8" spans="1:10" ht="7.5" customHeight="1" thickBot="1" x14ac:dyDescent="0.25">
      <c r="B8" s="186"/>
      <c r="C8" s="186"/>
      <c r="D8" s="186"/>
      <c r="E8" s="186"/>
    </row>
    <row r="9" spans="1:10" s="187" customFormat="1" ht="27.95" customHeight="1" thickBot="1" x14ac:dyDescent="0.25">
      <c r="A9" s="196" t="s">
        <v>38</v>
      </c>
      <c r="B9" s="490" t="s">
        <v>11</v>
      </c>
      <c r="C9" s="491"/>
      <c r="D9" s="492"/>
      <c r="E9" s="938">
        <v>0</v>
      </c>
    </row>
    <row r="10" spans="1:10" ht="12" customHeight="1" thickBot="1" x14ac:dyDescent="0.3">
      <c r="A10" s="489"/>
      <c r="B10" s="489"/>
      <c r="C10" s="489"/>
      <c r="D10" s="489"/>
      <c r="E10" s="489"/>
    </row>
    <row r="11" spans="1:10" s="187" customFormat="1" ht="27.95" customHeight="1" thickBot="1" x14ac:dyDescent="0.25">
      <c r="A11" s="196" t="s">
        <v>151</v>
      </c>
      <c r="B11" s="490" t="s">
        <v>150</v>
      </c>
      <c r="C11" s="491"/>
      <c r="D11" s="492"/>
      <c r="E11" s="938">
        <v>0</v>
      </c>
    </row>
    <row r="12" spans="1:10" ht="12" customHeight="1" thickBot="1" x14ac:dyDescent="0.3">
      <c r="A12" s="489"/>
      <c r="B12" s="489"/>
      <c r="C12" s="489"/>
      <c r="D12" s="489"/>
      <c r="E12" s="489"/>
    </row>
    <row r="13" spans="1:10" s="187" customFormat="1" ht="27.95" customHeight="1" thickBot="1" x14ac:dyDescent="0.25">
      <c r="A13" s="196" t="s">
        <v>39</v>
      </c>
      <c r="B13" s="490" t="s">
        <v>40</v>
      </c>
      <c r="C13" s="491"/>
      <c r="D13" s="492"/>
      <c r="E13" s="938">
        <v>0</v>
      </c>
    </row>
    <row r="14" spans="1:10" ht="12" customHeight="1" thickBot="1" x14ac:dyDescent="0.3">
      <c r="A14" s="489"/>
      <c r="B14" s="489"/>
      <c r="C14" s="489"/>
      <c r="D14" s="489"/>
      <c r="E14" s="489"/>
    </row>
    <row r="15" spans="1:10" s="187" customFormat="1" ht="27.95" customHeight="1" thickBot="1" x14ac:dyDescent="0.25">
      <c r="A15" s="196" t="s">
        <v>41</v>
      </c>
      <c r="B15" s="490" t="s">
        <v>31</v>
      </c>
      <c r="C15" s="491"/>
      <c r="D15" s="492"/>
      <c r="E15" s="938">
        <v>0</v>
      </c>
    </row>
    <row r="16" spans="1:10" ht="12" customHeight="1" thickBot="1" x14ac:dyDescent="0.3">
      <c r="A16" s="489"/>
      <c r="B16" s="489"/>
      <c r="C16" s="489"/>
      <c r="D16" s="489"/>
      <c r="E16" s="489"/>
    </row>
    <row r="17" spans="1:8" s="187" customFormat="1" ht="27.95" customHeight="1" thickBot="1" x14ac:dyDescent="0.25">
      <c r="A17" s="196" t="s">
        <v>42</v>
      </c>
      <c r="B17" s="490" t="s">
        <v>30</v>
      </c>
      <c r="C17" s="491"/>
      <c r="D17" s="492"/>
      <c r="E17" s="197">
        <v>0</v>
      </c>
    </row>
    <row r="18" spans="1:8" s="187" customFormat="1" ht="12" customHeight="1" thickBot="1" x14ac:dyDescent="0.3">
      <c r="A18" s="489"/>
      <c r="B18" s="489"/>
      <c r="C18" s="489"/>
      <c r="D18" s="489"/>
      <c r="E18" s="489"/>
    </row>
    <row r="19" spans="1:8" s="187" customFormat="1" ht="27.95" customHeight="1" thickBot="1" x14ac:dyDescent="0.25">
      <c r="A19" s="198" t="s">
        <v>122</v>
      </c>
      <c r="B19" s="493" t="s">
        <v>123</v>
      </c>
      <c r="C19" s="494"/>
      <c r="D19" s="492"/>
      <c r="E19" s="199">
        <f>ROUND(SUM(E20:E21),5)</f>
        <v>0</v>
      </c>
    </row>
    <row r="20" spans="1:8" s="187" customFormat="1" ht="20.100000000000001" customHeight="1" x14ac:dyDescent="0.2">
      <c r="A20" s="200"/>
      <c r="B20" s="495" t="s">
        <v>70</v>
      </c>
      <c r="C20" s="496"/>
      <c r="D20" s="497"/>
      <c r="E20" s="201">
        <v>0</v>
      </c>
    </row>
    <row r="21" spans="1:8" s="187" customFormat="1" ht="20.100000000000001" customHeight="1" thickBot="1" x14ac:dyDescent="0.25">
      <c r="A21" s="202"/>
      <c r="B21" s="486" t="s">
        <v>71</v>
      </c>
      <c r="C21" s="487"/>
      <c r="D21" s="488"/>
      <c r="E21" s="203">
        <v>0</v>
      </c>
    </row>
    <row r="22" spans="1:8" s="187" customFormat="1" ht="12" customHeight="1" thickBot="1" x14ac:dyDescent="0.3">
      <c r="A22" s="489"/>
      <c r="B22" s="489"/>
      <c r="C22" s="489"/>
      <c r="D22" s="489"/>
      <c r="E22" s="489"/>
    </row>
    <row r="23" spans="1:8" s="187" customFormat="1" ht="27.95" customHeight="1" thickBot="1" x14ac:dyDescent="0.25">
      <c r="A23" s="198" t="s">
        <v>124</v>
      </c>
      <c r="B23" s="493" t="s">
        <v>125</v>
      </c>
      <c r="C23" s="494"/>
      <c r="D23" s="492"/>
      <c r="E23" s="199">
        <f>ROUND(SUM(E24:E24),5)</f>
        <v>0</v>
      </c>
    </row>
    <row r="24" spans="1:8" s="187" customFormat="1" ht="20.100000000000001" customHeight="1" thickBot="1" x14ac:dyDescent="0.25">
      <c r="A24" s="204"/>
      <c r="B24" s="504" t="s">
        <v>126</v>
      </c>
      <c r="C24" s="505"/>
      <c r="D24" s="506"/>
      <c r="E24" s="203">
        <v>0</v>
      </c>
    </row>
    <row r="25" spans="1:8" s="187" customFormat="1" ht="12" customHeight="1" thickBot="1" x14ac:dyDescent="0.3">
      <c r="A25" s="489"/>
      <c r="B25" s="489"/>
      <c r="C25" s="489"/>
      <c r="D25" s="489"/>
      <c r="E25" s="489"/>
    </row>
    <row r="26" spans="1:8" s="187" customFormat="1" ht="27.95" customHeight="1" thickBot="1" x14ac:dyDescent="0.25">
      <c r="A26" s="198" t="s">
        <v>127</v>
      </c>
      <c r="B26" s="493" t="s">
        <v>128</v>
      </c>
      <c r="C26" s="494"/>
      <c r="D26" s="508"/>
      <c r="E26" s="199">
        <f>ROUND(SUM(E27:E27),5)</f>
        <v>0</v>
      </c>
    </row>
    <row r="27" spans="1:8" s="187" customFormat="1" ht="20.100000000000001" customHeight="1" thickBot="1" x14ac:dyDescent="0.25">
      <c r="A27" s="204"/>
      <c r="B27" s="504" t="s">
        <v>129</v>
      </c>
      <c r="C27" s="505"/>
      <c r="D27" s="506"/>
      <c r="E27" s="203">
        <v>0</v>
      </c>
    </row>
    <row r="28" spans="1:8" ht="12" customHeight="1" thickBot="1" x14ac:dyDescent="0.3">
      <c r="A28" s="489"/>
      <c r="B28" s="489"/>
      <c r="C28" s="489"/>
      <c r="D28" s="489"/>
      <c r="E28" s="489"/>
    </row>
    <row r="29" spans="1:8" s="187" customFormat="1" ht="27.95" customHeight="1" thickBot="1" x14ac:dyDescent="0.25">
      <c r="A29" s="196"/>
      <c r="B29" s="490" t="s">
        <v>43</v>
      </c>
      <c r="C29" s="491"/>
      <c r="D29" s="507"/>
      <c r="E29" s="188">
        <f>ROUND((((1+($E$9+$E$11+$E$13))*(1+$E$15)*(1+$E$17))/(1-$E$19-$E$23-$E$26))-1,4)</f>
        <v>0</v>
      </c>
      <c r="F29" s="189"/>
      <c r="G29" s="76"/>
      <c r="H29" s="76"/>
    </row>
    <row r="30" spans="1:8" x14ac:dyDescent="0.2">
      <c r="A30" s="190"/>
      <c r="B30" s="191"/>
      <c r="C30" s="191"/>
      <c r="D30" s="190"/>
      <c r="E30" s="190"/>
    </row>
    <row r="31" spans="1:8" x14ac:dyDescent="0.2">
      <c r="A31" s="192"/>
      <c r="B31" s="193"/>
      <c r="C31" s="193"/>
      <c r="D31" s="194"/>
      <c r="E31" s="194"/>
    </row>
    <row r="32" spans="1:8" x14ac:dyDescent="0.2">
      <c r="A32" s="195"/>
      <c r="B32" s="193"/>
      <c r="C32" s="193"/>
      <c r="D32" s="194"/>
      <c r="E32" s="194"/>
    </row>
    <row r="33" spans="1:15" x14ac:dyDescent="0.2">
      <c r="A33" s="194"/>
      <c r="B33" s="193"/>
      <c r="C33" s="193"/>
      <c r="D33" s="194"/>
      <c r="E33" s="194"/>
    </row>
    <row r="34" spans="1:15" ht="15" customHeight="1" x14ac:dyDescent="0.2">
      <c r="A34" s="484" t="s">
        <v>135</v>
      </c>
      <c r="B34" s="484"/>
      <c r="C34" s="484"/>
      <c r="D34" s="484"/>
      <c r="E34" s="484"/>
    </row>
    <row r="35" spans="1:15" ht="15" customHeight="1" x14ac:dyDescent="0.2">
      <c r="A35" s="484"/>
      <c r="B35" s="484"/>
      <c r="C35" s="484"/>
      <c r="D35" s="484"/>
      <c r="E35" s="484"/>
    </row>
    <row r="36" spans="1:15" ht="12.75" customHeight="1" x14ac:dyDescent="0.2">
      <c r="A36" s="485" t="s">
        <v>492</v>
      </c>
      <c r="B36" s="485"/>
      <c r="C36" s="485"/>
      <c r="D36" s="485"/>
      <c r="E36" s="485"/>
      <c r="F36" s="273"/>
    </row>
    <row r="37" spans="1:15" ht="12.75" customHeight="1" x14ac:dyDescent="0.2">
      <c r="A37" s="485"/>
      <c r="B37" s="485"/>
      <c r="C37" s="485"/>
      <c r="D37" s="485"/>
      <c r="E37" s="485"/>
      <c r="F37" s="273"/>
    </row>
    <row r="38" spans="1:15" s="185" customFormat="1" ht="12.75" customHeight="1" x14ac:dyDescent="0.2">
      <c r="A38" s="485"/>
      <c r="B38" s="485"/>
      <c r="C38" s="485"/>
      <c r="D38" s="485"/>
      <c r="E38" s="485"/>
      <c r="F38" s="273"/>
      <c r="G38" s="184"/>
      <c r="H38" s="184"/>
      <c r="I38" s="184"/>
      <c r="J38" s="184"/>
    </row>
    <row r="39" spans="1:15" s="185" customFormat="1" ht="12.75" customHeight="1" x14ac:dyDescent="0.2">
      <c r="A39" s="485"/>
      <c r="B39" s="485"/>
      <c r="C39" s="485"/>
      <c r="D39" s="485"/>
      <c r="E39" s="485"/>
      <c r="F39" s="273"/>
      <c r="G39" s="184"/>
      <c r="H39" s="184"/>
      <c r="I39" s="184"/>
      <c r="J39" s="184"/>
    </row>
    <row r="40" spans="1:15" s="185" customFormat="1" ht="12.75" customHeight="1" x14ac:dyDescent="0.2">
      <c r="A40" s="485"/>
      <c r="B40" s="485"/>
      <c r="C40" s="485"/>
      <c r="D40" s="485"/>
      <c r="E40" s="485"/>
      <c r="F40" s="273"/>
      <c r="G40" s="184"/>
      <c r="H40" s="184"/>
      <c r="I40" s="184"/>
      <c r="J40" s="184"/>
    </row>
    <row r="41" spans="1:15" s="185" customFormat="1" ht="12.75" customHeight="1" x14ac:dyDescent="0.2">
      <c r="A41" s="485"/>
      <c r="B41" s="485"/>
      <c r="C41" s="485"/>
      <c r="D41" s="485"/>
      <c r="E41" s="485"/>
      <c r="F41" s="273"/>
      <c r="G41" s="184"/>
      <c r="H41" s="184"/>
      <c r="I41" s="184"/>
      <c r="J41" s="184"/>
    </row>
    <row r="42" spans="1:15" s="185" customFormat="1" ht="12.75" customHeight="1" x14ac:dyDescent="0.2">
      <c r="A42" s="485"/>
      <c r="B42" s="485"/>
      <c r="C42" s="485"/>
      <c r="D42" s="485"/>
      <c r="E42" s="485"/>
      <c r="F42" s="273"/>
      <c r="G42" s="184"/>
      <c r="H42" s="184"/>
      <c r="I42" s="184"/>
      <c r="J42" s="485"/>
      <c r="K42" s="485"/>
      <c r="L42" s="485"/>
      <c r="M42" s="485"/>
      <c r="N42" s="485"/>
      <c r="O42" s="485"/>
    </row>
    <row r="43" spans="1:15" s="185" customFormat="1" ht="12.75" customHeight="1" x14ac:dyDescent="0.2">
      <c r="A43" s="485"/>
      <c r="B43" s="485"/>
      <c r="C43" s="485"/>
      <c r="D43" s="485"/>
      <c r="E43" s="485"/>
      <c r="F43" s="273"/>
      <c r="G43" s="184"/>
      <c r="H43" s="184"/>
      <c r="I43" s="184"/>
      <c r="J43" s="485"/>
      <c r="K43" s="485"/>
      <c r="L43" s="485"/>
      <c r="M43" s="485"/>
      <c r="N43" s="485"/>
      <c r="O43" s="485"/>
    </row>
    <row r="44" spans="1:15" s="185" customFormat="1" ht="12.75" customHeight="1" x14ac:dyDescent="0.2">
      <c r="A44" s="485"/>
      <c r="B44" s="485"/>
      <c r="C44" s="485"/>
      <c r="D44" s="485"/>
      <c r="E44" s="485"/>
      <c r="F44" s="273"/>
      <c r="G44" s="184"/>
      <c r="H44" s="184"/>
      <c r="I44" s="184"/>
      <c r="J44" s="485"/>
      <c r="K44" s="485"/>
      <c r="L44" s="485"/>
      <c r="M44" s="485"/>
      <c r="N44" s="485"/>
      <c r="O44" s="485"/>
    </row>
    <row r="45" spans="1:15" s="185" customFormat="1" ht="12.75" customHeight="1" x14ac:dyDescent="0.2">
      <c r="A45" s="485"/>
      <c r="B45" s="485"/>
      <c r="C45" s="485"/>
      <c r="D45" s="485"/>
      <c r="E45" s="485"/>
      <c r="F45" s="273"/>
      <c r="G45" s="184"/>
      <c r="H45" s="184"/>
      <c r="I45" s="184"/>
      <c r="J45" s="485"/>
      <c r="K45" s="485"/>
      <c r="L45" s="485"/>
      <c r="M45" s="485"/>
      <c r="N45" s="485"/>
      <c r="O45" s="485"/>
    </row>
    <row r="46" spans="1:15" ht="12.75" customHeight="1" x14ac:dyDescent="0.2">
      <c r="A46" s="485"/>
      <c r="B46" s="485"/>
      <c r="C46" s="485"/>
      <c r="D46" s="485"/>
      <c r="E46" s="485"/>
      <c r="F46" s="273"/>
      <c r="J46" s="485"/>
      <c r="K46" s="485"/>
      <c r="L46" s="485"/>
      <c r="M46" s="485"/>
      <c r="N46" s="485"/>
      <c r="O46" s="485"/>
    </row>
    <row r="47" spans="1:15" ht="12.75" customHeight="1" x14ac:dyDescent="0.2">
      <c r="A47" s="485"/>
      <c r="B47" s="485"/>
      <c r="C47" s="485"/>
      <c r="D47" s="485"/>
      <c r="E47" s="485"/>
      <c r="J47" s="485"/>
      <c r="K47" s="485"/>
      <c r="L47" s="485"/>
      <c r="M47" s="485"/>
      <c r="N47" s="485"/>
      <c r="O47" s="485"/>
    </row>
    <row r="48" spans="1:15" hidden="1" x14ac:dyDescent="0.2">
      <c r="D48" s="184"/>
      <c r="E48" s="185">
        <f>ROUND((((1+($E$9+$E$11+$E$13))*(1+$E$15)*(1+$E$17))/(1-$E$19-$E$23-$E$26))-1,4)</f>
        <v>0</v>
      </c>
      <c r="J48" s="485"/>
      <c r="K48" s="485"/>
      <c r="L48" s="485"/>
      <c r="M48" s="485"/>
      <c r="N48" s="485"/>
      <c r="O48" s="485"/>
    </row>
    <row r="49" spans="1:15" hidden="1" x14ac:dyDescent="0.2">
      <c r="J49" s="485"/>
      <c r="K49" s="485"/>
      <c r="L49" s="485"/>
      <c r="M49" s="485"/>
      <c r="N49" s="485"/>
      <c r="O49" s="485"/>
    </row>
    <row r="50" spans="1:15" hidden="1" x14ac:dyDescent="0.2">
      <c r="A50" s="500" t="s">
        <v>133</v>
      </c>
      <c r="B50" s="500"/>
      <c r="C50" s="500"/>
      <c r="J50" s="485"/>
      <c r="K50" s="485"/>
      <c r="L50" s="485"/>
      <c r="M50" s="485"/>
      <c r="N50" s="485"/>
      <c r="O50" s="485"/>
    </row>
    <row r="51" spans="1:15" hidden="1" x14ac:dyDescent="0.2">
      <c r="A51" s="500"/>
      <c r="B51" s="500"/>
      <c r="C51" s="500"/>
      <c r="J51" s="485"/>
      <c r="K51" s="485"/>
      <c r="L51" s="485"/>
      <c r="M51" s="485"/>
      <c r="N51" s="485"/>
      <c r="O51" s="485"/>
    </row>
    <row r="52" spans="1:15" hidden="1" x14ac:dyDescent="0.2">
      <c r="A52" s="208"/>
      <c r="B52" s="208"/>
      <c r="C52" s="208"/>
      <c r="J52" s="485"/>
      <c r="K52" s="485"/>
      <c r="L52" s="485"/>
      <c r="M52" s="485"/>
      <c r="N52" s="485"/>
      <c r="O52" s="485"/>
    </row>
    <row r="53" spans="1:15" ht="12.75" hidden="1" customHeight="1" x14ac:dyDescent="0.2">
      <c r="A53" s="500" t="s">
        <v>134</v>
      </c>
      <c r="B53" s="500"/>
      <c r="C53" s="500"/>
      <c r="D53" s="500"/>
      <c r="E53" s="500"/>
      <c r="J53" s="485"/>
      <c r="K53" s="485"/>
      <c r="L53" s="485"/>
      <c r="M53" s="485"/>
      <c r="N53" s="485"/>
      <c r="O53" s="485"/>
    </row>
    <row r="54" spans="1:15" ht="12.75" hidden="1" customHeight="1" x14ac:dyDescent="0.2">
      <c r="A54" s="500"/>
      <c r="B54" s="500"/>
      <c r="C54" s="500"/>
      <c r="D54" s="500"/>
      <c r="E54" s="500"/>
    </row>
    <row r="55" spans="1:15" ht="12.75" hidden="1" customHeight="1" x14ac:dyDescent="0.2">
      <c r="A55" s="500"/>
      <c r="B55" s="500"/>
      <c r="C55" s="500"/>
      <c r="D55" s="500"/>
      <c r="E55" s="500"/>
    </row>
    <row r="56" spans="1:15" ht="12.75" hidden="1" customHeight="1" x14ac:dyDescent="0.2">
      <c r="A56" s="500"/>
      <c r="B56" s="500"/>
      <c r="C56" s="500"/>
      <c r="D56" s="500"/>
      <c r="E56" s="500"/>
    </row>
    <row r="57" spans="1:15" ht="12.75" hidden="1" customHeight="1" x14ac:dyDescent="0.2">
      <c r="A57" s="500"/>
      <c r="B57" s="500"/>
      <c r="C57" s="500"/>
      <c r="D57" s="500"/>
      <c r="E57" s="500"/>
    </row>
    <row r="58" spans="1:15" ht="12.75" hidden="1" customHeight="1" x14ac:dyDescent="0.2">
      <c r="A58" s="500"/>
      <c r="B58" s="500"/>
      <c r="C58" s="500"/>
      <c r="D58" s="500"/>
      <c r="E58" s="500"/>
    </row>
    <row r="59" spans="1:15" hidden="1" x14ac:dyDescent="0.2">
      <c r="A59" s="500"/>
      <c r="B59" s="500"/>
      <c r="C59" s="500"/>
      <c r="D59" s="500"/>
      <c r="E59" s="500"/>
    </row>
    <row r="60" spans="1:15" hidden="1" x14ac:dyDescent="0.2">
      <c r="A60" s="500"/>
      <c r="B60" s="500"/>
      <c r="C60" s="500"/>
      <c r="D60" s="500"/>
      <c r="E60" s="500"/>
    </row>
    <row r="61" spans="1:15" hidden="1" x14ac:dyDescent="0.2">
      <c r="A61" s="500"/>
      <c r="B61" s="500"/>
      <c r="C61" s="500"/>
      <c r="D61" s="500"/>
      <c r="E61" s="500"/>
    </row>
    <row r="62" spans="1:15" hidden="1" x14ac:dyDescent="0.2">
      <c r="A62" s="500"/>
      <c r="B62" s="500"/>
      <c r="C62" s="500"/>
      <c r="D62" s="500"/>
      <c r="E62" s="500"/>
    </row>
    <row r="63" spans="1:15" hidden="1" x14ac:dyDescent="0.2">
      <c r="A63" s="500"/>
      <c r="B63" s="500"/>
      <c r="C63" s="500"/>
      <c r="D63" s="500"/>
      <c r="E63" s="500"/>
    </row>
    <row r="64" spans="1:15" hidden="1" x14ac:dyDescent="0.2">
      <c r="A64" s="500"/>
      <c r="B64" s="500"/>
      <c r="C64" s="500"/>
      <c r="D64" s="500"/>
      <c r="E64" s="500"/>
    </row>
    <row r="65" spans="1:5" hidden="1" x14ac:dyDescent="0.2">
      <c r="A65" s="500"/>
      <c r="B65" s="500"/>
      <c r="C65" s="500"/>
      <c r="D65" s="500"/>
      <c r="E65" s="500"/>
    </row>
    <row r="66" spans="1:5" hidden="1" x14ac:dyDescent="0.2">
      <c r="A66" s="500"/>
      <c r="B66" s="500"/>
      <c r="C66" s="500"/>
      <c r="D66" s="500"/>
      <c r="E66" s="500"/>
    </row>
    <row r="67" spans="1:5" hidden="1" x14ac:dyDescent="0.2">
      <c r="A67" s="500"/>
      <c r="B67" s="500"/>
      <c r="C67" s="500"/>
      <c r="D67" s="500"/>
      <c r="E67" s="500"/>
    </row>
    <row r="68" spans="1:5" hidden="1" x14ac:dyDescent="0.2"/>
  </sheetData>
  <sheetProtection algorithmName="SHA-512" hashValue="6Z5a5xkqtJLYK8uKdG7RC0hzttRhlarLFvMDBeWWaYTZLjfuVw5UcaBq2kHvMulJtYVXroigaZcOF7CrsUeDGw==" saltValue="8YcFXKt3OvMGACTTMfYq4A==" spinCount="100000" sheet="1" objects="1" scenarios="1" selectLockedCells="1"/>
  <mergeCells count="30">
    <mergeCell ref="A1:E2"/>
    <mergeCell ref="J42:O53"/>
    <mergeCell ref="A5:E5"/>
    <mergeCell ref="A50:C51"/>
    <mergeCell ref="A7:E7"/>
    <mergeCell ref="B27:D27"/>
    <mergeCell ref="A28:E28"/>
    <mergeCell ref="B29:D29"/>
    <mergeCell ref="A53:E67"/>
    <mergeCell ref="B17:D17"/>
    <mergeCell ref="A18:E18"/>
    <mergeCell ref="A22:E22"/>
    <mergeCell ref="B23:D23"/>
    <mergeCell ref="B24:D24"/>
    <mergeCell ref="A25:E25"/>
    <mergeCell ref="B26:D26"/>
    <mergeCell ref="A34:E35"/>
    <mergeCell ref="A36:E47"/>
    <mergeCell ref="B21:D21"/>
    <mergeCell ref="A10:E10"/>
    <mergeCell ref="B11:D11"/>
    <mergeCell ref="A12:E12"/>
    <mergeCell ref="B13:D13"/>
    <mergeCell ref="B19:D19"/>
    <mergeCell ref="B20:D20"/>
    <mergeCell ref="B9:D9"/>
    <mergeCell ref="A14:E14"/>
    <mergeCell ref="B15:D15"/>
    <mergeCell ref="A3:E3"/>
    <mergeCell ref="A16:E16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8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6"/>
  <dimension ref="A1:U64"/>
  <sheetViews>
    <sheetView view="pageBreakPreview" zoomScale="80" zoomScaleNormal="70" zoomScaleSheetLayoutView="80" workbookViewId="0">
      <selection activeCell="C25" sqref="C25"/>
    </sheetView>
  </sheetViews>
  <sheetFormatPr defaultRowHeight="12.75" x14ac:dyDescent="0.2"/>
  <cols>
    <col min="1" max="1" width="9.5703125" style="83" customWidth="1"/>
    <col min="2" max="2" width="90.85546875" style="83" customWidth="1"/>
    <col min="3" max="3" width="15.85546875" style="83" customWidth="1"/>
    <col min="4" max="16384" width="9.140625" style="83"/>
  </cols>
  <sheetData>
    <row r="1" spans="1:3" ht="15" customHeight="1" x14ac:dyDescent="0.2">
      <c r="A1" s="561" t="str">
        <f>'3.A'!$A$1</f>
        <v>TIMBRE DO LICITANTE</v>
      </c>
      <c r="B1" s="561"/>
      <c r="C1" s="561"/>
    </row>
    <row r="2" spans="1:3" ht="15" customHeight="1" x14ac:dyDescent="0.2">
      <c r="A2" s="561"/>
      <c r="B2" s="561"/>
      <c r="C2" s="561"/>
    </row>
    <row r="3" spans="1:3" ht="48" customHeight="1" x14ac:dyDescent="0.2">
      <c r="A3" s="561"/>
      <c r="B3" s="561"/>
      <c r="C3" s="561"/>
    </row>
    <row r="4" spans="1:3" ht="16.5" customHeight="1" x14ac:dyDescent="0.2">
      <c r="A4" s="561"/>
      <c r="B4" s="561"/>
      <c r="C4" s="561"/>
    </row>
    <row r="5" spans="1:3" ht="6.75" customHeight="1" x14ac:dyDescent="0.2"/>
    <row r="6" spans="1:3" ht="6.75" customHeight="1" x14ac:dyDescent="0.2">
      <c r="B6" s="84"/>
    </row>
    <row r="7" spans="1:3" x14ac:dyDescent="0.2">
      <c r="A7" s="516" t="s">
        <v>638</v>
      </c>
      <c r="B7" s="516"/>
      <c r="C7" s="516"/>
    </row>
    <row r="8" spans="1:3" ht="6" customHeight="1" thickBot="1" x14ac:dyDescent="0.25">
      <c r="B8" s="84"/>
    </row>
    <row r="9" spans="1:3" ht="30" customHeight="1" thickBot="1" x14ac:dyDescent="0.25">
      <c r="A9" s="517" t="str">
        <f>'3.A'!$A$8</f>
        <v>REFORMA DE 3 ENTRADAS DE ENERGIA EM 3 POÇOS TUBULARES DO AQUÍFERO BAURU (PTB) NO MUNÍCIPIO DE SÃO JOSÉ DO RIO PRETO</v>
      </c>
      <c r="B9" s="518"/>
      <c r="C9" s="519"/>
    </row>
    <row r="10" spans="1:3" ht="14.25" customHeight="1" x14ac:dyDescent="0.2">
      <c r="A10" s="520" t="s">
        <v>51</v>
      </c>
      <c r="B10" s="523" t="s">
        <v>7</v>
      </c>
      <c r="C10" s="514" t="s">
        <v>147</v>
      </c>
    </row>
    <row r="11" spans="1:3" ht="14.25" customHeight="1" x14ac:dyDescent="0.2">
      <c r="A11" s="521"/>
      <c r="B11" s="524"/>
      <c r="C11" s="515"/>
    </row>
    <row r="12" spans="1:3" ht="18.75" customHeight="1" thickBot="1" x14ac:dyDescent="0.25">
      <c r="A12" s="522"/>
      <c r="B12" s="525"/>
      <c r="C12" s="229" t="s">
        <v>105</v>
      </c>
    </row>
    <row r="13" spans="1:3" ht="15.95" customHeight="1" x14ac:dyDescent="0.2">
      <c r="A13" s="509" t="s">
        <v>12</v>
      </c>
      <c r="B13" s="105" t="s">
        <v>75</v>
      </c>
      <c r="C13" s="222">
        <v>0</v>
      </c>
    </row>
    <row r="14" spans="1:3" ht="15.95" customHeight="1" x14ac:dyDescent="0.2">
      <c r="A14" s="510"/>
      <c r="B14" s="85" t="s">
        <v>76</v>
      </c>
      <c r="C14" s="222">
        <v>0</v>
      </c>
    </row>
    <row r="15" spans="1:3" ht="15.95" customHeight="1" x14ac:dyDescent="0.2">
      <c r="A15" s="510"/>
      <c r="B15" s="85" t="s">
        <v>77</v>
      </c>
      <c r="C15" s="222">
        <v>0</v>
      </c>
    </row>
    <row r="16" spans="1:3" ht="15.95" customHeight="1" x14ac:dyDescent="0.2">
      <c r="A16" s="510"/>
      <c r="B16" s="85" t="s">
        <v>78</v>
      </c>
      <c r="C16" s="222">
        <v>0</v>
      </c>
    </row>
    <row r="17" spans="1:3" ht="15.95" customHeight="1" x14ac:dyDescent="0.2">
      <c r="A17" s="510"/>
      <c r="B17" s="85" t="s">
        <v>79</v>
      </c>
      <c r="C17" s="222">
        <v>0</v>
      </c>
    </row>
    <row r="18" spans="1:3" ht="15.95" customHeight="1" x14ac:dyDescent="0.2">
      <c r="A18" s="510"/>
      <c r="B18" s="85" t="s">
        <v>80</v>
      </c>
      <c r="C18" s="222">
        <v>0</v>
      </c>
    </row>
    <row r="19" spans="1:3" ht="15.95" customHeight="1" x14ac:dyDescent="0.2">
      <c r="A19" s="510"/>
      <c r="B19" s="85" t="s">
        <v>81</v>
      </c>
      <c r="C19" s="222">
        <v>0</v>
      </c>
    </row>
    <row r="20" spans="1:3" ht="15.95" customHeight="1" x14ac:dyDescent="0.2">
      <c r="A20" s="510"/>
      <c r="B20" s="85" t="s">
        <v>82</v>
      </c>
      <c r="C20" s="222">
        <v>0</v>
      </c>
    </row>
    <row r="21" spans="1:3" ht="15.95" customHeight="1" x14ac:dyDescent="0.2">
      <c r="A21" s="510"/>
      <c r="B21" s="85" t="s">
        <v>83</v>
      </c>
      <c r="C21" s="222">
        <v>0</v>
      </c>
    </row>
    <row r="22" spans="1:3" ht="15.95" customHeight="1" thickBot="1" x14ac:dyDescent="0.25">
      <c r="A22" s="511"/>
      <c r="B22" s="86" t="s">
        <v>84</v>
      </c>
      <c r="C22" s="223">
        <f>ROUND(SUM(C13:C21),4)</f>
        <v>0</v>
      </c>
    </row>
    <row r="23" spans="1:3" ht="15.95" customHeight="1" x14ac:dyDescent="0.2">
      <c r="A23" s="509" t="s">
        <v>13</v>
      </c>
      <c r="B23" s="87" t="s">
        <v>85</v>
      </c>
      <c r="C23" s="224">
        <v>0</v>
      </c>
    </row>
    <row r="24" spans="1:3" ht="15.95" customHeight="1" x14ac:dyDescent="0.2">
      <c r="A24" s="510"/>
      <c r="B24" s="88" t="s">
        <v>86</v>
      </c>
      <c r="C24" s="222">
        <v>0</v>
      </c>
    </row>
    <row r="25" spans="1:3" ht="15.95" customHeight="1" x14ac:dyDescent="0.2">
      <c r="A25" s="510"/>
      <c r="B25" s="88" t="s">
        <v>87</v>
      </c>
      <c r="C25" s="222">
        <v>0</v>
      </c>
    </row>
    <row r="26" spans="1:3" ht="15.95" customHeight="1" x14ac:dyDescent="0.2">
      <c r="A26" s="510"/>
      <c r="B26" s="88" t="s">
        <v>88</v>
      </c>
      <c r="C26" s="222">
        <v>0</v>
      </c>
    </row>
    <row r="27" spans="1:3" ht="15.95" customHeight="1" x14ac:dyDescent="0.2">
      <c r="A27" s="510"/>
      <c r="B27" s="88" t="s">
        <v>89</v>
      </c>
      <c r="C27" s="222">
        <v>0</v>
      </c>
    </row>
    <row r="28" spans="1:3" ht="15.95" customHeight="1" x14ac:dyDescent="0.2">
      <c r="A28" s="510"/>
      <c r="B28" s="88" t="s">
        <v>90</v>
      </c>
      <c r="C28" s="222">
        <v>0</v>
      </c>
    </row>
    <row r="29" spans="1:3" ht="15.95" customHeight="1" x14ac:dyDescent="0.2">
      <c r="A29" s="510"/>
      <c r="B29" s="88" t="s">
        <v>91</v>
      </c>
      <c r="C29" s="222">
        <v>0</v>
      </c>
    </row>
    <row r="30" spans="1:3" ht="15.95" customHeight="1" x14ac:dyDescent="0.2">
      <c r="A30" s="510"/>
      <c r="B30" s="88" t="s">
        <v>92</v>
      </c>
      <c r="C30" s="222">
        <v>0</v>
      </c>
    </row>
    <row r="31" spans="1:3" ht="15.95" customHeight="1" x14ac:dyDescent="0.2">
      <c r="A31" s="510"/>
      <c r="B31" s="88" t="s">
        <v>93</v>
      </c>
      <c r="C31" s="222">
        <v>0</v>
      </c>
    </row>
    <row r="32" spans="1:3" ht="15.95" customHeight="1" x14ac:dyDescent="0.2">
      <c r="A32" s="510"/>
      <c r="B32" s="88" t="s">
        <v>94</v>
      </c>
      <c r="C32" s="222">
        <v>0</v>
      </c>
    </row>
    <row r="33" spans="1:15" ht="15.95" customHeight="1" thickBot="1" x14ac:dyDescent="0.25">
      <c r="A33" s="511"/>
      <c r="B33" s="89" t="s">
        <v>95</v>
      </c>
      <c r="C33" s="225">
        <f>SUM(C23:C32)</f>
        <v>0</v>
      </c>
    </row>
    <row r="34" spans="1:15" ht="15.95" customHeight="1" x14ac:dyDescent="0.2">
      <c r="A34" s="509" t="s">
        <v>14</v>
      </c>
      <c r="B34" s="87" t="s">
        <v>96</v>
      </c>
      <c r="C34" s="224">
        <v>0</v>
      </c>
    </row>
    <row r="35" spans="1:15" ht="15.95" customHeight="1" x14ac:dyDescent="0.2">
      <c r="A35" s="510"/>
      <c r="B35" s="88" t="s">
        <v>97</v>
      </c>
      <c r="C35" s="222">
        <v>0</v>
      </c>
    </row>
    <row r="36" spans="1:15" ht="15.95" customHeight="1" x14ac:dyDescent="0.2">
      <c r="A36" s="510"/>
      <c r="B36" s="88" t="s">
        <v>604</v>
      </c>
      <c r="C36" s="222">
        <v>0</v>
      </c>
    </row>
    <row r="37" spans="1:15" ht="15.95" customHeight="1" x14ac:dyDescent="0.2">
      <c r="A37" s="510"/>
      <c r="B37" s="88" t="s">
        <v>98</v>
      </c>
      <c r="C37" s="222">
        <v>0</v>
      </c>
    </row>
    <row r="38" spans="1:15" ht="15.95" customHeight="1" x14ac:dyDescent="0.2">
      <c r="A38" s="510"/>
      <c r="B38" s="88" t="s">
        <v>99</v>
      </c>
      <c r="C38" s="222">
        <v>0</v>
      </c>
    </row>
    <row r="39" spans="1:15" ht="15.95" customHeight="1" thickBot="1" x14ac:dyDescent="0.25">
      <c r="A39" s="511"/>
      <c r="B39" s="89" t="s">
        <v>100</v>
      </c>
      <c r="C39" s="223">
        <f>SUM(C34:C38)</f>
        <v>0</v>
      </c>
    </row>
    <row r="40" spans="1:15" ht="15.95" customHeight="1" x14ac:dyDescent="0.2">
      <c r="A40" s="509" t="s">
        <v>15</v>
      </c>
      <c r="B40" s="88" t="s">
        <v>101</v>
      </c>
      <c r="C40" s="226">
        <f>ROUND(C22*C33,4)</f>
        <v>0</v>
      </c>
    </row>
    <row r="41" spans="1:15" ht="32.1" customHeight="1" x14ac:dyDescent="0.2">
      <c r="A41" s="510"/>
      <c r="B41" s="90" t="s">
        <v>102</v>
      </c>
      <c r="C41" s="227">
        <f>ROUND(C22*C35+C20*C34,4)</f>
        <v>0</v>
      </c>
    </row>
    <row r="42" spans="1:15" ht="15.95" customHeight="1" thickBot="1" x14ac:dyDescent="0.25">
      <c r="A42" s="511"/>
      <c r="B42" s="89" t="s">
        <v>103</v>
      </c>
      <c r="C42" s="223">
        <f>SUM(C40:C41)</f>
        <v>0</v>
      </c>
    </row>
    <row r="43" spans="1:15" ht="15.95" customHeight="1" thickBot="1" x14ac:dyDescent="0.25">
      <c r="A43" s="512" t="s">
        <v>104</v>
      </c>
      <c r="B43" s="513"/>
      <c r="C43" s="228">
        <f>ROUND(C22+C33+C39+C42,5)</f>
        <v>0</v>
      </c>
    </row>
    <row r="44" spans="1:15" ht="15.95" customHeight="1" x14ac:dyDescent="0.2"/>
    <row r="45" spans="1:15" ht="15.95" customHeight="1" x14ac:dyDescent="0.2">
      <c r="B45" s="91" t="s">
        <v>605</v>
      </c>
    </row>
    <row r="46" spans="1:15" ht="15.95" customHeight="1" x14ac:dyDescent="0.2">
      <c r="I46" s="92"/>
    </row>
    <row r="47" spans="1:15" ht="15.95" customHeight="1" x14ac:dyDescent="0.2"/>
    <row r="48" spans="1:15" ht="15.95" customHeight="1" x14ac:dyDescent="0.2">
      <c r="B48" s="93"/>
      <c r="N48" s="92"/>
      <c r="O48" s="92"/>
    </row>
    <row r="49" spans="3:21" ht="15.95" customHeight="1" x14ac:dyDescent="0.2"/>
    <row r="50" spans="3:21" ht="15.95" customHeight="1" x14ac:dyDescent="0.2"/>
    <row r="51" spans="3:21" ht="15.95" customHeight="1" x14ac:dyDescent="0.2">
      <c r="N51" s="94"/>
    </row>
    <row r="52" spans="3:21" x14ac:dyDescent="0.2">
      <c r="H52" s="94"/>
      <c r="I52" s="94"/>
      <c r="N52" s="94"/>
      <c r="R52" s="95"/>
      <c r="T52" s="94"/>
      <c r="U52" s="96"/>
    </row>
    <row r="53" spans="3:21" x14ac:dyDescent="0.2">
      <c r="R53" s="95"/>
      <c r="T53" s="94"/>
      <c r="U53" s="96"/>
    </row>
    <row r="54" spans="3:21" x14ac:dyDescent="0.2">
      <c r="H54" s="94"/>
    </row>
    <row r="59" spans="3:21" x14ac:dyDescent="0.2">
      <c r="P59" s="97"/>
    </row>
    <row r="60" spans="3:21" x14ac:dyDescent="0.2">
      <c r="P60" s="98"/>
    </row>
    <row r="64" spans="3:21" x14ac:dyDescent="0.2">
      <c r="C64" s="220"/>
    </row>
  </sheetData>
  <sheetProtection algorithmName="SHA-512" hashValue="MgnVfkAbH6WU2nGhuY4SCldd4HmIwg+uTMAaGLIT5zLuJk6vCZNM1TFyzJWKwdmZWaFNNJ0uzCMh9QGBtB3HdQ==" saltValue="lQBIX81MNG92DU8TeRJ77Q==" spinCount="100000" sheet="1" objects="1" scenarios="1" selectLockedCells="1"/>
  <mergeCells count="11">
    <mergeCell ref="A34:A39"/>
    <mergeCell ref="A40:A42"/>
    <mergeCell ref="A43:B43"/>
    <mergeCell ref="C10:C11"/>
    <mergeCell ref="A23:A33"/>
    <mergeCell ref="A7:C7"/>
    <mergeCell ref="A9:C9"/>
    <mergeCell ref="A10:A12"/>
    <mergeCell ref="B10:B12"/>
    <mergeCell ref="A13:A22"/>
    <mergeCell ref="A1:C4"/>
  </mergeCells>
  <printOptions horizontalCentered="1"/>
  <pageMargins left="0.51181102362204722" right="0.59055118110236227" top="0.82677165354330717" bottom="0.98425196850393704" header="0.51181102362204722" footer="0.51181102362204722"/>
  <pageSetup paperSize="9" scale="80" orientation="portrait" horizontalDpi="4294967293" vertic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F1969-FA3E-4294-ABB4-E2D6C509B333}">
  <dimension ref="A1:S50"/>
  <sheetViews>
    <sheetView view="pageBreakPreview" zoomScaleNormal="100" zoomScaleSheetLayoutView="100" workbookViewId="0">
      <pane xSplit="16" ySplit="5" topLeftCell="R6" activePane="bottomRight" state="frozen"/>
      <selection activeCell="B26" sqref="B26"/>
      <selection pane="topRight" activeCell="B26" sqref="B26"/>
      <selection pane="bottomLeft" activeCell="B26" sqref="B26"/>
      <selection pane="bottomRight" activeCell="I18" sqref="I18"/>
    </sheetView>
  </sheetViews>
  <sheetFormatPr defaultRowHeight="12" x14ac:dyDescent="0.2"/>
  <cols>
    <col min="1" max="1" width="9.5703125" style="356" customWidth="1"/>
    <col min="2" max="2" width="105.7109375" style="293" customWidth="1"/>
    <col min="3" max="3" width="5.7109375" style="308" customWidth="1"/>
    <col min="4" max="4" width="3.7109375" style="308" customWidth="1"/>
    <col min="5" max="5" width="10.7109375" style="308" customWidth="1"/>
    <col min="6" max="6" width="13.7109375" style="308" customWidth="1"/>
    <col min="7" max="7" width="3.7109375" style="308" customWidth="1"/>
    <col min="8" max="8" width="10.7109375" style="308" customWidth="1"/>
    <col min="9" max="9" width="13.7109375" style="354" customWidth="1"/>
    <col min="10" max="10" width="3.7109375" style="308" customWidth="1"/>
    <col min="11" max="11" width="10.7109375" style="308" customWidth="1"/>
    <col min="12" max="12" width="13.7109375" style="354" customWidth="1"/>
    <col min="13" max="13" width="3.7109375" style="308" customWidth="1"/>
    <col min="14" max="14" width="10.7109375" style="308" customWidth="1"/>
    <col min="15" max="15" width="14.7109375" style="354" customWidth="1"/>
    <col min="16" max="16" width="15.5703125" style="355" customWidth="1"/>
    <col min="17" max="17" width="9.140625" style="293"/>
    <col min="18" max="18" width="13.85546875" style="293" bestFit="1" customWidth="1"/>
    <col min="19" max="16384" width="9.140625" style="293"/>
  </cols>
  <sheetData>
    <row r="1" spans="1:19" ht="16.5" customHeight="1" x14ac:dyDescent="0.2">
      <c r="A1" s="529" t="s">
        <v>406</v>
      </c>
      <c r="B1" s="530"/>
      <c r="C1" s="530"/>
      <c r="D1" s="530"/>
      <c r="E1" s="530"/>
      <c r="F1" s="530"/>
      <c r="G1" s="530"/>
      <c r="H1" s="530"/>
      <c r="I1" s="530"/>
      <c r="J1" s="530"/>
      <c r="K1" s="530"/>
      <c r="L1" s="530"/>
      <c r="M1" s="530"/>
      <c r="N1" s="530"/>
      <c r="O1" s="530"/>
      <c r="P1" s="530"/>
    </row>
    <row r="2" spans="1:19" x14ac:dyDescent="0.2">
      <c r="A2" s="529" t="s">
        <v>407</v>
      </c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31"/>
      <c r="R2" s="531"/>
    </row>
    <row r="3" spans="1:19" x14ac:dyDescent="0.2">
      <c r="A3" s="294" t="s">
        <v>408</v>
      </c>
      <c r="B3" s="295"/>
      <c r="C3" s="296"/>
      <c r="D3" s="296"/>
      <c r="E3" s="296"/>
      <c r="F3" s="296"/>
      <c r="G3" s="296"/>
      <c r="H3" s="296"/>
      <c r="I3" s="297"/>
      <c r="J3" s="296"/>
      <c r="K3" s="296"/>
      <c r="L3" s="297"/>
      <c r="M3" s="296"/>
      <c r="N3" s="296"/>
      <c r="O3" s="297"/>
      <c r="P3" s="298"/>
      <c r="Q3" s="531"/>
      <c r="R3" s="531"/>
    </row>
    <row r="4" spans="1:19" x14ac:dyDescent="0.2">
      <c r="A4" s="294" t="s">
        <v>409</v>
      </c>
      <c r="B4" s="532" t="str">
        <f>'3.A'!$A$8</f>
        <v>REFORMA DE 3 ENTRADAS DE ENERGIA EM 3 POÇOS TUBULARES DO AQUÍFERO BAURU (PTB) NO MUNÍCIPIO DE SÃO JOSÉ DO RIO PRETO</v>
      </c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</row>
    <row r="5" spans="1:19" ht="6.75" customHeight="1" x14ac:dyDescent="0.2">
      <c r="A5" s="294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</row>
    <row r="6" spans="1:19" ht="7.5" customHeight="1" thickBot="1" x14ac:dyDescent="0.25">
      <c r="A6" s="300"/>
      <c r="B6" s="300"/>
      <c r="C6" s="300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</row>
    <row r="7" spans="1:19" ht="20.100000000000001" customHeight="1" x14ac:dyDescent="0.2">
      <c r="A7" s="533" t="s">
        <v>410</v>
      </c>
      <c r="B7" s="534"/>
      <c r="C7" s="534"/>
      <c r="D7" s="533" t="s">
        <v>411</v>
      </c>
      <c r="E7" s="534"/>
      <c r="F7" s="534"/>
      <c r="G7" s="533" t="s">
        <v>412</v>
      </c>
      <c r="H7" s="534"/>
      <c r="I7" s="535"/>
      <c r="J7" s="533" t="s">
        <v>413</v>
      </c>
      <c r="K7" s="534"/>
      <c r="L7" s="535"/>
      <c r="M7" s="533" t="s">
        <v>414</v>
      </c>
      <c r="N7" s="534"/>
      <c r="O7" s="535"/>
      <c r="P7" s="536" t="s">
        <v>415</v>
      </c>
    </row>
    <row r="8" spans="1:19" s="308" customFormat="1" ht="20.100000000000001" customHeight="1" thickBot="1" x14ac:dyDescent="0.25">
      <c r="A8" s="301" t="s">
        <v>416</v>
      </c>
      <c r="B8" s="302" t="s">
        <v>417</v>
      </c>
      <c r="C8" s="303" t="s">
        <v>45</v>
      </c>
      <c r="D8" s="304" t="s">
        <v>418</v>
      </c>
      <c r="E8" s="305" t="s">
        <v>54</v>
      </c>
      <c r="F8" s="306" t="s">
        <v>419</v>
      </c>
      <c r="G8" s="304" t="s">
        <v>418</v>
      </c>
      <c r="H8" s="305" t="s">
        <v>54</v>
      </c>
      <c r="I8" s="307" t="s">
        <v>419</v>
      </c>
      <c r="J8" s="304" t="s">
        <v>418</v>
      </c>
      <c r="K8" s="305" t="s">
        <v>54</v>
      </c>
      <c r="L8" s="307" t="s">
        <v>419</v>
      </c>
      <c r="M8" s="304" t="s">
        <v>418</v>
      </c>
      <c r="N8" s="305" t="s">
        <v>54</v>
      </c>
      <c r="O8" s="307" t="s">
        <v>419</v>
      </c>
      <c r="P8" s="537"/>
    </row>
    <row r="9" spans="1:19" s="308" customFormat="1" ht="3" customHeight="1" thickBot="1" x14ac:dyDescent="0.25">
      <c r="A9" s="309"/>
      <c r="B9" s="310"/>
      <c r="C9" s="310"/>
      <c r="D9" s="311"/>
      <c r="E9" s="311"/>
      <c r="F9" s="311"/>
      <c r="G9" s="311"/>
      <c r="H9" s="311"/>
      <c r="I9" s="312"/>
      <c r="J9" s="311"/>
      <c r="K9" s="311"/>
      <c r="L9" s="312"/>
      <c r="M9" s="311"/>
      <c r="N9" s="311"/>
      <c r="O9" s="312"/>
      <c r="P9" s="313"/>
    </row>
    <row r="10" spans="1:19" s="308" customFormat="1" ht="20.100000000000001" customHeight="1" thickBot="1" x14ac:dyDescent="0.25">
      <c r="A10" s="526" t="s">
        <v>437</v>
      </c>
      <c r="B10" s="527"/>
      <c r="C10" s="527"/>
      <c r="D10" s="527"/>
      <c r="E10" s="527"/>
      <c r="F10" s="527"/>
      <c r="G10" s="527"/>
      <c r="H10" s="527"/>
      <c r="I10" s="527"/>
      <c r="J10" s="527"/>
      <c r="K10" s="527"/>
      <c r="L10" s="527"/>
      <c r="M10" s="527"/>
      <c r="N10" s="527"/>
      <c r="O10" s="527"/>
      <c r="P10" s="528"/>
    </row>
    <row r="11" spans="1:19" ht="18" customHeight="1" x14ac:dyDescent="0.2">
      <c r="A11" s="314" t="s">
        <v>440</v>
      </c>
      <c r="B11" s="315" t="s">
        <v>448</v>
      </c>
      <c r="C11" s="316" t="s">
        <v>46</v>
      </c>
      <c r="D11" s="329" t="str">
        <f>$A$27</f>
        <v>02</v>
      </c>
      <c r="E11" s="317">
        <v>45811</v>
      </c>
      <c r="F11" s="318">
        <v>800</v>
      </c>
      <c r="G11" s="329"/>
      <c r="H11" s="317"/>
      <c r="I11" s="319"/>
      <c r="J11" s="329" t="str">
        <f>$A$31</f>
        <v>06</v>
      </c>
      <c r="K11" s="317">
        <v>45813</v>
      </c>
      <c r="L11" s="319">
        <v>59.92</v>
      </c>
      <c r="M11" s="329" t="str">
        <f>$A$33</f>
        <v>08</v>
      </c>
      <c r="N11" s="317">
        <v>45818</v>
      </c>
      <c r="O11" s="319">
        <v>78.510000000000005</v>
      </c>
      <c r="P11" s="320">
        <f>ROUND(AVERAGE(F11,I11,L11,O11),2)</f>
        <v>312.81</v>
      </c>
      <c r="R11" s="295"/>
      <c r="S11" s="295"/>
    </row>
    <row r="12" spans="1:19" ht="18" customHeight="1" thickBot="1" x14ac:dyDescent="0.25">
      <c r="A12" s="321" t="s">
        <v>441</v>
      </c>
      <c r="B12" s="322" t="s">
        <v>352</v>
      </c>
      <c r="C12" s="323" t="s">
        <v>46</v>
      </c>
      <c r="D12" s="349" t="str">
        <f>$A$27</f>
        <v>02</v>
      </c>
      <c r="E12" s="325">
        <v>45811</v>
      </c>
      <c r="F12" s="326">
        <v>900</v>
      </c>
      <c r="G12" s="324" t="str">
        <f>$A$29</f>
        <v>04</v>
      </c>
      <c r="H12" s="325">
        <v>45812</v>
      </c>
      <c r="I12" s="327">
        <v>447.6</v>
      </c>
      <c r="J12" s="329" t="str">
        <f>$A$31</f>
        <v>06</v>
      </c>
      <c r="K12" s="317">
        <v>45813</v>
      </c>
      <c r="L12" s="327">
        <v>99.7</v>
      </c>
      <c r="M12" s="349" t="str">
        <f>$A$33</f>
        <v>08</v>
      </c>
      <c r="N12" s="325">
        <v>45818</v>
      </c>
      <c r="O12" s="327">
        <v>125.56</v>
      </c>
      <c r="P12" s="328">
        <f>ROUND(AVERAGE(F12,I12,L12,O12),2)</f>
        <v>393.22</v>
      </c>
      <c r="R12" s="295"/>
      <c r="S12" s="295"/>
    </row>
    <row r="13" spans="1:19" s="308" customFormat="1" ht="20.100000000000001" customHeight="1" thickBot="1" x14ac:dyDescent="0.25">
      <c r="A13" s="526" t="s">
        <v>438</v>
      </c>
      <c r="B13" s="527"/>
      <c r="C13" s="527"/>
      <c r="D13" s="527"/>
      <c r="E13" s="527"/>
      <c r="F13" s="527"/>
      <c r="G13" s="527"/>
      <c r="H13" s="527"/>
      <c r="I13" s="527"/>
      <c r="J13" s="527"/>
      <c r="K13" s="527"/>
      <c r="L13" s="527"/>
      <c r="M13" s="527"/>
      <c r="N13" s="527"/>
      <c r="O13" s="527"/>
      <c r="P13" s="528"/>
    </row>
    <row r="14" spans="1:19" ht="18" customHeight="1" thickBot="1" x14ac:dyDescent="0.25">
      <c r="A14" s="314" t="s">
        <v>442</v>
      </c>
      <c r="B14" s="315" t="s">
        <v>353</v>
      </c>
      <c r="C14" s="316" t="s">
        <v>420</v>
      </c>
      <c r="D14" s="329" t="str">
        <f>$A$26</f>
        <v>01</v>
      </c>
      <c r="E14" s="317">
        <v>45811</v>
      </c>
      <c r="F14" s="318">
        <v>333.56</v>
      </c>
      <c r="G14" s="329" t="str">
        <f>$A$32</f>
        <v>07</v>
      </c>
      <c r="H14" s="317">
        <v>45813</v>
      </c>
      <c r="I14" s="319">
        <v>670.6</v>
      </c>
      <c r="J14" s="329" t="str">
        <f>$A$34</f>
        <v>09</v>
      </c>
      <c r="K14" s="317">
        <v>45818</v>
      </c>
      <c r="L14" s="319">
        <v>566.84</v>
      </c>
      <c r="M14" s="330"/>
      <c r="N14" s="331"/>
      <c r="O14" s="332"/>
      <c r="P14" s="320">
        <f>ROUND(AVERAGE(F14,I14,L14,O14),2)</f>
        <v>523.66999999999996</v>
      </c>
    </row>
    <row r="15" spans="1:19" s="308" customFormat="1" ht="20.100000000000001" customHeight="1" thickBot="1" x14ac:dyDescent="0.25">
      <c r="A15" s="526" t="s">
        <v>439</v>
      </c>
      <c r="B15" s="527"/>
      <c r="C15" s="527"/>
      <c r="D15" s="527"/>
      <c r="E15" s="527"/>
      <c r="F15" s="527"/>
      <c r="G15" s="527"/>
      <c r="H15" s="527"/>
      <c r="I15" s="527"/>
      <c r="J15" s="527"/>
      <c r="K15" s="527"/>
      <c r="L15" s="527"/>
      <c r="M15" s="527"/>
      <c r="N15" s="527"/>
      <c r="O15" s="527"/>
      <c r="P15" s="528"/>
    </row>
    <row r="16" spans="1:19" ht="24" x14ac:dyDescent="0.2">
      <c r="A16" s="333" t="s">
        <v>443</v>
      </c>
      <c r="B16" s="334" t="s">
        <v>354</v>
      </c>
      <c r="C16" s="335" t="s">
        <v>45</v>
      </c>
      <c r="D16" s="336" t="str">
        <f>$A$28</f>
        <v>03</v>
      </c>
      <c r="E16" s="337">
        <v>45812</v>
      </c>
      <c r="F16" s="338">
        <v>3666.77</v>
      </c>
      <c r="G16" s="336" t="str">
        <f>$A$29</f>
        <v>04</v>
      </c>
      <c r="H16" s="337">
        <v>45812</v>
      </c>
      <c r="I16" s="339">
        <v>620.45000000000005</v>
      </c>
      <c r="J16" s="336" t="str">
        <f>$A$30</f>
        <v>05</v>
      </c>
      <c r="K16" s="337">
        <v>45813</v>
      </c>
      <c r="L16" s="339">
        <v>5258.59</v>
      </c>
      <c r="M16" s="336" t="str">
        <f>$A$31</f>
        <v>06</v>
      </c>
      <c r="N16" s="337">
        <v>45813</v>
      </c>
      <c r="O16" s="339">
        <v>526.46</v>
      </c>
      <c r="P16" s="340">
        <f t="shared" ref="P16:P20" si="0">ROUND(AVERAGE(F16,I16,L16,O16),2)</f>
        <v>2518.0700000000002</v>
      </c>
      <c r="R16" s="366"/>
    </row>
    <row r="17" spans="1:18" ht="24" x14ac:dyDescent="0.2">
      <c r="A17" s="314" t="s">
        <v>444</v>
      </c>
      <c r="B17" s="341" t="s">
        <v>449</v>
      </c>
      <c r="C17" s="342" t="s">
        <v>45</v>
      </c>
      <c r="D17" s="343" t="str">
        <f>$A$28</f>
        <v>03</v>
      </c>
      <c r="E17" s="344">
        <v>45812</v>
      </c>
      <c r="F17" s="345">
        <v>251.3</v>
      </c>
      <c r="G17" s="329" t="str">
        <f t="shared" ref="G17:G20" si="1">$A$29</f>
        <v>04</v>
      </c>
      <c r="H17" s="317">
        <v>45812</v>
      </c>
      <c r="I17" s="319">
        <v>135.03</v>
      </c>
      <c r="J17" s="329" t="str">
        <f t="shared" ref="J17:J20" si="2">$A$30</f>
        <v>05</v>
      </c>
      <c r="K17" s="317">
        <v>45813</v>
      </c>
      <c r="L17" s="319">
        <v>323.51</v>
      </c>
      <c r="M17" s="329" t="str">
        <f t="shared" ref="M17:M20" si="3">$A$31</f>
        <v>06</v>
      </c>
      <c r="N17" s="317">
        <v>45813</v>
      </c>
      <c r="O17" s="319">
        <v>371.89</v>
      </c>
      <c r="P17" s="346">
        <f t="shared" si="0"/>
        <v>270.43</v>
      </c>
      <c r="R17" s="366"/>
    </row>
    <row r="18" spans="1:18" ht="24" x14ac:dyDescent="0.2">
      <c r="A18" s="314" t="s">
        <v>445</v>
      </c>
      <c r="B18" s="341" t="s">
        <v>450</v>
      </c>
      <c r="C18" s="342" t="s">
        <v>45</v>
      </c>
      <c r="D18" s="343" t="str">
        <f>$A$28</f>
        <v>03</v>
      </c>
      <c r="E18" s="344">
        <v>45812</v>
      </c>
      <c r="F18" s="345">
        <v>295.97000000000003</v>
      </c>
      <c r="G18" s="329" t="str">
        <f t="shared" si="1"/>
        <v>04</v>
      </c>
      <c r="H18" s="317">
        <v>45812</v>
      </c>
      <c r="I18" s="319">
        <v>336.95</v>
      </c>
      <c r="J18" s="329" t="str">
        <f t="shared" si="2"/>
        <v>05</v>
      </c>
      <c r="K18" s="317">
        <v>45813</v>
      </c>
      <c r="L18" s="319">
        <v>406.06</v>
      </c>
      <c r="M18" s="329" t="str">
        <f t="shared" si="3"/>
        <v>06</v>
      </c>
      <c r="N18" s="317">
        <v>45813</v>
      </c>
      <c r="O18" s="319">
        <v>618.11</v>
      </c>
      <c r="P18" s="346">
        <f t="shared" si="0"/>
        <v>414.27</v>
      </c>
      <c r="R18" s="366"/>
    </row>
    <row r="19" spans="1:18" ht="24" x14ac:dyDescent="0.2">
      <c r="A19" s="314" t="s">
        <v>446</v>
      </c>
      <c r="B19" s="368" t="s">
        <v>477</v>
      </c>
      <c r="C19" s="342" t="s">
        <v>45</v>
      </c>
      <c r="D19" s="343" t="str">
        <f>$A$28</f>
        <v>03</v>
      </c>
      <c r="E19" s="344">
        <v>45812</v>
      </c>
      <c r="F19" s="345">
        <v>412.77</v>
      </c>
      <c r="G19" s="329" t="str">
        <f t="shared" si="1"/>
        <v>04</v>
      </c>
      <c r="H19" s="317">
        <v>45812</v>
      </c>
      <c r="I19" s="319">
        <v>197.96</v>
      </c>
      <c r="J19" s="329" t="str">
        <f t="shared" si="2"/>
        <v>05</v>
      </c>
      <c r="K19" s="317">
        <v>45813</v>
      </c>
      <c r="L19" s="319">
        <v>619.80999999999995</v>
      </c>
      <c r="M19" s="329" t="str">
        <f t="shared" si="3"/>
        <v>06</v>
      </c>
      <c r="N19" s="317">
        <v>45813</v>
      </c>
      <c r="O19" s="319">
        <v>564.63</v>
      </c>
      <c r="P19" s="346">
        <f t="shared" si="0"/>
        <v>448.79</v>
      </c>
      <c r="R19" s="366"/>
    </row>
    <row r="20" spans="1:18" ht="24" x14ac:dyDescent="0.2">
      <c r="A20" s="314" t="s">
        <v>447</v>
      </c>
      <c r="B20" s="341" t="s">
        <v>356</v>
      </c>
      <c r="C20" s="342" t="s">
        <v>45</v>
      </c>
      <c r="D20" s="343" t="str">
        <f>$A$28</f>
        <v>03</v>
      </c>
      <c r="E20" s="344">
        <v>45812</v>
      </c>
      <c r="F20" s="345">
        <v>504.51</v>
      </c>
      <c r="G20" s="329" t="str">
        <f t="shared" si="1"/>
        <v>04</v>
      </c>
      <c r="H20" s="317">
        <v>45812</v>
      </c>
      <c r="I20" s="319">
        <v>419.09</v>
      </c>
      <c r="J20" s="329" t="str">
        <f t="shared" si="2"/>
        <v>05</v>
      </c>
      <c r="K20" s="317">
        <v>45813</v>
      </c>
      <c r="L20" s="319">
        <v>580.25</v>
      </c>
      <c r="M20" s="329" t="str">
        <f t="shared" si="3"/>
        <v>06</v>
      </c>
      <c r="N20" s="317">
        <v>45813</v>
      </c>
      <c r="O20" s="319">
        <v>778.06</v>
      </c>
      <c r="P20" s="346">
        <f t="shared" si="0"/>
        <v>570.48</v>
      </c>
      <c r="R20"/>
    </row>
    <row r="21" spans="1:18" ht="18" customHeight="1" thickBot="1" x14ac:dyDescent="0.25">
      <c r="A21" s="321"/>
      <c r="B21" s="347"/>
      <c r="C21" s="348"/>
      <c r="D21" s="349"/>
      <c r="E21" s="325"/>
      <c r="F21" s="350"/>
      <c r="G21" s="349"/>
      <c r="H21" s="325"/>
      <c r="I21" s="327"/>
      <c r="J21" s="349"/>
      <c r="K21" s="325"/>
      <c r="L21" s="327"/>
      <c r="M21" s="349"/>
      <c r="N21" s="325"/>
      <c r="O21" s="327"/>
      <c r="P21" s="351"/>
    </row>
    <row r="22" spans="1:18" ht="12" customHeight="1" x14ac:dyDescent="0.2">
      <c r="A22" s="352"/>
      <c r="E22" s="353"/>
      <c r="F22" s="353"/>
      <c r="H22" s="353"/>
      <c r="K22" s="353"/>
      <c r="N22" s="353"/>
    </row>
    <row r="23" spans="1:18" x14ac:dyDescent="0.2">
      <c r="A23" s="294" t="s">
        <v>421</v>
      </c>
    </row>
    <row r="24" spans="1:18" ht="12.75" thickBot="1" x14ac:dyDescent="0.25"/>
    <row r="25" spans="1:18" ht="24.95" customHeight="1" thickBot="1" x14ac:dyDescent="0.25">
      <c r="A25" s="357" t="s">
        <v>418</v>
      </c>
      <c r="B25" s="538" t="s">
        <v>422</v>
      </c>
      <c r="C25" s="539"/>
      <c r="D25" s="540" t="s">
        <v>423</v>
      </c>
      <c r="E25" s="540"/>
      <c r="F25" s="541"/>
    </row>
    <row r="26" spans="1:18" ht="15.95" customHeight="1" x14ac:dyDescent="0.2">
      <c r="A26" s="358" t="s">
        <v>424</v>
      </c>
      <c r="B26" s="542" t="s">
        <v>453</v>
      </c>
      <c r="C26" s="543"/>
      <c r="D26" s="544" t="s">
        <v>452</v>
      </c>
      <c r="E26" s="545"/>
      <c r="F26" s="546"/>
      <c r="K26" s="367"/>
    </row>
    <row r="27" spans="1:18" ht="15.95" customHeight="1" x14ac:dyDescent="0.2">
      <c r="A27" s="359" t="s">
        <v>425</v>
      </c>
      <c r="B27" s="547" t="s">
        <v>455</v>
      </c>
      <c r="C27" s="548"/>
      <c r="D27" s="549" t="s">
        <v>454</v>
      </c>
      <c r="E27" s="550"/>
      <c r="F27" s="551"/>
    </row>
    <row r="28" spans="1:18" s="354" customFormat="1" ht="15.75" customHeight="1" x14ac:dyDescent="0.2">
      <c r="A28" s="359" t="s">
        <v>426</v>
      </c>
      <c r="B28" s="547" t="s">
        <v>457</v>
      </c>
      <c r="C28" s="548"/>
      <c r="D28" s="549" t="s">
        <v>456</v>
      </c>
      <c r="E28" s="550"/>
      <c r="F28" s="551"/>
      <c r="H28" s="360"/>
      <c r="K28" s="360"/>
      <c r="N28" s="360"/>
      <c r="P28" s="355"/>
    </row>
    <row r="29" spans="1:18" s="354" customFormat="1" ht="15.75" customHeight="1" x14ac:dyDescent="0.2">
      <c r="A29" s="359" t="s">
        <v>427</v>
      </c>
      <c r="B29" s="547" t="s">
        <v>459</v>
      </c>
      <c r="C29" s="548"/>
      <c r="D29" s="549" t="s">
        <v>458</v>
      </c>
      <c r="E29" s="550"/>
      <c r="F29" s="551"/>
      <c r="H29" s="360"/>
      <c r="K29" s="360"/>
      <c r="N29" s="360"/>
      <c r="P29" s="355"/>
    </row>
    <row r="30" spans="1:18" s="354" customFormat="1" ht="15.75" customHeight="1" x14ac:dyDescent="0.2">
      <c r="A30" s="359" t="s">
        <v>428</v>
      </c>
      <c r="B30" s="547" t="s">
        <v>460</v>
      </c>
      <c r="C30" s="548"/>
      <c r="D30" s="549" t="s">
        <v>461</v>
      </c>
      <c r="E30" s="550"/>
      <c r="F30" s="551"/>
      <c r="H30" s="360"/>
      <c r="K30" s="360"/>
      <c r="N30" s="360"/>
      <c r="P30" s="355"/>
    </row>
    <row r="31" spans="1:18" s="354" customFormat="1" ht="15.75" customHeight="1" x14ac:dyDescent="0.2">
      <c r="A31" s="359" t="s">
        <v>429</v>
      </c>
      <c r="B31" s="547" t="s">
        <v>463</v>
      </c>
      <c r="C31" s="548"/>
      <c r="D31" s="549" t="s">
        <v>462</v>
      </c>
      <c r="E31" s="550"/>
      <c r="F31" s="551"/>
      <c r="H31" s="360"/>
      <c r="K31" s="360"/>
      <c r="N31" s="360"/>
      <c r="P31" s="355"/>
    </row>
    <row r="32" spans="1:18" s="354" customFormat="1" ht="15.75" customHeight="1" x14ac:dyDescent="0.2">
      <c r="A32" s="359" t="s">
        <v>430</v>
      </c>
      <c r="B32" s="547" t="s">
        <v>465</v>
      </c>
      <c r="C32" s="548"/>
      <c r="D32" s="549" t="s">
        <v>464</v>
      </c>
      <c r="E32" s="550"/>
      <c r="F32" s="551"/>
      <c r="H32" s="360"/>
      <c r="K32" s="360"/>
      <c r="N32" s="360"/>
      <c r="P32" s="355"/>
    </row>
    <row r="33" spans="1:19" s="354" customFormat="1" ht="15.75" customHeight="1" x14ac:dyDescent="0.2">
      <c r="A33" s="359" t="s">
        <v>431</v>
      </c>
      <c r="B33" s="547" t="s">
        <v>466</v>
      </c>
      <c r="C33" s="548"/>
      <c r="D33" s="549" t="s">
        <v>467</v>
      </c>
      <c r="E33" s="550"/>
      <c r="F33" s="551"/>
      <c r="H33" s="360"/>
      <c r="K33" s="360"/>
      <c r="N33" s="360"/>
      <c r="P33" s="355"/>
    </row>
    <row r="34" spans="1:19" s="354" customFormat="1" ht="15.75" customHeight="1" x14ac:dyDescent="0.2">
      <c r="A34" s="359" t="s">
        <v>432</v>
      </c>
      <c r="B34" s="547" t="s">
        <v>469</v>
      </c>
      <c r="C34" s="548"/>
      <c r="D34" s="549" t="s">
        <v>468</v>
      </c>
      <c r="E34" s="550"/>
      <c r="F34" s="551"/>
      <c r="H34" s="360"/>
      <c r="K34" s="360"/>
      <c r="N34" s="360"/>
      <c r="P34" s="355"/>
    </row>
    <row r="35" spans="1:19" s="354" customFormat="1" ht="15.75" customHeight="1" x14ac:dyDescent="0.2">
      <c r="A35" s="359" t="s">
        <v>433</v>
      </c>
      <c r="B35" s="547"/>
      <c r="C35" s="548"/>
      <c r="D35" s="552"/>
      <c r="E35" s="550"/>
      <c r="F35" s="551"/>
      <c r="H35" s="360"/>
      <c r="K35" s="360"/>
      <c r="N35" s="360"/>
      <c r="P35" s="355"/>
    </row>
    <row r="36" spans="1:19" s="354" customFormat="1" ht="15.75" customHeight="1" x14ac:dyDescent="0.2">
      <c r="A36" s="359" t="s">
        <v>434</v>
      </c>
      <c r="B36" s="547"/>
      <c r="C36" s="548"/>
      <c r="D36" s="552"/>
      <c r="E36" s="550"/>
      <c r="F36" s="551"/>
      <c r="H36" s="360"/>
      <c r="K36" s="360"/>
      <c r="N36" s="360"/>
      <c r="P36" s="355"/>
    </row>
    <row r="37" spans="1:19" s="354" customFormat="1" ht="15.75" customHeight="1" x14ac:dyDescent="0.2">
      <c r="A37" s="359" t="s">
        <v>435</v>
      </c>
      <c r="B37" s="547"/>
      <c r="C37" s="548"/>
      <c r="D37" s="552"/>
      <c r="E37" s="550"/>
      <c r="F37" s="551"/>
      <c r="H37" s="360"/>
      <c r="K37" s="360"/>
      <c r="N37" s="360"/>
      <c r="P37" s="355"/>
    </row>
    <row r="38" spans="1:19" s="354" customFormat="1" ht="15.75" customHeight="1" thickBot="1" x14ac:dyDescent="0.25">
      <c r="A38" s="361" t="s">
        <v>436</v>
      </c>
      <c r="B38" s="553"/>
      <c r="C38" s="554"/>
      <c r="D38" s="555"/>
      <c r="E38" s="556"/>
      <c r="F38" s="557"/>
      <c r="H38" s="360"/>
      <c r="K38" s="360"/>
      <c r="N38" s="360"/>
      <c r="P38" s="355"/>
    </row>
    <row r="47" spans="1:19" s="308" customFormat="1" x14ac:dyDescent="0.2">
      <c r="A47" s="356"/>
      <c r="B47" s="293"/>
      <c r="E47" s="362"/>
      <c r="F47" s="295"/>
      <c r="G47" s="296"/>
      <c r="H47" s="363"/>
      <c r="I47" s="297"/>
      <c r="L47" s="354"/>
      <c r="O47" s="354"/>
      <c r="P47" s="355"/>
      <c r="Q47" s="293"/>
      <c r="R47" s="293"/>
      <c r="S47" s="293"/>
    </row>
    <row r="48" spans="1:19" s="308" customFormat="1" x14ac:dyDescent="0.2">
      <c r="A48" s="356"/>
      <c r="B48" s="293"/>
      <c r="E48" s="365"/>
      <c r="F48" s="295"/>
      <c r="G48" s="296"/>
      <c r="H48" s="364"/>
      <c r="I48" s="297"/>
      <c r="L48" s="354"/>
      <c r="O48" s="354"/>
      <c r="P48" s="355"/>
      <c r="Q48" s="293"/>
      <c r="R48" s="293"/>
      <c r="S48" s="293"/>
    </row>
    <row r="50" spans="1:19" s="308" customFormat="1" x14ac:dyDescent="0.2">
      <c r="A50" s="356"/>
      <c r="B50" s="293"/>
      <c r="F50" s="365"/>
      <c r="G50" s="296"/>
      <c r="H50" s="296"/>
      <c r="I50" s="297"/>
      <c r="L50" s="354"/>
      <c r="O50" s="354"/>
      <c r="P50" s="355"/>
      <c r="Q50" s="293"/>
      <c r="R50" s="293"/>
      <c r="S50" s="293"/>
    </row>
  </sheetData>
  <mergeCells count="41">
    <mergeCell ref="B36:C36"/>
    <mergeCell ref="D36:F36"/>
    <mergeCell ref="B37:C37"/>
    <mergeCell ref="D37:F37"/>
    <mergeCell ref="B38:C38"/>
    <mergeCell ref="D38:F38"/>
    <mergeCell ref="B33:C33"/>
    <mergeCell ref="D33:F33"/>
    <mergeCell ref="B34:C34"/>
    <mergeCell ref="D34:F34"/>
    <mergeCell ref="B35:C35"/>
    <mergeCell ref="D35:F35"/>
    <mergeCell ref="B30:C30"/>
    <mergeCell ref="D30:F30"/>
    <mergeCell ref="B31:C31"/>
    <mergeCell ref="D31:F31"/>
    <mergeCell ref="B32:C32"/>
    <mergeCell ref="D32:F32"/>
    <mergeCell ref="B27:C27"/>
    <mergeCell ref="D27:F27"/>
    <mergeCell ref="B28:C28"/>
    <mergeCell ref="D28:F28"/>
    <mergeCell ref="B29:C29"/>
    <mergeCell ref="D29:F29"/>
    <mergeCell ref="A15:P15"/>
    <mergeCell ref="B25:C25"/>
    <mergeCell ref="D25:F25"/>
    <mergeCell ref="B26:C26"/>
    <mergeCell ref="D26:F26"/>
    <mergeCell ref="A10:P10"/>
    <mergeCell ref="A13:P13"/>
    <mergeCell ref="A1:P1"/>
    <mergeCell ref="A2:P2"/>
    <mergeCell ref="Q2:R3"/>
    <mergeCell ref="B4:P4"/>
    <mergeCell ref="A7:C7"/>
    <mergeCell ref="D7:F7"/>
    <mergeCell ref="G7:I7"/>
    <mergeCell ref="J7:L7"/>
    <mergeCell ref="M7:O7"/>
    <mergeCell ref="P7:P8"/>
  </mergeCells>
  <phoneticPr fontId="73" type="noConversion"/>
  <printOptions horizontalCentered="1"/>
  <pageMargins left="0.28000000000000003" right="0.23" top="0.67" bottom="0.39370078740157483" header="0.31496062992125984" footer="0.31496062992125984"/>
  <pageSetup paperSize="9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12</vt:i4>
      </vt:variant>
    </vt:vector>
  </HeadingPairs>
  <TitlesOfParts>
    <vt:vector size="20" baseType="lpstr">
      <vt:lpstr>PREENCHIMENTO</vt:lpstr>
      <vt:lpstr>3.A</vt:lpstr>
      <vt:lpstr>4.A</vt:lpstr>
      <vt:lpstr>5.A</vt:lpstr>
      <vt:lpstr>6.A</vt:lpstr>
      <vt:lpstr>7.A</vt:lpstr>
      <vt:lpstr>8.A</vt:lpstr>
      <vt:lpstr>COTAÇÕES</vt:lpstr>
      <vt:lpstr>'3.A'!Area_de_impressao</vt:lpstr>
      <vt:lpstr>'4.A'!Area_de_impressao</vt:lpstr>
      <vt:lpstr>'5.A'!Area_de_impressao</vt:lpstr>
      <vt:lpstr>'6.A'!Area_de_impressao</vt:lpstr>
      <vt:lpstr>'7.A'!Area_de_impressao</vt:lpstr>
      <vt:lpstr>'8.A'!Area_de_impressao</vt:lpstr>
      <vt:lpstr>COTAÇÕES!Area_de_impressao</vt:lpstr>
      <vt:lpstr>'3.A'!Titulos_de_impressao</vt:lpstr>
      <vt:lpstr>'4.A'!Titulos_de_impressao</vt:lpstr>
      <vt:lpstr>'5.A'!Titulos_de_impressao</vt:lpstr>
      <vt:lpstr>'6.A'!Titulos_de_impressao</vt:lpstr>
      <vt:lpstr>COTAÇÕES!Titulos_de_impressao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Trecho 3 - Orçamento Interceptor de egotos</dc:title>
  <dc:subject>Composição de Preços Unitários</dc:subject>
  <dc:creator>mariana</dc:creator>
  <cp:keywords>composição</cp:keywords>
  <dc:description>Plan1 - Orçamentos_x000d_
Plan2 - Cronograma                                     _x000d_
Plan3 - Movimento de Terra_x000d_
Plan4 - Escoramento</dc:description>
  <cp:lastModifiedBy>Rodrigo Merighi Rosa</cp:lastModifiedBy>
  <cp:revision>00</cp:revision>
  <cp:lastPrinted>2026-02-27T17:21:27Z</cp:lastPrinted>
  <dcterms:created xsi:type="dcterms:W3CDTF">1997-07-10T20:38:40Z</dcterms:created>
  <dcterms:modified xsi:type="dcterms:W3CDTF">2026-03-16T16:45:40Z</dcterms:modified>
</cp:coreProperties>
</file>