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f7a1342e68efb539/Documentos/DNIT/Licitacao_seguranca_eclusa/"/>
    </mc:Choice>
  </mc:AlternateContent>
  <xr:revisionPtr revIDLastSave="21" documentId="8_{A52A3090-82F5-40DE-9F94-1E4DA82FB488}" xr6:coauthVersionLast="47" xr6:coauthVersionMax="47" xr10:uidLastSave="{2F3255C0-9E3A-4D8B-A2FC-4BADA9EE8EB3}"/>
  <bookViews>
    <workbookView xWindow="-120" yWindow="-120" windowWidth="20730" windowHeight="11160" tabRatio="754" activeTab="2" xr2:uid="{00000000-000D-0000-FFFF-FFFF00000000}"/>
  </bookViews>
  <sheets>
    <sheet name="DIURNO" sheetId="4" r:id="rId1"/>
    <sheet name="Noturno" sheetId="22" r:id="rId2"/>
    <sheet name="RESUMO" sheetId="13" r:id="rId3"/>
  </sheets>
  <definedNames>
    <definedName name="_xlnm.Print_Area" localSheetId="2">RESUMO!$B$3:$L$29</definedName>
    <definedName name="INSS" localSheetId="1">Noturno!#REF!</definedName>
    <definedName name="INSS">DIURNO!#REF!</definedName>
    <definedName name="remun" localSheetId="1">Noturno!#REF!</definedName>
    <definedName name="remun">DIURNO!#REF!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4" i="22" l="1"/>
  <c r="E65" i="4"/>
  <c r="G34" i="22"/>
  <c r="E34" i="22"/>
  <c r="E32" i="22"/>
  <c r="G34" i="4"/>
  <c r="E34" i="4"/>
  <c r="E32" i="4"/>
  <c r="G32" i="4"/>
  <c r="C15" i="22"/>
  <c r="C15" i="4"/>
  <c r="C73" i="4" l="1"/>
  <c r="C72" i="22"/>
  <c r="E66" i="4" l="1"/>
  <c r="E65" i="22"/>
  <c r="G65" i="22" l="1"/>
  <c r="E31" i="22" l="1"/>
  <c r="E31" i="4"/>
  <c r="C40" i="4"/>
  <c r="G4" i="22" l="1"/>
  <c r="G32" i="22" l="1"/>
  <c r="G78" i="22"/>
  <c r="G6" i="22"/>
  <c r="E78" i="22"/>
  <c r="E7" i="22"/>
  <c r="G66" i="4"/>
  <c r="G79" i="4" s="1"/>
  <c r="G6" i="4"/>
  <c r="G4" i="4"/>
  <c r="E9" i="22" l="1"/>
  <c r="G31" i="22"/>
  <c r="G10" i="22"/>
  <c r="G9" i="22" s="1"/>
  <c r="G31" i="4"/>
  <c r="G36" i="4" s="1"/>
  <c r="G78" i="4" s="1"/>
  <c r="G10" i="4"/>
  <c r="G7" i="22"/>
  <c r="G57" i="22" s="1"/>
  <c r="G36" i="22"/>
  <c r="G77" i="22" s="1"/>
  <c r="E36" i="22"/>
  <c r="E77" i="22" s="1"/>
  <c r="E8" i="22"/>
  <c r="E11" i="22" s="1"/>
  <c r="E57" i="22"/>
  <c r="E58" i="22" s="1"/>
  <c r="G7" i="4"/>
  <c r="G58" i="4" s="1"/>
  <c r="E14" i="22" l="1"/>
  <c r="G8" i="22"/>
  <c r="G11" i="22" s="1"/>
  <c r="G59" i="4"/>
  <c r="G11" i="4"/>
  <c r="G77" i="4" s="1"/>
  <c r="E44" i="22"/>
  <c r="E42" i="22"/>
  <c r="E48" i="22"/>
  <c r="E52" i="22"/>
  <c r="E41" i="22"/>
  <c r="E15" i="22"/>
  <c r="E51" i="22"/>
  <c r="E50" i="22"/>
  <c r="E39" i="22"/>
  <c r="E49" i="22"/>
  <c r="G76" i="22"/>
  <c r="G58" i="22"/>
  <c r="E76" i="22"/>
  <c r="G49" i="22" l="1"/>
  <c r="G48" i="22"/>
  <c r="G44" i="22"/>
  <c r="G15" i="22"/>
  <c r="G14" i="22"/>
  <c r="G50" i="22"/>
  <c r="G42" i="22"/>
  <c r="G52" i="22"/>
  <c r="G41" i="22"/>
  <c r="G39" i="22"/>
  <c r="G51" i="22"/>
  <c r="G14" i="4"/>
  <c r="G15" i="4"/>
  <c r="G42" i="4"/>
  <c r="G51" i="4"/>
  <c r="G49" i="4"/>
  <c r="G53" i="4"/>
  <c r="G41" i="4"/>
  <c r="G52" i="4"/>
  <c r="G39" i="4"/>
  <c r="G50" i="4"/>
  <c r="G44" i="4"/>
  <c r="E79" i="4" l="1"/>
  <c r="E7" i="4"/>
  <c r="E11" i="4" l="1"/>
  <c r="E58" i="4"/>
  <c r="E59" i="4" s="1"/>
  <c r="E36" i="4"/>
  <c r="E78" i="4" s="1"/>
  <c r="E77" i="4"/>
  <c r="E42" i="4" l="1"/>
  <c r="E53" i="4"/>
  <c r="E41" i="4"/>
  <c r="E51" i="4"/>
  <c r="E39" i="4"/>
  <c r="E15" i="4"/>
  <c r="E52" i="4"/>
  <c r="E49" i="4"/>
  <c r="E50" i="4"/>
  <c r="E14" i="4"/>
  <c r="E44" i="4"/>
  <c r="C14" i="13" l="1"/>
  <c r="C11" i="13"/>
  <c r="C16" i="13" l="1"/>
  <c r="B2" i="22" l="1"/>
  <c r="C40" i="22" l="1"/>
  <c r="E40" i="22" l="1"/>
  <c r="G40" i="22"/>
  <c r="C28" i="22" l="1"/>
  <c r="C16" i="22" l="1"/>
  <c r="C53" i="22"/>
  <c r="C43" i="22"/>
  <c r="E16" i="22" l="1"/>
  <c r="E17" i="22" s="1"/>
  <c r="G16" i="22"/>
  <c r="G17" i="22" s="1"/>
  <c r="C17" i="22"/>
  <c r="C54" i="22"/>
  <c r="E53" i="22"/>
  <c r="E54" i="22" s="1"/>
  <c r="G53" i="22"/>
  <c r="G54" i="22" s="1"/>
  <c r="C45" i="22"/>
  <c r="E43" i="22"/>
  <c r="E45" i="22" s="1"/>
  <c r="G43" i="22"/>
  <c r="G45" i="22" s="1"/>
  <c r="G22" i="22" l="1"/>
  <c r="G25" i="22"/>
  <c r="G20" i="22"/>
  <c r="G26" i="22"/>
  <c r="G21" i="22"/>
  <c r="G24" i="22"/>
  <c r="G27" i="22"/>
  <c r="G23" i="22"/>
  <c r="E27" i="22"/>
  <c r="E20" i="22"/>
  <c r="E23" i="22"/>
  <c r="E21" i="22"/>
  <c r="E26" i="22"/>
  <c r="E25" i="22"/>
  <c r="E24" i="22"/>
  <c r="E22" i="22"/>
  <c r="C67" i="22"/>
  <c r="G28" i="22" l="1"/>
  <c r="E28" i="22"/>
  <c r="E67" i="22" l="1"/>
  <c r="E79" i="22"/>
  <c r="E82" i="22" s="1"/>
  <c r="E69" i="22" s="1"/>
  <c r="E71" i="22" s="1"/>
  <c r="E70" i="22" s="1"/>
  <c r="E72" i="22" s="1"/>
  <c r="E83" i="22" s="1"/>
  <c r="E85" i="22" s="1"/>
  <c r="E87" i="22" s="1"/>
  <c r="G67" i="22"/>
  <c r="G79" i="22"/>
  <c r="G82" i="22" s="1"/>
  <c r="G69" i="22" s="1"/>
  <c r="G71" i="22" s="1"/>
  <c r="G70" i="22" s="1"/>
  <c r="G72" i="22" s="1"/>
  <c r="G83" i="22" s="1"/>
  <c r="G85" i="22" s="1"/>
  <c r="G87" i="22" s="1"/>
  <c r="G91" i="22" s="1"/>
  <c r="E91" i="22" l="1"/>
  <c r="E93" i="22" s="1"/>
  <c r="D10" i="13"/>
  <c r="E10" i="13" s="1"/>
  <c r="G93" i="22"/>
  <c r="D13" i="13"/>
  <c r="E13" i="13" s="1"/>
  <c r="G40" i="4" l="1"/>
  <c r="E40" i="4"/>
  <c r="C28" i="4"/>
  <c r="C16" i="4" l="1"/>
  <c r="C43" i="4"/>
  <c r="C54" i="4"/>
  <c r="G54" i="4" s="1"/>
  <c r="G55" i="4" s="1"/>
  <c r="E54" i="4"/>
  <c r="E55" i="4" s="1"/>
  <c r="C55" i="4"/>
  <c r="E16" i="4" l="1"/>
  <c r="E17" i="4" s="1"/>
  <c r="G16" i="4"/>
  <c r="G17" i="4" s="1"/>
  <c r="C17" i="4"/>
  <c r="G43" i="4"/>
  <c r="G45" i="4" s="1"/>
  <c r="E43" i="4"/>
  <c r="E45" i="4" s="1"/>
  <c r="C45" i="4"/>
  <c r="G26" i="4" l="1"/>
  <c r="G25" i="4"/>
  <c r="G23" i="4"/>
  <c r="G22" i="4"/>
  <c r="G24" i="4"/>
  <c r="G20" i="4"/>
  <c r="G27" i="4"/>
  <c r="G21" i="4"/>
  <c r="E25" i="4"/>
  <c r="E24" i="4"/>
  <c r="E27" i="4"/>
  <c r="E20" i="4"/>
  <c r="E23" i="4"/>
  <c r="E21" i="4"/>
  <c r="E26" i="4"/>
  <c r="E22" i="4"/>
  <c r="C68" i="4"/>
  <c r="E28" i="4" l="1"/>
  <c r="G28" i="4"/>
  <c r="G80" i="4" l="1"/>
  <c r="G83" i="4" s="1"/>
  <c r="G70" i="4" s="1"/>
  <c r="G72" i="4" s="1"/>
  <c r="G71" i="4" s="1"/>
  <c r="G68" i="4"/>
  <c r="E80" i="4"/>
  <c r="E83" i="4" s="1"/>
  <c r="E70" i="4" s="1"/>
  <c r="E72" i="4" s="1"/>
  <c r="E71" i="4" s="1"/>
  <c r="E73" i="4" s="1"/>
  <c r="E84" i="4" s="1"/>
  <c r="E86" i="4" s="1"/>
  <c r="E88" i="4" s="1"/>
  <c r="E68" i="4"/>
  <c r="G73" i="4" l="1"/>
  <c r="G84" i="4" s="1"/>
  <c r="E92" i="4"/>
  <c r="D9" i="13"/>
  <c r="E9" i="13" s="1"/>
  <c r="E11" i="13" s="1"/>
  <c r="G86" i="4" l="1"/>
  <c r="G88" i="4" s="1"/>
  <c r="E94" i="4"/>
  <c r="G92" i="4" l="1"/>
  <c r="G94" i="4" s="1"/>
  <c r="D12" i="13"/>
  <c r="E12" i="13" s="1"/>
  <c r="E14" i="13" s="1"/>
  <c r="E16" i="13" s="1"/>
  <c r="E18" i="13" s="1"/>
</calcChain>
</file>

<file path=xl/sharedStrings.xml><?xml version="1.0" encoding="utf-8"?>
<sst xmlns="http://schemas.openxmlformats.org/spreadsheetml/2006/main" count="268" uniqueCount="108">
  <si>
    <t>INCRA</t>
  </si>
  <si>
    <t>Salário Educação</t>
  </si>
  <si>
    <t>SEBRAE</t>
  </si>
  <si>
    <t>13º Salário</t>
  </si>
  <si>
    <t>Lucro</t>
  </si>
  <si>
    <t>Adicional Noturno</t>
  </si>
  <si>
    <t>Adicional de Periculosidade ( 30% )</t>
  </si>
  <si>
    <t>A</t>
  </si>
  <si>
    <t>Transporte</t>
  </si>
  <si>
    <t>B</t>
  </si>
  <si>
    <t>C</t>
  </si>
  <si>
    <t>Cesta básica</t>
  </si>
  <si>
    <t>D</t>
  </si>
  <si>
    <t>E</t>
  </si>
  <si>
    <t>Seguro de vida</t>
  </si>
  <si>
    <t>F</t>
  </si>
  <si>
    <t>G</t>
  </si>
  <si>
    <t>H</t>
  </si>
  <si>
    <t>Total Beneficios Mensais e Diarios</t>
  </si>
  <si>
    <t>Uniformes</t>
  </si>
  <si>
    <t>Equipamentos</t>
  </si>
  <si>
    <t>Encargos Prev e Fgts s/ 13º e adicional</t>
  </si>
  <si>
    <t>Total 13º Salario e  Adicional de férias</t>
  </si>
  <si>
    <t>INSS</t>
  </si>
  <si>
    <t>SESI OU SESC</t>
  </si>
  <si>
    <t>SENAI OU SENAC</t>
  </si>
  <si>
    <t>FGTS</t>
  </si>
  <si>
    <t>Seguro Acidente do Trabalho</t>
  </si>
  <si>
    <t>Total custo de Reposição Prof Ausente</t>
  </si>
  <si>
    <t>Anexo III-B - Quadro-resumo do Custo por Empregado</t>
  </si>
  <si>
    <t>Subtotal (A+B+C+D)</t>
  </si>
  <si>
    <t>Total Custos Indireto/tributos/lucro</t>
  </si>
  <si>
    <t>Custos indiretos /tributo/lucro</t>
  </si>
  <si>
    <t>TOTAL por empregado</t>
  </si>
  <si>
    <t>Custos indiretos</t>
  </si>
  <si>
    <t>TOTAL por POSTO</t>
  </si>
  <si>
    <t>Total de Insumos Diversos</t>
  </si>
  <si>
    <t>Encargos Sociais/Trabalhistas</t>
  </si>
  <si>
    <t>RESUMO</t>
  </si>
  <si>
    <t>Postos</t>
  </si>
  <si>
    <t>Valor Inicial</t>
  </si>
  <si>
    <t>QTDE de Vigilantes</t>
  </si>
  <si>
    <t>Total</t>
  </si>
  <si>
    <t>TOTAL MENSAL</t>
  </si>
  <si>
    <t>Valor Total Anual</t>
  </si>
  <si>
    <t>VIGILANTE 12x36 - DIURNO</t>
  </si>
  <si>
    <t>Total Remuneração ( Modulo 1)</t>
  </si>
  <si>
    <t>2.1</t>
  </si>
  <si>
    <t>2.2</t>
  </si>
  <si>
    <t>2.3</t>
  </si>
  <si>
    <t>Módulo 3 : Provisão para Rescisão</t>
  </si>
  <si>
    <t>Aviso Prévio Indenizado</t>
  </si>
  <si>
    <t xml:space="preserve">Incidência do FGTS sobre o aviso prévio indenizado </t>
  </si>
  <si>
    <t xml:space="preserve">Aviso Prévio Trabalhado  </t>
  </si>
  <si>
    <t xml:space="preserve">Incidência do submodulo 2.2 sobre o aviso prévio trabalhado </t>
  </si>
  <si>
    <t>Total custo Provisão para Rescisão</t>
  </si>
  <si>
    <t>Módulo 4 : Custo de Reposição do Profissional Ausente</t>
  </si>
  <si>
    <t>Módulo 5 : Insumos diversos</t>
  </si>
  <si>
    <t>TOTAL ANUAL</t>
  </si>
  <si>
    <t>Quant de postos</t>
  </si>
  <si>
    <t>Total por mês</t>
  </si>
  <si>
    <t>Férias e Adicional de Férias</t>
  </si>
  <si>
    <t>Módulo 1 - Remuneração</t>
  </si>
  <si>
    <t>Submódulo 2.1 - 13º  Salário, Férias e adic. de férias</t>
  </si>
  <si>
    <t>Submódulo 2.3 - Benefícios Mensais e Diários</t>
  </si>
  <si>
    <t>Submódulo 2.2 - Enc. Previdenciários (GPS), FGTS e outras contribuições</t>
  </si>
  <si>
    <t>Multa do FGTS do aviso prévio indenizado</t>
  </si>
  <si>
    <t>Multa do FGTS do aviso prévio e  trabalhado</t>
  </si>
  <si>
    <t>Módulo 4.2 - Intrajornada</t>
  </si>
  <si>
    <t>Intervalo para repouso ou alimentação</t>
  </si>
  <si>
    <t>Total Intrajornada</t>
  </si>
  <si>
    <t>Materiais</t>
  </si>
  <si>
    <t>TOTAL MÃO DE OBRA. BENEFÍCIOS E MATERIAIS</t>
  </si>
  <si>
    <t>Salário</t>
  </si>
  <si>
    <t xml:space="preserve">Hora noturna adicional - ou hora noturna reduzida </t>
  </si>
  <si>
    <t>Auxílio alimentação (Vales, cesta básica etc.) CCT</t>
  </si>
  <si>
    <t>Assistência Médica e familiar</t>
  </si>
  <si>
    <t>Ausencias legais</t>
  </si>
  <si>
    <t>Férias terço constitucional de férias</t>
  </si>
  <si>
    <t>Ausências legais</t>
  </si>
  <si>
    <t>Licença paternidade</t>
  </si>
  <si>
    <t>Ausência por Acidente de trabalho</t>
  </si>
  <si>
    <t xml:space="preserve"> Afastamento Maternidade</t>
  </si>
  <si>
    <t>Incidência do submódulo 2.2 sobre o submódulo 2.1 e sobre as alíneas A, B, C, D e E do submódulo 4.1</t>
  </si>
  <si>
    <t>4.1</t>
  </si>
  <si>
    <t>Módulo 1 - Composição da Remuneração</t>
  </si>
  <si>
    <t>Módulo 2 - Benefícios Mensais e Diários</t>
  </si>
  <si>
    <t>Módulo 3 - Insumos Diversos (uniformes, materiais, equipamentos e outros)</t>
  </si>
  <si>
    <t>Módulo 4 - Encargos Sociais e Trabalhistas</t>
  </si>
  <si>
    <t>Posto</t>
  </si>
  <si>
    <t>VIGILANTE 12x36 - Noturno</t>
  </si>
  <si>
    <t>Motorizado</t>
  </si>
  <si>
    <t>Fixo</t>
  </si>
  <si>
    <t>Gratificação de Função (Motorizado)</t>
  </si>
  <si>
    <t>Paulo Ricardo Tardoque</t>
  </si>
  <si>
    <t>Matr. SIAPE 1574481</t>
  </si>
  <si>
    <t xml:space="preserve">RESUMO </t>
  </si>
  <si>
    <t>Subtotal - Fixo</t>
  </si>
  <si>
    <t>Subtotal - Motorizado</t>
  </si>
  <si>
    <t>Vigilante (Fixo)- Diurno</t>
  </si>
  <si>
    <t>Vigilante (Fixo)- Noturno</t>
  </si>
  <si>
    <t>Vigilante (Mot.) - Diurno</t>
  </si>
  <si>
    <t>Vigilante(Mot.) - Noturno</t>
  </si>
  <si>
    <t>Férias e terço constitucional de férias</t>
  </si>
  <si>
    <t>Guarita com Banheiro/Ar-condicionado/Copa</t>
  </si>
  <si>
    <t>PIS(1,65%)/cofins(7,60%)/Iss (4%)</t>
  </si>
  <si>
    <t>ESTIMATIVA COM GUARITA</t>
  </si>
  <si>
    <t>Chefe do Serviço de Recursos Logísticos e Informática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</si>
</sst>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00_-;\-* #,##0.00000_-;_-* &quot;-&quot;??_-;_-@_-"/>
    <numFmt numFmtId="165" formatCode="_([$€-2]* #,##0.00_);_([$€-2]* \(#,##0.00\);_([$€-2]* \-??_)"/>
    <numFmt numFmtId="166" formatCode="_(&quot;R$ &quot;* #,##0.00_);_(&quot;R$ &quot;* \(#,##0.00\);_(&quot;R$ &quot;* &quot;-&quot;??_);_(@_)"/>
    <numFmt numFmtId="167" formatCode="0.0%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Rounded MT Bold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 Light"/>
      <family val="2"/>
      <scheme val="maj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Arial"/>
      <family val="2"/>
    </font>
    <font>
      <b/>
      <i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7" tint="-0.249977111117893"/>
      <name val="Arial Rounded MT Bold"/>
      <family val="2"/>
    </font>
    <font>
      <sz val="10"/>
      <name val="Arial"/>
      <family val="2"/>
      <charset val="1"/>
    </font>
    <font>
      <sz val="8"/>
      <color theme="1"/>
      <name val="Verdana"/>
      <family val="2"/>
    </font>
    <font>
      <sz val="10"/>
      <color theme="5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Times New Roman"/>
      <family val="1"/>
    </font>
    <font>
      <i/>
      <sz val="11"/>
      <name val="Calibri"/>
      <family val="2"/>
      <scheme val="minor"/>
    </font>
    <font>
      <b/>
      <sz val="12"/>
      <color theme="1"/>
      <name val="Spranq eco sans"/>
      <family val="2"/>
    </font>
    <font>
      <sz val="12"/>
      <color theme="1"/>
      <name val="Spranq eco sans"/>
      <family val="2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9" fillId="0" borderId="0"/>
    <xf numFmtId="44" fontId="1" fillId="0" borderId="0" applyFont="0" applyFill="0" applyBorder="0" applyAlignment="0" applyProtection="0"/>
    <xf numFmtId="9" fontId="13" fillId="0" borderId="0" applyFill="0" applyBorder="0" applyAlignment="0" applyProtection="0"/>
  </cellStyleXfs>
  <cellXfs count="135">
    <xf numFmtId="0" fontId="0" fillId="0" borderId="0" xfId="0"/>
    <xf numFmtId="10" fontId="0" fillId="0" borderId="0" xfId="2" applyNumberFormat="1" applyFont="1"/>
    <xf numFmtId="0" fontId="2" fillId="0" borderId="0" xfId="0" applyFont="1"/>
    <xf numFmtId="43" fontId="0" fillId="3" borderId="2" xfId="1" applyFont="1" applyFill="1" applyBorder="1"/>
    <xf numFmtId="0" fontId="2" fillId="2" borderId="2" xfId="0" applyFont="1" applyFill="1" applyBorder="1"/>
    <xf numFmtId="10" fontId="2" fillId="2" borderId="2" xfId="0" applyNumberFormat="1" applyFont="1" applyFill="1" applyBorder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0" fontId="2" fillId="4" borderId="2" xfId="2" applyNumberFormat="1" applyFont="1" applyFill="1" applyBorder="1"/>
    <xf numFmtId="43" fontId="0" fillId="3" borderId="4" xfId="1" applyFont="1" applyFill="1" applyBorder="1"/>
    <xf numFmtId="0" fontId="2" fillId="4" borderId="2" xfId="0" applyFont="1" applyFill="1" applyBorder="1"/>
    <xf numFmtId="0" fontId="0" fillId="0" borderId="6" xfId="0" applyBorder="1"/>
    <xf numFmtId="43" fontId="0" fillId="0" borderId="6" xfId="1" applyFont="1" applyBorder="1"/>
    <xf numFmtId="43" fontId="2" fillId="2" borderId="4" xfId="0" applyNumberFormat="1" applyFont="1" applyFill="1" applyBorder="1"/>
    <xf numFmtId="43" fontId="0" fillId="0" borderId="6" xfId="0" applyNumberFormat="1" applyBorder="1"/>
    <xf numFmtId="0" fontId="2" fillId="6" borderId="1" xfId="0" applyFont="1" applyFill="1" applyBorder="1"/>
    <xf numFmtId="43" fontId="2" fillId="6" borderId="4" xfId="0" applyNumberFormat="1" applyFont="1" applyFill="1" applyBorder="1"/>
    <xf numFmtId="43" fontId="0" fillId="0" borderId="6" xfId="1" applyFont="1" applyFill="1" applyBorder="1"/>
    <xf numFmtId="10" fontId="0" fillId="0" borderId="0" xfId="2" applyNumberFormat="1" applyFont="1" applyFill="1"/>
    <xf numFmtId="0" fontId="2" fillId="0" borderId="0" xfId="0" applyFont="1" applyAlignment="1">
      <alignment horizontal="center"/>
    </xf>
    <xf numFmtId="0" fontId="0" fillId="0" borderId="2" xfId="0" applyBorder="1"/>
    <xf numFmtId="43" fontId="2" fillId="4" borderId="3" xfId="0" applyNumberFormat="1" applyFont="1" applyFill="1" applyBorder="1"/>
    <xf numFmtId="0" fontId="2" fillId="4" borderId="1" xfId="0" applyFont="1" applyFill="1" applyBorder="1" applyAlignment="1">
      <alignment horizontal="center"/>
    </xf>
    <xf numFmtId="43" fontId="0" fillId="0" borderId="4" xfId="0" applyNumberFormat="1" applyBorder="1"/>
    <xf numFmtId="43" fontId="4" fillId="0" borderId="6" xfId="0" applyNumberFormat="1" applyFont="1" applyBorder="1"/>
    <xf numFmtId="0" fontId="8" fillId="0" borderId="0" xfId="0" applyFont="1"/>
    <xf numFmtId="0" fontId="0" fillId="8" borderId="0" xfId="0" applyFill="1"/>
    <xf numFmtId="0" fontId="6" fillId="8" borderId="0" xfId="0" applyFont="1" applyFill="1"/>
    <xf numFmtId="0" fontId="8" fillId="8" borderId="0" xfId="0" applyFont="1" applyFill="1"/>
    <xf numFmtId="43" fontId="0" fillId="8" borderId="0" xfId="1" applyFont="1" applyFill="1"/>
    <xf numFmtId="43" fontId="0" fillId="8" borderId="0" xfId="0" applyNumberFormat="1" applyFill="1"/>
    <xf numFmtId="0" fontId="9" fillId="8" borderId="0" xfId="0" applyFont="1" applyFill="1"/>
    <xf numFmtId="43" fontId="4" fillId="8" borderId="0" xfId="0" applyNumberFormat="1" applyFont="1" applyFill="1"/>
    <xf numFmtId="43" fontId="5" fillId="0" borderId="6" xfId="0" applyNumberFormat="1" applyFont="1" applyBorder="1"/>
    <xf numFmtId="0" fontId="11" fillId="8" borderId="0" xfId="0" applyFont="1" applyFill="1"/>
    <xf numFmtId="0" fontId="12" fillId="8" borderId="0" xfId="0" applyFont="1" applyFill="1"/>
    <xf numFmtId="43" fontId="11" fillId="8" borderId="0" xfId="0" applyNumberFormat="1" applyFont="1" applyFill="1"/>
    <xf numFmtId="0" fontId="0" fillId="0" borderId="7" xfId="0" applyBorder="1" applyAlignment="1">
      <alignment horizontal="center"/>
    </xf>
    <xf numFmtId="10" fontId="0" fillId="0" borderId="0" xfId="2" applyNumberFormat="1" applyFont="1" applyBorder="1"/>
    <xf numFmtId="43" fontId="4" fillId="0" borderId="8" xfId="0" applyNumberFormat="1" applyFont="1" applyBorder="1"/>
    <xf numFmtId="43" fontId="2" fillId="2" borderId="3" xfId="1" applyFont="1" applyFill="1" applyBorder="1"/>
    <xf numFmtId="0" fontId="2" fillId="0" borderId="0" xfId="0" applyFont="1" applyAlignment="1">
      <alignment horizontal="left"/>
    </xf>
    <xf numFmtId="10" fontId="0" fillId="0" borderId="0" xfId="0" applyNumberFormat="1"/>
    <xf numFmtId="0" fontId="0" fillId="9" borderId="5" xfId="0" applyFill="1" applyBorder="1" applyAlignment="1">
      <alignment horizontal="center" vertical="justify"/>
    </xf>
    <xf numFmtId="0" fontId="2" fillId="8" borderId="0" xfId="0" applyFont="1" applyFill="1"/>
    <xf numFmtId="43" fontId="4" fillId="8" borderId="0" xfId="2" applyNumberFormat="1" applyFont="1" applyFill="1"/>
    <xf numFmtId="43" fontId="2" fillId="8" borderId="0" xfId="1" applyFont="1" applyFill="1"/>
    <xf numFmtId="0" fontId="0" fillId="8" borderId="0" xfId="0" applyFill="1" applyAlignment="1">
      <alignment horizontal="center"/>
    </xf>
    <xf numFmtId="0" fontId="2" fillId="8" borderId="0" xfId="0" applyFont="1" applyFill="1" applyAlignment="1">
      <alignment horizontal="right"/>
    </xf>
    <xf numFmtId="0" fontId="2" fillId="8" borderId="0" xfId="0" applyFont="1" applyFill="1" applyAlignment="1">
      <alignment horizontal="center"/>
    </xf>
    <xf numFmtId="0" fontId="3" fillId="8" borderId="0" xfId="0" applyFont="1" applyFill="1" applyAlignment="1">
      <alignment horizontal="center" vertical="center"/>
    </xf>
    <xf numFmtId="0" fontId="3" fillId="8" borderId="0" xfId="0" applyFont="1" applyFill="1" applyAlignment="1">
      <alignment vertical="center"/>
    </xf>
    <xf numFmtId="0" fontId="2" fillId="0" borderId="7" xfId="0" applyFont="1" applyBorder="1" applyAlignment="1">
      <alignment horizontal="left"/>
    </xf>
    <xf numFmtId="0" fontId="10" fillId="0" borderId="4" xfId="0" applyFont="1" applyBorder="1"/>
    <xf numFmtId="0" fontId="10" fillId="0" borderId="1" xfId="0" applyFont="1" applyBorder="1" applyAlignment="1">
      <alignment horizontal="center"/>
    </xf>
    <xf numFmtId="0" fontId="14" fillId="8" borderId="0" xfId="0" applyFont="1" applyFill="1" applyAlignment="1">
      <alignment vertical="center"/>
    </xf>
    <xf numFmtId="0" fontId="8" fillId="11" borderId="4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164" fontId="0" fillId="8" borderId="0" xfId="0" applyNumberFormat="1" applyFill="1"/>
    <xf numFmtId="0" fontId="15" fillId="8" borderId="0" xfId="0" applyFont="1" applyFill="1" applyAlignment="1">
      <alignment vertical="center"/>
    </xf>
    <xf numFmtId="0" fontId="0" fillId="11" borderId="4" xfId="0" applyFill="1" applyBorder="1" applyAlignment="1">
      <alignment horizontal="center" vertical="center"/>
    </xf>
    <xf numFmtId="0" fontId="16" fillId="8" borderId="0" xfId="0" applyFont="1" applyFill="1" applyAlignment="1">
      <alignment vertical="center"/>
    </xf>
    <xf numFmtId="0" fontId="0" fillId="11" borderId="1" xfId="0" applyFill="1" applyBorder="1" applyAlignment="1">
      <alignment horizontal="center" vertical="center"/>
    </xf>
    <xf numFmtId="0" fontId="8" fillId="8" borderId="0" xfId="0" applyFont="1" applyFill="1" applyAlignment="1">
      <alignment vertical="center"/>
    </xf>
    <xf numFmtId="43" fontId="8" fillId="9" borderId="4" xfId="1" applyFont="1" applyFill="1" applyBorder="1" applyAlignment="1">
      <alignment vertical="center"/>
    </xf>
    <xf numFmtId="0" fontId="0" fillId="8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7" fillId="8" borderId="0" xfId="0" applyFont="1" applyFill="1" applyAlignment="1">
      <alignment horizontal="right"/>
    </xf>
    <xf numFmtId="43" fontId="2" fillId="8" borderId="6" xfId="0" applyNumberFormat="1" applyFont="1" applyFill="1" applyBorder="1"/>
    <xf numFmtId="0" fontId="2" fillId="6" borderId="3" xfId="0" applyFont="1" applyFill="1" applyBorder="1"/>
    <xf numFmtId="167" fontId="0" fillId="8" borderId="0" xfId="2" applyNumberFormat="1" applyFont="1" applyFill="1"/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vertical="center"/>
    </xf>
    <xf numFmtId="10" fontId="2" fillId="7" borderId="2" xfId="2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43" fontId="2" fillId="7" borderId="4" xfId="0" applyNumberFormat="1" applyFont="1" applyFill="1" applyBorder="1" applyAlignment="1">
      <alignment vertical="center"/>
    </xf>
    <xf numFmtId="0" fontId="17" fillId="12" borderId="0" xfId="0" applyFont="1" applyFill="1" applyAlignment="1">
      <alignment horizontal="center" vertical="center"/>
    </xf>
    <xf numFmtId="0" fontId="2" fillId="4" borderId="2" xfId="2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0" fillId="0" borderId="0" xfId="0" applyFont="1"/>
    <xf numFmtId="0" fontId="10" fillId="0" borderId="7" xfId="0" applyFont="1" applyBorder="1" applyAlignment="1">
      <alignment horizontal="center"/>
    </xf>
    <xf numFmtId="10" fontId="10" fillId="0" borderId="0" xfId="2" applyNumberFormat="1" applyFont="1" applyFill="1" applyBorder="1"/>
    <xf numFmtId="43" fontId="10" fillId="0" borderId="6" xfId="0" applyNumberFormat="1" applyFont="1" applyBorder="1"/>
    <xf numFmtId="164" fontId="10" fillId="0" borderId="0" xfId="0" applyNumberFormat="1" applyFont="1"/>
    <xf numFmtId="10" fontId="2" fillId="6" borderId="3" xfId="2" applyNumberFormat="1" applyFont="1" applyFill="1" applyBorder="1"/>
    <xf numFmtId="0" fontId="2" fillId="3" borderId="1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center"/>
    </xf>
    <xf numFmtId="43" fontId="13" fillId="0" borderId="4" xfId="1" applyFont="1" applyBorder="1" applyAlignment="1">
      <alignment vertical="center"/>
    </xf>
    <xf numFmtId="0" fontId="20" fillId="0" borderId="4" xfId="0" applyFont="1" applyBorder="1" applyAlignment="1">
      <alignment horizontal="justify" vertical="center" wrapText="1"/>
    </xf>
    <xf numFmtId="10" fontId="20" fillId="0" borderId="4" xfId="0" applyNumberFormat="1" applyFont="1" applyBorder="1" applyAlignment="1">
      <alignment horizontal="center" vertical="center" wrapText="1"/>
    </xf>
    <xf numFmtId="10" fontId="20" fillId="8" borderId="4" xfId="0" applyNumberFormat="1" applyFont="1" applyFill="1" applyBorder="1" applyAlignment="1">
      <alignment horizontal="center" vertical="center" wrapText="1"/>
    </xf>
    <xf numFmtId="43" fontId="0" fillId="8" borderId="6" xfId="1" applyFont="1" applyFill="1" applyBorder="1"/>
    <xf numFmtId="43" fontId="0" fillId="0" borderId="5" xfId="0" applyNumberFormat="1" applyBorder="1"/>
    <xf numFmtId="43" fontId="0" fillId="0" borderId="9" xfId="0" applyNumberFormat="1" applyBorder="1"/>
    <xf numFmtId="43" fontId="10" fillId="0" borderId="5" xfId="0" applyNumberFormat="1" applyFont="1" applyBorder="1"/>
    <xf numFmtId="43" fontId="0" fillId="3" borderId="3" xfId="1" applyFont="1" applyFill="1" applyBorder="1"/>
    <xf numFmtId="0" fontId="2" fillId="8" borderId="7" xfId="0" applyFont="1" applyFill="1" applyBorder="1" applyAlignment="1">
      <alignment horizontal="left"/>
    </xf>
    <xf numFmtId="43" fontId="0" fillId="8" borderId="8" xfId="1" applyFont="1" applyFill="1" applyBorder="1"/>
    <xf numFmtId="10" fontId="0" fillId="8" borderId="0" xfId="2" applyNumberFormat="1" applyFont="1" applyFill="1"/>
    <xf numFmtId="10" fontId="2" fillId="8" borderId="0" xfId="0" applyNumberFormat="1" applyFont="1" applyFill="1"/>
    <xf numFmtId="43" fontId="23" fillId="8" borderId="4" xfId="1" applyFont="1" applyFill="1" applyBorder="1" applyAlignment="1">
      <alignment vertical="center" wrapText="1"/>
    </xf>
    <xf numFmtId="4" fontId="0" fillId="8" borderId="0" xfId="0" applyNumberFormat="1" applyFill="1"/>
    <xf numFmtId="0" fontId="22" fillId="4" borderId="4" xfId="0" applyFont="1" applyFill="1" applyBorder="1" applyAlignment="1">
      <alignment horizontal="right"/>
    </xf>
    <xf numFmtId="0" fontId="10" fillId="4" borderId="1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/>
    </xf>
    <xf numFmtId="43" fontId="8" fillId="4" borderId="4" xfId="1" applyFont="1" applyFill="1" applyBorder="1"/>
    <xf numFmtId="43" fontId="24" fillId="0" borderId="4" xfId="1" applyFont="1" applyBorder="1"/>
    <xf numFmtId="43" fontId="0" fillId="8" borderId="4" xfId="1" applyFont="1" applyFill="1" applyBorder="1"/>
    <xf numFmtId="43" fontId="8" fillId="6" borderId="4" xfId="1" applyFont="1" applyFill="1" applyBorder="1"/>
    <xf numFmtId="0" fontId="25" fillId="8" borderId="0" xfId="0" applyFont="1" applyFill="1" applyAlignment="1">
      <alignment horizontal="center" vertical="center"/>
    </xf>
    <xf numFmtId="0" fontId="26" fillId="8" borderId="0" xfId="0" applyFont="1" applyFill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7" fillId="8" borderId="0" xfId="0" applyFont="1" applyFill="1" applyAlignment="1">
      <alignment vertical="center"/>
    </xf>
    <xf numFmtId="0" fontId="0" fillId="9" borderId="6" xfId="0" applyFill="1" applyBorder="1" applyAlignment="1">
      <alignment horizontal="center" vertical="justify"/>
    </xf>
    <xf numFmtId="9" fontId="4" fillId="8" borderId="0" xfId="2" applyFont="1" applyFill="1"/>
    <xf numFmtId="43" fontId="0" fillId="8" borderId="0" xfId="1" applyFont="1" applyFill="1" applyAlignment="1">
      <alignment vertical="center"/>
    </xf>
    <xf numFmtId="0" fontId="18" fillId="8" borderId="0" xfId="0" applyFont="1" applyFill="1" applyAlignment="1">
      <alignment horizontal="center" vertical="center"/>
    </xf>
    <xf numFmtId="43" fontId="27" fillId="8" borderId="0" xfId="1" applyFont="1" applyFill="1" applyAlignment="1">
      <alignment vertical="center"/>
    </xf>
    <xf numFmtId="164" fontId="4" fillId="8" borderId="0" xfId="0" applyNumberFormat="1" applyFont="1" applyFill="1"/>
    <xf numFmtId="10" fontId="21" fillId="8" borderId="5" xfId="2" applyNumberFormat="1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/>
    </xf>
    <xf numFmtId="43" fontId="10" fillId="0" borderId="6" xfId="1" applyFont="1" applyFill="1" applyBorder="1"/>
    <xf numFmtId="43" fontId="4" fillId="0" borderId="0" xfId="0" applyNumberFormat="1" applyFont="1"/>
    <xf numFmtId="16" fontId="0" fillId="8" borderId="0" xfId="0" applyNumberFormat="1" applyFill="1"/>
    <xf numFmtId="0" fontId="0" fillId="8" borderId="0" xfId="0" quotePrefix="1" applyFill="1"/>
    <xf numFmtId="2" fontId="0" fillId="8" borderId="0" xfId="0" applyNumberFormat="1" applyFill="1"/>
    <xf numFmtId="10" fontId="0" fillId="8" borderId="0" xfId="0" applyNumberFormat="1" applyFill="1"/>
    <xf numFmtId="9" fontId="0" fillId="8" borderId="0" xfId="2" applyFont="1" applyFill="1"/>
    <xf numFmtId="43" fontId="8" fillId="8" borderId="0" xfId="0" applyNumberFormat="1" applyFont="1" applyFill="1"/>
    <xf numFmtId="0" fontId="8" fillId="9" borderId="1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43" fontId="2" fillId="10" borderId="4" xfId="0" applyNumberFormat="1" applyFont="1" applyFill="1" applyBorder="1" applyAlignment="1">
      <alignment horizontal="center" vertical="center"/>
    </xf>
    <xf numFmtId="43" fontId="0" fillId="0" borderId="6" xfId="1" applyFont="1" applyFill="1" applyBorder="1" applyAlignment="1">
      <alignment wrapText="1"/>
    </xf>
  </cellXfs>
  <cellStyles count="9">
    <cellStyle name="Moeda 2" xfId="7" xr:uid="{00000000-0005-0000-0000-000000000000}"/>
    <cellStyle name="Moeda 4" xfId="5" xr:uid="{00000000-0005-0000-0000-000001000000}"/>
    <cellStyle name="Moeda 5" xfId="3" xr:uid="{00000000-0005-0000-0000-000002000000}"/>
    <cellStyle name="Normal" xfId="0" builtinId="0"/>
    <cellStyle name="Normal 2" xfId="6" xr:uid="{00000000-0005-0000-0000-000004000000}"/>
    <cellStyle name="Porcentagem" xfId="2" builtinId="5"/>
    <cellStyle name="Porcentagem 3" xfId="8" xr:uid="{00000000-0005-0000-0000-000006000000}"/>
    <cellStyle name="Vírgula" xfId="1" builtinId="3"/>
    <cellStyle name="Vírgula 2" xfId="4" xr:uid="{00000000-0005-0000-0000-000008000000}"/>
  </cellStyles>
  <dxfs count="0"/>
  <tableStyles count="0" defaultTableStyle="TableStyleMedium2" defaultPivotStyle="PivotStyleLight16"/>
  <colors>
    <mruColors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226"/>
  <sheetViews>
    <sheetView topLeftCell="A50" zoomScaleNormal="100" workbookViewId="0">
      <selection activeCell="E66" sqref="E66"/>
    </sheetView>
  </sheetViews>
  <sheetFormatPr defaultRowHeight="15"/>
  <cols>
    <col min="1" max="1" width="6.5703125" style="7" bestFit="1" customWidth="1"/>
    <col min="2" max="2" width="61.140625" customWidth="1"/>
    <col min="3" max="3" width="11" customWidth="1"/>
    <col min="4" max="4" width="1.5703125" customWidth="1"/>
    <col min="5" max="5" width="16.5703125" customWidth="1"/>
    <col min="6" max="6" width="6.85546875" customWidth="1"/>
    <col min="7" max="7" width="16.5703125" customWidth="1"/>
    <col min="8" max="10" width="12.42578125" customWidth="1"/>
    <col min="11" max="11" width="9.140625" style="26"/>
    <col min="12" max="12" width="13.140625" style="26" customWidth="1"/>
    <col min="13" max="13" width="11.5703125" style="26" bestFit="1" customWidth="1"/>
    <col min="14" max="77" width="9.140625" style="26"/>
  </cols>
  <sheetData>
    <row r="1" spans="1:77" s="26" customFormat="1">
      <c r="A1" s="47"/>
      <c r="B1" s="50"/>
      <c r="E1" s="117"/>
    </row>
    <row r="2" spans="1:77" s="26" customFormat="1" ht="22.5" customHeight="1">
      <c r="A2" s="47"/>
      <c r="B2" s="76" t="s">
        <v>106</v>
      </c>
      <c r="E2" s="120" t="s">
        <v>92</v>
      </c>
      <c r="G2" s="120" t="s">
        <v>91</v>
      </c>
    </row>
    <row r="3" spans="1:77" s="26" customFormat="1" ht="15.75">
      <c r="A3" s="47"/>
      <c r="B3" s="67" t="s">
        <v>41</v>
      </c>
      <c r="C3" s="48"/>
      <c r="E3" s="121">
        <v>4</v>
      </c>
      <c r="G3" s="121">
        <v>2</v>
      </c>
    </row>
    <row r="4" spans="1:77">
      <c r="A4" s="50"/>
      <c r="B4" s="51" t="s">
        <v>45</v>
      </c>
      <c r="C4" s="26"/>
      <c r="D4" s="26"/>
      <c r="E4" s="114">
        <v>2025</v>
      </c>
      <c r="F4" s="26"/>
      <c r="G4" s="43">
        <f>E4</f>
        <v>2025</v>
      </c>
      <c r="H4" s="26"/>
      <c r="I4" s="26"/>
      <c r="J4" s="26"/>
      <c r="BW4"/>
      <c r="BX4"/>
      <c r="BY4"/>
    </row>
    <row r="5" spans="1:77">
      <c r="A5" s="7" t="s">
        <v>47</v>
      </c>
      <c r="B5" s="78" t="s">
        <v>62</v>
      </c>
      <c r="C5" s="3"/>
      <c r="D5" s="7"/>
      <c r="E5" s="9"/>
      <c r="F5" s="26"/>
      <c r="G5" s="9"/>
      <c r="H5" s="26"/>
      <c r="I5" s="26"/>
      <c r="J5" s="26"/>
      <c r="BW5"/>
      <c r="BX5"/>
      <c r="BY5"/>
    </row>
    <row r="6" spans="1:77">
      <c r="A6" s="7" t="s">
        <v>7</v>
      </c>
      <c r="B6" t="s">
        <v>73</v>
      </c>
      <c r="E6" s="12">
        <v>2148.2199999999998</v>
      </c>
      <c r="G6" s="12">
        <f>E6</f>
        <v>2148.2199999999998</v>
      </c>
      <c r="H6" s="26"/>
      <c r="I6" s="26"/>
      <c r="J6" s="26"/>
      <c r="BW6"/>
      <c r="BX6"/>
      <c r="BY6"/>
    </row>
    <row r="7" spans="1:77">
      <c r="A7" s="7" t="s">
        <v>9</v>
      </c>
      <c r="B7" t="s">
        <v>6</v>
      </c>
      <c r="E7" s="12">
        <f>+E6*0.3</f>
        <v>644.46599999999989</v>
      </c>
      <c r="F7" s="26"/>
      <c r="G7" s="12">
        <f>+G6*0.3</f>
        <v>644.46599999999989</v>
      </c>
      <c r="H7" s="26"/>
      <c r="I7" s="26"/>
      <c r="J7" s="26"/>
      <c r="BW7"/>
      <c r="BX7"/>
      <c r="BY7"/>
    </row>
    <row r="8" spans="1:77">
      <c r="A8" s="7" t="s">
        <v>12</v>
      </c>
      <c r="B8" t="s">
        <v>5</v>
      </c>
      <c r="E8" s="12"/>
      <c r="F8" s="26"/>
      <c r="G8" s="12"/>
      <c r="H8" s="26"/>
      <c r="I8" s="26"/>
      <c r="J8" s="26"/>
      <c r="BW8"/>
      <c r="BX8"/>
      <c r="BY8"/>
    </row>
    <row r="9" spans="1:77">
      <c r="A9" s="7" t="s">
        <v>13</v>
      </c>
      <c r="B9" t="s">
        <v>74</v>
      </c>
      <c r="E9" s="12"/>
      <c r="F9" s="26"/>
      <c r="G9" s="12"/>
      <c r="H9" s="26"/>
      <c r="I9" s="26"/>
      <c r="J9" s="26"/>
      <c r="BW9"/>
      <c r="BX9"/>
      <c r="BY9"/>
    </row>
    <row r="10" spans="1:77">
      <c r="A10" s="7" t="s">
        <v>16</v>
      </c>
      <c r="B10" t="s">
        <v>93</v>
      </c>
      <c r="E10" s="12"/>
      <c r="F10" s="26"/>
      <c r="G10" s="12">
        <f>G6*0.1</f>
        <v>214.822</v>
      </c>
      <c r="H10" s="26"/>
      <c r="I10" s="26"/>
      <c r="J10" s="26"/>
      <c r="BW10"/>
      <c r="BX10"/>
      <c r="BY10"/>
    </row>
    <row r="11" spans="1:77">
      <c r="A11" s="19"/>
      <c r="B11" s="15" t="s">
        <v>46</v>
      </c>
      <c r="C11" s="69"/>
      <c r="E11" s="16">
        <f>SUM(E6:E9)</f>
        <v>2792.6859999999997</v>
      </c>
      <c r="F11" s="26"/>
      <c r="G11" s="16">
        <f>SUM(G6:G10)</f>
        <v>3007.5079999999998</v>
      </c>
      <c r="H11" s="26"/>
      <c r="I11" s="26"/>
      <c r="J11" s="26"/>
      <c r="BW11"/>
      <c r="BX11"/>
      <c r="BY11"/>
    </row>
    <row r="12" spans="1:77" s="26" customFormat="1">
      <c r="A12" s="49"/>
      <c r="B12" s="44"/>
      <c r="C12" s="44"/>
      <c r="E12" s="68"/>
      <c r="G12" s="68"/>
    </row>
    <row r="13" spans="1:77">
      <c r="A13" s="7" t="s">
        <v>47</v>
      </c>
      <c r="B13" s="78" t="s">
        <v>63</v>
      </c>
      <c r="C13" s="3"/>
      <c r="D13" s="7"/>
      <c r="E13" s="9"/>
      <c r="F13" s="26"/>
      <c r="G13" s="9"/>
      <c r="H13" s="26"/>
      <c r="I13" s="26"/>
      <c r="J13" s="26"/>
      <c r="BW13"/>
      <c r="BX13"/>
      <c r="BY13"/>
    </row>
    <row r="14" spans="1:77">
      <c r="A14" s="37" t="s">
        <v>7</v>
      </c>
      <c r="B14" t="s">
        <v>3</v>
      </c>
      <c r="C14" s="38">
        <v>8.3299999999999999E-2</v>
      </c>
      <c r="E14" s="14">
        <f>+C14*$E$11</f>
        <v>232.63074379999998</v>
      </c>
      <c r="F14" s="58"/>
      <c r="G14" s="14">
        <f>+C14*$G$11</f>
        <v>250.52541639999998</v>
      </c>
      <c r="H14" s="26"/>
      <c r="I14" s="26"/>
      <c r="J14" s="26"/>
      <c r="BW14"/>
      <c r="BX14"/>
      <c r="BY14"/>
    </row>
    <row r="15" spans="1:77">
      <c r="A15" s="37" t="s">
        <v>9</v>
      </c>
      <c r="B15" t="s">
        <v>61</v>
      </c>
      <c r="C15" s="38">
        <f>2.78%</f>
        <v>2.7799999999999998E-2</v>
      </c>
      <c r="E15" s="14">
        <f>+C15*$E$11</f>
        <v>77.63667079999999</v>
      </c>
      <c r="F15" s="58"/>
      <c r="G15" s="14">
        <f>+C15*$G$11</f>
        <v>83.608722399999991</v>
      </c>
      <c r="H15" s="26"/>
      <c r="I15" s="26"/>
      <c r="J15" s="26"/>
      <c r="BW15"/>
      <c r="BX15"/>
      <c r="BY15"/>
    </row>
    <row r="16" spans="1:77">
      <c r="A16" s="37" t="s">
        <v>10</v>
      </c>
      <c r="B16" t="s">
        <v>21</v>
      </c>
      <c r="C16" s="38">
        <f>SUM(C14:C15)*C28</f>
        <v>4.0884800000000006E-2</v>
      </c>
      <c r="E16" s="14">
        <f>+C16*$E$11</f>
        <v>114.17840857280001</v>
      </c>
      <c r="F16" s="58"/>
      <c r="G16" s="14">
        <f>+C16*$G$11</f>
        <v>122.96136307840001</v>
      </c>
      <c r="H16" s="26"/>
      <c r="I16" s="26"/>
      <c r="J16" s="26"/>
      <c r="BW16"/>
      <c r="BX16"/>
      <c r="BY16"/>
    </row>
    <row r="17" spans="1:77">
      <c r="A17" s="19"/>
      <c r="B17" s="15" t="s">
        <v>22</v>
      </c>
      <c r="C17" s="84">
        <f>SUM(C14:C16)</f>
        <v>0.1519848</v>
      </c>
      <c r="E17" s="16">
        <f>SUM(E14:E16)</f>
        <v>424.44582317279992</v>
      </c>
      <c r="F17" s="26"/>
      <c r="G17" s="16">
        <f>SUM(G14:G16)</f>
        <v>457.0955018784</v>
      </c>
      <c r="H17" s="26"/>
      <c r="I17" s="26"/>
      <c r="J17" s="26"/>
      <c r="BW17"/>
      <c r="BX17"/>
      <c r="BY17"/>
    </row>
    <row r="18" spans="1:77" s="26" customFormat="1">
      <c r="A18" s="49"/>
      <c r="B18" s="44"/>
      <c r="C18" s="44"/>
      <c r="E18" s="68"/>
      <c r="G18" s="68"/>
    </row>
    <row r="19" spans="1:77">
      <c r="A19" s="7" t="s">
        <v>48</v>
      </c>
      <c r="B19" s="85" t="s">
        <v>65</v>
      </c>
      <c r="C19" s="3"/>
      <c r="D19" s="7"/>
      <c r="E19" s="9"/>
      <c r="F19" s="26"/>
      <c r="G19" s="9"/>
      <c r="H19" s="26"/>
      <c r="I19" s="26"/>
      <c r="J19" s="26"/>
      <c r="BW19"/>
      <c r="BX19"/>
      <c r="BY19"/>
    </row>
    <row r="20" spans="1:77">
      <c r="A20" s="7" t="s">
        <v>7</v>
      </c>
      <c r="B20" t="s">
        <v>23</v>
      </c>
      <c r="C20" s="1">
        <v>0.2</v>
      </c>
      <c r="E20" s="14">
        <f>(+$E$11+$E$17)*C20</f>
        <v>643.42636463455995</v>
      </c>
      <c r="F20" s="58"/>
      <c r="G20" s="14">
        <f>(+$G$11+$G$17)*C20</f>
        <v>692.92070037567998</v>
      </c>
      <c r="H20" s="26"/>
      <c r="I20" s="26"/>
      <c r="J20" s="26"/>
      <c r="BW20"/>
      <c r="BX20"/>
      <c r="BY20"/>
    </row>
    <row r="21" spans="1:77">
      <c r="A21" s="7" t="s">
        <v>9</v>
      </c>
      <c r="B21" t="s">
        <v>1</v>
      </c>
      <c r="C21" s="1">
        <v>2.5000000000000001E-2</v>
      </c>
      <c r="E21" s="14">
        <f t="shared" ref="E21:E27" si="0">(+$E$11+$E$17)*C21</f>
        <v>80.428295579319993</v>
      </c>
      <c r="F21" s="58"/>
      <c r="G21" s="14">
        <f t="shared" ref="G21:G27" si="1">(+$G$11+$G$17)*C21</f>
        <v>86.615087546959998</v>
      </c>
      <c r="H21" s="26"/>
      <c r="I21" s="26"/>
      <c r="J21" s="26"/>
      <c r="BW21"/>
      <c r="BX21"/>
      <c r="BY21"/>
    </row>
    <row r="22" spans="1:77">
      <c r="A22" s="7" t="s">
        <v>10</v>
      </c>
      <c r="B22" t="s">
        <v>27</v>
      </c>
      <c r="C22" s="1">
        <v>0.03</v>
      </c>
      <c r="E22" s="14">
        <f t="shared" si="0"/>
        <v>96.513954695183983</v>
      </c>
      <c r="F22" s="58"/>
      <c r="G22" s="14">
        <f t="shared" si="1"/>
        <v>103.93810505635199</v>
      </c>
      <c r="I22" s="26"/>
      <c r="J22" s="26"/>
      <c r="BW22"/>
      <c r="BX22"/>
      <c r="BY22"/>
    </row>
    <row r="23" spans="1:77">
      <c r="A23" s="7" t="s">
        <v>12</v>
      </c>
      <c r="B23" t="s">
        <v>24</v>
      </c>
      <c r="C23" s="1">
        <v>1.4999999999999999E-2</v>
      </c>
      <c r="E23" s="14">
        <f t="shared" si="0"/>
        <v>48.256977347591992</v>
      </c>
      <c r="F23" s="58"/>
      <c r="G23" s="14">
        <f t="shared" si="1"/>
        <v>51.969052528175993</v>
      </c>
      <c r="H23" s="26"/>
      <c r="I23" s="26"/>
      <c r="J23" s="26"/>
      <c r="BW23"/>
      <c r="BX23"/>
      <c r="BY23"/>
    </row>
    <row r="24" spans="1:77">
      <c r="A24" s="7" t="s">
        <v>13</v>
      </c>
      <c r="B24" t="s">
        <v>25</v>
      </c>
      <c r="C24" s="1">
        <v>0.01</v>
      </c>
      <c r="E24" s="14">
        <f t="shared" si="0"/>
        <v>32.171318231727994</v>
      </c>
      <c r="F24" s="58"/>
      <c r="G24" s="14">
        <f t="shared" si="1"/>
        <v>34.646035018783998</v>
      </c>
      <c r="H24" s="26"/>
      <c r="I24" s="26"/>
      <c r="J24" s="26"/>
      <c r="BW24"/>
      <c r="BX24"/>
      <c r="BY24"/>
    </row>
    <row r="25" spans="1:77">
      <c r="A25" s="7" t="s">
        <v>15</v>
      </c>
      <c r="B25" t="s">
        <v>2</v>
      </c>
      <c r="C25" s="1">
        <v>6.0000000000000001E-3</v>
      </c>
      <c r="E25" s="14">
        <f t="shared" si="0"/>
        <v>19.302790939036797</v>
      </c>
      <c r="F25" s="119"/>
      <c r="G25" s="14">
        <f t="shared" si="1"/>
        <v>20.787621011270399</v>
      </c>
      <c r="H25" s="26"/>
      <c r="I25" s="26"/>
      <c r="J25" s="26"/>
      <c r="BW25"/>
      <c r="BX25"/>
      <c r="BY25"/>
    </row>
    <row r="26" spans="1:77">
      <c r="A26" s="7" t="s">
        <v>16</v>
      </c>
      <c r="B26" t="s">
        <v>0</v>
      </c>
      <c r="C26" s="1">
        <v>2E-3</v>
      </c>
      <c r="E26" s="14">
        <f t="shared" si="0"/>
        <v>6.4342636463455998</v>
      </c>
      <c r="F26" s="58"/>
      <c r="G26" s="14">
        <f t="shared" si="1"/>
        <v>6.9292070037567992</v>
      </c>
      <c r="H26" s="26"/>
      <c r="I26" s="26"/>
      <c r="J26" s="26"/>
      <c r="BW26"/>
      <c r="BX26"/>
      <c r="BY26"/>
    </row>
    <row r="27" spans="1:77">
      <c r="A27" s="7" t="s">
        <v>17</v>
      </c>
      <c r="B27" t="s">
        <v>26</v>
      </c>
      <c r="C27" s="1">
        <v>0.08</v>
      </c>
      <c r="E27" s="14">
        <f t="shared" si="0"/>
        <v>257.37054585382396</v>
      </c>
      <c r="F27" s="58"/>
      <c r="G27" s="14">
        <f t="shared" si="1"/>
        <v>277.16828015027198</v>
      </c>
      <c r="H27" s="26"/>
      <c r="I27" s="26"/>
      <c r="J27" s="26"/>
      <c r="BW27"/>
      <c r="BX27"/>
      <c r="BY27"/>
    </row>
    <row r="28" spans="1:77">
      <c r="A28" s="19"/>
      <c r="B28" s="15" t="s">
        <v>37</v>
      </c>
      <c r="C28" s="84">
        <f>SUM(C20:C27)</f>
        <v>0.36800000000000005</v>
      </c>
      <c r="E28" s="16">
        <f>SUM(E20:E27)</f>
        <v>1183.9045109275903</v>
      </c>
      <c r="F28" s="26"/>
      <c r="G28" s="16">
        <f>SUM(G20:G27)</f>
        <v>1274.9740886912512</v>
      </c>
      <c r="H28" s="26"/>
      <c r="I28" s="26"/>
      <c r="J28" s="26"/>
      <c r="BW28"/>
      <c r="BX28"/>
      <c r="BY28"/>
    </row>
    <row r="29" spans="1:77" s="26" customFormat="1">
      <c r="A29" s="49"/>
      <c r="B29" s="44"/>
      <c r="C29" s="44"/>
      <c r="E29" s="68"/>
      <c r="G29" s="68"/>
    </row>
    <row r="30" spans="1:77">
      <c r="A30" s="7" t="s">
        <v>49</v>
      </c>
      <c r="B30" s="78" t="s">
        <v>64</v>
      </c>
      <c r="C30" s="3"/>
      <c r="D30" s="7"/>
      <c r="E30" s="9"/>
      <c r="F30" s="26"/>
      <c r="G30" s="9"/>
      <c r="H30" s="26"/>
      <c r="I30" s="26"/>
      <c r="J30" s="26"/>
      <c r="BW30"/>
      <c r="BX30"/>
      <c r="BY30"/>
    </row>
    <row r="31" spans="1:77" s="2" customFormat="1">
      <c r="A31" s="7" t="s">
        <v>7</v>
      </c>
      <c r="B31" t="s">
        <v>8</v>
      </c>
      <c r="C31"/>
      <c r="D31"/>
      <c r="E31" s="14">
        <f>-(E6*6%)+(5*2*15.22)</f>
        <v>23.306800000000038</v>
      </c>
      <c r="F31" s="26"/>
      <c r="G31" s="14">
        <f>-(G6*6%)+(5*2*15.22)</f>
        <v>23.306800000000038</v>
      </c>
      <c r="H31" s="26"/>
      <c r="I31" s="26"/>
      <c r="J31" s="26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</row>
    <row r="32" spans="1:77">
      <c r="A32" s="7" t="s">
        <v>9</v>
      </c>
      <c r="B32" t="s">
        <v>75</v>
      </c>
      <c r="E32" s="17">
        <f>(39-(39*18%))*15.22</f>
        <v>486.73560000000003</v>
      </c>
      <c r="G32" s="17">
        <f>(39-(39*18%))*15.22</f>
        <v>486.73560000000003</v>
      </c>
      <c r="H32" s="26"/>
      <c r="I32" s="26"/>
      <c r="J32" s="26"/>
      <c r="BW32"/>
      <c r="BX32"/>
      <c r="BY32"/>
    </row>
    <row r="33" spans="1:74" customFormat="1">
      <c r="A33" s="7" t="s">
        <v>10</v>
      </c>
      <c r="B33" t="s">
        <v>76</v>
      </c>
      <c r="E33" s="17">
        <v>0</v>
      </c>
      <c r="F33" s="119"/>
      <c r="G33" s="17">
        <v>0</v>
      </c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</row>
    <row r="34" spans="1:74" customFormat="1">
      <c r="A34" s="7" t="s">
        <v>12</v>
      </c>
      <c r="B34" t="s">
        <v>11</v>
      </c>
      <c r="E34" s="17">
        <f>197.12*0.95</f>
        <v>187.26399999999998</v>
      </c>
      <c r="F34" s="26"/>
      <c r="G34" s="17">
        <f>197.12*0.95</f>
        <v>187.26399999999998</v>
      </c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</row>
    <row r="35" spans="1:74" customFormat="1">
      <c r="A35" s="7" t="s">
        <v>13</v>
      </c>
      <c r="B35" t="s">
        <v>14</v>
      </c>
      <c r="E35" s="17">
        <v>14.99</v>
      </c>
      <c r="F35" s="115"/>
      <c r="G35" s="17">
        <v>14.99</v>
      </c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</row>
    <row r="36" spans="1:74" customFormat="1">
      <c r="A36" s="19"/>
      <c r="B36" s="86" t="s">
        <v>18</v>
      </c>
      <c r="C36" s="84"/>
      <c r="E36" s="16">
        <f>SUM(E31:E35)</f>
        <v>712.29640000000006</v>
      </c>
      <c r="F36" s="26"/>
      <c r="G36" s="16">
        <f>SUM(G31:G35)</f>
        <v>712.29640000000006</v>
      </c>
      <c r="H36" s="30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</row>
    <row r="37" spans="1:74" s="26" customFormat="1">
      <c r="A37" s="49"/>
      <c r="B37" s="44"/>
      <c r="C37" s="44"/>
      <c r="E37" s="68"/>
      <c r="G37" s="68"/>
    </row>
    <row r="38" spans="1:74" customFormat="1">
      <c r="A38" s="7">
        <v>3</v>
      </c>
      <c r="B38" s="78" t="s">
        <v>50</v>
      </c>
      <c r="C38" s="3"/>
      <c r="D38" s="7"/>
      <c r="E38" s="9"/>
      <c r="F38" s="26"/>
      <c r="G38" s="9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</row>
    <row r="39" spans="1:74" s="79" customFormat="1">
      <c r="A39" s="80" t="s">
        <v>7</v>
      </c>
      <c r="B39" s="79" t="s">
        <v>51</v>
      </c>
      <c r="C39" s="81">
        <v>9.1999999999999998E-3</v>
      </c>
      <c r="E39" s="14">
        <f>+C39*$E$11</f>
        <v>25.692711199999998</v>
      </c>
      <c r="F39" s="83"/>
      <c r="G39" s="82">
        <f>+C39*$G$11</f>
        <v>27.669073599999997</v>
      </c>
      <c r="H39" s="26"/>
      <c r="I39" s="26"/>
      <c r="J39" s="26"/>
      <c r="K39" s="26"/>
      <c r="L39" s="26"/>
      <c r="M39" s="26"/>
      <c r="N39" s="26"/>
      <c r="O39" s="26"/>
    </row>
    <row r="40" spans="1:74" customFormat="1">
      <c r="A40" s="37" t="s">
        <v>9</v>
      </c>
      <c r="B40" t="s">
        <v>52</v>
      </c>
      <c r="C40" s="38">
        <f>C27*C39</f>
        <v>7.36E-4</v>
      </c>
      <c r="E40" s="14">
        <f t="shared" ref="E40:E44" si="2">+C40*$E$11</f>
        <v>2.0554168959999997</v>
      </c>
      <c r="F40" s="58"/>
      <c r="G40" s="82">
        <f t="shared" ref="G40:G44" si="3">+C40*$G$11</f>
        <v>2.2135258879999999</v>
      </c>
      <c r="H40" s="26"/>
      <c r="I40" s="26"/>
      <c r="J40" s="29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</row>
    <row r="41" spans="1:74" customFormat="1">
      <c r="A41" s="37" t="s">
        <v>13</v>
      </c>
      <c r="B41" t="s">
        <v>66</v>
      </c>
      <c r="C41" s="38">
        <v>0.02</v>
      </c>
      <c r="E41" s="14">
        <f t="shared" si="2"/>
        <v>55.853719999999996</v>
      </c>
      <c r="F41" s="58"/>
      <c r="G41" s="82">
        <f t="shared" si="3"/>
        <v>60.15016</v>
      </c>
      <c r="H41" s="26"/>
      <c r="I41" s="26"/>
      <c r="J41" s="29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</row>
    <row r="42" spans="1:74" customFormat="1">
      <c r="A42" s="37" t="s">
        <v>10</v>
      </c>
      <c r="B42" t="s">
        <v>53</v>
      </c>
      <c r="C42" s="38">
        <v>1.9400000000000001E-2</v>
      </c>
      <c r="E42" s="14">
        <f t="shared" si="2"/>
        <v>54.178108399999992</v>
      </c>
      <c r="F42" s="58"/>
      <c r="G42" s="82">
        <f t="shared" si="3"/>
        <v>58.345655199999996</v>
      </c>
      <c r="H42" s="26"/>
      <c r="I42" s="26"/>
      <c r="J42" s="29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</row>
    <row r="43" spans="1:74" customFormat="1">
      <c r="A43" s="37" t="s">
        <v>12</v>
      </c>
      <c r="B43" t="s">
        <v>54</v>
      </c>
      <c r="C43" s="38">
        <f>C28*C42</f>
        <v>7.1392000000000009E-3</v>
      </c>
      <c r="E43" s="14">
        <f t="shared" si="2"/>
        <v>19.937543891200001</v>
      </c>
      <c r="F43" s="58"/>
      <c r="G43" s="82">
        <f t="shared" si="3"/>
        <v>21.471201113600003</v>
      </c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</row>
    <row r="44" spans="1:74" customFormat="1">
      <c r="A44" s="37" t="s">
        <v>13</v>
      </c>
      <c r="B44" t="s">
        <v>67</v>
      </c>
      <c r="C44" s="38">
        <v>0.02</v>
      </c>
      <c r="E44" s="14">
        <f t="shared" si="2"/>
        <v>55.853719999999996</v>
      </c>
      <c r="F44" s="58"/>
      <c r="G44" s="82">
        <f t="shared" si="3"/>
        <v>60.15016</v>
      </c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</row>
    <row r="45" spans="1:74" customFormat="1">
      <c r="A45" s="19"/>
      <c r="B45" s="15" t="s">
        <v>55</v>
      </c>
      <c r="C45" s="84">
        <f>SUM(C39:C44)</f>
        <v>7.6475200000000007E-2</v>
      </c>
      <c r="E45" s="16">
        <f>SUM(E39:E44)</f>
        <v>213.57122038719996</v>
      </c>
      <c r="F45" s="26"/>
      <c r="G45" s="16">
        <f>SUM(G39:G44)</f>
        <v>229.99977580160001</v>
      </c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</row>
    <row r="46" spans="1:74" s="26" customFormat="1">
      <c r="A46" s="49"/>
      <c r="B46" s="44"/>
      <c r="C46" s="44"/>
      <c r="G46" s="68"/>
    </row>
    <row r="47" spans="1:74" customFormat="1">
      <c r="B47" s="78" t="s">
        <v>56</v>
      </c>
      <c r="C47" s="95"/>
      <c r="D47" s="7"/>
      <c r="E47" s="9"/>
      <c r="F47" s="26"/>
      <c r="G47" s="9"/>
      <c r="H47" s="26"/>
      <c r="I47" s="26"/>
      <c r="J47" s="29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</row>
    <row r="48" spans="1:74" customFormat="1">
      <c r="A48" s="37" t="s">
        <v>84</v>
      </c>
      <c r="B48" s="96" t="s">
        <v>77</v>
      </c>
      <c r="C48" s="97"/>
      <c r="D48" s="7"/>
      <c r="E48" s="91"/>
      <c r="F48" s="26"/>
      <c r="G48" s="91"/>
      <c r="H48" s="26"/>
      <c r="I48" s="26"/>
      <c r="J48" s="29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</row>
    <row r="49" spans="1:77">
      <c r="A49" s="37" t="s">
        <v>7</v>
      </c>
      <c r="B49" s="88" t="s">
        <v>78</v>
      </c>
      <c r="C49" s="90">
        <v>8.3299999999999999E-2</v>
      </c>
      <c r="E49" s="92">
        <f>+C49*$E$11</f>
        <v>232.63074379999998</v>
      </c>
      <c r="F49" s="58"/>
      <c r="G49" s="94">
        <f>+C49*$G$11</f>
        <v>250.52541639999998</v>
      </c>
      <c r="H49" s="26"/>
      <c r="I49" s="26"/>
      <c r="J49" s="29"/>
      <c r="BW49"/>
      <c r="BX49"/>
      <c r="BY49"/>
    </row>
    <row r="50" spans="1:77">
      <c r="A50" s="37" t="s">
        <v>9</v>
      </c>
      <c r="B50" s="88" t="s">
        <v>79</v>
      </c>
      <c r="C50" s="90">
        <v>2.3900000000000001E-2</v>
      </c>
      <c r="E50" s="14">
        <f t="shared" ref="E50:E54" si="4">+C50*$E$11</f>
        <v>66.7451954</v>
      </c>
      <c r="F50" s="58"/>
      <c r="G50" s="82">
        <f>+C50*$G$11</f>
        <v>71.879441200000002</v>
      </c>
      <c r="H50" s="26"/>
      <c r="I50" s="26"/>
      <c r="J50" s="29"/>
      <c r="BW50"/>
      <c r="BX50"/>
      <c r="BY50"/>
    </row>
    <row r="51" spans="1:77">
      <c r="A51" s="37" t="s">
        <v>10</v>
      </c>
      <c r="B51" s="88" t="s">
        <v>80</v>
      </c>
      <c r="C51" s="89">
        <v>8.0000000000000004E-4</v>
      </c>
      <c r="E51" s="14">
        <f t="shared" si="4"/>
        <v>2.2341487999999998</v>
      </c>
      <c r="F51" s="58"/>
      <c r="G51" s="82">
        <f t="shared" ref="G51:G54" si="5">+C51*$G$11</f>
        <v>2.4060063999999999</v>
      </c>
      <c r="H51" s="26"/>
      <c r="I51" s="26"/>
      <c r="J51" s="29"/>
      <c r="BW51"/>
      <c r="BX51"/>
      <c r="BY51"/>
    </row>
    <row r="52" spans="1:77">
      <c r="A52" s="37" t="s">
        <v>12</v>
      </c>
      <c r="B52" s="88" t="s">
        <v>81</v>
      </c>
      <c r="C52" s="89">
        <v>5.0000000000000001E-3</v>
      </c>
      <c r="E52" s="14">
        <f t="shared" si="4"/>
        <v>13.963429999999999</v>
      </c>
      <c r="F52" s="58"/>
      <c r="G52" s="82">
        <f t="shared" si="5"/>
        <v>15.03754</v>
      </c>
      <c r="H52" s="26"/>
      <c r="I52" s="26"/>
      <c r="J52" s="29"/>
      <c r="BW52"/>
      <c r="BX52"/>
      <c r="BY52"/>
    </row>
    <row r="53" spans="1:77">
      <c r="A53" s="37" t="s">
        <v>13</v>
      </c>
      <c r="B53" s="88" t="s">
        <v>82</v>
      </c>
      <c r="C53" s="89">
        <v>1E-3</v>
      </c>
      <c r="E53" s="14">
        <f t="shared" si="4"/>
        <v>2.7926859999999998</v>
      </c>
      <c r="F53" s="58"/>
      <c r="G53" s="82">
        <f t="shared" si="5"/>
        <v>3.0075080000000001</v>
      </c>
      <c r="H53" s="26"/>
      <c r="I53" s="26"/>
      <c r="J53" s="26"/>
      <c r="BW53"/>
      <c r="BX53"/>
      <c r="BY53"/>
    </row>
    <row r="54" spans="1:77" ht="21">
      <c r="A54" s="37" t="s">
        <v>15</v>
      </c>
      <c r="B54" s="88" t="s">
        <v>83</v>
      </c>
      <c r="C54" s="89">
        <f>SUM(C49:C53)*C28</f>
        <v>4.195200000000001E-2</v>
      </c>
      <c r="E54" s="93">
        <f t="shared" si="4"/>
        <v>117.15876307200001</v>
      </c>
      <c r="F54" s="58"/>
      <c r="G54" s="82">
        <f t="shared" si="5"/>
        <v>126.17097561600002</v>
      </c>
      <c r="H54" s="26"/>
      <c r="I54" s="26"/>
      <c r="J54" s="26"/>
      <c r="BW54"/>
      <c r="BX54"/>
      <c r="BY54"/>
    </row>
    <row r="55" spans="1:77">
      <c r="A55" s="37"/>
      <c r="B55" s="15" t="s">
        <v>28</v>
      </c>
      <c r="C55" s="84">
        <f>SUM(C49:C54)</f>
        <v>0.15595200000000001</v>
      </c>
      <c r="E55" s="16">
        <f>SUM(E49:E54)</f>
        <v>435.52496707199998</v>
      </c>
      <c r="F55" s="26"/>
      <c r="G55" s="16">
        <f>SUM(G49:G54)</f>
        <v>469.02688761600001</v>
      </c>
      <c r="H55" s="26"/>
      <c r="I55" s="26"/>
      <c r="J55" s="26"/>
      <c r="BW55"/>
      <c r="BX55"/>
      <c r="BY55"/>
    </row>
    <row r="56" spans="1:77" s="26" customFormat="1">
      <c r="A56" s="49"/>
      <c r="B56" s="44"/>
      <c r="C56" s="99"/>
    </row>
    <row r="57" spans="1:77">
      <c r="A57" s="7">
        <v>4.2</v>
      </c>
      <c r="B57" s="78" t="s">
        <v>68</v>
      </c>
      <c r="C57" s="3"/>
      <c r="D57" s="7"/>
      <c r="E57" s="9"/>
      <c r="F57" s="26"/>
      <c r="G57" s="9"/>
      <c r="H57" s="26"/>
      <c r="I57" s="26"/>
      <c r="J57" s="26"/>
      <c r="BW57"/>
      <c r="BX57"/>
      <c r="BY57"/>
    </row>
    <row r="58" spans="1:77">
      <c r="A58" s="37" t="s">
        <v>7</v>
      </c>
      <c r="B58" t="s">
        <v>69</v>
      </c>
      <c r="C58" s="38"/>
      <c r="E58" s="87">
        <f>($E$6+$E$7)/220*1.6*15.22</f>
        <v>309.12495214545459</v>
      </c>
      <c r="F58" s="26"/>
      <c r="G58" s="87">
        <f>($G$6+$G$7+$G$10)/220*1.6*15.22</f>
        <v>332.90379461818185</v>
      </c>
      <c r="H58" s="26"/>
      <c r="I58" s="26"/>
      <c r="J58" s="26"/>
      <c r="BW58"/>
      <c r="BX58"/>
      <c r="BY58"/>
    </row>
    <row r="59" spans="1:77">
      <c r="A59" s="19"/>
      <c r="B59" s="86" t="s">
        <v>70</v>
      </c>
      <c r="C59" s="84"/>
      <c r="E59" s="16">
        <f>SUM(E58)</f>
        <v>309.12495214545459</v>
      </c>
      <c r="F59" s="26"/>
      <c r="G59" s="16">
        <f>SUM(G58)</f>
        <v>332.90379461818185</v>
      </c>
      <c r="H59" s="26"/>
      <c r="I59" s="26"/>
      <c r="J59" s="26"/>
      <c r="BW59"/>
      <c r="BX59"/>
      <c r="BY59"/>
    </row>
    <row r="60" spans="1:77" s="26" customFormat="1">
      <c r="A60" s="49"/>
      <c r="B60" s="44"/>
      <c r="C60" s="44"/>
      <c r="G60" s="68"/>
    </row>
    <row r="61" spans="1:77">
      <c r="A61" s="7">
        <v>5</v>
      </c>
      <c r="B61" s="78" t="s">
        <v>57</v>
      </c>
      <c r="C61" s="3"/>
      <c r="D61" s="7"/>
      <c r="E61" s="9"/>
      <c r="F61" s="26"/>
      <c r="G61" s="9"/>
      <c r="H61" s="26"/>
      <c r="I61" s="26"/>
      <c r="J61" s="26"/>
      <c r="BW61"/>
      <c r="BX61"/>
      <c r="BY61"/>
    </row>
    <row r="62" spans="1:77">
      <c r="A62" s="7" t="s">
        <v>7</v>
      </c>
      <c r="B62" t="s">
        <v>19</v>
      </c>
      <c r="C62" s="18"/>
      <c r="E62" s="14">
        <v>90</v>
      </c>
      <c r="F62" s="58"/>
      <c r="G62" s="14">
        <v>90</v>
      </c>
      <c r="H62" s="26"/>
      <c r="I62" s="26"/>
      <c r="J62" s="26"/>
      <c r="BW62"/>
      <c r="BX62"/>
      <c r="BY62"/>
    </row>
    <row r="63" spans="1:77">
      <c r="A63" s="7" t="s">
        <v>9</v>
      </c>
      <c r="B63" t="s">
        <v>71</v>
      </c>
      <c r="C63" s="18"/>
      <c r="E63" s="14">
        <v>150</v>
      </c>
      <c r="F63" s="58"/>
      <c r="G63" s="14">
        <v>150</v>
      </c>
      <c r="H63" s="26"/>
      <c r="I63" s="26"/>
      <c r="J63" s="26"/>
      <c r="BW63"/>
      <c r="BX63"/>
      <c r="BY63"/>
    </row>
    <row r="64" spans="1:77">
      <c r="A64" s="7" t="s">
        <v>10</v>
      </c>
      <c r="B64" t="s">
        <v>20</v>
      </c>
      <c r="C64" s="18"/>
      <c r="E64" s="14">
        <v>50</v>
      </c>
      <c r="F64" s="58"/>
      <c r="G64" s="14">
        <v>800</v>
      </c>
      <c r="H64" s="26"/>
      <c r="I64" s="26"/>
      <c r="J64" s="26"/>
      <c r="BW64"/>
      <c r="BX64"/>
      <c r="BY64"/>
    </row>
    <row r="65" spans="1:77">
      <c r="A65" s="7" t="s">
        <v>12</v>
      </c>
      <c r="B65" t="s">
        <v>104</v>
      </c>
      <c r="C65" s="18"/>
      <c r="E65" s="14">
        <f>273.33*1.0749</f>
        <v>293.80241699999999</v>
      </c>
      <c r="F65" s="58"/>
      <c r="G65" s="14">
        <v>0</v>
      </c>
      <c r="H65" s="26"/>
      <c r="I65" s="26"/>
      <c r="J65" s="26"/>
      <c r="BW65"/>
      <c r="BX65"/>
      <c r="BY65"/>
    </row>
    <row r="66" spans="1:77">
      <c r="A66" s="19"/>
      <c r="B66" s="86" t="s">
        <v>36</v>
      </c>
      <c r="C66" s="84"/>
      <c r="E66" s="16">
        <f>SUM(E62:E65)</f>
        <v>583.80241699999999</v>
      </c>
      <c r="F66" s="26"/>
      <c r="G66" s="16">
        <f>SUM(G62:G64)-0.01</f>
        <v>1039.99</v>
      </c>
      <c r="H66" s="26"/>
      <c r="I66" s="26"/>
      <c r="J66" s="26"/>
      <c r="BW66"/>
      <c r="BX66"/>
      <c r="BY66"/>
    </row>
    <row r="67" spans="1:77">
      <c r="A67" s="37"/>
      <c r="E67" s="33"/>
      <c r="F67" s="58"/>
      <c r="G67" s="33"/>
      <c r="H67" s="26"/>
      <c r="I67" s="26"/>
      <c r="J67" s="26"/>
      <c r="BW67"/>
      <c r="BX67"/>
      <c r="BY67"/>
    </row>
    <row r="68" spans="1:77">
      <c r="A68" s="6"/>
      <c r="B68" s="4" t="s">
        <v>72</v>
      </c>
      <c r="C68" s="5">
        <f>+C17+C28+C45+C55</f>
        <v>0.75241199999999997</v>
      </c>
      <c r="E68" s="40">
        <f>+E11+E17+E28+E36+E45+E55+E66+E59+0.01</f>
        <v>6655.3662907050457</v>
      </c>
      <c r="F68" s="58"/>
      <c r="G68" s="40">
        <f>+G11+G17+G28+G36+G45+G55+G66</f>
        <v>7190.8906539872505</v>
      </c>
      <c r="H68" s="26"/>
      <c r="I68" s="26"/>
      <c r="J68" s="26"/>
      <c r="BW68"/>
      <c r="BX68"/>
      <c r="BY68"/>
    </row>
    <row r="69" spans="1:77">
      <c r="A69" s="37"/>
      <c r="C69" s="38"/>
      <c r="E69" s="24"/>
      <c r="F69" s="58"/>
      <c r="G69" s="24"/>
      <c r="H69" s="26"/>
      <c r="I69" s="26"/>
      <c r="J69" s="26"/>
      <c r="BW69"/>
      <c r="BX69"/>
      <c r="BY69"/>
    </row>
    <row r="70" spans="1:77">
      <c r="A70" s="37"/>
      <c r="B70" t="s">
        <v>34</v>
      </c>
      <c r="C70" s="38">
        <v>0.15</v>
      </c>
      <c r="E70" s="14">
        <f>+$C$70*E83</f>
        <v>998.30344360575668</v>
      </c>
      <c r="F70" s="38"/>
      <c r="G70" s="14">
        <f>+$C$70*G83</f>
        <v>1128.5691672908149</v>
      </c>
      <c r="H70" s="26"/>
      <c r="I70" s="26"/>
      <c r="J70" s="26"/>
      <c r="BW70"/>
      <c r="BX70"/>
      <c r="BY70"/>
    </row>
    <row r="71" spans="1:77">
      <c r="A71" s="37"/>
      <c r="B71" t="s">
        <v>105</v>
      </c>
      <c r="C71" s="38">
        <v>0.13250000000000001</v>
      </c>
      <c r="E71" s="14">
        <f>((+E70+E72+E83)*$C$71)/(100%-$C$71)</f>
        <v>1344.3532011707305</v>
      </c>
      <c r="F71" s="70"/>
      <c r="G71" s="14">
        <f>((+G70+G72+G83)*$C$71)/(100%-$C$71)</f>
        <v>1519.7739550111712</v>
      </c>
      <c r="H71" s="26"/>
      <c r="I71" s="26"/>
      <c r="J71" s="26"/>
      <c r="BW71"/>
      <c r="BX71"/>
      <c r="BY71"/>
    </row>
    <row r="72" spans="1:77">
      <c r="A72" s="37" t="s">
        <v>10</v>
      </c>
      <c r="B72" t="s">
        <v>4</v>
      </c>
      <c r="C72" s="38">
        <v>0.15</v>
      </c>
      <c r="E72" s="14">
        <f>(E70+E83)*$C$72</f>
        <v>1148.0489601466202</v>
      </c>
      <c r="F72" s="38"/>
      <c r="G72" s="14">
        <f>(G70+G83)*$C$72</f>
        <v>1297.8545423844371</v>
      </c>
      <c r="H72" s="26"/>
      <c r="I72" s="26"/>
      <c r="J72" s="26"/>
      <c r="BW72"/>
      <c r="BX72"/>
      <c r="BY72"/>
    </row>
    <row r="73" spans="1:77">
      <c r="A73" s="6"/>
      <c r="B73" s="4" t="s">
        <v>31</v>
      </c>
      <c r="C73" s="5">
        <f>SUM(C70:C72)</f>
        <v>0.4325</v>
      </c>
      <c r="E73" s="13">
        <f>SUM(E70:E72)</f>
        <v>3490.7056049231073</v>
      </c>
      <c r="F73" s="26"/>
      <c r="G73" s="13">
        <f>SUM(G70:G72)</f>
        <v>3946.1976646864232</v>
      </c>
      <c r="H73" s="26"/>
      <c r="I73" s="26"/>
      <c r="J73" s="26"/>
      <c r="BW73"/>
      <c r="BX73"/>
      <c r="BY73"/>
    </row>
    <row r="74" spans="1:77">
      <c r="A74" s="37"/>
      <c r="B74" s="2"/>
      <c r="E74" s="14"/>
      <c r="F74" s="26"/>
      <c r="G74" s="14"/>
      <c r="H74" s="26"/>
      <c r="I74" s="26"/>
      <c r="J74" s="26"/>
      <c r="BW74"/>
      <c r="BX74"/>
      <c r="BY74"/>
    </row>
    <row r="75" spans="1:77">
      <c r="A75" s="52" t="s">
        <v>29</v>
      </c>
      <c r="B75" s="41"/>
      <c r="C75" s="41"/>
      <c r="E75" s="11"/>
      <c r="F75" s="26"/>
      <c r="G75" s="11"/>
      <c r="H75" s="26"/>
      <c r="I75" s="26"/>
      <c r="J75" s="26"/>
      <c r="BW75"/>
      <c r="BX75"/>
      <c r="BY75"/>
    </row>
    <row r="76" spans="1:77" ht="6" customHeight="1">
      <c r="A76" s="37"/>
      <c r="E76" s="11"/>
      <c r="F76" s="30"/>
      <c r="G76" s="11"/>
      <c r="H76" s="26"/>
      <c r="I76" s="26"/>
      <c r="J76" s="26"/>
      <c r="BW76"/>
      <c r="BX76"/>
      <c r="BY76"/>
    </row>
    <row r="77" spans="1:77">
      <c r="A77" s="37" t="s">
        <v>7</v>
      </c>
      <c r="B77" t="s">
        <v>85</v>
      </c>
      <c r="C77" s="38"/>
      <c r="E77" s="14">
        <f>+E11</f>
        <v>2792.6859999999997</v>
      </c>
      <c r="F77" s="58"/>
      <c r="G77" s="14">
        <f>+G11</f>
        <v>3007.5079999999998</v>
      </c>
      <c r="H77" s="26"/>
      <c r="I77" s="26"/>
      <c r="J77" s="26"/>
      <c r="BW77"/>
      <c r="BX77"/>
      <c r="BY77"/>
    </row>
    <row r="78" spans="1:77">
      <c r="A78" s="37" t="s">
        <v>9</v>
      </c>
      <c r="B78" t="s">
        <v>86</v>
      </c>
      <c r="C78" s="38"/>
      <c r="E78" s="14">
        <f>+E36</f>
        <v>712.29640000000006</v>
      </c>
      <c r="F78" s="58"/>
      <c r="G78" s="14">
        <f>+G36</f>
        <v>712.29640000000006</v>
      </c>
      <c r="H78" s="26"/>
      <c r="I78" s="26"/>
      <c r="J78" s="26"/>
      <c r="BW78"/>
      <c r="BX78"/>
      <c r="BY78"/>
    </row>
    <row r="79" spans="1:77">
      <c r="A79" s="37" t="s">
        <v>10</v>
      </c>
      <c r="B79" t="s">
        <v>87</v>
      </c>
      <c r="C79" s="38"/>
      <c r="E79" s="14">
        <f>E66</f>
        <v>583.80241699999999</v>
      </c>
      <c r="F79" s="58"/>
      <c r="G79" s="14">
        <f>G66</f>
        <v>1039.99</v>
      </c>
      <c r="H79" s="26"/>
      <c r="I79" s="26"/>
      <c r="J79" s="26"/>
      <c r="BW79"/>
      <c r="BX79"/>
      <c r="BY79"/>
    </row>
    <row r="80" spans="1:77">
      <c r="A80" s="37" t="s">
        <v>12</v>
      </c>
      <c r="B80" t="s">
        <v>88</v>
      </c>
      <c r="C80" s="38"/>
      <c r="E80" s="14">
        <f>+E17+E28+E45+E55+E59</f>
        <v>2566.5714737050448</v>
      </c>
      <c r="F80" s="58"/>
      <c r="G80" s="14">
        <f>+G17+G28+G45+G55+G59</f>
        <v>2764.0000486054332</v>
      </c>
      <c r="H80" s="26"/>
      <c r="I80" s="26"/>
      <c r="J80" s="26"/>
      <c r="BW80"/>
      <c r="BX80"/>
      <c r="BY80"/>
    </row>
    <row r="81" spans="1:77">
      <c r="A81" s="37"/>
      <c r="C81" s="38"/>
      <c r="E81" s="14"/>
      <c r="F81" s="58"/>
      <c r="G81" s="14"/>
      <c r="H81" s="26"/>
      <c r="I81" s="26"/>
      <c r="J81" s="26"/>
      <c r="BW81"/>
      <c r="BX81"/>
      <c r="BY81"/>
    </row>
    <row r="82" spans="1:77">
      <c r="A82" s="37"/>
      <c r="C82" s="42"/>
      <c r="E82" s="14"/>
      <c r="F82" s="26"/>
      <c r="G82" s="14"/>
      <c r="H82" s="26"/>
      <c r="I82" s="26"/>
      <c r="J82" s="26"/>
      <c r="BW82"/>
      <c r="BX82"/>
      <c r="BY82"/>
    </row>
    <row r="83" spans="1:77">
      <c r="A83" s="37" t="s">
        <v>13</v>
      </c>
      <c r="B83" s="4" t="s">
        <v>30</v>
      </c>
      <c r="C83" s="5"/>
      <c r="E83" s="13">
        <f>SUM(E77:E82)</f>
        <v>6655.3562907050446</v>
      </c>
      <c r="F83" s="26"/>
      <c r="G83" s="13">
        <f>SUM(G77:G82)</f>
        <v>7523.794448605433</v>
      </c>
      <c r="H83" s="26"/>
      <c r="I83" s="26"/>
      <c r="J83" s="26"/>
      <c r="BW83"/>
      <c r="BX83"/>
      <c r="BY83"/>
    </row>
    <row r="84" spans="1:77">
      <c r="A84" s="37" t="s">
        <v>15</v>
      </c>
      <c r="B84" t="s">
        <v>32</v>
      </c>
      <c r="E84" s="14">
        <f>E73</f>
        <v>3490.7056049231073</v>
      </c>
      <c r="F84" s="26"/>
      <c r="G84" s="14">
        <f>G73</f>
        <v>3946.1976646864232</v>
      </c>
      <c r="H84" s="26"/>
      <c r="I84" s="26"/>
      <c r="J84" s="26"/>
      <c r="BW84"/>
      <c r="BX84"/>
      <c r="BY84"/>
    </row>
    <row r="85" spans="1:77">
      <c r="A85" s="37"/>
      <c r="E85" s="11"/>
      <c r="F85" s="26"/>
      <c r="G85" s="11"/>
      <c r="H85" s="26"/>
      <c r="I85" s="26"/>
      <c r="J85" s="26"/>
      <c r="BW85"/>
      <c r="BX85"/>
      <c r="BY85"/>
    </row>
    <row r="86" spans="1:77">
      <c r="A86" s="22"/>
      <c r="B86" s="10" t="s">
        <v>33</v>
      </c>
      <c r="C86" s="8"/>
      <c r="D86" s="20"/>
      <c r="E86" s="21">
        <f>+E83+E84</f>
        <v>10146.061895628152</v>
      </c>
      <c r="F86" s="26"/>
      <c r="G86" s="21">
        <f>+G83+G84</f>
        <v>11469.992113291857</v>
      </c>
      <c r="H86" s="26"/>
      <c r="I86" s="26"/>
      <c r="J86" s="26"/>
      <c r="BW86"/>
      <c r="BX86"/>
      <c r="BY86"/>
    </row>
    <row r="87" spans="1:77">
      <c r="A87" s="37"/>
      <c r="E87" s="39"/>
      <c r="F87" s="26"/>
      <c r="G87" s="39"/>
      <c r="H87" s="26"/>
      <c r="I87" s="26"/>
      <c r="J87" s="26"/>
      <c r="BW87"/>
      <c r="BX87"/>
      <c r="BY87"/>
    </row>
    <row r="88" spans="1:77" ht="14.25" customHeight="1">
      <c r="A88" s="22"/>
      <c r="B88" s="10" t="s">
        <v>35</v>
      </c>
      <c r="C88" s="8"/>
      <c r="D88" s="20"/>
      <c r="E88" s="21">
        <f>+E86*2</f>
        <v>20292.123791256305</v>
      </c>
      <c r="F88" s="45"/>
      <c r="G88" s="21">
        <f>+G86*2</f>
        <v>22939.984226583714</v>
      </c>
      <c r="H88" s="26"/>
      <c r="I88" s="26"/>
      <c r="J88" s="26"/>
      <c r="BW88"/>
      <c r="BX88"/>
      <c r="BY88"/>
    </row>
    <row r="89" spans="1:77">
      <c r="A89" s="47"/>
      <c r="B89" s="26"/>
      <c r="C89" s="26"/>
      <c r="E89" s="123"/>
      <c r="F89" s="26"/>
      <c r="G89" s="123"/>
      <c r="H89" s="26"/>
      <c r="I89" s="26"/>
      <c r="J89" s="26"/>
      <c r="BW89"/>
      <c r="BX89"/>
      <c r="BY89"/>
    </row>
    <row r="90" spans="1:77" ht="14.25" customHeight="1">
      <c r="A90" s="22"/>
      <c r="B90" s="10" t="s">
        <v>59</v>
      </c>
      <c r="C90" s="77"/>
      <c r="D90" s="20"/>
      <c r="E90" s="77">
        <v>2</v>
      </c>
      <c r="F90" s="45"/>
      <c r="G90" s="77">
        <v>1</v>
      </c>
      <c r="H90" s="26"/>
      <c r="I90" s="26"/>
      <c r="J90" s="26"/>
      <c r="BW90"/>
      <c r="BX90"/>
      <c r="BY90"/>
    </row>
    <row r="91" spans="1:77" s="26" customFormat="1">
      <c r="A91" s="47"/>
    </row>
    <row r="92" spans="1:77" ht="21.75" customHeight="1">
      <c r="A92" s="71"/>
      <c r="B92" s="72" t="s">
        <v>60</v>
      </c>
      <c r="C92" s="73"/>
      <c r="D92" s="74"/>
      <c r="E92" s="75">
        <f>+E88*E90+0.01</f>
        <v>40584.257582512611</v>
      </c>
      <c r="F92" s="65"/>
      <c r="G92" s="75">
        <f>+G88*G90</f>
        <v>22939.984226583714</v>
      </c>
      <c r="H92" s="26"/>
      <c r="I92" s="26"/>
      <c r="J92" s="26"/>
      <c r="BW92"/>
      <c r="BX92"/>
      <c r="BY92"/>
    </row>
    <row r="93" spans="1:77" s="26" customFormat="1">
      <c r="A93" s="47"/>
      <c r="E93" s="30"/>
    </row>
    <row r="94" spans="1:77" ht="21.75" customHeight="1">
      <c r="A94" s="71"/>
      <c r="B94" s="72" t="s">
        <v>58</v>
      </c>
      <c r="C94" s="73"/>
      <c r="D94" s="74"/>
      <c r="E94" s="75">
        <f>+E92*12</f>
        <v>487011.09099015134</v>
      </c>
      <c r="F94" s="65"/>
      <c r="G94" s="75">
        <f>+G92*12</f>
        <v>275279.8107190046</v>
      </c>
      <c r="H94" s="26"/>
      <c r="I94" s="26"/>
      <c r="J94" s="26"/>
      <c r="BW94"/>
      <c r="BX94"/>
      <c r="BY94"/>
    </row>
    <row r="95" spans="1:77" s="26" customFormat="1">
      <c r="A95" s="47"/>
    </row>
    <row r="96" spans="1:77" s="26" customFormat="1">
      <c r="A96" s="47"/>
      <c r="E96" s="30"/>
      <c r="G96" s="30"/>
    </row>
    <row r="97" spans="1:7" s="26" customFormat="1">
      <c r="A97" s="47"/>
      <c r="E97" s="32"/>
      <c r="G97" s="32"/>
    </row>
    <row r="98" spans="1:7" s="26" customFormat="1">
      <c r="A98" s="47"/>
      <c r="E98" s="29"/>
      <c r="G98" s="29"/>
    </row>
    <row r="99" spans="1:7" s="26" customFormat="1">
      <c r="A99" s="47"/>
    </row>
    <row r="100" spans="1:7" s="26" customFormat="1">
      <c r="A100" s="47"/>
      <c r="E100" s="44"/>
      <c r="F100" s="46"/>
      <c r="G100" s="44"/>
    </row>
    <row r="101" spans="1:7" s="26" customFormat="1">
      <c r="A101" s="47"/>
    </row>
    <row r="102" spans="1:7" s="26" customFormat="1">
      <c r="A102" s="47"/>
    </row>
    <row r="103" spans="1:7" s="26" customFormat="1">
      <c r="A103" s="47"/>
    </row>
    <row r="104" spans="1:7" s="26" customFormat="1">
      <c r="A104" s="47"/>
    </row>
    <row r="105" spans="1:7" s="26" customFormat="1">
      <c r="A105" s="47"/>
    </row>
    <row r="106" spans="1:7" s="26" customFormat="1">
      <c r="A106" s="47"/>
    </row>
    <row r="107" spans="1:7" s="26" customFormat="1">
      <c r="A107" s="47"/>
    </row>
    <row r="108" spans="1:7" s="26" customFormat="1">
      <c r="A108" s="47"/>
    </row>
    <row r="109" spans="1:7" s="26" customFormat="1">
      <c r="A109" s="47"/>
    </row>
    <row r="110" spans="1:7" s="26" customFormat="1">
      <c r="A110" s="47"/>
    </row>
    <row r="111" spans="1:7" s="26" customFormat="1">
      <c r="A111" s="47"/>
    </row>
    <row r="112" spans="1:7" s="26" customFormat="1">
      <c r="A112" s="47"/>
    </row>
    <row r="113" spans="1:1" s="26" customFormat="1">
      <c r="A113" s="47"/>
    </row>
    <row r="114" spans="1:1" s="26" customFormat="1">
      <c r="A114" s="47"/>
    </row>
    <row r="115" spans="1:1" s="26" customFormat="1">
      <c r="A115" s="47"/>
    </row>
    <row r="116" spans="1:1" s="26" customFormat="1">
      <c r="A116" s="47"/>
    </row>
    <row r="117" spans="1:1" s="26" customFormat="1">
      <c r="A117" s="47"/>
    </row>
    <row r="118" spans="1:1" s="26" customFormat="1">
      <c r="A118" s="47"/>
    </row>
    <row r="119" spans="1:1" s="26" customFormat="1">
      <c r="A119" s="47"/>
    </row>
    <row r="120" spans="1:1" s="26" customFormat="1">
      <c r="A120" s="47"/>
    </row>
    <row r="121" spans="1:1" s="26" customFormat="1">
      <c r="A121" s="47"/>
    </row>
    <row r="122" spans="1:1" s="26" customFormat="1">
      <c r="A122" s="47"/>
    </row>
    <row r="123" spans="1:1" s="26" customFormat="1">
      <c r="A123" s="47"/>
    </row>
    <row r="124" spans="1:1" s="26" customFormat="1">
      <c r="A124" s="47"/>
    </row>
    <row r="125" spans="1:1" s="26" customFormat="1">
      <c r="A125" s="47"/>
    </row>
    <row r="126" spans="1:1" s="26" customFormat="1">
      <c r="A126" s="47"/>
    </row>
    <row r="127" spans="1:1" s="26" customFormat="1">
      <c r="A127" s="47"/>
    </row>
    <row r="128" spans="1:1" s="26" customFormat="1">
      <c r="A128" s="47"/>
    </row>
    <row r="129" spans="1:1" s="26" customFormat="1">
      <c r="A129" s="47"/>
    </row>
    <row r="130" spans="1:1" s="26" customFormat="1">
      <c r="A130" s="47"/>
    </row>
    <row r="131" spans="1:1" s="26" customFormat="1">
      <c r="A131" s="47"/>
    </row>
    <row r="132" spans="1:1" s="26" customFormat="1">
      <c r="A132" s="47"/>
    </row>
    <row r="133" spans="1:1" s="26" customFormat="1">
      <c r="A133" s="47"/>
    </row>
    <row r="134" spans="1:1" s="26" customFormat="1">
      <c r="A134" s="47"/>
    </row>
    <row r="135" spans="1:1" s="26" customFormat="1">
      <c r="A135" s="47"/>
    </row>
    <row r="136" spans="1:1" s="26" customFormat="1">
      <c r="A136" s="47"/>
    </row>
    <row r="137" spans="1:1" s="26" customFormat="1">
      <c r="A137" s="47"/>
    </row>
    <row r="138" spans="1:1" s="26" customFormat="1">
      <c r="A138" s="47"/>
    </row>
    <row r="139" spans="1:1" s="26" customFormat="1">
      <c r="A139" s="47"/>
    </row>
    <row r="140" spans="1:1" s="26" customFormat="1">
      <c r="A140" s="47"/>
    </row>
    <row r="141" spans="1:1" s="26" customFormat="1">
      <c r="A141" s="47"/>
    </row>
    <row r="142" spans="1:1" s="26" customFormat="1">
      <c r="A142" s="47"/>
    </row>
    <row r="143" spans="1:1" s="26" customFormat="1">
      <c r="A143" s="47"/>
    </row>
    <row r="144" spans="1:1" s="26" customFormat="1">
      <c r="A144" s="47"/>
    </row>
    <row r="145" spans="1:1" s="26" customFormat="1">
      <c r="A145" s="47"/>
    </row>
    <row r="146" spans="1:1" s="26" customFormat="1">
      <c r="A146" s="47"/>
    </row>
    <row r="147" spans="1:1" s="26" customFormat="1">
      <c r="A147" s="47"/>
    </row>
    <row r="148" spans="1:1" s="26" customFormat="1">
      <c r="A148" s="47"/>
    </row>
    <row r="149" spans="1:1" s="26" customFormat="1">
      <c r="A149" s="47"/>
    </row>
    <row r="150" spans="1:1" s="26" customFormat="1">
      <c r="A150" s="47"/>
    </row>
    <row r="151" spans="1:1" s="26" customFormat="1">
      <c r="A151" s="47"/>
    </row>
    <row r="152" spans="1:1" s="26" customFormat="1">
      <c r="A152" s="47"/>
    </row>
    <row r="153" spans="1:1" s="26" customFormat="1">
      <c r="A153" s="47"/>
    </row>
    <row r="154" spans="1:1" s="26" customFormat="1">
      <c r="A154" s="47"/>
    </row>
    <row r="155" spans="1:1" s="26" customFormat="1">
      <c r="A155" s="47"/>
    </row>
    <row r="156" spans="1:1" s="26" customFormat="1">
      <c r="A156" s="47"/>
    </row>
    <row r="157" spans="1:1" s="26" customFormat="1">
      <c r="A157" s="47"/>
    </row>
    <row r="158" spans="1:1" s="26" customFormat="1">
      <c r="A158" s="47"/>
    </row>
    <row r="159" spans="1:1" s="26" customFormat="1">
      <c r="A159" s="47"/>
    </row>
    <row r="160" spans="1:1" s="26" customFormat="1">
      <c r="A160" s="47"/>
    </row>
    <row r="161" spans="1:1" s="26" customFormat="1">
      <c r="A161" s="47"/>
    </row>
    <row r="162" spans="1:1" s="26" customFormat="1">
      <c r="A162" s="47"/>
    </row>
    <row r="163" spans="1:1" s="26" customFormat="1">
      <c r="A163" s="47"/>
    </row>
    <row r="164" spans="1:1" s="26" customFormat="1">
      <c r="A164" s="47"/>
    </row>
    <row r="165" spans="1:1" s="26" customFormat="1">
      <c r="A165" s="47"/>
    </row>
    <row r="166" spans="1:1" s="26" customFormat="1">
      <c r="A166" s="47"/>
    </row>
    <row r="167" spans="1:1" s="26" customFormat="1">
      <c r="A167" s="47"/>
    </row>
    <row r="168" spans="1:1" s="26" customFormat="1">
      <c r="A168" s="47"/>
    </row>
    <row r="169" spans="1:1" s="26" customFormat="1">
      <c r="A169" s="47"/>
    </row>
    <row r="170" spans="1:1" s="26" customFormat="1">
      <c r="A170" s="47"/>
    </row>
    <row r="171" spans="1:1" s="26" customFormat="1">
      <c r="A171" s="47"/>
    </row>
    <row r="172" spans="1:1" s="26" customFormat="1">
      <c r="A172" s="47"/>
    </row>
    <row r="173" spans="1:1" s="26" customFormat="1">
      <c r="A173" s="47"/>
    </row>
    <row r="174" spans="1:1" s="26" customFormat="1">
      <c r="A174" s="47"/>
    </row>
    <row r="175" spans="1:1" s="26" customFormat="1">
      <c r="A175" s="47"/>
    </row>
    <row r="176" spans="1:1" s="26" customFormat="1">
      <c r="A176" s="47"/>
    </row>
    <row r="177" spans="1:1" s="26" customFormat="1">
      <c r="A177" s="47"/>
    </row>
    <row r="178" spans="1:1" s="26" customFormat="1">
      <c r="A178" s="47"/>
    </row>
    <row r="179" spans="1:1" s="26" customFormat="1">
      <c r="A179" s="47"/>
    </row>
    <row r="180" spans="1:1" s="26" customFormat="1">
      <c r="A180" s="47"/>
    </row>
    <row r="181" spans="1:1" s="26" customFormat="1">
      <c r="A181" s="47"/>
    </row>
    <row r="182" spans="1:1" s="26" customFormat="1">
      <c r="A182" s="47"/>
    </row>
    <row r="183" spans="1:1" s="26" customFormat="1">
      <c r="A183" s="47"/>
    </row>
    <row r="184" spans="1:1" s="26" customFormat="1">
      <c r="A184" s="47"/>
    </row>
    <row r="185" spans="1:1" s="26" customFormat="1">
      <c r="A185" s="47"/>
    </row>
    <row r="186" spans="1:1" s="26" customFormat="1">
      <c r="A186" s="47"/>
    </row>
    <row r="187" spans="1:1" s="26" customFormat="1">
      <c r="A187" s="47"/>
    </row>
    <row r="188" spans="1:1" s="26" customFormat="1">
      <c r="A188" s="47"/>
    </row>
    <row r="189" spans="1:1" s="26" customFormat="1">
      <c r="A189" s="47"/>
    </row>
    <row r="190" spans="1:1" s="26" customFormat="1">
      <c r="A190" s="47"/>
    </row>
    <row r="191" spans="1:1" s="26" customFormat="1">
      <c r="A191" s="47"/>
    </row>
    <row r="192" spans="1:1" s="26" customFormat="1">
      <c r="A192" s="47"/>
    </row>
    <row r="193" spans="1:1" s="26" customFormat="1">
      <c r="A193" s="47"/>
    </row>
    <row r="194" spans="1:1" s="26" customFormat="1">
      <c r="A194" s="47"/>
    </row>
    <row r="195" spans="1:1" s="26" customFormat="1">
      <c r="A195" s="47"/>
    </row>
    <row r="196" spans="1:1" s="26" customFormat="1">
      <c r="A196" s="47"/>
    </row>
    <row r="197" spans="1:1" s="26" customFormat="1">
      <c r="A197" s="47"/>
    </row>
    <row r="198" spans="1:1" s="26" customFormat="1">
      <c r="A198" s="47"/>
    </row>
    <row r="199" spans="1:1" s="26" customFormat="1">
      <c r="A199" s="47"/>
    </row>
    <row r="200" spans="1:1" s="26" customFormat="1">
      <c r="A200" s="47"/>
    </row>
    <row r="201" spans="1:1" s="26" customFormat="1">
      <c r="A201" s="47"/>
    </row>
    <row r="202" spans="1:1" s="26" customFormat="1">
      <c r="A202" s="47"/>
    </row>
    <row r="203" spans="1:1" s="26" customFormat="1">
      <c r="A203" s="47"/>
    </row>
    <row r="204" spans="1:1" s="26" customFormat="1">
      <c r="A204" s="47"/>
    </row>
    <row r="205" spans="1:1" s="26" customFormat="1">
      <c r="A205" s="47"/>
    </row>
    <row r="206" spans="1:1" s="26" customFormat="1">
      <c r="A206" s="47"/>
    </row>
    <row r="207" spans="1:1" s="26" customFormat="1">
      <c r="A207" s="47"/>
    </row>
    <row r="208" spans="1:1" s="26" customFormat="1">
      <c r="A208" s="47"/>
    </row>
    <row r="209" spans="1:1" s="26" customFormat="1">
      <c r="A209" s="47"/>
    </row>
    <row r="210" spans="1:1" s="26" customFormat="1">
      <c r="A210" s="47"/>
    </row>
    <row r="211" spans="1:1" s="26" customFormat="1">
      <c r="A211" s="47"/>
    </row>
    <row r="212" spans="1:1" s="26" customFormat="1">
      <c r="A212" s="47"/>
    </row>
    <row r="213" spans="1:1" s="26" customFormat="1">
      <c r="A213" s="47"/>
    </row>
    <row r="214" spans="1:1" s="26" customFormat="1">
      <c r="A214" s="47"/>
    </row>
    <row r="215" spans="1:1" s="26" customFormat="1">
      <c r="A215" s="47"/>
    </row>
    <row r="216" spans="1:1" s="26" customFormat="1">
      <c r="A216" s="47"/>
    </row>
    <row r="217" spans="1:1" s="26" customFormat="1">
      <c r="A217" s="47"/>
    </row>
    <row r="218" spans="1:1" s="26" customFormat="1">
      <c r="A218" s="47"/>
    </row>
    <row r="219" spans="1:1" s="26" customFormat="1">
      <c r="A219" s="47"/>
    </row>
    <row r="220" spans="1:1" s="26" customFormat="1">
      <c r="A220" s="47"/>
    </row>
    <row r="221" spans="1:1" s="26" customFormat="1">
      <c r="A221" s="47"/>
    </row>
    <row r="222" spans="1:1" s="26" customFormat="1">
      <c r="A222" s="47"/>
    </row>
    <row r="223" spans="1:1" s="26" customFormat="1">
      <c r="A223" s="47"/>
    </row>
    <row r="224" spans="1:1" s="26" customFormat="1">
      <c r="A224" s="47"/>
    </row>
    <row r="225" spans="1:1" s="26" customFormat="1">
      <c r="A225" s="47"/>
    </row>
    <row r="226" spans="1:1" s="26" customFormat="1">
      <c r="A226" s="47"/>
    </row>
  </sheetData>
  <pageMargins left="1" right="1" top="1" bottom="1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Z225"/>
  <sheetViews>
    <sheetView topLeftCell="A83" zoomScaleNormal="100" workbookViewId="0">
      <selection activeCell="E93" sqref="E93"/>
    </sheetView>
  </sheetViews>
  <sheetFormatPr defaultRowHeight="15"/>
  <cols>
    <col min="1" max="1" width="6.5703125" style="7" bestFit="1" customWidth="1"/>
    <col min="2" max="2" width="57.140625" customWidth="1"/>
    <col min="3" max="3" width="8.5703125" customWidth="1"/>
    <col min="4" max="4" width="1.5703125" customWidth="1"/>
    <col min="5" max="5" width="16.5703125" customWidth="1"/>
    <col min="6" max="6" width="5.85546875" style="26" customWidth="1"/>
    <col min="7" max="7" width="16.5703125" customWidth="1"/>
    <col min="8" max="8" width="9.5703125" style="26" bestFit="1" customWidth="1"/>
    <col min="9" max="9" width="9.140625" style="26"/>
    <col min="10" max="10" width="9.5703125" style="26" bestFit="1" customWidth="1"/>
    <col min="11" max="11" width="9.140625" style="26"/>
    <col min="12" max="12" width="25" style="26" customWidth="1"/>
    <col min="13" max="14" width="9.140625" style="26"/>
    <col min="15" max="15" width="9.5703125" style="26" bestFit="1" customWidth="1"/>
    <col min="16" max="78" width="9.140625" style="26"/>
  </cols>
  <sheetData>
    <row r="1" spans="1:12" s="26" customFormat="1">
      <c r="A1" s="47"/>
      <c r="B1" s="50"/>
      <c r="E1" s="117"/>
    </row>
    <row r="2" spans="1:12" s="26" customFormat="1" ht="22.5" customHeight="1">
      <c r="A2" s="47"/>
      <c r="B2" s="76" t="str">
        <f>DIURNO!B2</f>
        <v>ESTIMATIVA COM GUARITA</v>
      </c>
      <c r="E2" s="120" t="s">
        <v>92</v>
      </c>
      <c r="G2" s="120" t="s">
        <v>91</v>
      </c>
    </row>
    <row r="3" spans="1:12" s="26" customFormat="1" ht="15.75">
      <c r="A3" s="47"/>
      <c r="B3" s="67" t="s">
        <v>41</v>
      </c>
      <c r="C3" s="48"/>
      <c r="E3" s="121">
        <v>4</v>
      </c>
      <c r="G3" s="121">
        <v>2</v>
      </c>
    </row>
    <row r="4" spans="1:12">
      <c r="A4" s="50"/>
      <c r="B4" s="51" t="s">
        <v>90</v>
      </c>
      <c r="C4" s="26"/>
      <c r="D4" s="26"/>
      <c r="E4" s="114">
        <v>2025</v>
      </c>
      <c r="G4" s="43">
        <f>E4</f>
        <v>2025</v>
      </c>
    </row>
    <row r="5" spans="1:12">
      <c r="A5" s="7" t="s">
        <v>47</v>
      </c>
      <c r="B5" s="78" t="s">
        <v>62</v>
      </c>
      <c r="C5" s="3"/>
      <c r="D5" s="7"/>
      <c r="E5" s="9"/>
      <c r="G5" s="9"/>
    </row>
    <row r="6" spans="1:12">
      <c r="A6" s="7" t="s">
        <v>7</v>
      </c>
      <c r="B6" t="s">
        <v>73</v>
      </c>
      <c r="E6" s="12">
        <v>2148.2199999999998</v>
      </c>
      <c r="G6" s="17">
        <f>E6</f>
        <v>2148.2199999999998</v>
      </c>
      <c r="H6"/>
    </row>
    <row r="7" spans="1:12">
      <c r="A7" s="7" t="s">
        <v>9</v>
      </c>
      <c r="B7" t="s">
        <v>6</v>
      </c>
      <c r="E7" s="12">
        <f>+E6*0.3</f>
        <v>644.46599999999989</v>
      </c>
      <c r="G7" s="12">
        <f>+G6*0.3</f>
        <v>644.46599999999989</v>
      </c>
    </row>
    <row r="8" spans="1:12">
      <c r="A8" s="7" t="s">
        <v>12</v>
      </c>
      <c r="B8" t="s">
        <v>5</v>
      </c>
      <c r="E8" s="12">
        <f>(E7+E6)/220*20%*7*15.22</f>
        <v>270.48433312727275</v>
      </c>
      <c r="G8" s="12">
        <f>(G7+G6+G10)/220*20%*7*15.22</f>
        <v>291.2908202909091</v>
      </c>
    </row>
    <row r="9" spans="1:12">
      <c r="A9" s="7" t="s">
        <v>13</v>
      </c>
      <c r="B9" t="s">
        <v>74</v>
      </c>
      <c r="E9" s="12">
        <f>(((E10+E6+E7)/220)*15.22*1.2)</f>
        <v>231.84371410909091</v>
      </c>
      <c r="G9" s="12">
        <f>(((G10+G6+G7)/220)*15.22*1.2)</f>
        <v>249.67784596363637</v>
      </c>
      <c r="J9" s="124"/>
    </row>
    <row r="10" spans="1:12">
      <c r="A10" s="7" t="s">
        <v>16</v>
      </c>
      <c r="B10" t="s">
        <v>93</v>
      </c>
      <c r="E10" s="12"/>
      <c r="G10" s="12">
        <f>G6*0.1</f>
        <v>214.822</v>
      </c>
      <c r="I10" s="125"/>
      <c r="K10" s="125"/>
    </row>
    <row r="11" spans="1:12">
      <c r="A11" s="19"/>
      <c r="B11" s="15" t="s">
        <v>46</v>
      </c>
      <c r="C11" s="69"/>
      <c r="E11" s="16">
        <f>SUM(E6:E10)</f>
        <v>3295.0140472363632</v>
      </c>
      <c r="G11" s="16">
        <f>SUM(G6:G10)</f>
        <v>3548.4766662545453</v>
      </c>
    </row>
    <row r="12" spans="1:12" s="26" customFormat="1">
      <c r="A12" s="49"/>
      <c r="B12" s="44"/>
      <c r="C12" s="44"/>
      <c r="E12" s="68"/>
      <c r="G12" s="68"/>
      <c r="L12" s="126"/>
    </row>
    <row r="13" spans="1:12">
      <c r="A13" s="7" t="s">
        <v>47</v>
      </c>
      <c r="B13" s="78" t="s">
        <v>63</v>
      </c>
      <c r="C13" s="3"/>
      <c r="D13" s="7"/>
      <c r="E13" s="9"/>
      <c r="G13" s="9"/>
    </row>
    <row r="14" spans="1:12">
      <c r="A14" s="37" t="s">
        <v>7</v>
      </c>
      <c r="B14" t="s">
        <v>3</v>
      </c>
      <c r="C14" s="38">
        <v>8.3299999999999999E-2</v>
      </c>
      <c r="E14" s="14">
        <f>+C14*$E$11</f>
        <v>274.47467013478905</v>
      </c>
      <c r="F14" s="58"/>
      <c r="G14" s="14">
        <f>+C14*$G$11</f>
        <v>295.58810629900364</v>
      </c>
      <c r="H14" s="30"/>
    </row>
    <row r="15" spans="1:12">
      <c r="A15" s="37" t="s">
        <v>9</v>
      </c>
      <c r="B15" t="s">
        <v>61</v>
      </c>
      <c r="C15" s="38">
        <f>2.78%</f>
        <v>2.7799999999999998E-2</v>
      </c>
      <c r="E15" s="14">
        <f>+C15*$E$11</f>
        <v>91.601390513170898</v>
      </c>
      <c r="F15" s="58"/>
      <c r="G15" s="14">
        <f>+C15*$G$11</f>
        <v>98.647651321876353</v>
      </c>
      <c r="H15" s="30"/>
      <c r="J15" s="124"/>
    </row>
    <row r="16" spans="1:12">
      <c r="A16" s="37" t="s">
        <v>10</v>
      </c>
      <c r="B16" t="s">
        <v>21</v>
      </c>
      <c r="C16" s="38">
        <f>SUM(C14:C15)*C28</f>
        <v>4.0884800000000006E-2</v>
      </c>
      <c r="E16" s="14">
        <f>E11*C16</f>
        <v>134.71599031844929</v>
      </c>
      <c r="F16" s="58"/>
      <c r="G16" s="14">
        <f>G11*C16</f>
        <v>145.07875880448387</v>
      </c>
    </row>
    <row r="17" spans="1:78">
      <c r="A17" s="19"/>
      <c r="B17" s="15" t="s">
        <v>22</v>
      </c>
      <c r="C17" s="84">
        <f>SUM(C14:C16)</f>
        <v>0.1519848</v>
      </c>
      <c r="E17" s="16">
        <f>SUM(E14:E16)</f>
        <v>500.79205096640919</v>
      </c>
      <c r="G17" s="16">
        <f>SUM(G14:G16)</f>
        <v>539.31451642536388</v>
      </c>
      <c r="I17" s="127"/>
    </row>
    <row r="18" spans="1:78" s="26" customFormat="1">
      <c r="A18" s="49"/>
      <c r="B18" s="44"/>
      <c r="C18" s="44"/>
      <c r="E18" s="68"/>
      <c r="G18" s="68"/>
    </row>
    <row r="19" spans="1:78">
      <c r="A19" s="7" t="s">
        <v>48</v>
      </c>
      <c r="B19" s="85" t="s">
        <v>65</v>
      </c>
      <c r="C19" s="3"/>
      <c r="D19" s="7"/>
      <c r="E19" s="9"/>
      <c r="G19" s="9"/>
    </row>
    <row r="20" spans="1:78">
      <c r="A20" s="7" t="s">
        <v>7</v>
      </c>
      <c r="B20" t="s">
        <v>23</v>
      </c>
      <c r="C20" s="1">
        <v>0.2</v>
      </c>
      <c r="E20" s="14">
        <f>(+$E$11+$E$17)*C20</f>
        <v>759.16121964055446</v>
      </c>
      <c r="F20" s="58"/>
      <c r="G20" s="14">
        <f>(+$G$11+$G$17)*C20</f>
        <v>817.55823653598191</v>
      </c>
    </row>
    <row r="21" spans="1:78">
      <c r="A21" s="7" t="s">
        <v>9</v>
      </c>
      <c r="B21" t="s">
        <v>1</v>
      </c>
      <c r="C21" s="1">
        <v>2.5000000000000001E-2</v>
      </c>
      <c r="E21" s="14">
        <f>(+$E$11+$E$17)*C21</f>
        <v>94.895152455069308</v>
      </c>
      <c r="F21" s="58"/>
      <c r="G21" s="14">
        <f t="shared" ref="G21:G27" si="0">(+$G$11+$G$17)*C21</f>
        <v>102.19477956699774</v>
      </c>
    </row>
    <row r="22" spans="1:78">
      <c r="A22" s="7" t="s">
        <v>10</v>
      </c>
      <c r="B22" t="s">
        <v>27</v>
      </c>
      <c r="C22" s="18">
        <v>0.03</v>
      </c>
      <c r="E22" s="14">
        <f t="shared" ref="E22:E27" si="1">(+$E$11+$E$17)*C22</f>
        <v>113.87418294608317</v>
      </c>
      <c r="F22" s="58"/>
      <c r="G22" s="14">
        <f t="shared" si="0"/>
        <v>122.63373548039726</v>
      </c>
    </row>
    <row r="23" spans="1:78">
      <c r="A23" s="7" t="s">
        <v>12</v>
      </c>
      <c r="B23" t="s">
        <v>24</v>
      </c>
      <c r="C23" s="1">
        <v>1.4999999999999999E-2</v>
      </c>
      <c r="E23" s="14">
        <f t="shared" si="1"/>
        <v>56.937091473041583</v>
      </c>
      <c r="F23" s="58"/>
      <c r="G23" s="14">
        <f t="shared" si="0"/>
        <v>61.316867740198632</v>
      </c>
    </row>
    <row r="24" spans="1:78">
      <c r="A24" s="7" t="s">
        <v>13</v>
      </c>
      <c r="B24" t="s">
        <v>25</v>
      </c>
      <c r="C24" s="1">
        <v>0.01</v>
      </c>
      <c r="E24" s="14">
        <f t="shared" si="1"/>
        <v>37.958060982027725</v>
      </c>
      <c r="F24" s="58"/>
      <c r="G24" s="14">
        <f t="shared" si="0"/>
        <v>40.877911826799092</v>
      </c>
    </row>
    <row r="25" spans="1:78">
      <c r="A25" s="7" t="s">
        <v>15</v>
      </c>
      <c r="B25" t="s">
        <v>2</v>
      </c>
      <c r="C25" s="1">
        <v>6.0000000000000001E-3</v>
      </c>
      <c r="E25" s="14">
        <f t="shared" si="1"/>
        <v>22.774836589216633</v>
      </c>
      <c r="F25" s="58"/>
      <c r="G25" s="14">
        <f t="shared" si="0"/>
        <v>24.526747096079454</v>
      </c>
    </row>
    <row r="26" spans="1:78">
      <c r="A26" s="7" t="s">
        <v>16</v>
      </c>
      <c r="B26" t="s">
        <v>0</v>
      </c>
      <c r="C26" s="1">
        <v>2E-3</v>
      </c>
      <c r="E26" s="14">
        <f t="shared" si="1"/>
        <v>7.5916121964055447</v>
      </c>
      <c r="F26" s="58"/>
      <c r="G26" s="14">
        <f t="shared" si="0"/>
        <v>8.1755823653598192</v>
      </c>
    </row>
    <row r="27" spans="1:78">
      <c r="A27" s="7" t="s">
        <v>17</v>
      </c>
      <c r="B27" t="s">
        <v>26</v>
      </c>
      <c r="C27" s="1">
        <v>0.08</v>
      </c>
      <c r="E27" s="14">
        <f t="shared" si="1"/>
        <v>303.6644878562218</v>
      </c>
      <c r="F27" s="58"/>
      <c r="G27" s="14">
        <f t="shared" si="0"/>
        <v>327.02329461439274</v>
      </c>
    </row>
    <row r="28" spans="1:78">
      <c r="A28" s="19"/>
      <c r="B28" s="15" t="s">
        <v>37</v>
      </c>
      <c r="C28" s="84">
        <f>SUM(C20:C27)</f>
        <v>0.36800000000000005</v>
      </c>
      <c r="E28" s="16">
        <f>SUM(E20:E27)</f>
        <v>1396.8566441386201</v>
      </c>
      <c r="G28" s="16">
        <f>SUM(G20:G27)</f>
        <v>1504.3071552262068</v>
      </c>
      <c r="L28" s="44"/>
    </row>
    <row r="29" spans="1:78" s="26" customFormat="1">
      <c r="A29" s="49"/>
      <c r="B29" s="44"/>
      <c r="C29" s="44"/>
      <c r="E29" s="68"/>
      <c r="G29" s="68"/>
      <c r="O29" s="29"/>
    </row>
    <row r="30" spans="1:78">
      <c r="A30" s="7" t="s">
        <v>49</v>
      </c>
      <c r="B30" s="78" t="s">
        <v>64</v>
      </c>
      <c r="C30" s="3"/>
      <c r="D30" s="7"/>
      <c r="E30" s="9"/>
      <c r="G30" s="9"/>
      <c r="O30" s="29"/>
    </row>
    <row r="31" spans="1:78" s="2" customFormat="1">
      <c r="A31" s="7" t="s">
        <v>7</v>
      </c>
      <c r="B31" t="s">
        <v>8</v>
      </c>
      <c r="C31"/>
      <c r="D31"/>
      <c r="E31" s="14">
        <f>-(E6*6%)+(5*2*15.22)</f>
        <v>23.306800000000038</v>
      </c>
      <c r="F31" s="26"/>
      <c r="G31" s="14">
        <f>-(G6*6%)+(5*2*15.22)</f>
        <v>23.306800000000038</v>
      </c>
      <c r="H31" s="26"/>
      <c r="I31" s="26"/>
      <c r="J31" s="26"/>
      <c r="K31" s="26"/>
      <c r="L31" s="26"/>
      <c r="M31" s="26"/>
      <c r="N31" s="26"/>
      <c r="O31" s="26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</row>
    <row r="32" spans="1:78">
      <c r="A32" s="7" t="s">
        <v>9</v>
      </c>
      <c r="B32" t="s">
        <v>75</v>
      </c>
      <c r="E32" s="17">
        <f>(39-(39*18%))*15.22</f>
        <v>486.73560000000003</v>
      </c>
      <c r="G32" s="17">
        <f>(37-(37*18%))*15.22</f>
        <v>461.77480000000003</v>
      </c>
      <c r="M32" s="29"/>
    </row>
    <row r="33" spans="1:34">
      <c r="A33" s="7" t="s">
        <v>10</v>
      </c>
      <c r="B33" t="s">
        <v>76</v>
      </c>
      <c r="E33" s="17">
        <v>0</v>
      </c>
      <c r="G33" s="17">
        <v>0</v>
      </c>
      <c r="O33" s="30"/>
    </row>
    <row r="34" spans="1:34">
      <c r="A34" s="7" t="s">
        <v>12</v>
      </c>
      <c r="B34" t="s">
        <v>11</v>
      </c>
      <c r="E34" s="134">
        <f>197.12*0.95</f>
        <v>187.26399999999998</v>
      </c>
      <c r="G34" s="134">
        <f>197.12*0.95</f>
        <v>187.26399999999998</v>
      </c>
      <c r="O34" s="29"/>
    </row>
    <row r="35" spans="1:34">
      <c r="A35" s="7" t="s">
        <v>13</v>
      </c>
      <c r="B35" t="s">
        <v>14</v>
      </c>
      <c r="C35" s="1"/>
      <c r="E35" s="17">
        <v>14.99</v>
      </c>
      <c r="G35" s="122">
        <v>14.99</v>
      </c>
    </row>
    <row r="36" spans="1:34">
      <c r="A36" s="19"/>
      <c r="B36" s="86" t="s">
        <v>18</v>
      </c>
      <c r="C36" s="84"/>
      <c r="E36" s="16">
        <f>SUM(E31:E35)</f>
        <v>712.29640000000006</v>
      </c>
      <c r="G36" s="16">
        <f>SUM(G31:G35)</f>
        <v>687.33560000000011</v>
      </c>
      <c r="O36" s="30"/>
    </row>
    <row r="37" spans="1:34" s="26" customFormat="1">
      <c r="A37" s="49"/>
      <c r="B37" s="44"/>
      <c r="C37" s="44"/>
      <c r="E37" s="68"/>
      <c r="G37" s="68"/>
    </row>
    <row r="38" spans="1:34">
      <c r="A38" s="7">
        <v>3</v>
      </c>
      <c r="B38" s="78" t="s">
        <v>50</v>
      </c>
      <c r="C38" s="3"/>
      <c r="D38" s="7"/>
      <c r="E38" s="9"/>
      <c r="G38" s="9"/>
    </row>
    <row r="39" spans="1:34" s="79" customFormat="1">
      <c r="A39" s="80" t="s">
        <v>7</v>
      </c>
      <c r="B39" s="79" t="s">
        <v>51</v>
      </c>
      <c r="C39" s="81">
        <v>9.1999999999999998E-3</v>
      </c>
      <c r="E39" s="82">
        <f>+C39*$E$11</f>
        <v>30.314129234574541</v>
      </c>
      <c r="F39" s="83"/>
      <c r="G39" s="82">
        <f>+C39*$G$11</f>
        <v>32.645985329541816</v>
      </c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</row>
    <row r="40" spans="1:34">
      <c r="A40" s="37" t="s">
        <v>9</v>
      </c>
      <c r="B40" t="s">
        <v>52</v>
      </c>
      <c r="C40" s="38">
        <f>C27*C39</f>
        <v>7.36E-4</v>
      </c>
      <c r="E40" s="82">
        <f t="shared" ref="E40:E44" si="2">+C40*$E$11</f>
        <v>2.4251303387659635</v>
      </c>
      <c r="F40" s="58"/>
      <c r="G40" s="82">
        <f>+C40*$G$11</f>
        <v>2.6116788263633453</v>
      </c>
    </row>
    <row r="41" spans="1:34">
      <c r="A41" s="37" t="s">
        <v>13</v>
      </c>
      <c r="B41" t="s">
        <v>66</v>
      </c>
      <c r="C41" s="38">
        <v>0.02</v>
      </c>
      <c r="E41" s="82">
        <f t="shared" si="2"/>
        <v>65.900280944727271</v>
      </c>
      <c r="F41" s="58"/>
      <c r="G41" s="82">
        <f t="shared" ref="G41:G44" si="3">+C41*$G$11</f>
        <v>70.969533325090907</v>
      </c>
    </row>
    <row r="42" spans="1:34">
      <c r="A42" s="37" t="s">
        <v>10</v>
      </c>
      <c r="B42" t="s">
        <v>53</v>
      </c>
      <c r="C42" s="38">
        <v>1.9400000000000001E-2</v>
      </c>
      <c r="E42" s="82">
        <f t="shared" si="2"/>
        <v>63.923272516385445</v>
      </c>
      <c r="F42" s="58"/>
      <c r="G42" s="82">
        <f t="shared" si="3"/>
        <v>68.840447325338175</v>
      </c>
    </row>
    <row r="43" spans="1:34">
      <c r="A43" s="37" t="s">
        <v>12</v>
      </c>
      <c r="B43" t="s">
        <v>54</v>
      </c>
      <c r="C43" s="38">
        <f>C28*C42</f>
        <v>7.1392000000000009E-3</v>
      </c>
      <c r="E43" s="82">
        <f t="shared" si="2"/>
        <v>23.523764286029849</v>
      </c>
      <c r="F43" s="58"/>
      <c r="G43" s="82">
        <f t="shared" si="3"/>
        <v>25.333284615724452</v>
      </c>
    </row>
    <row r="44" spans="1:34">
      <c r="A44" s="37" t="s">
        <v>13</v>
      </c>
      <c r="B44" t="s">
        <v>67</v>
      </c>
      <c r="C44" s="38">
        <v>0.02</v>
      </c>
      <c r="E44" s="82">
        <f t="shared" si="2"/>
        <v>65.900280944727271</v>
      </c>
      <c r="F44" s="58"/>
      <c r="G44" s="82">
        <f t="shared" si="3"/>
        <v>70.969533325090907</v>
      </c>
    </row>
    <row r="45" spans="1:34">
      <c r="A45" s="19"/>
      <c r="B45" s="15" t="s">
        <v>55</v>
      </c>
      <c r="C45" s="84">
        <f>SUM(C39:C44)</f>
        <v>7.6475200000000007E-2</v>
      </c>
      <c r="E45" s="16">
        <f>SUM(E39:E44)</f>
        <v>251.98685826521034</v>
      </c>
      <c r="G45" s="16">
        <f>SUM(G39:G44)</f>
        <v>271.37046274714965</v>
      </c>
    </row>
    <row r="46" spans="1:34" s="26" customFormat="1">
      <c r="A46" s="49"/>
      <c r="B46" s="44"/>
      <c r="C46" s="44"/>
      <c r="G46" s="68"/>
    </row>
    <row r="47" spans="1:34">
      <c r="A47" s="7">
        <v>4.0999999999999996</v>
      </c>
      <c r="B47" s="78" t="s">
        <v>56</v>
      </c>
      <c r="C47" s="3"/>
      <c r="D47" s="7"/>
      <c r="E47" s="9"/>
      <c r="G47" s="9"/>
    </row>
    <row r="48" spans="1:34">
      <c r="A48" s="37" t="s">
        <v>7</v>
      </c>
      <c r="B48" s="88" t="s">
        <v>103</v>
      </c>
      <c r="C48" s="90">
        <v>8.3299999999999999E-2</v>
      </c>
      <c r="E48" s="82">
        <f t="shared" ref="E48:E53" si="4">+C48*$E$11</f>
        <v>274.47467013478905</v>
      </c>
      <c r="F48" s="83"/>
      <c r="G48" s="82">
        <f>+C48*$G$11</f>
        <v>295.58810629900364</v>
      </c>
      <c r="J48" s="30"/>
    </row>
    <row r="49" spans="1:12">
      <c r="A49" s="37" t="s">
        <v>9</v>
      </c>
      <c r="B49" s="88" t="s">
        <v>79</v>
      </c>
      <c r="C49" s="90">
        <v>2.3900000000000001E-2</v>
      </c>
      <c r="E49" s="82">
        <f t="shared" si="4"/>
        <v>78.750835728949085</v>
      </c>
      <c r="F49" s="83"/>
      <c r="G49" s="82">
        <f t="shared" ref="G49:G53" si="5">+C49*$G$11</f>
        <v>84.808592323483637</v>
      </c>
      <c r="J49" s="29"/>
      <c r="K49" s="29"/>
      <c r="L49" s="98"/>
    </row>
    <row r="50" spans="1:12">
      <c r="A50" s="37" t="s">
        <v>10</v>
      </c>
      <c r="B50" s="88" t="s">
        <v>80</v>
      </c>
      <c r="C50" s="89">
        <v>8.0000000000000004E-4</v>
      </c>
      <c r="E50" s="82">
        <f t="shared" si="4"/>
        <v>2.6360112377890905</v>
      </c>
      <c r="F50" s="83"/>
      <c r="G50" s="82">
        <f t="shared" si="5"/>
        <v>2.8387813330036362</v>
      </c>
    </row>
    <row r="51" spans="1:12">
      <c r="A51" s="37" t="s">
        <v>12</v>
      </c>
      <c r="B51" s="88" t="s">
        <v>81</v>
      </c>
      <c r="C51" s="89">
        <v>5.0000000000000001E-3</v>
      </c>
      <c r="E51" s="82">
        <f t="shared" si="4"/>
        <v>16.475070236181818</v>
      </c>
      <c r="F51" s="83"/>
      <c r="G51" s="82">
        <f t="shared" si="5"/>
        <v>17.742383331272727</v>
      </c>
    </row>
    <row r="52" spans="1:12">
      <c r="A52" s="37" t="s">
        <v>13</v>
      </c>
      <c r="B52" s="88" t="s">
        <v>82</v>
      </c>
      <c r="C52" s="89">
        <v>1E-3</v>
      </c>
      <c r="E52" s="82">
        <f t="shared" si="4"/>
        <v>3.2950140472363634</v>
      </c>
      <c r="F52" s="83"/>
      <c r="G52" s="82">
        <f t="shared" si="5"/>
        <v>3.5484766662545453</v>
      </c>
      <c r="I52" s="127"/>
      <c r="J52" s="128"/>
    </row>
    <row r="53" spans="1:12" ht="21">
      <c r="A53" s="37" t="s">
        <v>15</v>
      </c>
      <c r="B53" s="88" t="s">
        <v>83</v>
      </c>
      <c r="C53" s="90">
        <f>SUM(C48:C52)*C28</f>
        <v>4.195200000000001E-2</v>
      </c>
      <c r="E53" s="82">
        <f t="shared" si="4"/>
        <v>138.23242930965995</v>
      </c>
      <c r="F53" s="83"/>
      <c r="G53" s="82">
        <f t="shared" si="5"/>
        <v>148.86569310271071</v>
      </c>
    </row>
    <row r="54" spans="1:12">
      <c r="A54" s="19"/>
      <c r="B54" s="15" t="s">
        <v>28</v>
      </c>
      <c r="C54" s="84">
        <f>SUM(C48:C53)</f>
        <v>0.15595200000000001</v>
      </c>
      <c r="E54" s="16">
        <f>SUM(E48:E53)</f>
        <v>513.86403069460539</v>
      </c>
      <c r="G54" s="16">
        <f>SUM(G48:G53)</f>
        <v>553.39203305572892</v>
      </c>
    </row>
    <row r="55" spans="1:12" s="26" customFormat="1">
      <c r="A55" s="49"/>
      <c r="B55" s="44"/>
      <c r="C55" s="44"/>
    </row>
    <row r="56" spans="1:12">
      <c r="A56" s="7">
        <v>4.2</v>
      </c>
      <c r="B56" s="78" t="s">
        <v>68</v>
      </c>
      <c r="C56" s="3"/>
      <c r="D56" s="7"/>
      <c r="E56" s="9"/>
      <c r="G56" s="9"/>
    </row>
    <row r="57" spans="1:12">
      <c r="A57" s="37" t="s">
        <v>7</v>
      </c>
      <c r="B57" t="s">
        <v>69</v>
      </c>
      <c r="C57" s="38"/>
      <c r="E57" s="100">
        <f>(+E6+E7)/220*1.6*15.22</f>
        <v>309.12495214545459</v>
      </c>
      <c r="G57" s="100">
        <f>(+G6+G7+G10)/220*1.6*15.22</f>
        <v>332.90379461818185</v>
      </c>
    </row>
    <row r="58" spans="1:12">
      <c r="A58" s="19"/>
      <c r="B58" s="86" t="s">
        <v>70</v>
      </c>
      <c r="C58" s="84"/>
      <c r="E58" s="16">
        <f>SUM(E57)</f>
        <v>309.12495214545459</v>
      </c>
      <c r="G58" s="16">
        <f>SUM(G57)</f>
        <v>332.90379461818185</v>
      </c>
    </row>
    <row r="59" spans="1:12" s="26" customFormat="1">
      <c r="A59" s="49"/>
      <c r="B59" s="44"/>
      <c r="C59" s="44"/>
      <c r="G59" s="68"/>
    </row>
    <row r="60" spans="1:12">
      <c r="A60" s="7">
        <v>5</v>
      </c>
      <c r="B60" s="78" t="s">
        <v>57</v>
      </c>
      <c r="C60" s="3"/>
      <c r="D60" s="7"/>
      <c r="E60" s="9"/>
      <c r="G60" s="9"/>
    </row>
    <row r="61" spans="1:12">
      <c r="A61" s="7" t="s">
        <v>7</v>
      </c>
      <c r="B61" t="s">
        <v>19</v>
      </c>
      <c r="C61" s="18"/>
      <c r="E61" s="14">
        <v>90</v>
      </c>
      <c r="F61" s="58"/>
      <c r="G61" s="14">
        <v>90</v>
      </c>
    </row>
    <row r="62" spans="1:12">
      <c r="A62" s="7" t="s">
        <v>9</v>
      </c>
      <c r="B62" t="s">
        <v>71</v>
      </c>
      <c r="C62" s="18"/>
      <c r="E62" s="14">
        <v>150</v>
      </c>
      <c r="F62" s="58"/>
      <c r="G62" s="14">
        <v>150</v>
      </c>
    </row>
    <row r="63" spans="1:12">
      <c r="A63" s="7" t="s">
        <v>10</v>
      </c>
      <c r="B63" t="s">
        <v>20</v>
      </c>
      <c r="C63" s="18"/>
      <c r="E63" s="14">
        <v>50</v>
      </c>
      <c r="F63" s="58"/>
      <c r="G63" s="14">
        <v>800</v>
      </c>
    </row>
    <row r="64" spans="1:12">
      <c r="A64" s="7" t="s">
        <v>12</v>
      </c>
      <c r="B64" t="s">
        <v>104</v>
      </c>
      <c r="C64" s="18"/>
      <c r="E64" s="14">
        <f>273.33*1.0749</f>
        <v>293.80241699999999</v>
      </c>
      <c r="F64" s="58"/>
      <c r="G64" s="14">
        <v>0</v>
      </c>
    </row>
    <row r="65" spans="1:7">
      <c r="A65" s="19"/>
      <c r="B65" s="86" t="s">
        <v>36</v>
      </c>
      <c r="C65" s="84"/>
      <c r="E65" s="16">
        <f>SUM(E61:E64)</f>
        <v>583.80241699999999</v>
      </c>
      <c r="G65" s="16">
        <f>SUM(G61:G64)</f>
        <v>1040</v>
      </c>
    </row>
    <row r="66" spans="1:7">
      <c r="A66" s="37"/>
      <c r="E66" s="33"/>
      <c r="F66" s="58"/>
      <c r="G66" s="33"/>
    </row>
    <row r="67" spans="1:7">
      <c r="A67" s="6"/>
      <c r="B67" s="4" t="s">
        <v>72</v>
      </c>
      <c r="C67" s="5">
        <f>+C17+C28+C45+C54</f>
        <v>0.75241199999999997</v>
      </c>
      <c r="E67" s="40">
        <f>+E11+E17+E28+E36+E45+E54+E65+E58-0.01</f>
        <v>7563.7274004466626</v>
      </c>
      <c r="F67" s="58"/>
      <c r="G67" s="40">
        <f>+G11+G17+G28+G36+G45+G54+G65</f>
        <v>8144.1964337089958</v>
      </c>
    </row>
    <row r="68" spans="1:7">
      <c r="A68" s="37"/>
      <c r="C68" s="38"/>
      <c r="E68" s="24"/>
      <c r="F68" s="58"/>
      <c r="G68" s="24"/>
    </row>
    <row r="69" spans="1:7">
      <c r="A69" s="37"/>
      <c r="B69" t="s">
        <v>34</v>
      </c>
      <c r="C69" s="38">
        <v>0.15</v>
      </c>
      <c r="E69" s="14">
        <f>+$C$69*E82</f>
        <v>1134.5606100669995</v>
      </c>
      <c r="F69" s="38"/>
      <c r="G69" s="14">
        <f>+$C$69*G82</f>
        <v>1271.5650342490765</v>
      </c>
    </row>
    <row r="70" spans="1:7">
      <c r="A70" s="37"/>
      <c r="B70" t="s">
        <v>105</v>
      </c>
      <c r="C70" s="38">
        <v>0.13250000000000001</v>
      </c>
      <c r="E70" s="14">
        <f>((+E69+E71+E82)*$C$70)/(100%-$C$70)</f>
        <v>1527.8422586190427</v>
      </c>
      <c r="F70" s="98"/>
      <c r="G70" s="14">
        <f>((+G69+G71+G82)*$C$70)/(100%-$C$70)</f>
        <v>1712.3376015966073</v>
      </c>
    </row>
    <row r="71" spans="1:7">
      <c r="A71" s="37" t="s">
        <v>10</v>
      </c>
      <c r="B71" t="s">
        <v>4</v>
      </c>
      <c r="C71" s="38">
        <v>0.15</v>
      </c>
      <c r="E71" s="14">
        <f>(E69+E82)*$C$71</f>
        <v>1304.7447015770495</v>
      </c>
      <c r="F71" s="38"/>
      <c r="G71" s="14">
        <f>(G69+G82)*$C$71</f>
        <v>1462.2997893864381</v>
      </c>
    </row>
    <row r="72" spans="1:7">
      <c r="A72" s="6"/>
      <c r="B72" s="4" t="s">
        <v>31</v>
      </c>
      <c r="C72" s="5">
        <f>SUM(C69:C71)</f>
        <v>0.4325</v>
      </c>
      <c r="E72" s="13">
        <f>SUM(E69:E71)</f>
        <v>3967.1475702630914</v>
      </c>
      <c r="G72" s="13">
        <f>SUM(G69:G71)+0.01</f>
        <v>4446.2124252321228</v>
      </c>
    </row>
    <row r="73" spans="1:7">
      <c r="A73" s="37"/>
      <c r="B73" s="2"/>
      <c r="E73" s="14"/>
      <c r="G73" s="14"/>
    </row>
    <row r="74" spans="1:7">
      <c r="A74" s="52" t="s">
        <v>29</v>
      </c>
      <c r="B74" s="41"/>
      <c r="C74" s="41"/>
      <c r="E74" s="11"/>
      <c r="G74" s="11"/>
    </row>
    <row r="75" spans="1:7" ht="6" customHeight="1">
      <c r="A75" s="37"/>
      <c r="E75" s="11"/>
      <c r="F75" s="30"/>
      <c r="G75" s="11"/>
    </row>
    <row r="76" spans="1:7">
      <c r="A76" s="37" t="s">
        <v>7</v>
      </c>
      <c r="B76" t="s">
        <v>85</v>
      </c>
      <c r="C76" s="38"/>
      <c r="E76" s="14">
        <f>E11</f>
        <v>3295.0140472363632</v>
      </c>
      <c r="F76" s="58"/>
      <c r="G76" s="14">
        <f>G11</f>
        <v>3548.4766662545453</v>
      </c>
    </row>
    <row r="77" spans="1:7">
      <c r="A77" s="37" t="s">
        <v>9</v>
      </c>
      <c r="B77" t="s">
        <v>86</v>
      </c>
      <c r="C77" s="38"/>
      <c r="E77" s="14">
        <f>E36</f>
        <v>712.29640000000006</v>
      </c>
      <c r="F77" s="58"/>
      <c r="G77" s="14">
        <f>G36</f>
        <v>687.33560000000011</v>
      </c>
    </row>
    <row r="78" spans="1:7">
      <c r="A78" s="37" t="s">
        <v>10</v>
      </c>
      <c r="B78" t="s">
        <v>87</v>
      </c>
      <c r="C78" s="38"/>
      <c r="E78" s="14">
        <f>E65</f>
        <v>583.80241699999999</v>
      </c>
      <c r="F78" s="58"/>
      <c r="G78" s="14">
        <f>G65</f>
        <v>1040</v>
      </c>
    </row>
    <row r="79" spans="1:7">
      <c r="A79" s="37" t="s">
        <v>12</v>
      </c>
      <c r="B79" t="s">
        <v>88</v>
      </c>
      <c r="C79" s="38"/>
      <c r="E79" s="14">
        <f>+E17+E28+E45+E54+E58</f>
        <v>2972.6245362102995</v>
      </c>
      <c r="F79" s="58"/>
      <c r="G79" s="14">
        <f>+G17+G28+G45+G54+G58</f>
        <v>3201.2879620726312</v>
      </c>
    </row>
    <row r="80" spans="1:7">
      <c r="A80" s="37"/>
      <c r="C80" s="38"/>
      <c r="E80" s="14"/>
      <c r="F80" s="58"/>
      <c r="G80" s="14"/>
    </row>
    <row r="81" spans="1:7">
      <c r="A81" s="37"/>
      <c r="C81" s="42"/>
      <c r="E81" s="14"/>
      <c r="G81" s="14"/>
    </row>
    <row r="82" spans="1:7">
      <c r="A82" s="37" t="s">
        <v>13</v>
      </c>
      <c r="B82" s="4" t="s">
        <v>30</v>
      </c>
      <c r="C82" s="5"/>
      <c r="E82" s="13">
        <f>SUM(E76:E81)</f>
        <v>7563.7374004466637</v>
      </c>
      <c r="G82" s="13">
        <f>SUM(G76:G81)</f>
        <v>8477.1002283271773</v>
      </c>
    </row>
    <row r="83" spans="1:7">
      <c r="A83" s="37" t="s">
        <v>15</v>
      </c>
      <c r="B83" t="s">
        <v>32</v>
      </c>
      <c r="E83" s="14">
        <f>E72</f>
        <v>3967.1475702630914</v>
      </c>
      <c r="G83" s="14">
        <f>G72</f>
        <v>4446.2124252321228</v>
      </c>
    </row>
    <row r="84" spans="1:7">
      <c r="A84" s="37"/>
      <c r="E84" s="11"/>
      <c r="G84" s="11"/>
    </row>
    <row r="85" spans="1:7">
      <c r="A85" s="22"/>
      <c r="B85" s="10" t="s">
        <v>33</v>
      </c>
      <c r="C85" s="8"/>
      <c r="D85" s="20"/>
      <c r="E85" s="21">
        <f>+E82+E83</f>
        <v>11530.884970709754</v>
      </c>
      <c r="G85" s="21">
        <f>+G82+G83</f>
        <v>12923.3126535593</v>
      </c>
    </row>
    <row r="86" spans="1:7">
      <c r="A86" s="37"/>
      <c r="E86" s="39"/>
      <c r="G86" s="39"/>
    </row>
    <row r="87" spans="1:7" ht="14.25" customHeight="1">
      <c r="A87" s="22"/>
      <c r="B87" s="10" t="s">
        <v>35</v>
      </c>
      <c r="C87" s="8"/>
      <c r="D87" s="20"/>
      <c r="E87" s="21">
        <f>+E85*2</f>
        <v>23061.769941419509</v>
      </c>
      <c r="F87" s="45"/>
      <c r="G87" s="21">
        <f>+G85*2</f>
        <v>25846.6253071186</v>
      </c>
    </row>
    <row r="88" spans="1:7">
      <c r="A88" s="47"/>
      <c r="B88" s="26"/>
      <c r="C88" s="26"/>
      <c r="E88" s="123"/>
      <c r="G88" s="123"/>
    </row>
    <row r="89" spans="1:7" ht="14.25" customHeight="1">
      <c r="A89" s="22"/>
      <c r="B89" s="10" t="s">
        <v>59</v>
      </c>
      <c r="C89" s="77"/>
      <c r="D89" s="20"/>
      <c r="E89" s="77">
        <v>2</v>
      </c>
      <c r="F89" s="45"/>
      <c r="G89" s="77">
        <v>1</v>
      </c>
    </row>
    <row r="90" spans="1:7" s="26" customFormat="1">
      <c r="A90" s="47"/>
    </row>
    <row r="91" spans="1:7" ht="21.75" customHeight="1">
      <c r="A91" s="71"/>
      <c r="B91" s="72" t="s">
        <v>60</v>
      </c>
      <c r="C91" s="73"/>
      <c r="D91" s="74"/>
      <c r="E91" s="75">
        <f>+E87*E89</f>
        <v>46123.539882839017</v>
      </c>
      <c r="F91" s="65"/>
      <c r="G91" s="75">
        <f>+G87*G89</f>
        <v>25846.6253071186</v>
      </c>
    </row>
    <row r="92" spans="1:7" s="26" customFormat="1">
      <c r="A92" s="47"/>
    </row>
    <row r="93" spans="1:7" ht="21.75" customHeight="1">
      <c r="A93" s="71"/>
      <c r="B93" s="72" t="s">
        <v>58</v>
      </c>
      <c r="C93" s="73"/>
      <c r="D93" s="74"/>
      <c r="E93" s="75">
        <f>+E91*12</f>
        <v>553482.4785940682</v>
      </c>
      <c r="F93" s="65"/>
      <c r="G93" s="75">
        <f>+G91*12</f>
        <v>310159.50368542317</v>
      </c>
    </row>
    <row r="94" spans="1:7" s="26" customFormat="1">
      <c r="A94" s="47"/>
    </row>
    <row r="95" spans="1:7" s="26" customFormat="1">
      <c r="A95" s="47"/>
      <c r="E95" s="30"/>
      <c r="G95" s="30"/>
    </row>
    <row r="96" spans="1:7" s="26" customFormat="1">
      <c r="A96" s="47"/>
      <c r="E96" s="32"/>
      <c r="G96" s="32"/>
    </row>
    <row r="97" spans="1:7" s="26" customFormat="1">
      <c r="A97" s="47"/>
      <c r="E97" s="29"/>
      <c r="G97" s="29"/>
    </row>
    <row r="98" spans="1:7" s="26" customFormat="1">
      <c r="A98" s="47"/>
    </row>
    <row r="99" spans="1:7" s="26" customFormat="1">
      <c r="A99" s="47"/>
      <c r="E99" s="44"/>
      <c r="F99" s="46"/>
      <c r="G99" s="44"/>
    </row>
    <row r="100" spans="1:7" s="26" customFormat="1">
      <c r="A100" s="47"/>
    </row>
    <row r="101" spans="1:7" s="26" customFormat="1">
      <c r="A101" s="47"/>
    </row>
    <row r="102" spans="1:7" s="26" customFormat="1">
      <c r="A102" s="47"/>
    </row>
    <row r="103" spans="1:7" s="26" customFormat="1">
      <c r="A103" s="47"/>
    </row>
    <row r="104" spans="1:7" s="26" customFormat="1">
      <c r="A104" s="47"/>
    </row>
    <row r="105" spans="1:7" s="26" customFormat="1">
      <c r="A105" s="47"/>
    </row>
    <row r="106" spans="1:7" s="26" customFormat="1">
      <c r="A106" s="47"/>
    </row>
    <row r="107" spans="1:7" s="26" customFormat="1">
      <c r="A107" s="47"/>
    </row>
    <row r="108" spans="1:7" s="26" customFormat="1">
      <c r="A108" s="47"/>
    </row>
    <row r="109" spans="1:7" s="26" customFormat="1">
      <c r="A109" s="47"/>
    </row>
    <row r="110" spans="1:7" s="26" customFormat="1">
      <c r="A110" s="47"/>
    </row>
    <row r="111" spans="1:7" s="26" customFormat="1">
      <c r="A111" s="47"/>
    </row>
    <row r="112" spans="1:7" s="26" customFormat="1">
      <c r="A112" s="47"/>
    </row>
    <row r="113" spans="1:1" s="26" customFormat="1">
      <c r="A113" s="47"/>
    </row>
    <row r="114" spans="1:1" s="26" customFormat="1">
      <c r="A114" s="47"/>
    </row>
    <row r="115" spans="1:1" s="26" customFormat="1">
      <c r="A115" s="47"/>
    </row>
    <row r="116" spans="1:1" s="26" customFormat="1">
      <c r="A116" s="47"/>
    </row>
    <row r="117" spans="1:1" s="26" customFormat="1">
      <c r="A117" s="47"/>
    </row>
    <row r="118" spans="1:1" s="26" customFormat="1">
      <c r="A118" s="47"/>
    </row>
    <row r="119" spans="1:1" s="26" customFormat="1">
      <c r="A119" s="47"/>
    </row>
    <row r="120" spans="1:1" s="26" customFormat="1">
      <c r="A120" s="47"/>
    </row>
    <row r="121" spans="1:1" s="26" customFormat="1">
      <c r="A121" s="47"/>
    </row>
    <row r="122" spans="1:1" s="26" customFormat="1">
      <c r="A122" s="47"/>
    </row>
    <row r="123" spans="1:1" s="26" customFormat="1">
      <c r="A123" s="47"/>
    </row>
    <row r="124" spans="1:1" s="26" customFormat="1">
      <c r="A124" s="47"/>
    </row>
    <row r="125" spans="1:1" s="26" customFormat="1">
      <c r="A125" s="47"/>
    </row>
    <row r="126" spans="1:1" s="26" customFormat="1">
      <c r="A126" s="47"/>
    </row>
    <row r="127" spans="1:1" s="26" customFormat="1">
      <c r="A127" s="47"/>
    </row>
    <row r="128" spans="1:1" s="26" customFormat="1">
      <c r="A128" s="47"/>
    </row>
    <row r="129" spans="1:1" s="26" customFormat="1">
      <c r="A129" s="47"/>
    </row>
    <row r="130" spans="1:1" s="26" customFormat="1">
      <c r="A130" s="47"/>
    </row>
    <row r="131" spans="1:1" s="26" customFormat="1">
      <c r="A131" s="47"/>
    </row>
    <row r="132" spans="1:1" s="26" customFormat="1">
      <c r="A132" s="47"/>
    </row>
    <row r="133" spans="1:1" s="26" customFormat="1">
      <c r="A133" s="47"/>
    </row>
    <row r="134" spans="1:1" s="26" customFormat="1">
      <c r="A134" s="47"/>
    </row>
    <row r="135" spans="1:1" s="26" customFormat="1">
      <c r="A135" s="47"/>
    </row>
    <row r="136" spans="1:1" s="26" customFormat="1">
      <c r="A136" s="47"/>
    </row>
    <row r="137" spans="1:1" s="26" customFormat="1">
      <c r="A137" s="47"/>
    </row>
    <row r="138" spans="1:1" s="26" customFormat="1">
      <c r="A138" s="47"/>
    </row>
    <row r="139" spans="1:1" s="26" customFormat="1">
      <c r="A139" s="47"/>
    </row>
    <row r="140" spans="1:1" s="26" customFormat="1">
      <c r="A140" s="47"/>
    </row>
    <row r="141" spans="1:1" s="26" customFormat="1">
      <c r="A141" s="47"/>
    </row>
    <row r="142" spans="1:1" s="26" customFormat="1">
      <c r="A142" s="47"/>
    </row>
    <row r="143" spans="1:1" s="26" customFormat="1">
      <c r="A143" s="47"/>
    </row>
    <row r="144" spans="1:1" s="26" customFormat="1">
      <c r="A144" s="47"/>
    </row>
    <row r="145" spans="1:1" s="26" customFormat="1">
      <c r="A145" s="47"/>
    </row>
    <row r="146" spans="1:1" s="26" customFormat="1">
      <c r="A146" s="47"/>
    </row>
    <row r="147" spans="1:1" s="26" customFormat="1">
      <c r="A147" s="47"/>
    </row>
    <row r="148" spans="1:1" s="26" customFormat="1">
      <c r="A148" s="47"/>
    </row>
    <row r="149" spans="1:1" s="26" customFormat="1">
      <c r="A149" s="47"/>
    </row>
    <row r="150" spans="1:1" s="26" customFormat="1">
      <c r="A150" s="47"/>
    </row>
    <row r="151" spans="1:1" s="26" customFormat="1">
      <c r="A151" s="47"/>
    </row>
    <row r="152" spans="1:1" s="26" customFormat="1">
      <c r="A152" s="47"/>
    </row>
    <row r="153" spans="1:1" s="26" customFormat="1">
      <c r="A153" s="47"/>
    </row>
    <row r="154" spans="1:1" s="26" customFormat="1">
      <c r="A154" s="47"/>
    </row>
    <row r="155" spans="1:1" s="26" customFormat="1">
      <c r="A155" s="47"/>
    </row>
    <row r="156" spans="1:1" s="26" customFormat="1">
      <c r="A156" s="47"/>
    </row>
    <row r="157" spans="1:1" s="26" customFormat="1">
      <c r="A157" s="47"/>
    </row>
    <row r="158" spans="1:1" s="26" customFormat="1">
      <c r="A158" s="47"/>
    </row>
    <row r="159" spans="1:1" s="26" customFormat="1">
      <c r="A159" s="47"/>
    </row>
    <row r="160" spans="1:1" s="26" customFormat="1">
      <c r="A160" s="47"/>
    </row>
    <row r="161" spans="1:1" s="26" customFormat="1">
      <c r="A161" s="47"/>
    </row>
    <row r="162" spans="1:1" s="26" customFormat="1">
      <c r="A162" s="47"/>
    </row>
    <row r="163" spans="1:1" s="26" customFormat="1">
      <c r="A163" s="47"/>
    </row>
    <row r="164" spans="1:1" s="26" customFormat="1">
      <c r="A164" s="47"/>
    </row>
    <row r="165" spans="1:1" s="26" customFormat="1">
      <c r="A165" s="47"/>
    </row>
    <row r="166" spans="1:1" s="26" customFormat="1">
      <c r="A166" s="47"/>
    </row>
    <row r="167" spans="1:1" s="26" customFormat="1">
      <c r="A167" s="47"/>
    </row>
    <row r="168" spans="1:1" s="26" customFormat="1">
      <c r="A168" s="47"/>
    </row>
    <row r="169" spans="1:1" s="26" customFormat="1">
      <c r="A169" s="47"/>
    </row>
    <row r="170" spans="1:1" s="26" customFormat="1">
      <c r="A170" s="47"/>
    </row>
    <row r="171" spans="1:1" s="26" customFormat="1">
      <c r="A171" s="47"/>
    </row>
    <row r="172" spans="1:1" s="26" customFormat="1">
      <c r="A172" s="47"/>
    </row>
    <row r="173" spans="1:1" s="26" customFormat="1">
      <c r="A173" s="47"/>
    </row>
    <row r="174" spans="1:1" s="26" customFormat="1">
      <c r="A174" s="47"/>
    </row>
    <row r="175" spans="1:1" s="26" customFormat="1">
      <c r="A175" s="47"/>
    </row>
    <row r="176" spans="1:1" s="26" customFormat="1">
      <c r="A176" s="47"/>
    </row>
    <row r="177" spans="1:1" s="26" customFormat="1">
      <c r="A177" s="47"/>
    </row>
    <row r="178" spans="1:1" s="26" customFormat="1">
      <c r="A178" s="47"/>
    </row>
    <row r="179" spans="1:1" s="26" customFormat="1">
      <c r="A179" s="47"/>
    </row>
    <row r="180" spans="1:1" s="26" customFormat="1">
      <c r="A180" s="47"/>
    </row>
    <row r="181" spans="1:1" s="26" customFormat="1">
      <c r="A181" s="47"/>
    </row>
    <row r="182" spans="1:1" s="26" customFormat="1">
      <c r="A182" s="47"/>
    </row>
    <row r="183" spans="1:1" s="26" customFormat="1">
      <c r="A183" s="47"/>
    </row>
    <row r="184" spans="1:1" s="26" customFormat="1">
      <c r="A184" s="47"/>
    </row>
    <row r="185" spans="1:1" s="26" customFormat="1">
      <c r="A185" s="47"/>
    </row>
    <row r="186" spans="1:1" s="26" customFormat="1">
      <c r="A186" s="47"/>
    </row>
    <row r="187" spans="1:1" s="26" customFormat="1">
      <c r="A187" s="47"/>
    </row>
    <row r="188" spans="1:1" s="26" customFormat="1">
      <c r="A188" s="47"/>
    </row>
    <row r="189" spans="1:1" s="26" customFormat="1">
      <c r="A189" s="47"/>
    </row>
    <row r="190" spans="1:1" s="26" customFormat="1">
      <c r="A190" s="47"/>
    </row>
    <row r="191" spans="1:1" s="26" customFormat="1">
      <c r="A191" s="47"/>
    </row>
    <row r="192" spans="1:1" s="26" customFormat="1">
      <c r="A192" s="47"/>
    </row>
    <row r="193" spans="1:1" s="26" customFormat="1">
      <c r="A193" s="47"/>
    </row>
    <row r="194" spans="1:1" s="26" customFormat="1">
      <c r="A194" s="47"/>
    </row>
    <row r="195" spans="1:1" s="26" customFormat="1">
      <c r="A195" s="47"/>
    </row>
    <row r="196" spans="1:1" s="26" customFormat="1">
      <c r="A196" s="47"/>
    </row>
    <row r="197" spans="1:1" s="26" customFormat="1">
      <c r="A197" s="47"/>
    </row>
    <row r="198" spans="1:1" s="26" customFormat="1">
      <c r="A198" s="47"/>
    </row>
    <row r="199" spans="1:1" s="26" customFormat="1">
      <c r="A199" s="47"/>
    </row>
    <row r="200" spans="1:1" s="26" customFormat="1">
      <c r="A200" s="47"/>
    </row>
    <row r="201" spans="1:1" s="26" customFormat="1">
      <c r="A201" s="47"/>
    </row>
    <row r="202" spans="1:1" s="26" customFormat="1">
      <c r="A202" s="47"/>
    </row>
    <row r="203" spans="1:1" s="26" customFormat="1">
      <c r="A203" s="47"/>
    </row>
    <row r="204" spans="1:1" s="26" customFormat="1">
      <c r="A204" s="47"/>
    </row>
    <row r="205" spans="1:1" s="26" customFormat="1">
      <c r="A205" s="47"/>
    </row>
    <row r="206" spans="1:1" s="26" customFormat="1">
      <c r="A206" s="47"/>
    </row>
    <row r="207" spans="1:1" s="26" customFormat="1">
      <c r="A207" s="47"/>
    </row>
    <row r="208" spans="1:1" s="26" customFormat="1">
      <c r="A208" s="47"/>
    </row>
    <row r="209" spans="1:1" s="26" customFormat="1">
      <c r="A209" s="47"/>
    </row>
    <row r="210" spans="1:1" s="26" customFormat="1">
      <c r="A210" s="47"/>
    </row>
    <row r="211" spans="1:1" s="26" customFormat="1">
      <c r="A211" s="47"/>
    </row>
    <row r="212" spans="1:1" s="26" customFormat="1">
      <c r="A212" s="47"/>
    </row>
    <row r="213" spans="1:1" s="26" customFormat="1">
      <c r="A213" s="47"/>
    </row>
    <row r="214" spans="1:1" s="26" customFormat="1">
      <c r="A214" s="47"/>
    </row>
    <row r="215" spans="1:1" s="26" customFormat="1">
      <c r="A215" s="47"/>
    </row>
    <row r="216" spans="1:1" s="26" customFormat="1">
      <c r="A216" s="47"/>
    </row>
    <row r="217" spans="1:1" s="26" customFormat="1">
      <c r="A217" s="47"/>
    </row>
    <row r="218" spans="1:1" s="26" customFormat="1">
      <c r="A218" s="47"/>
    </row>
    <row r="219" spans="1:1" s="26" customFormat="1">
      <c r="A219" s="47"/>
    </row>
    <row r="220" spans="1:1" s="26" customFormat="1">
      <c r="A220" s="47"/>
    </row>
    <row r="221" spans="1:1" s="26" customFormat="1">
      <c r="A221" s="47"/>
    </row>
    <row r="222" spans="1:1" s="26" customFormat="1">
      <c r="A222" s="47"/>
    </row>
    <row r="223" spans="1:1" s="26" customFormat="1">
      <c r="A223" s="47"/>
    </row>
    <row r="224" spans="1:1" s="26" customFormat="1">
      <c r="A224" s="47"/>
    </row>
    <row r="225" spans="1:1" s="26" customFormat="1">
      <c r="A225" s="47"/>
    </row>
  </sheetData>
  <pageMargins left="1" right="1" top="1" bottom="1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N217"/>
  <sheetViews>
    <sheetView tabSelected="1" topLeftCell="A7" zoomScaleNormal="100" workbookViewId="0">
      <selection activeCell="E26" sqref="E26"/>
    </sheetView>
  </sheetViews>
  <sheetFormatPr defaultRowHeight="15"/>
  <cols>
    <col min="1" max="1" width="9.140625" style="26"/>
    <col min="2" max="2" width="26.140625" customWidth="1"/>
    <col min="3" max="3" width="7.140625" bestFit="1" customWidth="1"/>
    <col min="4" max="4" width="10.7109375" customWidth="1"/>
    <col min="5" max="5" width="13.85546875" bestFit="1" customWidth="1"/>
    <col min="6" max="6" width="10.5703125" customWidth="1"/>
    <col min="7" max="7" width="12.140625" bestFit="1" customWidth="1"/>
    <col min="8" max="8" width="11" customWidth="1"/>
    <col min="9" max="9" width="12.140625" customWidth="1"/>
    <col min="10" max="10" width="10.5703125" customWidth="1"/>
    <col min="11" max="11" width="12.140625" bestFit="1" customWidth="1"/>
    <col min="12" max="12" width="4.140625" style="26" customWidth="1"/>
    <col min="13" max="13" width="9.140625" style="26"/>
    <col min="14" max="14" width="10.5703125" style="26" bestFit="1" customWidth="1"/>
    <col min="15" max="15" width="9.140625" style="26"/>
    <col min="16" max="16" width="11.5703125" style="26" bestFit="1" customWidth="1"/>
    <col min="17" max="40" width="9.140625" style="26"/>
  </cols>
  <sheetData>
    <row r="1" spans="2:40" ht="17.25">
      <c r="B1" s="61"/>
      <c r="C1" s="55"/>
      <c r="D1" s="55"/>
      <c r="E1" s="55"/>
      <c r="F1" s="26"/>
      <c r="G1" s="26"/>
      <c r="H1" s="26"/>
      <c r="I1" s="26"/>
      <c r="J1" s="26"/>
      <c r="K1" s="26"/>
    </row>
    <row r="2" spans="2:40" ht="17.25">
      <c r="B2" s="55"/>
      <c r="C2" s="55"/>
      <c r="D2" s="55"/>
      <c r="E2" s="55"/>
      <c r="F2" s="26"/>
      <c r="G2" s="26"/>
      <c r="H2" s="26"/>
      <c r="I2" s="26"/>
      <c r="J2" s="26"/>
      <c r="K2" s="26"/>
    </row>
    <row r="3" spans="2:40" ht="17.25"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55"/>
      <c r="N3" s="55"/>
      <c r="O3" s="55"/>
      <c r="P3" s="55"/>
    </row>
    <row r="4" spans="2:40" ht="17.25"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55"/>
      <c r="N4" s="55"/>
      <c r="O4" s="55"/>
      <c r="P4" s="55"/>
    </row>
    <row r="5" spans="2:40" ht="17.25">
      <c r="B5" s="55"/>
      <c r="C5" s="55"/>
      <c r="D5" s="55"/>
      <c r="E5" s="55"/>
      <c r="F5" s="26"/>
      <c r="G5" s="26"/>
      <c r="H5" s="26"/>
      <c r="I5" s="26"/>
      <c r="J5" s="26"/>
      <c r="K5" s="26"/>
    </row>
    <row r="6" spans="2:40" s="59" customFormat="1" ht="25.5" customHeight="1">
      <c r="B6" s="113" t="s">
        <v>96</v>
      </c>
      <c r="C6" s="26"/>
      <c r="D6" s="30"/>
      <c r="E6" s="30"/>
      <c r="F6" s="32"/>
      <c r="G6" s="26"/>
      <c r="H6" s="32"/>
      <c r="I6" s="26"/>
      <c r="J6" s="32"/>
      <c r="K6" s="26"/>
      <c r="L6" s="32"/>
    </row>
    <row r="7" spans="2:40" s="26" customFormat="1" ht="30" customHeight="1">
      <c r="C7" s="27"/>
      <c r="D7" s="133" t="s">
        <v>40</v>
      </c>
      <c r="E7" s="133"/>
    </row>
    <row r="8" spans="2:40">
      <c r="B8" s="60" t="s">
        <v>38</v>
      </c>
      <c r="C8" s="62" t="s">
        <v>39</v>
      </c>
      <c r="D8" s="111" t="s">
        <v>89</v>
      </c>
      <c r="E8" s="111" t="s">
        <v>42</v>
      </c>
      <c r="F8" s="26"/>
      <c r="G8" s="26"/>
      <c r="H8" s="26"/>
      <c r="I8" s="26"/>
      <c r="J8" s="26"/>
      <c r="K8" s="26"/>
      <c r="AI8"/>
      <c r="AJ8"/>
      <c r="AK8"/>
      <c r="AL8"/>
      <c r="AM8"/>
      <c r="AN8"/>
    </row>
    <row r="9" spans="2:40">
      <c r="B9" s="53" t="s">
        <v>99</v>
      </c>
      <c r="C9" s="54">
        <v>2</v>
      </c>
      <c r="D9" s="23">
        <f>DIURNO!E88</f>
        <v>20292.123791256305</v>
      </c>
      <c r="E9" s="23">
        <f>+D9*C9</f>
        <v>40584.247582512609</v>
      </c>
      <c r="F9" s="26"/>
      <c r="G9" s="26"/>
      <c r="H9" s="26"/>
      <c r="I9" s="26"/>
      <c r="J9" s="26"/>
      <c r="K9" s="26"/>
      <c r="AI9"/>
      <c r="AJ9"/>
      <c r="AK9"/>
      <c r="AL9"/>
      <c r="AM9"/>
      <c r="AN9"/>
    </row>
    <row r="10" spans="2:40">
      <c r="B10" s="53" t="s">
        <v>100</v>
      </c>
      <c r="C10" s="54">
        <v>2</v>
      </c>
      <c r="D10" s="23">
        <f>Noturno!E87</f>
        <v>23061.769941419509</v>
      </c>
      <c r="E10" s="23">
        <f>+D10*C10</f>
        <v>46123.539882839017</v>
      </c>
      <c r="F10" s="26"/>
      <c r="G10" s="26"/>
      <c r="H10" s="26"/>
      <c r="I10" s="26"/>
      <c r="J10" s="26"/>
      <c r="K10" s="26"/>
      <c r="AI10"/>
      <c r="AJ10"/>
      <c r="AK10"/>
      <c r="AL10"/>
      <c r="AM10"/>
      <c r="AN10"/>
    </row>
    <row r="11" spans="2:40">
      <c r="B11" s="102" t="s">
        <v>97</v>
      </c>
      <c r="C11" s="103">
        <f>SUM(C9:C10)</f>
        <v>4</v>
      </c>
      <c r="D11" s="105"/>
      <c r="E11" s="105">
        <f>SUM(E9:E10)</f>
        <v>86707.787465351634</v>
      </c>
      <c r="F11" s="26"/>
      <c r="G11" s="26"/>
      <c r="H11" s="30"/>
      <c r="I11" s="26"/>
      <c r="J11" s="26"/>
      <c r="K11" s="26"/>
      <c r="AI11"/>
      <c r="AJ11"/>
      <c r="AK11"/>
      <c r="AL11"/>
      <c r="AM11"/>
      <c r="AN11"/>
    </row>
    <row r="12" spans="2:40">
      <c r="B12" s="53" t="s">
        <v>101</v>
      </c>
      <c r="C12" s="54">
        <v>1</v>
      </c>
      <c r="D12" s="106">
        <f>DIURNO!G88</f>
        <v>22939.984226583714</v>
      </c>
      <c r="E12" s="23">
        <f>+D12*C12</f>
        <v>22939.984226583714</v>
      </c>
      <c r="F12" s="26"/>
      <c r="G12" s="26"/>
      <c r="H12" s="26"/>
      <c r="I12" s="26"/>
      <c r="J12" s="26"/>
      <c r="K12" s="26"/>
      <c r="AI12"/>
      <c r="AJ12"/>
      <c r="AK12"/>
      <c r="AL12"/>
      <c r="AM12"/>
      <c r="AN12"/>
    </row>
    <row r="13" spans="2:40">
      <c r="B13" s="53" t="s">
        <v>102</v>
      </c>
      <c r="C13" s="54">
        <v>1</v>
      </c>
      <c r="D13" s="106">
        <f>Noturno!G91</f>
        <v>25846.6253071186</v>
      </c>
      <c r="E13" s="23">
        <f>+D13*C13</f>
        <v>25846.6253071186</v>
      </c>
      <c r="F13" s="26"/>
      <c r="G13" s="26"/>
      <c r="H13" s="26"/>
      <c r="I13" s="26"/>
      <c r="J13" s="26"/>
      <c r="K13" s="26"/>
      <c r="AI13"/>
      <c r="AJ13"/>
      <c r="AK13"/>
      <c r="AL13"/>
      <c r="AM13"/>
      <c r="AN13"/>
    </row>
    <row r="14" spans="2:40">
      <c r="B14" s="102" t="s">
        <v>98</v>
      </c>
      <c r="C14" s="104">
        <f>SUM(C12:C13)</f>
        <v>2</v>
      </c>
      <c r="D14" s="105"/>
      <c r="E14" s="105">
        <f>SUM(E12:E13)</f>
        <v>48786.609533702314</v>
      </c>
      <c r="F14" s="26"/>
      <c r="G14" s="26"/>
      <c r="H14" s="26"/>
      <c r="I14" s="26"/>
      <c r="J14" s="26"/>
      <c r="K14" s="26"/>
      <c r="AI14"/>
      <c r="AJ14"/>
      <c r="AK14"/>
      <c r="AL14"/>
      <c r="AM14"/>
      <c r="AN14"/>
    </row>
    <row r="15" spans="2:40" s="34" customFormat="1" ht="15.75" customHeight="1">
      <c r="B15" s="35"/>
      <c r="C15" s="35"/>
      <c r="D15" s="35"/>
      <c r="E15" s="35"/>
      <c r="F15" s="26"/>
    </row>
    <row r="16" spans="2:40">
      <c r="B16" s="56" t="s">
        <v>43</v>
      </c>
      <c r="C16" s="57">
        <f>+C11+C14</f>
        <v>6</v>
      </c>
      <c r="D16" s="108"/>
      <c r="E16" s="108">
        <f>+E11+E14</f>
        <v>135494.39699905395</v>
      </c>
      <c r="F16" s="26"/>
      <c r="G16" s="26"/>
      <c r="H16" s="26"/>
      <c r="I16" s="26"/>
      <c r="J16" s="26"/>
      <c r="K16" s="26"/>
      <c r="AI16"/>
      <c r="AJ16"/>
      <c r="AK16"/>
      <c r="AL16"/>
      <c r="AM16"/>
      <c r="AN16"/>
    </row>
    <row r="17" spans="1:34" s="34" customFormat="1" ht="4.5" customHeight="1">
      <c r="B17" s="35"/>
      <c r="D17" s="26"/>
      <c r="E17" s="107"/>
    </row>
    <row r="18" spans="1:34" s="66" customFormat="1" ht="18.75" customHeight="1">
      <c r="A18" s="63"/>
      <c r="B18" s="130" t="s">
        <v>44</v>
      </c>
      <c r="C18" s="131"/>
      <c r="D18" s="64"/>
      <c r="E18" s="64">
        <f>+E16*12+0.01</f>
        <v>1625932.7739886474</v>
      </c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</row>
    <row r="19" spans="1:34" s="25" customFormat="1">
      <c r="B19" s="35"/>
      <c r="C19" s="34"/>
      <c r="D19" s="32"/>
      <c r="E19" s="26"/>
      <c r="F19" s="26"/>
      <c r="G19" s="28"/>
      <c r="H19" s="129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</row>
    <row r="20" spans="1:34" s="26" customFormat="1">
      <c r="C20" s="30"/>
      <c r="D20" s="30"/>
      <c r="E20" s="29"/>
      <c r="F20" s="101"/>
      <c r="H20" s="101"/>
      <c r="J20" s="101"/>
      <c r="L20" s="34"/>
    </row>
    <row r="21" spans="1:34" s="26" customFormat="1">
      <c r="B21" s="31"/>
      <c r="D21" s="29"/>
      <c r="E21" s="29"/>
      <c r="F21" s="101"/>
      <c r="H21" s="101"/>
      <c r="J21" s="101"/>
    </row>
    <row r="22" spans="1:34" s="26" customFormat="1" ht="15.75">
      <c r="B22" s="31"/>
      <c r="C22" s="109" t="s">
        <v>94</v>
      </c>
      <c r="D22" s="29"/>
      <c r="E22" s="29"/>
      <c r="F22" s="101"/>
      <c r="H22" s="101"/>
      <c r="J22" s="101"/>
    </row>
    <row r="23" spans="1:34" s="26" customFormat="1" ht="15.75">
      <c r="C23" s="110" t="s">
        <v>107</v>
      </c>
      <c r="D23" s="29"/>
      <c r="E23" s="29"/>
      <c r="F23" s="109"/>
      <c r="N23" s="30"/>
      <c r="P23" s="29"/>
    </row>
    <row r="24" spans="1:34" s="26" customFormat="1">
      <c r="C24" s="110" t="s">
        <v>95</v>
      </c>
      <c r="D24" s="29"/>
      <c r="E24" s="29"/>
      <c r="F24" s="110"/>
    </row>
    <row r="25" spans="1:34" s="26" customFormat="1">
      <c r="D25" s="29"/>
      <c r="E25" s="29"/>
      <c r="F25" s="110"/>
      <c r="N25" s="29"/>
    </row>
    <row r="26" spans="1:34" s="26" customFormat="1">
      <c r="B26" s="31"/>
      <c r="D26" s="29"/>
      <c r="E26" s="29"/>
      <c r="N26" s="29"/>
    </row>
    <row r="27" spans="1:34" s="26" customFormat="1" ht="15.75">
      <c r="B27" s="31"/>
      <c r="D27" s="29"/>
      <c r="J27" s="109"/>
      <c r="N27" s="30"/>
    </row>
    <row r="28" spans="1:34" s="26" customFormat="1">
      <c r="D28" s="29"/>
      <c r="J28" s="110"/>
    </row>
    <row r="29" spans="1:34" s="26" customFormat="1">
      <c r="D29" s="29"/>
      <c r="E29" s="29"/>
      <c r="J29" s="110"/>
    </row>
    <row r="30" spans="1:34" s="26" customFormat="1">
      <c r="B30" s="31"/>
      <c r="D30" s="29"/>
      <c r="E30" s="29"/>
    </row>
    <row r="31" spans="1:34" s="26" customFormat="1">
      <c r="B31" s="31"/>
      <c r="D31" s="29"/>
      <c r="E31" s="29"/>
      <c r="K31" s="118"/>
    </row>
    <row r="32" spans="1:34" s="26" customFormat="1">
      <c r="B32" s="31"/>
      <c r="D32" s="29"/>
      <c r="E32" s="36"/>
      <c r="I32" s="116"/>
      <c r="K32" s="65"/>
    </row>
    <row r="33" spans="2:11" s="26" customFormat="1">
      <c r="B33" s="31"/>
      <c r="D33" s="29"/>
      <c r="E33" s="29"/>
      <c r="G33" s="29"/>
      <c r="I33" s="29"/>
      <c r="K33" s="118"/>
    </row>
    <row r="34" spans="2:11" s="26" customFormat="1">
      <c r="B34" s="31"/>
      <c r="D34" s="29"/>
      <c r="E34" s="29"/>
      <c r="G34" s="29"/>
      <c r="I34" s="29"/>
      <c r="K34" s="29"/>
    </row>
    <row r="35" spans="2:11" s="26" customFormat="1">
      <c r="B35" s="31"/>
      <c r="D35" s="29"/>
      <c r="E35" s="29"/>
      <c r="G35" s="29"/>
      <c r="I35" s="29"/>
      <c r="K35" s="29"/>
    </row>
    <row r="36" spans="2:11" s="26" customFormat="1">
      <c r="B36"/>
      <c r="C36" s="29"/>
      <c r="D36" s="29"/>
      <c r="E36" s="29"/>
      <c r="G36" s="29"/>
      <c r="I36" s="29"/>
      <c r="K36" s="29"/>
    </row>
    <row r="37" spans="2:11" s="26" customFormat="1">
      <c r="B37" s="47"/>
      <c r="G37" s="29"/>
      <c r="I37" s="29"/>
      <c r="K37" s="29"/>
    </row>
    <row r="38" spans="2:11" s="26" customFormat="1">
      <c r="B38" s="47"/>
      <c r="G38" s="29"/>
      <c r="I38" s="29"/>
      <c r="K38" s="29"/>
    </row>
    <row r="39" spans="2:11" s="26" customFormat="1">
      <c r="G39" s="29"/>
      <c r="I39" s="29"/>
      <c r="K39" s="29"/>
    </row>
    <row r="40" spans="2:11" s="26" customFormat="1">
      <c r="G40" s="29"/>
      <c r="I40" s="29"/>
      <c r="K40" s="29"/>
    </row>
    <row r="41" spans="2:11" s="26" customFormat="1">
      <c r="E41" s="29"/>
      <c r="G41" s="29"/>
      <c r="I41" s="29"/>
      <c r="K41" s="29"/>
    </row>
    <row r="42" spans="2:11" s="26" customFormat="1">
      <c r="G42" s="30"/>
      <c r="I42" s="30"/>
      <c r="K42" s="30"/>
    </row>
    <row r="43" spans="2:11" s="26" customFormat="1"/>
    <row r="44" spans="2:11" s="26" customFormat="1"/>
    <row r="45" spans="2:11" s="26" customFormat="1"/>
    <row r="46" spans="2:11" s="26" customFormat="1"/>
    <row r="47" spans="2:11" s="26" customFormat="1"/>
    <row r="48" spans="2:11" s="26" customFormat="1"/>
    <row r="49" s="26" customFormat="1"/>
    <row r="50" s="26" customFormat="1"/>
    <row r="51" s="26" customFormat="1"/>
    <row r="52" s="26" customFormat="1"/>
    <row r="53" s="26" customFormat="1"/>
    <row r="54" s="26" customFormat="1"/>
    <row r="55" s="26" customFormat="1"/>
    <row r="56" s="26" customFormat="1"/>
    <row r="57" s="26" customFormat="1"/>
    <row r="58" s="26" customFormat="1"/>
    <row r="59" s="26" customFormat="1"/>
    <row r="60" s="26" customFormat="1"/>
    <row r="61" s="26" customFormat="1"/>
    <row r="62" s="26" customFormat="1"/>
    <row r="63" s="26" customFormat="1"/>
    <row r="64" s="26" customFormat="1"/>
    <row r="65" s="26" customFormat="1"/>
    <row r="66" s="26" customFormat="1"/>
    <row r="67" s="26" customFormat="1"/>
    <row r="68" s="26" customFormat="1"/>
    <row r="69" s="26" customFormat="1"/>
    <row r="70" s="26" customFormat="1"/>
    <row r="71" s="26" customFormat="1"/>
    <row r="72" s="26" customFormat="1"/>
    <row r="73" s="26" customFormat="1"/>
    <row r="74" s="26" customFormat="1"/>
    <row r="75" s="26" customFormat="1"/>
    <row r="76" s="26" customFormat="1"/>
    <row r="77" s="26" customFormat="1"/>
    <row r="78" s="26" customFormat="1"/>
    <row r="79" s="26" customFormat="1"/>
    <row r="80" s="26" customFormat="1"/>
    <row r="81" s="26" customFormat="1"/>
    <row r="82" s="26" customFormat="1"/>
    <row r="83" s="26" customFormat="1"/>
    <row r="84" s="26" customFormat="1"/>
    <row r="85" s="26" customFormat="1"/>
    <row r="86" s="26" customFormat="1"/>
    <row r="87" s="26" customFormat="1"/>
    <row r="88" s="26" customFormat="1"/>
    <row r="89" s="26" customFormat="1"/>
    <row r="90" s="26" customFormat="1"/>
    <row r="91" s="26" customFormat="1"/>
    <row r="92" s="26" customFormat="1"/>
    <row r="93" s="26" customFormat="1"/>
    <row r="94" s="26" customFormat="1"/>
    <row r="95" s="26" customFormat="1"/>
    <row r="96" s="26" customFormat="1"/>
    <row r="97" s="26" customFormat="1"/>
    <row r="98" s="26" customFormat="1"/>
    <row r="99" s="26" customFormat="1"/>
    <row r="100" s="26" customFormat="1"/>
    <row r="101" s="26" customFormat="1"/>
    <row r="102" s="26" customFormat="1"/>
    <row r="103" s="26" customFormat="1"/>
    <row r="104" s="26" customFormat="1"/>
    <row r="105" s="26" customFormat="1"/>
    <row r="106" s="26" customFormat="1"/>
    <row r="107" s="26" customFormat="1"/>
    <row r="108" s="26" customFormat="1"/>
    <row r="109" s="26" customFormat="1"/>
    <row r="110" s="26" customFormat="1"/>
    <row r="111" s="26" customFormat="1"/>
    <row r="112" s="26" customFormat="1"/>
    <row r="113" s="26" customFormat="1"/>
    <row r="114" s="26" customFormat="1"/>
    <row r="115" s="26" customFormat="1"/>
    <row r="116" s="26" customFormat="1"/>
    <row r="117" s="26" customFormat="1"/>
    <row r="118" s="26" customFormat="1"/>
    <row r="119" s="26" customFormat="1"/>
    <row r="120" s="26" customFormat="1"/>
    <row r="121" s="26" customFormat="1"/>
    <row r="122" s="26" customFormat="1"/>
    <row r="123" s="26" customFormat="1"/>
    <row r="124" s="26" customFormat="1"/>
    <row r="125" s="26" customFormat="1"/>
    <row r="126" s="26" customFormat="1"/>
    <row r="127" s="26" customFormat="1"/>
    <row r="128" s="26" customFormat="1"/>
    <row r="129" s="26" customFormat="1"/>
    <row r="130" s="26" customFormat="1"/>
    <row r="131" s="26" customFormat="1"/>
    <row r="132" s="26" customFormat="1"/>
    <row r="133" s="26" customFormat="1"/>
    <row r="134" s="26" customFormat="1"/>
    <row r="135" s="26" customFormat="1"/>
    <row r="136" s="26" customFormat="1"/>
    <row r="137" s="26" customFormat="1"/>
    <row r="138" s="26" customFormat="1"/>
    <row r="139" s="26" customFormat="1"/>
    <row r="140" s="26" customFormat="1"/>
    <row r="141" s="26" customFormat="1"/>
    <row r="142" s="26" customFormat="1"/>
    <row r="143" s="26" customFormat="1"/>
    <row r="144" s="26" customFormat="1"/>
    <row r="145" s="26" customFormat="1"/>
    <row r="146" s="26" customFormat="1"/>
    <row r="147" s="26" customFormat="1"/>
    <row r="148" s="26" customFormat="1"/>
    <row r="149" s="26" customFormat="1"/>
    <row r="150" s="26" customFormat="1"/>
    <row r="151" s="26" customFormat="1"/>
    <row r="152" s="26" customFormat="1"/>
    <row r="153" s="26" customFormat="1"/>
    <row r="154" s="26" customFormat="1"/>
    <row r="155" s="26" customFormat="1"/>
    <row r="156" s="26" customFormat="1"/>
    <row r="157" s="26" customFormat="1"/>
    <row r="158" s="26" customFormat="1"/>
    <row r="159" s="26" customFormat="1"/>
    <row r="160" s="26" customFormat="1"/>
    <row r="161" s="26" customFormat="1"/>
    <row r="162" s="26" customFormat="1"/>
    <row r="163" s="26" customFormat="1"/>
    <row r="164" s="26" customFormat="1"/>
    <row r="165" s="26" customFormat="1"/>
    <row r="166" s="26" customFormat="1"/>
    <row r="167" s="26" customFormat="1"/>
    <row r="168" s="26" customFormat="1"/>
    <row r="169" s="26" customFormat="1"/>
    <row r="170" s="26" customFormat="1"/>
    <row r="171" s="26" customFormat="1"/>
    <row r="172" s="26" customFormat="1"/>
    <row r="173" s="26" customFormat="1"/>
    <row r="174" s="26" customFormat="1"/>
    <row r="175" s="26" customFormat="1"/>
    <row r="176" s="26" customFormat="1"/>
    <row r="177" s="26" customFormat="1"/>
    <row r="178" s="26" customFormat="1"/>
    <row r="179" s="26" customFormat="1"/>
    <row r="180" s="26" customFormat="1"/>
    <row r="181" s="26" customFormat="1"/>
    <row r="182" s="26" customFormat="1"/>
    <row r="183" s="26" customFormat="1"/>
    <row r="184" s="26" customFormat="1"/>
    <row r="185" s="26" customFormat="1"/>
    <row r="186" s="26" customFormat="1"/>
    <row r="187" s="26" customFormat="1"/>
    <row r="188" s="26" customFormat="1"/>
    <row r="189" s="26" customFormat="1"/>
    <row r="190" s="26" customFormat="1"/>
    <row r="191" s="26" customFormat="1"/>
    <row r="192" s="26" customFormat="1"/>
    <row r="193" s="26" customFormat="1"/>
    <row r="194" s="26" customFormat="1"/>
    <row r="195" s="26" customFormat="1"/>
    <row r="196" s="26" customFormat="1"/>
    <row r="197" s="26" customFormat="1"/>
    <row r="198" s="26" customFormat="1"/>
    <row r="199" s="26" customFormat="1"/>
    <row r="200" s="26" customFormat="1"/>
    <row r="201" s="26" customFormat="1"/>
    <row r="202" s="26" customFormat="1"/>
    <row r="203" s="26" customFormat="1"/>
    <row r="204" s="26" customFormat="1"/>
    <row r="205" s="26" customFormat="1"/>
    <row r="206" s="26" customFormat="1"/>
    <row r="207" s="26" customFormat="1"/>
    <row r="208" s="26" customFormat="1"/>
    <row r="209" s="26" customFormat="1"/>
    <row r="210" s="26" customFormat="1"/>
    <row r="211" s="26" customFormat="1"/>
    <row r="212" s="26" customFormat="1"/>
    <row r="213" s="26" customFormat="1"/>
    <row r="214" s="26" customFormat="1"/>
    <row r="215" s="26" customFormat="1"/>
    <row r="216" s="26" customFormat="1"/>
    <row r="217" s="26" customFormat="1"/>
  </sheetData>
  <mergeCells count="3">
    <mergeCell ref="B18:C18"/>
    <mergeCell ref="B3:L3"/>
    <mergeCell ref="D7:E7"/>
  </mergeCells>
  <printOptions horizontalCentered="1"/>
  <pageMargins left="0.11811023622047245" right="0.11811023622047245" top="0.78740157480314965" bottom="0.19685039370078741" header="0.11811023622047245" footer="0.11811023622047245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DIURNO</vt:lpstr>
      <vt:lpstr>Noturno</vt:lpstr>
      <vt:lpstr>RESUMO</vt:lpstr>
      <vt:lpstr>RESUMO!Area_de_impressao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Nivaldo Viana Da Rocha Viana Da Rocha</dc:creator>
  <cp:lastModifiedBy>Paulo Ricardo Tardoque</cp:lastModifiedBy>
  <cp:lastPrinted>2024-03-28T11:55:12Z</cp:lastPrinted>
  <dcterms:created xsi:type="dcterms:W3CDTF">2013-10-22T16:57:34Z</dcterms:created>
  <dcterms:modified xsi:type="dcterms:W3CDTF">2025-09-05T14:19:19Z</dcterms:modified>
</cp:coreProperties>
</file>